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 filterPrivacy="1" defaultThemeVersion="124226"/>
  <bookViews>
    <workbookView xWindow="240" yWindow="110" windowWidth="12050" windowHeight="5510" tabRatio="416"/>
  </bookViews>
  <sheets>
    <sheet name="Leg Kinematic 2" sheetId="5" r:id="rId1"/>
    <sheet name="Leg Kinematic 3" sheetId="7" r:id="rId2"/>
    <sheet name="Body Kinematic" sheetId="3" r:id="rId3"/>
    <sheet name="Torque" sheetId="6" r:id="rId4"/>
    <sheet name="Theory Sources" sheetId="2" r:id="rId5"/>
    <sheet name="Gait" sheetId="4" r:id="rId6"/>
  </sheets>
  <calcPr calcId="162913" calcOnSave="0"/>
</workbook>
</file>

<file path=xl/calcChain.xml><?xml version="1.0" encoding="utf-8"?>
<calcChain xmlns="http://schemas.openxmlformats.org/spreadsheetml/2006/main">
  <c r="E40" i="5" l="1"/>
  <c r="B21" i="6" l="1"/>
  <c r="B20" i="6"/>
  <c r="H135" i="7" l="1"/>
  <c r="W178" i="7"/>
  <c r="U178" i="7"/>
  <c r="T178" i="7"/>
  <c r="R177" i="7"/>
  <c r="O177" i="7"/>
  <c r="M177" i="7"/>
  <c r="K176" i="7"/>
  <c r="G155" i="7"/>
  <c r="I152" i="7"/>
  <c r="F152" i="7"/>
  <c r="B70" i="7"/>
  <c r="F27" i="7" s="1"/>
  <c r="H27" i="7" s="1"/>
  <c r="G67" i="7"/>
  <c r="G66" i="7"/>
  <c r="Q59" i="7"/>
  <c r="P59" i="7"/>
  <c r="G57" i="7"/>
  <c r="H57" i="7" s="1"/>
  <c r="D57" i="7"/>
  <c r="O59" i="7" s="1"/>
  <c r="Q53" i="7"/>
  <c r="G51" i="7"/>
  <c r="H51" i="7" s="1"/>
  <c r="Q52" i="7" s="1"/>
  <c r="D51" i="7"/>
  <c r="Q47" i="7"/>
  <c r="Q46" i="7"/>
  <c r="N45" i="7"/>
  <c r="H45" i="7"/>
  <c r="C45" i="7"/>
  <c r="D45" i="7" s="1"/>
  <c r="P47" i="7" s="1"/>
  <c r="Q42" i="7"/>
  <c r="G40" i="7"/>
  <c r="H40" i="7" s="1"/>
  <c r="D40" i="7"/>
  <c r="P42" i="7" s="1"/>
  <c r="Q37" i="7"/>
  <c r="G35" i="7"/>
  <c r="H35" i="7" s="1"/>
  <c r="D35" i="7"/>
  <c r="P37" i="7" s="1"/>
  <c r="C30" i="7"/>
  <c r="C29" i="7"/>
  <c r="C28" i="7"/>
  <c r="C27" i="7"/>
  <c r="V8" i="7"/>
  <c r="V7" i="7"/>
  <c r="V4" i="7"/>
  <c r="V3" i="7"/>
  <c r="P51" i="7" l="1"/>
  <c r="P52" i="7"/>
  <c r="O45" i="7"/>
  <c r="P45" i="7"/>
  <c r="O58" i="7"/>
  <c r="O57" i="7"/>
  <c r="N58" i="7"/>
  <c r="Q45" i="7"/>
  <c r="Q51" i="7"/>
  <c r="O47" i="7"/>
  <c r="AA47" i="7"/>
  <c r="P40" i="7"/>
  <c r="AC53" i="7"/>
  <c r="Z40" i="7"/>
  <c r="N40" i="7"/>
  <c r="Z47" i="7"/>
  <c r="O40" i="7"/>
  <c r="Q41" i="7"/>
  <c r="P41" i="7"/>
  <c r="O41" i="7"/>
  <c r="AC47" i="7"/>
  <c r="N41" i="7"/>
  <c r="Q40" i="7"/>
  <c r="AB42" i="7"/>
  <c r="AB47" i="7"/>
  <c r="AC42" i="7"/>
  <c r="Z42" i="7"/>
  <c r="AC46" i="7"/>
  <c r="AB40" i="7"/>
  <c r="Q36" i="7"/>
  <c r="Q35" i="7"/>
  <c r="O35" i="7"/>
  <c r="H174" i="7"/>
  <c r="AC52" i="7"/>
  <c r="AC51" i="7"/>
  <c r="AB46" i="7"/>
  <c r="AA40" i="7"/>
  <c r="P36" i="7"/>
  <c r="P35" i="7"/>
  <c r="AA46" i="7"/>
  <c r="O36" i="7"/>
  <c r="AC45" i="7"/>
  <c r="N35" i="7"/>
  <c r="R35" i="7" s="1" a="1"/>
  <c r="I181" i="7"/>
  <c r="G27" i="7"/>
  <c r="AB41" i="7"/>
  <c r="Q58" i="7"/>
  <c r="P58" i="7"/>
  <c r="Q57" i="7"/>
  <c r="C70" i="7"/>
  <c r="AC40" i="7"/>
  <c r="AC41" i="7"/>
  <c r="N57" i="7"/>
  <c r="N36" i="7"/>
  <c r="AA41" i="7"/>
  <c r="O37" i="7"/>
  <c r="O42" i="7"/>
  <c r="P46" i="7"/>
  <c r="N46" i="7"/>
  <c r="O46" i="7"/>
  <c r="Z45" i="7"/>
  <c r="Z46" i="7"/>
  <c r="P57" i="7"/>
  <c r="Z41" i="7"/>
  <c r="AA45" i="7"/>
  <c r="P53" i="7"/>
  <c r="O53" i="7"/>
  <c r="AB45" i="7"/>
  <c r="N52" i="7"/>
  <c r="O51" i="7"/>
  <c r="N51" i="7"/>
  <c r="O52" i="7"/>
  <c r="H180" i="7"/>
  <c r="H181" i="7"/>
  <c r="G57" i="5"/>
  <c r="D57" i="5"/>
  <c r="P59" i="5" s="1"/>
  <c r="H57" i="5"/>
  <c r="Q59" i="5"/>
  <c r="T38" i="7" l="1"/>
  <c r="T36" i="7"/>
  <c r="R38" i="7"/>
  <c r="R36" i="7"/>
  <c r="S38" i="7"/>
  <c r="S36" i="7"/>
  <c r="U36" i="7"/>
  <c r="U35" i="7"/>
  <c r="S37" i="7"/>
  <c r="T35" i="7"/>
  <c r="U38" i="7"/>
  <c r="S35" i="7"/>
  <c r="U37" i="7"/>
  <c r="R35" i="7"/>
  <c r="T37" i="7"/>
  <c r="R37" i="7"/>
  <c r="X178" i="7"/>
  <c r="J176" i="7"/>
  <c r="O58" i="5"/>
  <c r="P57" i="5"/>
  <c r="N58" i="5"/>
  <c r="O57" i="5"/>
  <c r="Q57" i="5"/>
  <c r="Q58" i="5"/>
  <c r="N57" i="5"/>
  <c r="P58" i="5"/>
  <c r="O59" i="5"/>
  <c r="V37" i="7" l="1"/>
  <c r="W8" i="7" s="1"/>
  <c r="R40" i="7" a="1"/>
  <c r="V35" i="7"/>
  <c r="D66" i="7"/>
  <c r="W36" i="7"/>
  <c r="D67" i="7"/>
  <c r="G154" i="7" s="1"/>
  <c r="V36" i="7"/>
  <c r="W4" i="7" s="1"/>
  <c r="V38" i="7"/>
  <c r="S43" i="7" l="1"/>
  <c r="S41" i="7"/>
  <c r="U42" i="7"/>
  <c r="U40" i="7"/>
  <c r="R43" i="7"/>
  <c r="R41" i="7"/>
  <c r="U43" i="7"/>
  <c r="S40" i="7"/>
  <c r="T43" i="7"/>
  <c r="R40" i="7"/>
  <c r="T42" i="7"/>
  <c r="S42" i="7"/>
  <c r="T41" i="7"/>
  <c r="T40" i="7"/>
  <c r="R42" i="7"/>
  <c r="U41" i="7"/>
  <c r="W37" i="7"/>
  <c r="X37" i="7" s="1"/>
  <c r="W35" i="7"/>
  <c r="X35" i="7" s="1"/>
  <c r="X36" i="7"/>
  <c r="G153" i="7"/>
  <c r="W3" i="7"/>
  <c r="W7" i="7"/>
  <c r="B24" i="6"/>
  <c r="B16" i="6"/>
  <c r="B14" i="6"/>
  <c r="B17" i="6" s="1"/>
  <c r="V42" i="7" l="1"/>
  <c r="X8" i="7" s="1"/>
  <c r="V41" i="7"/>
  <c r="X4" i="7" s="1"/>
  <c r="V43" i="7"/>
  <c r="W41" i="7"/>
  <c r="R45" i="7" a="1"/>
  <c r="V40" i="7"/>
  <c r="B22" i="6"/>
  <c r="D22" i="6" s="1"/>
  <c r="F22" i="6" s="1"/>
  <c r="B23" i="6"/>
  <c r="D23" i="6" s="1"/>
  <c r="F23" i="6" s="1"/>
  <c r="X3" i="7" l="1"/>
  <c r="X7" i="7"/>
  <c r="S47" i="7"/>
  <c r="S45" i="7"/>
  <c r="R47" i="7"/>
  <c r="R45" i="7"/>
  <c r="U48" i="7"/>
  <c r="U46" i="7"/>
  <c r="T47" i="7"/>
  <c r="T46" i="7"/>
  <c r="S46" i="7"/>
  <c r="R46" i="7"/>
  <c r="R48" i="7"/>
  <c r="U47" i="7"/>
  <c r="T48" i="7"/>
  <c r="U45" i="7"/>
  <c r="S48" i="7"/>
  <c r="T45" i="7"/>
  <c r="X41" i="7"/>
  <c r="W42" i="7"/>
  <c r="X42" i="7" s="1"/>
  <c r="W40" i="7"/>
  <c r="X40" i="7" s="1"/>
  <c r="W177" i="5"/>
  <c r="U177" i="5"/>
  <c r="T177" i="5"/>
  <c r="O176" i="5"/>
  <c r="R176" i="5"/>
  <c r="M176" i="5"/>
  <c r="K175" i="5"/>
  <c r="I151" i="5"/>
  <c r="G51" i="5"/>
  <c r="H51" i="5" s="1"/>
  <c r="C45" i="5"/>
  <c r="F151" i="5"/>
  <c r="G154" i="5"/>
  <c r="B70" i="5"/>
  <c r="C70" i="5" s="1"/>
  <c r="J175" i="5" s="1"/>
  <c r="G67" i="5"/>
  <c r="G66" i="5"/>
  <c r="Q53" i="5"/>
  <c r="D51" i="5"/>
  <c r="O53" i="5" s="1"/>
  <c r="Q47" i="5"/>
  <c r="H45" i="5"/>
  <c r="Q42" i="5"/>
  <c r="G40" i="5"/>
  <c r="H40" i="5" s="1"/>
  <c r="AC47" i="5" s="1"/>
  <c r="D40" i="5"/>
  <c r="O42" i="5" s="1"/>
  <c r="Q37" i="5"/>
  <c r="G35" i="5"/>
  <c r="H35" i="5" s="1"/>
  <c r="AA40" i="5" s="1"/>
  <c r="D35" i="5"/>
  <c r="P37" i="5" s="1"/>
  <c r="C30" i="5"/>
  <c r="C29" i="5"/>
  <c r="C28" i="5"/>
  <c r="C27" i="5"/>
  <c r="V8" i="5"/>
  <c r="V7" i="5"/>
  <c r="V4" i="5"/>
  <c r="V3" i="5"/>
  <c r="V48" i="7" l="1"/>
  <c r="V47" i="7"/>
  <c r="Y8" i="7" s="1"/>
  <c r="V45" i="7"/>
  <c r="W46" i="7"/>
  <c r="R51" i="7" a="1"/>
  <c r="V46" i="7"/>
  <c r="Y4" i="7" s="1"/>
  <c r="F27" i="5"/>
  <c r="H27" i="5" s="1"/>
  <c r="X177" i="5"/>
  <c r="I180" i="5"/>
  <c r="H180" i="5"/>
  <c r="AB41" i="5"/>
  <c r="AC45" i="5"/>
  <c r="AC46" i="5"/>
  <c r="Z47" i="5"/>
  <c r="AB42" i="5"/>
  <c r="AA41" i="5"/>
  <c r="Z45" i="5"/>
  <c r="AB40" i="5"/>
  <c r="Z46" i="5"/>
  <c r="D45" i="5"/>
  <c r="AB46" i="5" s="1"/>
  <c r="O37" i="5"/>
  <c r="P53" i="5"/>
  <c r="P52" i="5"/>
  <c r="P42" i="5"/>
  <c r="O52" i="5"/>
  <c r="P51" i="5"/>
  <c r="Z42" i="5"/>
  <c r="O41" i="5"/>
  <c r="O40" i="5"/>
  <c r="P40" i="5"/>
  <c r="N41" i="5"/>
  <c r="Z40" i="5"/>
  <c r="N40" i="5"/>
  <c r="AC42" i="5"/>
  <c r="Q41" i="5"/>
  <c r="Q40" i="5"/>
  <c r="P41" i="5"/>
  <c r="N46" i="5"/>
  <c r="Q46" i="5"/>
  <c r="N45" i="5"/>
  <c r="Q45" i="5"/>
  <c r="P36" i="5"/>
  <c r="P35" i="5"/>
  <c r="N35" i="5"/>
  <c r="O36" i="5"/>
  <c r="O35" i="5"/>
  <c r="Z41" i="5"/>
  <c r="AC40" i="5"/>
  <c r="N36" i="5"/>
  <c r="AC41" i="5"/>
  <c r="Q36" i="5"/>
  <c r="Q35" i="5"/>
  <c r="Q51" i="5"/>
  <c r="N52" i="5"/>
  <c r="O51" i="5"/>
  <c r="Q52" i="5"/>
  <c r="N51" i="5"/>
  <c r="Y3" i="7" l="1"/>
  <c r="Y7" i="7"/>
  <c r="R54" i="7"/>
  <c r="R52" i="7"/>
  <c r="T53" i="7"/>
  <c r="U53" i="7"/>
  <c r="U51" i="7"/>
  <c r="T51" i="7"/>
  <c r="U52" i="7"/>
  <c r="T52" i="7"/>
  <c r="S52" i="7"/>
  <c r="U54" i="7"/>
  <c r="S51" i="7"/>
  <c r="S53" i="7"/>
  <c r="R53" i="7"/>
  <c r="T54" i="7"/>
  <c r="R51" i="7"/>
  <c r="S54" i="7"/>
  <c r="W45" i="7"/>
  <c r="X45" i="7" s="1"/>
  <c r="X46" i="7"/>
  <c r="W47" i="7"/>
  <c r="X47" i="7" s="1"/>
  <c r="G27" i="5"/>
  <c r="AC51" i="5"/>
  <c r="H173" i="5"/>
  <c r="H179" i="5"/>
  <c r="P45" i="5"/>
  <c r="AA45" i="5"/>
  <c r="AC52" i="5"/>
  <c r="AC53" i="5"/>
  <c r="AB45" i="5"/>
  <c r="O47" i="5"/>
  <c r="AA47" i="5"/>
  <c r="AB47" i="5"/>
  <c r="AA46" i="5"/>
  <c r="P47" i="5"/>
  <c r="P46" i="5"/>
  <c r="O46" i="5"/>
  <c r="O45" i="5"/>
  <c r="R35" i="5" a="1"/>
  <c r="AA67" i="3"/>
  <c r="AD66" i="3" s="1"/>
  <c r="AA63" i="3"/>
  <c r="AA47" i="3"/>
  <c r="AD46" i="3" s="1"/>
  <c r="Z73" i="3"/>
  <c r="AA73" i="3" s="1"/>
  <c r="Z72" i="3"/>
  <c r="AA72" i="3" s="1"/>
  <c r="Z71" i="3"/>
  <c r="AA71" i="3" s="1"/>
  <c r="Z68" i="3"/>
  <c r="AA68" i="3" s="1"/>
  <c r="AB66" i="3" s="1"/>
  <c r="Z67" i="3"/>
  <c r="Z66" i="3"/>
  <c r="AA66" i="3" s="1"/>
  <c r="Z63" i="3"/>
  <c r="Z62" i="3"/>
  <c r="AA62" i="3" s="1"/>
  <c r="AC61" i="3" s="1"/>
  <c r="Z61" i="3"/>
  <c r="AA61" i="3" s="1"/>
  <c r="Z58" i="3"/>
  <c r="AA58" i="3" s="1"/>
  <c r="Z57" i="3"/>
  <c r="AA57" i="3" s="1"/>
  <c r="Z56" i="3"/>
  <c r="AA56" i="3" s="1"/>
  <c r="Z53" i="3"/>
  <c r="AA53" i="3" s="1"/>
  <c r="Z52" i="3"/>
  <c r="AA52" i="3" s="1"/>
  <c r="Z51" i="3"/>
  <c r="AA51" i="3" s="1"/>
  <c r="Z48" i="3"/>
  <c r="AA48" i="3" s="1"/>
  <c r="AC46" i="3" s="1"/>
  <c r="Z47" i="3"/>
  <c r="Z46" i="3"/>
  <c r="AA46" i="3" s="1"/>
  <c r="S73" i="3"/>
  <c r="S68" i="3"/>
  <c r="S66" i="3"/>
  <c r="S63" i="3"/>
  <c r="S58" i="3"/>
  <c r="S53" i="3"/>
  <c r="S51" i="3"/>
  <c r="S48" i="3"/>
  <c r="Q35" i="3"/>
  <c r="E46" i="2"/>
  <c r="B31" i="2"/>
  <c r="B45" i="2"/>
  <c r="R57" i="7" l="1" a="1"/>
  <c r="V51" i="7"/>
  <c r="B66" i="7" s="1"/>
  <c r="W52" i="7"/>
  <c r="V53" i="7"/>
  <c r="B68" i="7" s="1"/>
  <c r="V52" i="7"/>
  <c r="B67" i="7" s="1"/>
  <c r="V54" i="7"/>
  <c r="AD68" i="3"/>
  <c r="AD67" i="3"/>
  <c r="AC73" i="3"/>
  <c r="AB72" i="3"/>
  <c r="AC72" i="3"/>
  <c r="AD72" i="3"/>
  <c r="AD73" i="3"/>
  <c r="AB73" i="3"/>
  <c r="AC48" i="3"/>
  <c r="AC71" i="3"/>
  <c r="AB71" i="3"/>
  <c r="AD71" i="3"/>
  <c r="AD62" i="3"/>
  <c r="S38" i="5"/>
  <c r="S37" i="5"/>
  <c r="S36" i="5"/>
  <c r="S35" i="5"/>
  <c r="R38" i="5"/>
  <c r="R37" i="5"/>
  <c r="R36" i="5"/>
  <c r="R35" i="5"/>
  <c r="U38" i="5"/>
  <c r="U37" i="5"/>
  <c r="U36" i="5"/>
  <c r="U35" i="5"/>
  <c r="T38" i="5"/>
  <c r="T37" i="5"/>
  <c r="T36" i="5"/>
  <c r="T35" i="5"/>
  <c r="AC68" i="3"/>
  <c r="AB67" i="3"/>
  <c r="AD63" i="3"/>
  <c r="AC62" i="3"/>
  <c r="AC66" i="3"/>
  <c r="AB47" i="3"/>
  <c r="AB61" i="3"/>
  <c r="AB68" i="3"/>
  <c r="AD61" i="3"/>
  <c r="AC67" i="3"/>
  <c r="AC52" i="3"/>
  <c r="AD53" i="3"/>
  <c r="AB51" i="3"/>
  <c r="AD52" i="3"/>
  <c r="AC51" i="3"/>
  <c r="AB53" i="3"/>
  <c r="AD51" i="3"/>
  <c r="AB63" i="3"/>
  <c r="AC63" i="3"/>
  <c r="AB62" i="3"/>
  <c r="AC53" i="3"/>
  <c r="AB56" i="3"/>
  <c r="AC58" i="3"/>
  <c r="AB57" i="3"/>
  <c r="AB58" i="3"/>
  <c r="AD56" i="3"/>
  <c r="AD57" i="3"/>
  <c r="AC56" i="3"/>
  <c r="AD58" i="3"/>
  <c r="AC57" i="3"/>
  <c r="AB52" i="3"/>
  <c r="AB48" i="3"/>
  <c r="AB46" i="3"/>
  <c r="AC47" i="3"/>
  <c r="AD47" i="3"/>
  <c r="AD48" i="3"/>
  <c r="F46" i="2"/>
  <c r="E47" i="2"/>
  <c r="F47" i="2"/>
  <c r="G47" i="2"/>
  <c r="G46" i="2"/>
  <c r="G45" i="2"/>
  <c r="F45" i="2"/>
  <c r="E45" i="2"/>
  <c r="E42" i="2"/>
  <c r="F42" i="2"/>
  <c r="F41" i="2"/>
  <c r="E41" i="2"/>
  <c r="H42" i="2"/>
  <c r="E38" i="2"/>
  <c r="G38" i="2"/>
  <c r="G36" i="2"/>
  <c r="E36" i="2"/>
  <c r="H37" i="2"/>
  <c r="G33" i="2"/>
  <c r="F33" i="2"/>
  <c r="H32" i="2"/>
  <c r="G32" i="2"/>
  <c r="F32" i="2"/>
  <c r="M63" i="3"/>
  <c r="M73" i="3"/>
  <c r="D71" i="3"/>
  <c r="K73" i="3" s="1"/>
  <c r="M68" i="3"/>
  <c r="D66" i="3"/>
  <c r="K68" i="3" s="1"/>
  <c r="D61" i="3"/>
  <c r="K63" i="3" s="1"/>
  <c r="G56" i="3"/>
  <c r="H56" i="3" s="1"/>
  <c r="E56" i="3"/>
  <c r="M58" i="3"/>
  <c r="D56" i="3"/>
  <c r="K58" i="3" s="1"/>
  <c r="G51" i="3"/>
  <c r="H51" i="3" s="1"/>
  <c r="E51" i="3"/>
  <c r="M53" i="3"/>
  <c r="D51" i="3"/>
  <c r="K53" i="3" s="1"/>
  <c r="G46" i="3"/>
  <c r="H46" i="3" s="1"/>
  <c r="M48" i="3"/>
  <c r="E46" i="3"/>
  <c r="D46" i="3"/>
  <c r="L48" i="3" s="1"/>
  <c r="H32" i="3"/>
  <c r="G71" i="3" s="1"/>
  <c r="H71" i="3" s="1"/>
  <c r="G32" i="3"/>
  <c r="G66" i="3" s="1"/>
  <c r="H66" i="3" s="1"/>
  <c r="F32" i="3"/>
  <c r="G61" i="3" s="1"/>
  <c r="H61" i="3" s="1"/>
  <c r="H33" i="3"/>
  <c r="E71" i="3" s="1"/>
  <c r="G33" i="3"/>
  <c r="E66" i="3" s="1"/>
  <c r="F33" i="3"/>
  <c r="E61" i="3" s="1"/>
  <c r="C27" i="3"/>
  <c r="C26" i="3"/>
  <c r="P33" i="3" s="1"/>
  <c r="C25" i="3"/>
  <c r="Z8" i="7" l="1"/>
  <c r="Z4" i="7"/>
  <c r="X52" i="7"/>
  <c r="W53" i="7"/>
  <c r="X53" i="7" s="1"/>
  <c r="W51" i="7"/>
  <c r="X51" i="7" s="1"/>
  <c r="Z3" i="7"/>
  <c r="Z7" i="7"/>
  <c r="S59" i="7"/>
  <c r="S57" i="7"/>
  <c r="R59" i="7"/>
  <c r="R57" i="7"/>
  <c r="U60" i="7"/>
  <c r="U58" i="7"/>
  <c r="T60" i="7"/>
  <c r="T58" i="7"/>
  <c r="U57" i="7"/>
  <c r="T57" i="7"/>
  <c r="R58" i="7"/>
  <c r="S60" i="7"/>
  <c r="R60" i="7"/>
  <c r="U59" i="7"/>
  <c r="T59" i="7"/>
  <c r="S58" i="7"/>
  <c r="D67" i="5"/>
  <c r="V36" i="5"/>
  <c r="W4" i="5" s="1"/>
  <c r="V37" i="5"/>
  <c r="W8" i="5" s="1"/>
  <c r="D66" i="5"/>
  <c r="G152" i="5" s="1"/>
  <c r="R40" i="5" a="1"/>
  <c r="W36" i="5"/>
  <c r="V35" i="5"/>
  <c r="V38" i="5"/>
  <c r="P35" i="3"/>
  <c r="P34" i="3"/>
  <c r="O35" i="3"/>
  <c r="N34" i="3"/>
  <c r="O34" i="3"/>
  <c r="N35" i="3"/>
  <c r="N33" i="3"/>
  <c r="O33" i="3"/>
  <c r="K48" i="3"/>
  <c r="M51" i="3"/>
  <c r="M71" i="3"/>
  <c r="K72" i="3"/>
  <c r="J72" i="3"/>
  <c r="L71" i="3"/>
  <c r="K71" i="3"/>
  <c r="L72" i="3"/>
  <c r="J71" i="3"/>
  <c r="L73" i="3"/>
  <c r="M72" i="3"/>
  <c r="M66" i="3"/>
  <c r="K67" i="3"/>
  <c r="J66" i="3"/>
  <c r="J67" i="3"/>
  <c r="L66" i="3"/>
  <c r="K66" i="3"/>
  <c r="L67" i="3"/>
  <c r="L68" i="3"/>
  <c r="M67" i="3"/>
  <c r="K62" i="3"/>
  <c r="J61" i="3"/>
  <c r="J62" i="3"/>
  <c r="L61" i="3"/>
  <c r="K61" i="3"/>
  <c r="L62" i="3"/>
  <c r="M61" i="3"/>
  <c r="L63" i="3"/>
  <c r="M62" i="3"/>
  <c r="M56" i="3"/>
  <c r="K57" i="3"/>
  <c r="J57" i="3"/>
  <c r="L56" i="3"/>
  <c r="K56" i="3"/>
  <c r="L57" i="3"/>
  <c r="J56" i="3"/>
  <c r="L58" i="3"/>
  <c r="M57" i="3"/>
  <c r="K52" i="3"/>
  <c r="J52" i="3"/>
  <c r="L51" i="3"/>
  <c r="K51" i="3"/>
  <c r="L52" i="3"/>
  <c r="J51" i="3"/>
  <c r="L53" i="3"/>
  <c r="M52" i="3"/>
  <c r="M47" i="3"/>
  <c r="J46" i="3"/>
  <c r="J47" i="3"/>
  <c r="K46" i="3"/>
  <c r="K47" i="3"/>
  <c r="L46" i="3"/>
  <c r="L47" i="3"/>
  <c r="M46" i="3"/>
  <c r="B155" i="7" l="1"/>
  <c r="E70" i="7"/>
  <c r="F70" i="7" s="1"/>
  <c r="V60" i="7"/>
  <c r="W58" i="7"/>
  <c r="V57" i="7"/>
  <c r="Z58" i="7"/>
  <c r="V58" i="7"/>
  <c r="B153" i="7"/>
  <c r="G68" i="7"/>
  <c r="V59" i="7"/>
  <c r="B154" i="7"/>
  <c r="G153" i="5"/>
  <c r="W3" i="5"/>
  <c r="W7" i="5"/>
  <c r="X36" i="5"/>
  <c r="W35" i="5"/>
  <c r="X35" i="5" s="1"/>
  <c r="W37" i="5"/>
  <c r="X37" i="5" s="1"/>
  <c r="R43" i="5"/>
  <c r="R42" i="5"/>
  <c r="R41" i="5"/>
  <c r="R40" i="5"/>
  <c r="S42" i="5"/>
  <c r="U43" i="5"/>
  <c r="U42" i="5"/>
  <c r="U41" i="5"/>
  <c r="U40" i="5"/>
  <c r="S40" i="5"/>
  <c r="T43" i="5"/>
  <c r="T42" i="5"/>
  <c r="T41" i="5"/>
  <c r="T40" i="5"/>
  <c r="S43" i="5"/>
  <c r="S41" i="5"/>
  <c r="N56" i="3" a="1"/>
  <c r="N71" i="3" a="1"/>
  <c r="N51" i="3" a="1"/>
  <c r="N66" i="3" a="1"/>
  <c r="N46" i="3" a="1"/>
  <c r="N61" i="3" a="1"/>
  <c r="C152" i="7" l="1"/>
  <c r="L153" i="7" s="1"/>
  <c r="M153" i="7" s="1"/>
  <c r="W57" i="7"/>
  <c r="X57" i="7" s="1"/>
  <c r="J27" i="7" s="1"/>
  <c r="W59" i="7"/>
  <c r="X59" i="7" s="1"/>
  <c r="J29" i="7" s="1"/>
  <c r="Z59" i="7"/>
  <c r="Z57" i="7"/>
  <c r="X58" i="7"/>
  <c r="J28" i="7" s="1"/>
  <c r="J67" i="7"/>
  <c r="J66" i="7" s="1"/>
  <c r="V43" i="5"/>
  <c r="W41" i="5"/>
  <c r="V40" i="5"/>
  <c r="R45" i="5" a="1"/>
  <c r="V41" i="5"/>
  <c r="X4" i="5" s="1"/>
  <c r="V42" i="5"/>
  <c r="X8" i="5" s="1"/>
  <c r="Q69" i="3"/>
  <c r="N67" i="3"/>
  <c r="O67" i="3"/>
  <c r="P67" i="3"/>
  <c r="Q67" i="3"/>
  <c r="N68" i="3"/>
  <c r="O68" i="3"/>
  <c r="P68" i="3"/>
  <c r="Q68" i="3"/>
  <c r="N69" i="3"/>
  <c r="O69" i="3"/>
  <c r="P69" i="3"/>
  <c r="N66" i="3"/>
  <c r="O66" i="3"/>
  <c r="P66" i="3"/>
  <c r="Q66" i="3"/>
  <c r="Q54" i="3"/>
  <c r="N52" i="3"/>
  <c r="O53" i="3"/>
  <c r="P51" i="3"/>
  <c r="Q51" i="3"/>
  <c r="N54" i="3"/>
  <c r="O54" i="3"/>
  <c r="P52" i="3"/>
  <c r="Q52" i="3"/>
  <c r="N53" i="3"/>
  <c r="O51" i="3"/>
  <c r="N51" i="3"/>
  <c r="P53" i="3"/>
  <c r="Q53" i="3"/>
  <c r="O52" i="3"/>
  <c r="P54" i="3"/>
  <c r="Q64" i="3"/>
  <c r="N63" i="3"/>
  <c r="O63" i="3"/>
  <c r="P64" i="3"/>
  <c r="N64" i="3"/>
  <c r="O64" i="3"/>
  <c r="P61" i="3"/>
  <c r="Q61" i="3"/>
  <c r="O62" i="3"/>
  <c r="Q63" i="3"/>
  <c r="N61" i="3"/>
  <c r="O61" i="3"/>
  <c r="P62" i="3"/>
  <c r="Q62" i="3"/>
  <c r="N62" i="3"/>
  <c r="P63" i="3"/>
  <c r="Q74" i="3"/>
  <c r="N72" i="3"/>
  <c r="O73" i="3"/>
  <c r="P71" i="3"/>
  <c r="Q71" i="3"/>
  <c r="N74" i="3"/>
  <c r="O74" i="3"/>
  <c r="P72" i="3"/>
  <c r="Q72" i="3"/>
  <c r="O71" i="3"/>
  <c r="N71" i="3"/>
  <c r="P73" i="3"/>
  <c r="Q73" i="3"/>
  <c r="O72" i="3"/>
  <c r="N73" i="3"/>
  <c r="P74" i="3"/>
  <c r="N46" i="3"/>
  <c r="Q48" i="3"/>
  <c r="P48" i="3"/>
  <c r="O48" i="3"/>
  <c r="N48" i="3"/>
  <c r="Q47" i="3"/>
  <c r="P47" i="3"/>
  <c r="O47" i="3"/>
  <c r="N47" i="3"/>
  <c r="Q49" i="3"/>
  <c r="O49" i="3"/>
  <c r="Q46" i="3"/>
  <c r="P46" i="3"/>
  <c r="O46" i="3"/>
  <c r="P49" i="3"/>
  <c r="N49" i="3"/>
  <c r="Q59" i="3"/>
  <c r="N58" i="3"/>
  <c r="O58" i="3"/>
  <c r="P58" i="3"/>
  <c r="Q58" i="3"/>
  <c r="N59" i="3"/>
  <c r="O59" i="3"/>
  <c r="P59" i="3"/>
  <c r="N57" i="3"/>
  <c r="N56" i="3"/>
  <c r="O56" i="3"/>
  <c r="P56" i="3"/>
  <c r="Q56" i="3"/>
  <c r="O57" i="3"/>
  <c r="P57" i="3"/>
  <c r="Q57" i="3"/>
  <c r="L152" i="7" l="1"/>
  <c r="S177" i="7" s="1"/>
  <c r="J68" i="7"/>
  <c r="J69" i="7" s="1"/>
  <c r="U48" i="5"/>
  <c r="U47" i="5"/>
  <c r="U46" i="5"/>
  <c r="U45" i="5"/>
  <c r="T47" i="5"/>
  <c r="S46" i="5"/>
  <c r="R45" i="5"/>
  <c r="T46" i="5"/>
  <c r="T48" i="5"/>
  <c r="S47" i="5"/>
  <c r="R46" i="5"/>
  <c r="S48" i="5"/>
  <c r="R47" i="5"/>
  <c r="T45" i="5"/>
  <c r="R48" i="5"/>
  <c r="S45" i="5"/>
  <c r="X3" i="5"/>
  <c r="X7" i="5"/>
  <c r="X41" i="5"/>
  <c r="W40" i="5"/>
  <c r="X40" i="5" s="1"/>
  <c r="W42" i="5"/>
  <c r="X42" i="5" s="1"/>
  <c r="AF51" i="3" a="1"/>
  <c r="AI54" i="3" s="1"/>
  <c r="AF61" i="3" a="1"/>
  <c r="AF46" i="3" a="1"/>
  <c r="R46" i="3"/>
  <c r="AF66" i="3" a="1"/>
  <c r="AF71" i="3" a="1"/>
  <c r="AI74" i="3" s="1"/>
  <c r="AF56" i="3" a="1"/>
  <c r="T61" i="3" a="1"/>
  <c r="T71" i="3" a="1"/>
  <c r="T56" i="3" a="1"/>
  <c r="T66" i="3" a="1"/>
  <c r="V67" i="3" s="1"/>
  <c r="T51" i="3" a="1"/>
  <c r="T52" i="3" s="1"/>
  <c r="R69" i="3"/>
  <c r="T46" i="3" a="1"/>
  <c r="R67" i="3"/>
  <c r="Y12" i="3" s="1"/>
  <c r="AC16" i="3" s="1"/>
  <c r="R49" i="3"/>
  <c r="R66" i="3"/>
  <c r="R68" i="3"/>
  <c r="Y13" i="3" s="1"/>
  <c r="AC17" i="3" s="1"/>
  <c r="R48" i="3"/>
  <c r="U13" i="3" s="1"/>
  <c r="R47" i="3"/>
  <c r="U12" i="3" s="1"/>
  <c r="R74" i="3"/>
  <c r="R53" i="3"/>
  <c r="V13" i="3" s="1"/>
  <c r="W17" i="3" s="1"/>
  <c r="R72" i="3"/>
  <c r="X12" i="3" s="1"/>
  <c r="R73" i="3"/>
  <c r="X13" i="3" s="1"/>
  <c r="AA17" i="3" s="1"/>
  <c r="R71" i="3"/>
  <c r="R61" i="3"/>
  <c r="R62" i="3"/>
  <c r="Z12" i="3" s="1"/>
  <c r="R63" i="3"/>
  <c r="Z13" i="3" s="1"/>
  <c r="AE17" i="3" s="1"/>
  <c r="R64" i="3"/>
  <c r="R58" i="3"/>
  <c r="W13" i="3" s="1"/>
  <c r="Y17" i="3" s="1"/>
  <c r="R59" i="3"/>
  <c r="R56" i="3"/>
  <c r="R57" i="3"/>
  <c r="W12" i="3" s="1"/>
  <c r="R51" i="3"/>
  <c r="R52" i="3"/>
  <c r="V12" i="3" s="1"/>
  <c r="R54" i="3"/>
  <c r="M152" i="7" l="1"/>
  <c r="L176" i="7"/>
  <c r="L67" i="7"/>
  <c r="L66" i="7"/>
  <c r="L68" i="7"/>
  <c r="R51" i="5" a="1"/>
  <c r="V48" i="5"/>
  <c r="V46" i="5"/>
  <c r="Y4" i="5" s="1"/>
  <c r="V45" i="5"/>
  <c r="W46" i="5"/>
  <c r="V47" i="5"/>
  <c r="Y8" i="5" s="1"/>
  <c r="AF51" i="3"/>
  <c r="AH51" i="3"/>
  <c r="AH53" i="3"/>
  <c r="AI52" i="3"/>
  <c r="AH52" i="3"/>
  <c r="AH54" i="3"/>
  <c r="AI53" i="3"/>
  <c r="AG53" i="3"/>
  <c r="AF53" i="3"/>
  <c r="AI51" i="3"/>
  <c r="AG51" i="3"/>
  <c r="AG52" i="3"/>
  <c r="AF54" i="3"/>
  <c r="AF52" i="3"/>
  <c r="AG54" i="3"/>
  <c r="AD16" i="3"/>
  <c r="S67" i="3" s="1"/>
  <c r="AI71" i="3"/>
  <c r="AI72" i="3"/>
  <c r="AH74" i="3"/>
  <c r="AG74" i="3"/>
  <c r="AF46" i="3"/>
  <c r="AI49" i="3"/>
  <c r="AG49" i="3"/>
  <c r="AI48" i="3"/>
  <c r="AF49" i="3"/>
  <c r="AG47" i="3"/>
  <c r="AF47" i="3"/>
  <c r="AH46" i="3"/>
  <c r="AH47" i="3"/>
  <c r="AI47" i="3"/>
  <c r="AG48" i="3"/>
  <c r="AI46" i="3"/>
  <c r="AF48" i="3"/>
  <c r="AH48" i="3"/>
  <c r="AH49" i="3"/>
  <c r="AG46" i="3"/>
  <c r="AI69" i="3"/>
  <c r="AF66" i="3"/>
  <c r="AG69" i="3"/>
  <c r="AH66" i="3"/>
  <c r="AI66" i="3"/>
  <c r="AH68" i="3"/>
  <c r="AG68" i="3"/>
  <c r="AH69" i="3"/>
  <c r="AG66" i="3"/>
  <c r="AF67" i="3"/>
  <c r="AH67" i="3"/>
  <c r="AI67" i="3"/>
  <c r="AG67" i="3"/>
  <c r="AF68" i="3"/>
  <c r="AI68" i="3"/>
  <c r="AF69" i="3"/>
  <c r="AI64" i="3"/>
  <c r="AG61" i="3"/>
  <c r="AF64" i="3"/>
  <c r="AF61" i="3"/>
  <c r="AF63" i="3"/>
  <c r="AF62" i="3"/>
  <c r="AG63" i="3"/>
  <c r="AH63" i="3"/>
  <c r="AI63" i="3"/>
  <c r="AH61" i="3"/>
  <c r="AH62" i="3"/>
  <c r="AG64" i="3"/>
  <c r="AH64" i="3"/>
  <c r="AI61" i="3"/>
  <c r="AG62" i="3"/>
  <c r="AI62" i="3"/>
  <c r="AH71" i="3"/>
  <c r="AH73" i="3"/>
  <c r="AH72" i="3"/>
  <c r="AG73" i="3"/>
  <c r="AG71" i="3"/>
  <c r="AG72" i="3"/>
  <c r="AF74" i="3"/>
  <c r="AF73" i="3"/>
  <c r="AF71" i="3"/>
  <c r="AF72" i="3"/>
  <c r="AI73" i="3"/>
  <c r="AI59" i="3"/>
  <c r="AG56" i="3"/>
  <c r="AF59" i="3"/>
  <c r="AI56" i="3"/>
  <c r="AF58" i="3"/>
  <c r="AI57" i="3"/>
  <c r="AH59" i="3"/>
  <c r="AH56" i="3"/>
  <c r="AF56" i="3"/>
  <c r="AH58" i="3"/>
  <c r="AI58" i="3"/>
  <c r="AH57" i="3"/>
  <c r="AG57" i="3"/>
  <c r="AG58" i="3"/>
  <c r="AG59" i="3"/>
  <c r="AF57" i="3"/>
  <c r="V66" i="3"/>
  <c r="T67" i="3"/>
  <c r="V69" i="3"/>
  <c r="U67" i="3"/>
  <c r="T66" i="3"/>
  <c r="T68" i="3"/>
  <c r="W64" i="3"/>
  <c r="T61" i="3"/>
  <c r="U63" i="3"/>
  <c r="V61" i="3"/>
  <c r="W61" i="3"/>
  <c r="T63" i="3"/>
  <c r="T64" i="3"/>
  <c r="U64" i="3"/>
  <c r="V62" i="3"/>
  <c r="W62" i="3"/>
  <c r="V64" i="3"/>
  <c r="U61" i="3"/>
  <c r="T62" i="3"/>
  <c r="V63" i="3"/>
  <c r="W63" i="3"/>
  <c r="U62" i="3"/>
  <c r="W59" i="3"/>
  <c r="T58" i="3"/>
  <c r="U58" i="3"/>
  <c r="V58" i="3"/>
  <c r="W58" i="3"/>
  <c r="T59" i="3"/>
  <c r="U59" i="3"/>
  <c r="V59" i="3"/>
  <c r="T57" i="3"/>
  <c r="U57" i="3"/>
  <c r="V57" i="3"/>
  <c r="W57" i="3"/>
  <c r="T56" i="3"/>
  <c r="U56" i="3"/>
  <c r="V56" i="3"/>
  <c r="W56" i="3"/>
  <c r="W74" i="3"/>
  <c r="V71" i="3"/>
  <c r="T72" i="3"/>
  <c r="U72" i="3"/>
  <c r="W71" i="3"/>
  <c r="V72" i="3"/>
  <c r="T73" i="3"/>
  <c r="U73" i="3"/>
  <c r="W72" i="3"/>
  <c r="T71" i="3"/>
  <c r="U71" i="3"/>
  <c r="V74" i="3"/>
  <c r="V73" i="3"/>
  <c r="T74" i="3"/>
  <c r="U74" i="3"/>
  <c r="W73" i="3"/>
  <c r="U66" i="3"/>
  <c r="U68" i="3"/>
  <c r="U69" i="3"/>
  <c r="W68" i="3"/>
  <c r="W67" i="3"/>
  <c r="W69" i="3"/>
  <c r="W66" i="3"/>
  <c r="T69" i="3"/>
  <c r="V68" i="3"/>
  <c r="V53" i="3"/>
  <c r="U53" i="3"/>
  <c r="W51" i="3"/>
  <c r="T53" i="3"/>
  <c r="U51" i="3"/>
  <c r="V54" i="3"/>
  <c r="W52" i="3"/>
  <c r="V51" i="3"/>
  <c r="T51" i="3"/>
  <c r="V52" i="3"/>
  <c r="U54" i="3"/>
  <c r="W54" i="3"/>
  <c r="W53" i="3"/>
  <c r="U52" i="3"/>
  <c r="T54" i="3"/>
  <c r="T46" i="3"/>
  <c r="W47" i="3"/>
  <c r="U49" i="3"/>
  <c r="W48" i="3"/>
  <c r="T48" i="3"/>
  <c r="V49" i="3"/>
  <c r="U48" i="3"/>
  <c r="W46" i="3"/>
  <c r="T47" i="3"/>
  <c r="W49" i="3"/>
  <c r="U46" i="3"/>
  <c r="V48" i="3"/>
  <c r="U47" i="3"/>
  <c r="V47" i="3"/>
  <c r="V46" i="3"/>
  <c r="T49" i="3"/>
  <c r="W11" i="3"/>
  <c r="Z15" i="3" s="1"/>
  <c r="S56" i="3" s="1"/>
  <c r="U11" i="3"/>
  <c r="V15" i="3" s="1"/>
  <c r="S46" i="3" s="1"/>
  <c r="Y11" i="3"/>
  <c r="AC15" i="3" s="1"/>
  <c r="V11" i="3"/>
  <c r="W15" i="3" s="1"/>
  <c r="Z11" i="3"/>
  <c r="AE15" i="3" s="1"/>
  <c r="X11" i="3"/>
  <c r="AA15" i="3" s="1"/>
  <c r="V16" i="3"/>
  <c r="S47" i="3" s="1"/>
  <c r="AA12" i="3"/>
  <c r="U16" i="3"/>
  <c r="AA13" i="3"/>
  <c r="U17" i="3"/>
  <c r="AF16" i="3"/>
  <c r="S62" i="3" s="1"/>
  <c r="AE16" i="3"/>
  <c r="AB16" i="3"/>
  <c r="S72" i="3" s="1"/>
  <c r="AA16" i="3"/>
  <c r="W16" i="3"/>
  <c r="X16" i="3"/>
  <c r="S52" i="3" s="1"/>
  <c r="Z16" i="3"/>
  <c r="S57" i="3" s="1"/>
  <c r="Y16" i="3"/>
  <c r="C128" i="7" l="1"/>
  <c r="F76" i="7"/>
  <c r="V14" i="7"/>
  <c r="F75" i="7"/>
  <c r="V13" i="7"/>
  <c r="F77" i="7"/>
  <c r="V15" i="7"/>
  <c r="R51" i="5"/>
  <c r="U54" i="5"/>
  <c r="T51" i="5"/>
  <c r="S51" i="5"/>
  <c r="R54" i="5"/>
  <c r="U52" i="5"/>
  <c r="S54" i="5"/>
  <c r="U53" i="5"/>
  <c r="R53" i="5"/>
  <c r="T54" i="5"/>
  <c r="S53" i="5"/>
  <c r="U51" i="5"/>
  <c r="R52" i="5"/>
  <c r="T53" i="5"/>
  <c r="S52" i="5"/>
  <c r="T52" i="5"/>
  <c r="Y7" i="5"/>
  <c r="Y3" i="5"/>
  <c r="W47" i="5"/>
  <c r="X47" i="5" s="1"/>
  <c r="W45" i="5"/>
  <c r="X45" i="5" s="1"/>
  <c r="X46" i="5"/>
  <c r="AJ52" i="3"/>
  <c r="AJ53" i="3" s="1"/>
  <c r="AK53" i="3" s="1"/>
  <c r="AJ62" i="3"/>
  <c r="AK62" i="3" s="1"/>
  <c r="AJ67" i="3"/>
  <c r="X46" i="3"/>
  <c r="AJ47" i="3"/>
  <c r="AJ72" i="3"/>
  <c r="AJ73" i="3" s="1"/>
  <c r="AK73" i="3" s="1"/>
  <c r="AJ57" i="3"/>
  <c r="X68" i="3"/>
  <c r="X69" i="3"/>
  <c r="X66" i="3"/>
  <c r="AF15" i="3"/>
  <c r="S61" i="3" s="1"/>
  <c r="X63" i="3" s="1"/>
  <c r="X67" i="3"/>
  <c r="Y15" i="3"/>
  <c r="X48" i="3"/>
  <c r="X47" i="3"/>
  <c r="U15" i="3"/>
  <c r="X49" i="3"/>
  <c r="AA11" i="3"/>
  <c r="AB15" i="3"/>
  <c r="S71" i="3" s="1"/>
  <c r="X59" i="3"/>
  <c r="X58" i="3"/>
  <c r="X56" i="3"/>
  <c r="X57" i="3"/>
  <c r="X52" i="3"/>
  <c r="X54" i="3"/>
  <c r="X53" i="3"/>
  <c r="X51" i="3"/>
  <c r="K78" i="7" l="1"/>
  <c r="X14" i="7" s="1"/>
  <c r="X15" i="7"/>
  <c r="W52" i="5"/>
  <c r="R57" i="5" a="1"/>
  <c r="Y46" i="3"/>
  <c r="Y48" i="3"/>
  <c r="Y47" i="3"/>
  <c r="Y49" i="3"/>
  <c r="Y54" i="3"/>
  <c r="Y53" i="3"/>
  <c r="Y51" i="3"/>
  <c r="Y52" i="3"/>
  <c r="Y58" i="3"/>
  <c r="Y56" i="3"/>
  <c r="Y57" i="3"/>
  <c r="Y59" i="3"/>
  <c r="Y66" i="3"/>
  <c r="Y69" i="3"/>
  <c r="Y68" i="3"/>
  <c r="Y67" i="3"/>
  <c r="AK52" i="3"/>
  <c r="AJ63" i="3"/>
  <c r="AK63" i="3" s="1"/>
  <c r="AJ51" i="3"/>
  <c r="AK51" i="3" s="1"/>
  <c r="AJ61" i="3"/>
  <c r="AK61" i="3" s="1"/>
  <c r="AJ71" i="3"/>
  <c r="AK71" i="3" s="1"/>
  <c r="AJ48" i="3"/>
  <c r="AK48" i="3" s="1"/>
  <c r="AK47" i="3"/>
  <c r="AJ46" i="3"/>
  <c r="AK46" i="3" s="1"/>
  <c r="AJ68" i="3"/>
  <c r="AK68" i="3" s="1"/>
  <c r="AK67" i="3"/>
  <c r="AJ66" i="3"/>
  <c r="AK66" i="3" s="1"/>
  <c r="AK72" i="3"/>
  <c r="AJ58" i="3"/>
  <c r="AK58" i="3" s="1"/>
  <c r="AJ56" i="3"/>
  <c r="AK56" i="3" s="1"/>
  <c r="AK57" i="3"/>
  <c r="X64" i="3"/>
  <c r="X62" i="3"/>
  <c r="X61" i="3"/>
  <c r="X73" i="3"/>
  <c r="X72" i="3"/>
  <c r="X74" i="3"/>
  <c r="X71" i="3"/>
  <c r="K77" i="7" l="1"/>
  <c r="I84" i="7"/>
  <c r="R60" i="5"/>
  <c r="S59" i="5"/>
  <c r="S57" i="5"/>
  <c r="S58" i="5"/>
  <c r="S60" i="5"/>
  <c r="T59" i="5"/>
  <c r="T57" i="5"/>
  <c r="T58" i="5"/>
  <c r="T60" i="5"/>
  <c r="U59" i="5"/>
  <c r="U57" i="5"/>
  <c r="U58" i="5"/>
  <c r="U60" i="5"/>
  <c r="R59" i="5"/>
  <c r="R57" i="5"/>
  <c r="R58" i="5"/>
  <c r="Y62" i="3"/>
  <c r="Y63" i="3"/>
  <c r="Y61" i="3"/>
  <c r="Y64" i="3"/>
  <c r="Y74" i="3"/>
  <c r="Y73" i="3"/>
  <c r="Y72" i="3"/>
  <c r="Y71" i="3"/>
  <c r="V58" i="5" l="1"/>
  <c r="C123" i="7"/>
  <c r="O78" i="7"/>
  <c r="P78" i="7" s="1"/>
  <c r="I86" i="7"/>
  <c r="O77" i="7"/>
  <c r="P77" i="7" s="1"/>
  <c r="I85" i="7"/>
  <c r="X13" i="7"/>
  <c r="V59" i="5"/>
  <c r="Z58" i="5"/>
  <c r="W58" i="5"/>
  <c r="V57" i="5"/>
  <c r="V60" i="5"/>
  <c r="V51" i="5"/>
  <c r="V52" i="5"/>
  <c r="B67" i="5" s="1"/>
  <c r="V53" i="5"/>
  <c r="V54" i="5"/>
  <c r="I89" i="7" l="1"/>
  <c r="H137" i="7" s="1"/>
  <c r="H121" i="7"/>
  <c r="I88" i="7"/>
  <c r="I90" i="7"/>
  <c r="H138" i="7" s="1"/>
  <c r="Z59" i="5"/>
  <c r="Z57" i="5"/>
  <c r="W59" i="5"/>
  <c r="X59" i="5" s="1"/>
  <c r="J29" i="5" s="1"/>
  <c r="X58" i="5"/>
  <c r="J28" i="5" s="1"/>
  <c r="W57" i="5"/>
  <c r="X57" i="5" s="1"/>
  <c r="J27" i="5" s="1"/>
  <c r="B68" i="5"/>
  <c r="E70" i="5" s="1"/>
  <c r="B66" i="5"/>
  <c r="B152" i="5" s="1"/>
  <c r="W53" i="5"/>
  <c r="X53" i="5" s="1"/>
  <c r="X52" i="5"/>
  <c r="W51" i="5"/>
  <c r="X51" i="5" s="1"/>
  <c r="B153" i="5"/>
  <c r="Z4" i="5"/>
  <c r="Z8" i="5"/>
  <c r="Z7" i="5"/>
  <c r="Z3" i="5"/>
  <c r="Y14" i="7" l="1"/>
  <c r="C124" i="7"/>
  <c r="H136" i="7"/>
  <c r="Y15" i="7"/>
  <c r="L89" i="7"/>
  <c r="M89" i="7" s="1"/>
  <c r="L88" i="7"/>
  <c r="M88" i="7" s="1"/>
  <c r="Y13" i="7"/>
  <c r="L90" i="7"/>
  <c r="M90" i="7" s="1"/>
  <c r="B154" i="5"/>
  <c r="C151" i="5" s="1"/>
  <c r="F70" i="5"/>
  <c r="G68" i="5"/>
  <c r="C126" i="7" l="1"/>
  <c r="H118" i="7" s="1"/>
  <c r="B131" i="7" s="1"/>
  <c r="L151" i="5"/>
  <c r="L152" i="5"/>
  <c r="J67" i="5"/>
  <c r="J66" i="5" s="1"/>
  <c r="H120" i="7" l="1"/>
  <c r="B132" i="7" s="1"/>
  <c r="G132" i="7" s="1"/>
  <c r="J132" i="7" s="1"/>
  <c r="C131" i="7"/>
  <c r="G131" i="7"/>
  <c r="J131" i="7" s="1"/>
  <c r="L175" i="5"/>
  <c r="S176" i="5"/>
  <c r="M152" i="5"/>
  <c r="M151" i="5"/>
  <c r="J68" i="5"/>
  <c r="J69" i="5" s="1"/>
  <c r="K131" i="7" l="1"/>
  <c r="F138" i="7"/>
  <c r="E146" i="7" s="1"/>
  <c r="F137" i="7"/>
  <c r="F136" i="7"/>
  <c r="C132" i="7"/>
  <c r="L67" i="5"/>
  <c r="L68" i="5"/>
  <c r="L66" i="5"/>
  <c r="F146" i="7" l="1"/>
  <c r="I146" i="7"/>
  <c r="J146" i="7" s="1"/>
  <c r="E136" i="7"/>
  <c r="W13" i="7" s="1"/>
  <c r="E137" i="7"/>
  <c r="W14" i="7" s="1"/>
  <c r="K132" i="7"/>
  <c r="E138" i="7"/>
  <c r="E145" i="7" s="1"/>
  <c r="F76" i="5"/>
  <c r="V14" i="5"/>
  <c r="C128" i="5"/>
  <c r="F75" i="5"/>
  <c r="V13" i="5"/>
  <c r="F77" i="5"/>
  <c r="V15" i="5"/>
  <c r="X15" i="5" s="1"/>
  <c r="D153" i="7" l="1"/>
  <c r="W15" i="7"/>
  <c r="D155" i="7"/>
  <c r="D154" i="7"/>
  <c r="I145" i="7"/>
  <c r="F145" i="7"/>
  <c r="K78" i="5"/>
  <c r="X14" i="5" s="1"/>
  <c r="K77" i="5" l="1"/>
  <c r="X13" i="5" s="1"/>
  <c r="P177" i="7"/>
  <c r="H176" i="7"/>
  <c r="V178" i="7"/>
  <c r="I182" i="7"/>
  <c r="I176" i="7"/>
  <c r="J145" i="7"/>
  <c r="F28" i="7" s="1"/>
  <c r="C169" i="7"/>
  <c r="G169" i="7" s="1"/>
  <c r="G161" i="7"/>
  <c r="C170" i="7"/>
  <c r="H170" i="7" s="1"/>
  <c r="C172" i="7"/>
  <c r="G172" i="7" s="1"/>
  <c r="C171" i="7"/>
  <c r="H171" i="7" s="1"/>
  <c r="O77" i="5"/>
  <c r="P77" i="5" s="1"/>
  <c r="I84" i="5"/>
  <c r="I172" i="7" l="1"/>
  <c r="J172" i="7" s="1"/>
  <c r="K172" i="7"/>
  <c r="G170" i="7"/>
  <c r="K169" i="7"/>
  <c r="I169" i="7"/>
  <c r="J169" i="7" s="1"/>
  <c r="G171" i="7"/>
  <c r="N177" i="7"/>
  <c r="E172" i="7"/>
  <c r="F172" i="7" s="1"/>
  <c r="D172" i="7"/>
  <c r="Q177" i="7"/>
  <c r="G28" i="7"/>
  <c r="H28" i="7"/>
  <c r="H175" i="7"/>
  <c r="E170" i="7"/>
  <c r="F170" i="7" s="1"/>
  <c r="D170" i="7"/>
  <c r="H172" i="7"/>
  <c r="E171" i="7"/>
  <c r="F171" i="7" s="1"/>
  <c r="D171" i="7"/>
  <c r="H182" i="7"/>
  <c r="E169" i="7"/>
  <c r="F169" i="7" s="1"/>
  <c r="D169" i="7"/>
  <c r="H169" i="7"/>
  <c r="C123" i="5"/>
  <c r="O78" i="5"/>
  <c r="P78" i="5" s="1"/>
  <c r="I86" i="5"/>
  <c r="I85" i="5"/>
  <c r="I171" i="7" l="1"/>
  <c r="J171" i="7" s="1"/>
  <c r="K171" i="7"/>
  <c r="I170" i="7"/>
  <c r="J170" i="7" s="1"/>
  <c r="K170" i="7"/>
  <c r="I89" i="5"/>
  <c r="I88" i="5"/>
  <c r="Y13" i="5" s="1"/>
  <c r="I90" i="5"/>
  <c r="K173" i="7" l="1"/>
  <c r="F30" i="7" s="1"/>
  <c r="G30" i="7" s="1"/>
  <c r="J173" i="7"/>
  <c r="F29" i="7" s="1"/>
  <c r="H29" i="7" s="1"/>
  <c r="Y14" i="5"/>
  <c r="G136" i="5"/>
  <c r="Y15" i="5"/>
  <c r="G137" i="5"/>
  <c r="C124" i="5"/>
  <c r="L88" i="5"/>
  <c r="M88" i="5" s="1"/>
  <c r="L90" i="5"/>
  <c r="M90" i="5" s="1"/>
  <c r="L89" i="5"/>
  <c r="M89" i="5" s="1"/>
  <c r="H30" i="7" l="1"/>
  <c r="G29" i="7"/>
  <c r="C126" i="5"/>
  <c r="B131" i="5" s="1"/>
  <c r="G132" i="5" l="1"/>
  <c r="G135" i="5"/>
  <c r="C132" i="5"/>
  <c r="C131" i="5" l="1"/>
  <c r="B133" i="5"/>
  <c r="C133" i="5" s="1"/>
  <c r="G131" i="5"/>
  <c r="G133" i="5" l="1"/>
  <c r="J132" i="5" s="1"/>
  <c r="E136" i="5" l="1"/>
  <c r="W14" i="5" s="1"/>
  <c r="K132" i="5"/>
  <c r="E137" i="5"/>
  <c r="E135" i="5"/>
  <c r="W13" i="5" s="1"/>
  <c r="E145" i="5" l="1"/>
  <c r="F145" i="5" s="1"/>
  <c r="E143" i="5"/>
  <c r="F143" i="5" s="1"/>
  <c r="E144" i="5"/>
  <c r="F144" i="5" s="1"/>
  <c r="D153" i="5"/>
  <c r="D152" i="5"/>
  <c r="W15" i="5"/>
  <c r="D154" i="5"/>
  <c r="I144" i="5" l="1"/>
  <c r="I181" i="5" l="1"/>
  <c r="I175" i="5"/>
  <c r="P176" i="5"/>
  <c r="V177" i="5"/>
  <c r="H175" i="5"/>
  <c r="G160" i="5"/>
  <c r="C171" i="5"/>
  <c r="H174" i="5" s="1"/>
  <c r="C170" i="5"/>
  <c r="E170" i="5" s="1"/>
  <c r="C169" i="5"/>
  <c r="G169" i="5" s="1"/>
  <c r="K169" i="5" s="1"/>
  <c r="C168" i="5"/>
  <c r="H168" i="5" s="1"/>
  <c r="J144" i="5"/>
  <c r="F28" i="5" s="1"/>
  <c r="H28" i="5" s="1"/>
  <c r="H181" i="5" l="1"/>
  <c r="H170" i="5"/>
  <c r="Q176" i="5"/>
  <c r="N176" i="5"/>
  <c r="H171" i="5"/>
  <c r="H169" i="5"/>
  <c r="I169" i="5"/>
  <c r="G171" i="5"/>
  <c r="K171" i="5" s="1"/>
  <c r="G170" i="5"/>
  <c r="I170" i="5" s="1"/>
  <c r="D171" i="5"/>
  <c r="E171" i="5"/>
  <c r="F171" i="5" s="1"/>
  <c r="G168" i="5"/>
  <c r="E168" i="5"/>
  <c r="F168" i="5" s="1"/>
  <c r="E169" i="5"/>
  <c r="G28" i="5"/>
  <c r="D169" i="5"/>
  <c r="D168" i="5"/>
  <c r="D170" i="5"/>
  <c r="J170" i="5" l="1"/>
  <c r="K170" i="5"/>
  <c r="I168" i="5"/>
  <c r="J168" i="5" s="1"/>
  <c r="K168" i="5"/>
  <c r="I171" i="5"/>
  <c r="J171" i="5" s="1"/>
  <c r="F170" i="5"/>
  <c r="K172" i="5" l="1"/>
  <c r="F30" i="5" s="1"/>
  <c r="F169" i="5"/>
  <c r="J169" i="5" l="1"/>
  <c r="J172" i="5" s="1"/>
  <c r="F29" i="5" s="1"/>
  <c r="G29" i="5" l="1"/>
  <c r="H29" i="5"/>
  <c r="H30" i="5" l="1"/>
  <c r="G30" i="5"/>
</calcChain>
</file>

<file path=xl/sharedStrings.xml><?xml version="1.0" encoding="utf-8"?>
<sst xmlns="http://schemas.openxmlformats.org/spreadsheetml/2006/main" count="287" uniqueCount="152">
  <si>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</si>
  <si>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</si>
  <si>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</si>
  <si>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</si>
  <si>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</si>
  <si>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</si>
  <si>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</si>
  <si>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</si>
  <si>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t>a[°]</t>
  </si>
  <si>
    <t>q[°]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</si>
  <si>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</si>
  <si>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</si>
  <si>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</si>
  <si>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</si>
  <si>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</si>
  <si>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</si>
  <si>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</si>
  <si>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</si>
  <si>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</si>
  <si>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t>Euler ° (zyx Konvention)</t>
  </si>
  <si>
    <t>http://www-home.htwg-konstanz.de/~bittel/ain_robo/Vorlesung/02_PositionUndOrientierung.pdf</t>
  </si>
  <si>
    <t>a</t>
  </si>
  <si>
    <t>Gier</t>
  </si>
  <si>
    <t>b</t>
  </si>
  <si>
    <t>Nick</t>
  </si>
  <si>
    <t>Roll</t>
  </si>
  <si>
    <t>g</t>
  </si>
  <si>
    <t>Forward kinematics</t>
  </si>
  <si>
    <t>Top view</t>
  </si>
  <si>
    <t>x</t>
  </si>
  <si>
    <t>y</t>
  </si>
  <si>
    <t>Front view</t>
  </si>
  <si>
    <t>z</t>
  </si>
  <si>
    <t>Inverse Kinematics</t>
  </si>
  <si>
    <t>Höhe im Dreieck</t>
  </si>
  <si>
    <t>http://www.mathematische-basteleien.de/hoehen.htm</t>
  </si>
  <si>
    <t>a =</t>
  </si>
  <si>
    <t>b =</t>
  </si>
  <si>
    <t>c =</t>
  </si>
  <si>
    <r>
      <t>h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=</t>
    </r>
  </si>
  <si>
    <r>
      <t>h</t>
    </r>
    <r>
      <rPr>
        <vertAlign val="subscript"/>
        <sz val="11"/>
        <color theme="1"/>
        <rFont val="Calibri"/>
        <family val="2"/>
        <scheme val="minor"/>
      </rPr>
      <t>c1</t>
    </r>
    <r>
      <rPr>
        <sz val="11"/>
        <color theme="1"/>
        <rFont val="Calibri"/>
        <family val="2"/>
        <scheme val="minor"/>
      </rPr>
      <t xml:space="preserve"> =</t>
    </r>
  </si>
  <si>
    <t>η =</t>
  </si>
  <si>
    <r>
      <t>s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=</t>
    </r>
  </si>
  <si>
    <t>Intersection of the circle with the femur</t>
  </si>
  <si>
    <t>Coordinates of end of femur</t>
  </si>
  <si>
    <r>
      <t>Computation of circle around height h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via middel point and two orthogonal vectors with angle  𝛼</t>
    </r>
  </si>
  <si>
    <t>https://de.wikipedia.org/wiki/Formelsammlung_Trigonometrie</t>
  </si>
  <si>
    <t>Trigonometrie</t>
  </si>
  <si>
    <t>https://de.wikipedia.org/wiki/Formelsammlung_Trigonometrie#Sinusoid_und_Linearkombination_mit_gleicher_Phase</t>
  </si>
  <si>
    <t>linear combination with equal phase</t>
  </si>
  <si>
    <r>
      <t>solve x and y coordinates for  d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2</t>
    </r>
  </si>
  <si>
    <t>C</t>
  </si>
  <si>
    <t>H</t>
  </si>
  <si>
    <r>
      <t>Femur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</si>
  <si>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Knee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</si>
  <si>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Coxa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</si>
  <si>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r>
      <t>q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sz val="11"/>
        <color theme="1"/>
        <rFont val="Calibri"/>
        <family val="2"/>
        <scheme val="minor"/>
      </rPr>
      <t xml:space="preserve"> =</t>
    </r>
  </si>
  <si>
    <r>
      <t>q</t>
    </r>
    <r>
      <rPr>
        <b/>
        <i/>
        <vertAlign val="subscript"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 xml:space="preserve"> =</t>
    </r>
  </si>
  <si>
    <t>Dont use this, happens when C is lower than foot</t>
  </si>
  <si>
    <t>Configuration Switch (1,-1)</t>
  </si>
  <si>
    <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</si>
  <si>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Equating</t>
  </si>
  <si>
    <t>Solve for 𝛼</t>
  </si>
  <si>
    <t>distinction of 2 cases of arcsin (inclusive b==0)</t>
  </si>
  <si>
    <r>
      <rPr>
        <b/>
        <i/>
        <sz val="14"/>
        <color theme="1"/>
        <rFont val="Calibri"/>
        <family val="2"/>
        <scheme val="minor"/>
      </rPr>
      <t>Computation of</t>
    </r>
    <r>
      <rPr>
        <b/>
        <i/>
        <sz val="14"/>
        <color theme="1"/>
        <rFont val="Symbol"/>
        <family val="1"/>
        <charset val="2"/>
      </rPr>
      <t xml:space="preserve"> q</t>
    </r>
    <r>
      <rPr>
        <b/>
        <i/>
        <vertAlign val="subscript"/>
        <sz val="14"/>
        <color theme="1"/>
        <rFont val="Calibri"/>
        <family val="2"/>
        <scheme val="minor"/>
      </rPr>
      <t>1</t>
    </r>
  </si>
  <si>
    <r>
      <rPr>
        <b/>
        <i/>
        <sz val="14"/>
        <color theme="1"/>
        <rFont val="Calibri"/>
        <family val="2"/>
        <scheme val="minor"/>
      </rPr>
      <t>Computation of</t>
    </r>
    <r>
      <rPr>
        <b/>
        <i/>
        <sz val="14"/>
        <color theme="1"/>
        <rFont val="Symbol"/>
        <family val="1"/>
        <charset val="2"/>
      </rPr>
      <t xml:space="preserve"> q</t>
    </r>
    <r>
      <rPr>
        <b/>
        <i/>
        <vertAlign val="subscript"/>
        <sz val="14"/>
        <color theme="1"/>
        <rFont val="Calibri"/>
        <family val="2"/>
        <scheme val="minor"/>
      </rPr>
      <t>0</t>
    </r>
  </si>
  <si>
    <r>
      <t>q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 xml:space="preserve"> =</t>
    </r>
  </si>
  <si>
    <t>Euler Angles</t>
  </si>
  <si>
    <t>Video comparison of gaits</t>
  </si>
  <si>
    <t>https://www.youtube.com/watch?v=W7nA1_surk4&amp;feature=youtu.be&amp;t=66</t>
  </si>
  <si>
    <t>Body</t>
  </si>
  <si>
    <t>Leg L1</t>
  </si>
  <si>
    <t>Leg L2</t>
  </si>
  <si>
    <t>Leg L3</t>
  </si>
  <si>
    <t>Foot</t>
  </si>
  <si>
    <t>Leg R1</t>
  </si>
  <si>
    <t>Leg R2</t>
  </si>
  <si>
    <t>Leg R3</t>
  </si>
  <si>
    <t>height</t>
  </si>
  <si>
    <t>r</t>
  </si>
  <si>
    <t>Foot L3</t>
  </si>
  <si>
    <t>Foot L2</t>
  </si>
  <si>
    <t>Foot L1</t>
  </si>
  <si>
    <t>Body Leg L1</t>
  </si>
  <si>
    <t>Body Leg L2</t>
  </si>
  <si>
    <t>Body Leg L3</t>
  </si>
  <si>
    <t>Body Leg R3</t>
  </si>
  <si>
    <t>Foot R3</t>
  </si>
  <si>
    <t>Body Leg R2</t>
  </si>
  <si>
    <t>Foot R2</t>
  </si>
  <si>
    <t>Body Leg R1</t>
  </si>
  <si>
    <t>Foot R1</t>
  </si>
  <si>
    <t>um y</t>
  </si>
  <si>
    <t>um x (alpha)</t>
  </si>
  <si>
    <r>
      <t xml:space="preserve">um z </t>
    </r>
    <r>
      <rPr>
        <sz val="11"/>
        <color theme="1"/>
        <rFont val="Symbol"/>
        <family val="1"/>
        <charset val="2"/>
      </rPr>
      <t>(q0</t>
    </r>
    <r>
      <rPr>
        <sz val="11"/>
        <color theme="1"/>
        <rFont val="Calibri"/>
        <family val="2"/>
        <scheme val="minor"/>
      </rPr>
      <t>)</t>
    </r>
  </si>
  <si>
    <t>Transformation from Origin to body pose (height, yaw/pich/roll)</t>
  </si>
  <si>
    <t>Hip Position</t>
  </si>
  <si>
    <t>Foot Touch Point
 (World Coord)</t>
  </si>
  <si>
    <t>Foot Touch Point 
(Hip's Coord)</t>
  </si>
  <si>
    <t>BodyPose
Transformation*
DH Transformations
Matrix</t>
  </si>
  <si>
    <t>Denavit 
Hardenberg 
Transformations
matrix</t>
  </si>
  <si>
    <t>(BodyPose
Transformation*
DH Transformations
Matrix)^(-1)</t>
  </si>
  <si>
    <t>rot(x)</t>
  </si>
  <si>
    <t>rot(y)</t>
  </si>
  <si>
    <t>rot(z)</t>
  </si>
  <si>
    <t>rot(x) (Leg IK)</t>
  </si>
  <si>
    <t>rot(y) (Leg IK)</t>
  </si>
  <si>
    <t>rot(z) (Leg IK)</t>
  </si>
  <si>
    <t>Rotation Matrix Foot (Hip's Coord)</t>
  </si>
  <si>
    <t>Foot Orientation 
(Hip's Coord) RAD</t>
  </si>
  <si>
    <t>Foot Orientation 
(Hip's Coord) °</t>
  </si>
  <si>
    <t>Foot Rotation Matrix 
(World Coord)</t>
  </si>
  <si>
    <t>Foot Angles
(World Coord)</t>
  </si>
  <si>
    <t>Consider Triangle ABC, or lines cbf, solution by cosine law</t>
  </si>
  <si>
    <t>c= |AB|</t>
  </si>
  <si>
    <t xml:space="preserve">b = </t>
  </si>
  <si>
    <t>a=</t>
  </si>
  <si>
    <r>
      <rPr>
        <b/>
        <i/>
        <sz val="14"/>
        <color theme="1"/>
        <rFont val="Calibri"/>
        <family val="2"/>
        <scheme val="minor"/>
      </rPr>
      <t>Computation of</t>
    </r>
    <r>
      <rPr>
        <b/>
        <i/>
        <sz val="14"/>
        <color theme="1"/>
        <rFont val="Symbol"/>
        <family val="1"/>
        <charset val="2"/>
      </rPr>
      <t xml:space="preserve"> q</t>
    </r>
    <r>
      <rPr>
        <b/>
        <i/>
        <vertAlign val="subscript"/>
        <sz val="14"/>
        <color theme="1"/>
        <rFont val="Symbol"/>
        <family val="1"/>
        <charset val="2"/>
      </rPr>
      <t>3</t>
    </r>
  </si>
  <si>
    <r>
      <t>Tibia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</si>
  <si>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r>
      <rPr>
        <b/>
        <i/>
        <sz val="14"/>
        <color theme="1"/>
        <rFont val="Calibri"/>
        <family val="2"/>
        <scheme val="minor"/>
      </rPr>
      <t>Computation of</t>
    </r>
    <r>
      <rPr>
        <b/>
        <i/>
        <sz val="14"/>
        <color theme="1"/>
        <rFont val="Symbol"/>
        <family val="1"/>
        <charset val="2"/>
      </rPr>
      <t xml:space="preserve"> q</t>
    </r>
    <r>
      <rPr>
        <b/>
        <i/>
        <vertAlign val="subscript"/>
        <sz val="14"/>
        <color theme="1"/>
        <rFont val="Calibri"/>
        <family val="2"/>
        <scheme val="minor"/>
      </rPr>
      <t>2</t>
    </r>
  </si>
  <si>
    <r>
      <t>Solve for</t>
    </r>
    <r>
      <rPr>
        <b/>
        <i/>
        <sz val="11"/>
        <color theme="1"/>
        <rFont val="Symbol"/>
        <family val="1"/>
        <charset val="2"/>
      </rPr>
      <t xml:space="preserve"> q</t>
    </r>
    <r>
      <rPr>
        <b/>
        <i/>
        <vertAlign val="subscript"/>
        <sz val="11"/>
        <color theme="1"/>
        <rFont val="Calibri"/>
        <family val="2"/>
        <scheme val="minor"/>
      </rPr>
      <t>2</t>
    </r>
  </si>
  <si>
    <r>
      <rPr>
        <sz val="11"/>
        <color theme="1"/>
        <rFont val="Symbol"/>
        <family val="1"/>
        <charset val="2"/>
      </rPr>
      <t xml:space="preserve"> q</t>
    </r>
    <r>
      <rPr>
        <vertAlign val="subscript"/>
        <sz val="11"/>
        <color theme="1"/>
        <rFont val="Calibri"/>
        <family val="2"/>
        <scheme val="minor"/>
      </rPr>
      <t>2 1</t>
    </r>
    <r>
      <rPr>
        <sz val="11"/>
        <color theme="1"/>
        <rFont val="Calibri"/>
        <family val="2"/>
        <scheme val="minor"/>
      </rPr>
      <t xml:space="preserve"> =</t>
    </r>
  </si>
  <si>
    <t>+90-x</t>
  </si>
  <si>
    <t>By</t>
  </si>
  <si>
    <r>
      <rPr>
        <sz val="11"/>
        <color theme="1"/>
        <rFont val="Symbol"/>
        <family val="1"/>
        <charset val="2"/>
      </rPr>
      <t xml:space="preserve"> q</t>
    </r>
    <r>
      <rPr>
        <vertAlign val="subscript"/>
        <sz val="11"/>
        <color theme="1"/>
        <rFont val="Calibri"/>
        <family val="2"/>
        <scheme val="minor"/>
      </rPr>
      <t>2 2</t>
    </r>
    <r>
      <rPr>
        <sz val="11"/>
        <color theme="1"/>
        <rFont val="Calibri"/>
        <family val="2"/>
        <scheme val="minor"/>
      </rPr>
      <t xml:space="preserve"> =</t>
    </r>
  </si>
  <si>
    <r>
      <t xml:space="preserve"> </t>
    </r>
    <r>
      <rPr>
        <sz val="11"/>
        <color theme="1"/>
        <rFont val="Symbol"/>
        <family val="1"/>
        <charset val="2"/>
      </rPr>
      <t>q</t>
    </r>
    <r>
      <rPr>
        <vertAlign val="subscript"/>
        <sz val="11"/>
        <color theme="1"/>
        <rFont val="Calibri"/>
        <family val="2"/>
        <scheme val="minor"/>
      </rPr>
      <t>2 3</t>
    </r>
    <r>
      <rPr>
        <sz val="11"/>
        <color theme="1"/>
        <rFont val="Calibri"/>
        <family val="2"/>
        <scheme val="minor"/>
      </rPr>
      <t>=</t>
    </r>
  </si>
  <si>
    <r>
      <t xml:space="preserve"> </t>
    </r>
    <r>
      <rPr>
        <sz val="11"/>
        <color theme="1"/>
        <rFont val="Symbol"/>
        <family val="1"/>
        <charset val="2"/>
      </rPr>
      <t>q</t>
    </r>
    <r>
      <rPr>
        <vertAlign val="subscript"/>
        <sz val="11"/>
        <color theme="1"/>
        <rFont val="Calibri"/>
        <family val="2"/>
        <scheme val="minor"/>
      </rPr>
      <t>2 4</t>
    </r>
    <r>
      <rPr>
        <sz val="11"/>
        <color theme="1"/>
        <rFont val="Calibri"/>
        <family val="2"/>
        <scheme val="minor"/>
      </rPr>
      <t>=</t>
    </r>
  </si>
  <si>
    <r>
      <rPr>
        <sz val="11"/>
        <color theme="1"/>
        <rFont val="Symbol"/>
        <family val="1"/>
        <charset val="2"/>
      </rPr>
      <t xml:space="preserve"> q</t>
    </r>
    <r>
      <rPr>
        <vertAlign val="sub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=</t>
    </r>
  </si>
  <si>
    <t>Bx</t>
  </si>
  <si>
    <t>max Torque position</t>
  </si>
  <si>
    <t>#Servos</t>
  </si>
  <si>
    <t>#Legs at Earth</t>
  </si>
  <si>
    <r>
      <t>m</t>
    </r>
    <r>
      <rPr>
        <vertAlign val="subscript"/>
        <sz val="11"/>
        <color theme="1"/>
        <rFont val="Calibri"/>
        <family val="2"/>
        <scheme val="minor"/>
      </rPr>
      <t>Coxa</t>
    </r>
  </si>
  <si>
    <t>gr</t>
  </si>
  <si>
    <r>
      <t>mS</t>
    </r>
    <r>
      <rPr>
        <vertAlign val="subscript"/>
        <sz val="11"/>
        <color theme="1"/>
        <rFont val="Calibri"/>
        <family val="2"/>
        <scheme val="minor"/>
      </rPr>
      <t>ervoCoxa</t>
    </r>
  </si>
  <si>
    <r>
      <t>m</t>
    </r>
    <r>
      <rPr>
        <vertAlign val="subscript"/>
        <sz val="11"/>
        <color theme="1"/>
        <rFont val="Calibri"/>
        <family val="2"/>
        <scheme val="minor"/>
      </rPr>
      <t>ServoFemur</t>
    </r>
  </si>
  <si>
    <r>
      <t>m</t>
    </r>
    <r>
      <rPr>
        <vertAlign val="subscript"/>
        <sz val="11"/>
        <color theme="1"/>
        <rFont val="Calibri"/>
        <family val="2"/>
        <scheme val="minor"/>
      </rPr>
      <t>ServoTibia</t>
    </r>
  </si>
  <si>
    <r>
      <t>m</t>
    </r>
    <r>
      <rPr>
        <vertAlign val="subscript"/>
        <sz val="11"/>
        <color theme="1"/>
        <rFont val="Calibri"/>
        <family val="2"/>
        <scheme val="minor"/>
      </rPr>
      <t>Femur</t>
    </r>
  </si>
  <si>
    <r>
      <t>m</t>
    </r>
    <r>
      <rPr>
        <vertAlign val="subscript"/>
        <sz val="11"/>
        <color theme="1"/>
        <rFont val="Calibri"/>
        <family val="2"/>
        <scheme val="minor"/>
      </rPr>
      <t>Tibia</t>
    </r>
  </si>
  <si>
    <r>
      <t>m</t>
    </r>
    <r>
      <rPr>
        <vertAlign val="subscript"/>
        <sz val="11"/>
        <color theme="1"/>
        <rFont val="Calibri"/>
        <family val="2"/>
        <scheme val="minor"/>
      </rPr>
      <t>Foot</t>
    </r>
  </si>
  <si>
    <r>
      <t>length</t>
    </r>
    <r>
      <rPr>
        <vertAlign val="subscript"/>
        <sz val="11"/>
        <color theme="1"/>
        <rFont val="Calibri"/>
        <family val="2"/>
        <scheme val="minor"/>
      </rPr>
      <t>Coxa</t>
    </r>
  </si>
  <si>
    <t>mm</t>
  </si>
  <si>
    <r>
      <t>length</t>
    </r>
    <r>
      <rPr>
        <vertAlign val="subscript"/>
        <sz val="11"/>
        <color theme="1"/>
        <rFont val="Calibri"/>
        <family val="2"/>
        <scheme val="minor"/>
      </rPr>
      <t>Femur</t>
    </r>
  </si>
  <si>
    <r>
      <t>length</t>
    </r>
    <r>
      <rPr>
        <vertAlign val="subscript"/>
        <sz val="11"/>
        <color theme="1"/>
        <rFont val="Calibri"/>
        <family val="2"/>
        <scheme val="minor"/>
      </rPr>
      <t>Tibia</t>
    </r>
  </si>
  <si>
    <r>
      <t>Torque</t>
    </r>
    <r>
      <rPr>
        <vertAlign val="subscript"/>
        <sz val="11"/>
        <color theme="1"/>
        <rFont val="Calibri"/>
        <family val="2"/>
        <scheme val="minor"/>
      </rPr>
      <t>Tibia</t>
    </r>
  </si>
  <si>
    <t>gr*mm</t>
  </si>
  <si>
    <t>kg*cm</t>
  </si>
  <si>
    <r>
      <t>Torque</t>
    </r>
    <r>
      <rPr>
        <vertAlign val="subscript"/>
        <sz val="11"/>
        <color theme="1"/>
        <rFont val="Calibri"/>
        <family val="2"/>
        <scheme val="minor"/>
      </rPr>
      <t>Femur</t>
    </r>
  </si>
  <si>
    <t xml:space="preserve">Weight </t>
  </si>
  <si>
    <t>S</t>
  </si>
  <si>
    <t>T</t>
  </si>
  <si>
    <t>137,149+5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</si>
</sst>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4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.0\ _€_-;\-* #,##0.0\ _€_-;_-* &quot;-&quot;?\ _€_-;_-@_-"/>
    <numFmt numFmtId="168" formatCode="0.0\ &quot;°&quot;"/>
    <numFmt numFmtId="169" formatCode="0.00\ &quot;RAD&quot;"/>
    <numFmt numFmtId="170" formatCode="0.000000"/>
    <numFmt numFmtId="171" formatCode="0.00000"/>
    <numFmt numFmtId="172" formatCode="0.0000"/>
    <numFmt numFmtId="173" formatCode="_-* #,##0.0000\ _€_-;\-* #,##0.0000\ _€_-;_-* &quot;-&quot;??\ _€_-;_-@_-"/>
    <numFmt numFmtId="174" formatCode="0.000\ &quot;RAD&quot;"/>
    <numFmt numFmtId="175" formatCode="_-* #,##0.00000\ _€_-;\-* #,##0.00000\ _€_-;_-* &quot;-&quot;??\ _€_-;_-@_-"/>
    <numFmt numFmtId="176" formatCode="_-* #,##0.000000\ _€_-;\-* #,##0.000000\ _€_-;_-* &quot;-&quot;??\ _€_-;_-@_-"/>
    <numFmt numFmtId="177" formatCode="0.00000\ &quot;RAD&quot;"/>
    <numFmt numFmtId="178" formatCode="0.000000000"/>
    <numFmt numFmtId="179" formatCode="0.0%"/>
    <numFmt numFmtId="180" formatCode="0.0000000"/>
    <numFmt numFmtId="181" formatCode="_-* #,##0.000\ _€_-;\-* #,##0.000\ _€_-;_-* &quot;-&quot;??\ _€_-;_-@_-"/>
    <numFmt numFmtId="182" formatCode="0.00000000"/>
    <numFmt numFmtId="183" formatCode="0.0000\ &quot;RAD&quot;"/>
    <numFmt numFmtId="184" formatCode="0.0\ &quot;mm&quot;"/>
    <numFmt numFmtId="185" formatCode="0.000000\ &quot;RAD&quot;"/>
    <numFmt numFmtId="186" formatCode="_-* #,##0.00000\ _€_-;\-* #,##0.00000\ _€_-;_-* &quot;-&quot;?????\ _€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b/>
      <i/>
      <sz val="11"/>
      <color theme="1"/>
      <name val="Symbol"/>
      <family val="1"/>
      <charset val="2"/>
    </font>
    <font>
      <b/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i/>
      <sz val="14"/>
      <color theme="1"/>
      <name val="Symbol"/>
      <family val="1"/>
      <charset val="2"/>
    </font>
    <font>
      <b/>
      <i/>
      <sz val="14"/>
      <color theme="1"/>
      <name val="Calibri"/>
      <family val="2"/>
      <scheme val="minor"/>
    </font>
    <font>
      <b/>
      <i/>
      <vertAlign val="subscript"/>
      <sz val="14"/>
      <color theme="1"/>
      <name val="Calibri"/>
      <family val="2"/>
      <scheme val="minor"/>
    </font>
    <font>
      <b/>
      <i/>
      <vertAlign val="subscript"/>
      <sz val="14"/>
      <color theme="1"/>
      <name val="Symbol"/>
      <family val="1"/>
      <charset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1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2" fontId="0" fillId="0" borderId="0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68" fontId="0" fillId="0" borderId="0" xfId="0" applyNumberFormat="1" applyFont="1"/>
    <xf numFmtId="168" fontId="2" fillId="0" borderId="0" xfId="0" applyNumberFormat="1" applyFont="1"/>
    <xf numFmtId="166" fontId="0" fillId="0" borderId="0" xfId="0" applyNumberFormat="1"/>
    <xf numFmtId="0" fontId="8" fillId="0" borderId="0" xfId="0" applyFont="1"/>
    <xf numFmtId="0" fontId="4" fillId="0" borderId="3" xfId="0" applyFont="1" applyBorder="1"/>
    <xf numFmtId="168" fontId="0" fillId="0" borderId="4" xfId="0" applyNumberFormat="1" applyBorder="1"/>
    <xf numFmtId="0" fontId="4" fillId="0" borderId="5" xfId="0" applyFont="1" applyBorder="1"/>
    <xf numFmtId="168" fontId="0" fillId="0" borderId="6" xfId="0" applyNumberFormat="1" applyBorder="1"/>
    <xf numFmtId="0" fontId="4" fillId="0" borderId="7" xfId="0" applyFont="1" applyBorder="1"/>
    <xf numFmtId="168" fontId="0" fillId="0" borderId="8" xfId="0" applyNumberFormat="1" applyBorder="1"/>
    <xf numFmtId="168" fontId="0" fillId="0" borderId="0" xfId="0" applyNumberFormat="1" applyBorder="1"/>
    <xf numFmtId="170" fontId="0" fillId="0" borderId="0" xfId="0" applyNumberFormat="1"/>
    <xf numFmtId="172" fontId="0" fillId="0" borderId="0" xfId="0" applyNumberFormat="1"/>
    <xf numFmtId="172" fontId="0" fillId="0" borderId="0" xfId="0" applyNumberFormat="1" applyBorder="1"/>
    <xf numFmtId="171" fontId="0" fillId="0" borderId="0" xfId="0" applyNumberFormat="1" applyBorder="1"/>
    <xf numFmtId="171" fontId="0" fillId="0" borderId="0" xfId="0" applyNumberFormat="1"/>
    <xf numFmtId="168" fontId="0" fillId="0" borderId="0" xfId="0" applyNumberFormat="1" applyFont="1" applyBorder="1"/>
    <xf numFmtId="172" fontId="0" fillId="0" borderId="0" xfId="0" applyNumberFormat="1" applyFont="1"/>
    <xf numFmtId="172" fontId="0" fillId="0" borderId="2" xfId="0" applyNumberFormat="1" applyBorder="1"/>
    <xf numFmtId="172" fontId="0" fillId="0" borderId="1" xfId="0" applyNumberFormat="1" applyBorder="1"/>
    <xf numFmtId="171" fontId="0" fillId="0" borderId="2" xfId="0" applyNumberFormat="1" applyBorder="1"/>
    <xf numFmtId="171" fontId="0" fillId="0" borderId="1" xfId="0" applyNumberFormat="1" applyBorder="1"/>
    <xf numFmtId="173" fontId="0" fillId="0" borderId="2" xfId="1" applyNumberFormat="1" applyFont="1" applyBorder="1"/>
    <xf numFmtId="173" fontId="0" fillId="0" borderId="0" xfId="1" applyNumberFormat="1" applyFont="1" applyBorder="1"/>
    <xf numFmtId="173" fontId="0" fillId="0" borderId="1" xfId="1" applyNumberFormat="1" applyFont="1" applyBorder="1"/>
    <xf numFmtId="174" fontId="0" fillId="0" borderId="0" xfId="0" applyNumberFormat="1"/>
    <xf numFmtId="169" fontId="9" fillId="0" borderId="0" xfId="0" applyNumberFormat="1" applyFont="1"/>
    <xf numFmtId="173" fontId="0" fillId="0" borderId="0" xfId="1" applyNumberFormat="1" applyFont="1"/>
    <xf numFmtId="175" fontId="0" fillId="0" borderId="2" xfId="1" applyNumberFormat="1" applyFont="1" applyBorder="1"/>
    <xf numFmtId="175" fontId="0" fillId="0" borderId="0" xfId="1" applyNumberFormat="1" applyFont="1" applyBorder="1"/>
    <xf numFmtId="168" fontId="4" fillId="0" borderId="0" xfId="0" applyNumberFormat="1" applyFont="1"/>
    <xf numFmtId="176" fontId="0" fillId="0" borderId="0" xfId="1" applyNumberFormat="1" applyFont="1"/>
    <xf numFmtId="177" fontId="0" fillId="0" borderId="0" xfId="0" applyNumberFormat="1"/>
    <xf numFmtId="2" fontId="0" fillId="0" borderId="0" xfId="0" applyNumberFormat="1" applyFill="1" applyBorder="1"/>
    <xf numFmtId="178" fontId="0" fillId="0" borderId="0" xfId="0" applyNumberFormat="1"/>
    <xf numFmtId="164" fontId="0" fillId="0" borderId="2" xfId="0" applyNumberFormat="1" applyBorder="1"/>
    <xf numFmtId="164" fontId="0" fillId="0" borderId="0" xfId="0" applyNumberFormat="1" applyBorder="1"/>
    <xf numFmtId="164" fontId="0" fillId="0" borderId="1" xfId="0" applyNumberFormat="1" applyBorder="1"/>
    <xf numFmtId="0" fontId="4" fillId="0" borderId="0" xfId="0" applyFont="1" applyBorder="1"/>
    <xf numFmtId="175" fontId="0" fillId="0" borderId="1" xfId="1" applyNumberFormat="1" applyFont="1" applyBorder="1"/>
    <xf numFmtId="2" fontId="0" fillId="0" borderId="0" xfId="0" applyNumberFormat="1"/>
    <xf numFmtId="179" fontId="0" fillId="0" borderId="0" xfId="2" applyNumberFormat="1" applyFont="1"/>
    <xf numFmtId="0" fontId="10" fillId="0" borderId="0" xfId="0" applyFont="1"/>
    <xf numFmtId="0" fontId="11" fillId="0" borderId="0" xfId="0" applyFont="1" applyBorder="1"/>
    <xf numFmtId="0" fontId="12" fillId="0" borderId="0" xfId="0" applyFont="1" applyBorder="1"/>
    <xf numFmtId="168" fontId="2" fillId="0" borderId="0" xfId="0" applyNumberFormat="1" applyFont="1" applyBorder="1"/>
    <xf numFmtId="0" fontId="14" fillId="0" borderId="5" xfId="0" applyFont="1" applyBorder="1"/>
    <xf numFmtId="180" fontId="0" fillId="0" borderId="0" xfId="0" applyNumberFormat="1"/>
    <xf numFmtId="169" fontId="0" fillId="0" borderId="0" xfId="0" applyNumberFormat="1" applyFont="1"/>
    <xf numFmtId="0" fontId="15" fillId="0" borderId="5" xfId="0" applyFont="1" applyBorder="1"/>
    <xf numFmtId="0" fontId="15" fillId="0" borderId="0" xfId="0" applyFont="1" applyBorder="1"/>
    <xf numFmtId="174" fontId="0" fillId="0" borderId="0" xfId="0" applyNumberFormat="1" applyFont="1"/>
    <xf numFmtId="181" fontId="0" fillId="0" borderId="0" xfId="0" applyNumberFormat="1"/>
    <xf numFmtId="182" fontId="0" fillId="0" borderId="0" xfId="0" applyNumberFormat="1"/>
    <xf numFmtId="183" fontId="0" fillId="0" borderId="0" xfId="0" applyNumberFormat="1" applyFont="1"/>
    <xf numFmtId="184" fontId="0" fillId="0" borderId="0" xfId="0" applyNumberFormat="1"/>
    <xf numFmtId="165" fontId="2" fillId="0" borderId="0" xfId="0" applyNumberFormat="1" applyFont="1"/>
    <xf numFmtId="166" fontId="2" fillId="0" borderId="0" xfId="1" applyNumberFormat="1" applyFont="1" applyAlignment="1">
      <alignment horizontal="right"/>
    </xf>
    <xf numFmtId="0" fontId="19" fillId="0" borderId="3" xfId="0" applyFont="1" applyBorder="1"/>
    <xf numFmtId="168" fontId="19" fillId="0" borderId="4" xfId="0" applyNumberFormat="1" applyFont="1" applyBorder="1"/>
    <xf numFmtId="0" fontId="19" fillId="0" borderId="5" xfId="0" applyFont="1" applyBorder="1"/>
    <xf numFmtId="168" fontId="19" fillId="0" borderId="6" xfId="0" applyNumberFormat="1" applyFont="1" applyBorder="1"/>
    <xf numFmtId="0" fontId="19" fillId="0" borderId="7" xfId="0" applyFont="1" applyBorder="1"/>
    <xf numFmtId="184" fontId="19" fillId="0" borderId="8" xfId="0" applyNumberFormat="1" applyFont="1" applyBorder="1"/>
    <xf numFmtId="0" fontId="19" fillId="0" borderId="9" xfId="0" applyFont="1" applyBorder="1"/>
    <xf numFmtId="0" fontId="19" fillId="0" borderId="4" xfId="0" applyFont="1" applyBorder="1"/>
    <xf numFmtId="0" fontId="19" fillId="0" borderId="10" xfId="0" applyFont="1" applyBorder="1"/>
    <xf numFmtId="0" fontId="19" fillId="0" borderId="8" xfId="0" applyFont="1" applyBorder="1"/>
    <xf numFmtId="1" fontId="0" fillId="0" borderId="7" xfId="0" applyNumberFormat="1" applyBorder="1"/>
    <xf numFmtId="1" fontId="0" fillId="0" borderId="10" xfId="0" applyNumberFormat="1" applyBorder="1"/>
    <xf numFmtId="1" fontId="0" fillId="0" borderId="8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" fontId="0" fillId="0" borderId="17" xfId="0" applyNumberFormat="1" applyBorder="1"/>
    <xf numFmtId="1" fontId="0" fillId="0" borderId="18" xfId="0" applyNumberFormat="1" applyBorder="1"/>
    <xf numFmtId="165" fontId="0" fillId="0" borderId="19" xfId="0" applyNumberFormat="1" applyBorder="1"/>
    <xf numFmtId="0" fontId="2" fillId="0" borderId="0" xfId="0" applyFont="1" applyAlignment="1">
      <alignment horizontal="left" vertical="center" textRotation="45" wrapText="1"/>
    </xf>
    <xf numFmtId="171" fontId="2" fillId="0" borderId="2" xfId="0" applyNumberFormat="1" applyFont="1" applyBorder="1" applyAlignment="1">
      <alignment horizontal="left" vertical="center" textRotation="45" wrapText="1"/>
    </xf>
    <xf numFmtId="0" fontId="0" fillId="0" borderId="0" xfId="0" applyBorder="1" applyAlignment="1">
      <alignment horizontal="left" vertical="center" textRotation="45"/>
    </xf>
    <xf numFmtId="0" fontId="0" fillId="0" borderId="2" xfId="0" applyBorder="1"/>
    <xf numFmtId="0" fontId="0" fillId="0" borderId="0" xfId="0" applyBorder="1"/>
    <xf numFmtId="0" fontId="0" fillId="0" borderId="1" xfId="0" applyBorder="1" applyAlignment="1">
      <alignment horizontal="left" vertical="center" textRotation="45"/>
    </xf>
    <xf numFmtId="0" fontId="0" fillId="0" borderId="1" xfId="0" applyBorder="1"/>
    <xf numFmtId="0" fontId="2" fillId="0" borderId="1" xfId="0" applyFont="1" applyBorder="1" applyAlignment="1">
      <alignment horizontal="left" vertical="center" textRotation="45"/>
    </xf>
    <xf numFmtId="0" fontId="2" fillId="0" borderId="18" xfId="0" applyFont="1" applyBorder="1" applyAlignment="1">
      <alignment horizontal="left" vertical="center" textRotation="45"/>
    </xf>
    <xf numFmtId="0" fontId="0" fillId="0" borderId="18" xfId="0" applyBorder="1"/>
    <xf numFmtId="166" fontId="0" fillId="0" borderId="18" xfId="1" applyNumberFormat="1" applyFont="1" applyBorder="1" applyAlignment="1">
      <alignment horizontal="right"/>
    </xf>
    <xf numFmtId="0" fontId="2" fillId="0" borderId="18" xfId="0" applyFont="1" applyBorder="1" applyAlignment="1">
      <alignment horizontal="left" vertical="center" textRotation="45" wrapText="1"/>
    </xf>
    <xf numFmtId="165" fontId="0" fillId="0" borderId="18" xfId="0" applyNumberFormat="1" applyBorder="1"/>
    <xf numFmtId="171" fontId="2" fillId="0" borderId="0" xfId="0" applyNumberFormat="1" applyFont="1" applyBorder="1" applyAlignment="1">
      <alignment horizontal="left" vertical="center" textRotation="45"/>
    </xf>
    <xf numFmtId="0" fontId="2" fillId="0" borderId="2" xfId="0" applyFont="1" applyBorder="1" applyAlignment="1">
      <alignment horizontal="left" vertical="center" textRotation="45" wrapText="1"/>
    </xf>
    <xf numFmtId="0" fontId="2" fillId="0" borderId="0" xfId="0" applyFont="1" applyBorder="1" applyAlignment="1">
      <alignment horizontal="left" vertical="center" textRotation="45"/>
    </xf>
    <xf numFmtId="185" fontId="0" fillId="0" borderId="0" xfId="0" applyNumberFormat="1"/>
    <xf numFmtId="186" fontId="0" fillId="0" borderId="0" xfId="0" applyNumberFormat="1"/>
    <xf numFmtId="174" fontId="2" fillId="0" borderId="0" xfId="0" applyNumberFormat="1" applyFont="1"/>
    <xf numFmtId="1" fontId="0" fillId="0" borderId="0" xfId="0" applyNumberFormat="1"/>
    <xf numFmtId="9" fontId="0" fillId="0" borderId="0" xfId="2" applyFont="1"/>
    <xf numFmtId="183" fontId="0" fillId="0" borderId="0" xfId="0" applyNumberFormat="1"/>
  </cellXfs>
  <cellStyles count="3">
    <cellStyle name="Komma" xfId="1" builtinId="3"/>
    <cellStyle name="Prozent" xfId="2" builtinId="5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</a:t>
            </a:r>
          </a:p>
          <a:p>
            <a:pPr>
              <a:defRPr/>
            </a:pPr>
            <a:r>
              <a:rPr lang="en-US"/>
              <a:t>view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8.3891762459999408E-2"/>
          <c:y val="0.18180573855078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4374318314524629"/>
          <c:y val="0.10386725916570695"/>
          <c:w val="0.60007693592813605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Actuators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2'!$V$3:$Z$3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29.136276771871458</c:v>
                </c:pt>
                <c:pt idx="2">
                  <c:v>87.616782062471628</c:v>
                </c:pt>
                <c:pt idx="3">
                  <c:v>87.616782062471628</c:v>
                </c:pt>
                <c:pt idx="4">
                  <c:v>0</c:v>
                </c:pt>
              </c:numCache>
            </c:numRef>
          </c:xVal>
          <c:yVal>
            <c:numRef>
              <c:f>'Leg Kinematic 2'!$V$4:$Z$4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-34.723262517697037</c:v>
                </c:pt>
                <c:pt idx="2">
                  <c:v>-104.4176147944945</c:v>
                </c:pt>
                <c:pt idx="3">
                  <c:v>-104.4176147944945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E6-4577-B315-A97372075FBB}"/>
            </c:ext>
          </c:extLst>
        </c:ser>
        <c:ser>
          <c:idx val="1"/>
          <c:order val="1"/>
          <c:tx>
            <c:v>H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2'!$V$13</c:f>
              <c:numCache>
                <c:formatCode>0.0</c:formatCode>
                <c:ptCount val="1"/>
                <c:pt idx="0">
                  <c:v>0</c:v>
                </c:pt>
              </c:numCache>
            </c:numRef>
          </c:xVal>
          <c:yVal>
            <c:numRef>
              <c:f>'Leg Kinematic 2'!$V$14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E6-4577-B315-A97372075FBB}"/>
            </c:ext>
          </c:extLst>
        </c:ser>
        <c:ser>
          <c:idx val="2"/>
          <c:order val="2"/>
          <c:tx>
            <c:v>C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2'!$W$13</c:f>
              <c:numCache>
                <c:formatCode>0.0</c:formatCode>
                <c:ptCount val="1"/>
                <c:pt idx="0">
                  <c:v>0</c:v>
                </c:pt>
              </c:numCache>
            </c:numRef>
          </c:xVal>
          <c:yVal>
            <c:numRef>
              <c:f>'Leg Kinematic 2'!$W$14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E6-4577-B315-A97372075FBB}"/>
            </c:ext>
          </c:extLst>
        </c:ser>
        <c:ser>
          <c:idx val="3"/>
          <c:order val="3"/>
          <c:tx>
            <c:v>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2'!$X$13</c:f>
              <c:numCache>
                <c:formatCode>0.0</c:formatCode>
                <c:ptCount val="1"/>
                <c:pt idx="0">
                  <c:v>0</c:v>
                </c:pt>
              </c:numCache>
            </c:numRef>
          </c:xVal>
          <c:yVal>
            <c:numRef>
              <c:f>'Leg Kinematic 2'!$X$14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E6-4577-B315-A97372075FBB}"/>
            </c:ext>
          </c:extLst>
        </c:ser>
        <c:ser>
          <c:idx val="4"/>
          <c:order val="4"/>
          <c:tx>
            <c:v>T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2'!$Y$13</c:f>
              <c:numCache>
                <c:formatCode>0.0</c:formatCode>
                <c:ptCount val="1"/>
                <c:pt idx="0">
                  <c:v>0</c:v>
                </c:pt>
              </c:numCache>
            </c:numRef>
          </c:xVal>
          <c:yVal>
            <c:numRef>
              <c:f>'Leg Kinematic 2'!$Y$14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E6-4577-B315-A97372075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94952"/>
        <c:axId val="240290640"/>
      </c:scatterChart>
      <c:valAx>
        <c:axId val="240294952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3090845224275085"/>
              <c:y val="4.82929415081689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0290640"/>
        <c:crosses val="autoZero"/>
        <c:crossBetween val="midCat"/>
        <c:majorUnit val="250"/>
        <c:minorUnit val="50"/>
      </c:valAx>
      <c:valAx>
        <c:axId val="240290640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5786421408407265"/>
              <c:y val="0.486697013217789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0294952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</a:t>
            </a:r>
          </a:p>
          <a:p>
            <a:pPr>
              <a:defRPr/>
            </a:pPr>
            <a:r>
              <a:rPr lang="en-US"/>
              <a:t>view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5020021664853254"/>
          <c:y val="0.11755487836093753"/>
          <c:w val="0.67719548895218651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Actuators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2'!$V$7:$Z$7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29.136276771871458</c:v>
                </c:pt>
                <c:pt idx="2">
                  <c:v>87.616782062471628</c:v>
                </c:pt>
                <c:pt idx="3">
                  <c:v>87.616782062471628</c:v>
                </c:pt>
                <c:pt idx="4">
                  <c:v>0</c:v>
                </c:pt>
              </c:numCache>
            </c:numRef>
          </c:xVal>
          <c:yVal>
            <c:numRef>
              <c:f>'Leg Kinematic 2'!$V$8:$Z$8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-108.42516443461702</c:v>
                </c:pt>
                <c:pt idx="3">
                  <c:v>-108.42516443461702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C2-41CA-802A-7547C703C90C}"/>
            </c:ext>
          </c:extLst>
        </c:ser>
        <c:ser>
          <c:idx val="1"/>
          <c:order val="1"/>
          <c:tx>
            <c:v>H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2'!$V$13</c:f>
              <c:numCache>
                <c:formatCode>0.0</c:formatCode>
                <c:ptCount val="1"/>
                <c:pt idx="0">
                  <c:v>0</c:v>
                </c:pt>
              </c:numCache>
            </c:numRef>
          </c:xVal>
          <c:yVal>
            <c:numRef>
              <c:f>'Leg Kinematic 2'!$V$15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C2-41CA-802A-7547C703C90C}"/>
            </c:ext>
          </c:extLst>
        </c:ser>
        <c:ser>
          <c:idx val="2"/>
          <c:order val="2"/>
          <c:tx>
            <c:v>C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2'!$W$13</c:f>
              <c:numCache>
                <c:formatCode>0.0</c:formatCode>
                <c:ptCount val="1"/>
                <c:pt idx="0">
                  <c:v>0</c:v>
                </c:pt>
              </c:numCache>
            </c:numRef>
          </c:xVal>
          <c:yVal>
            <c:numRef>
              <c:f>'Leg Kinematic 2'!$W$15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C2-41CA-802A-7547C703C90C}"/>
            </c:ext>
          </c:extLst>
        </c:ser>
        <c:ser>
          <c:idx val="3"/>
          <c:order val="3"/>
          <c:tx>
            <c:v>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2'!$X$13</c:f>
              <c:numCache>
                <c:formatCode>0.0</c:formatCode>
                <c:ptCount val="1"/>
                <c:pt idx="0">
                  <c:v>0</c:v>
                </c:pt>
              </c:numCache>
            </c:numRef>
          </c:xVal>
          <c:yVal>
            <c:numRef>
              <c:f>'Leg Kinematic 2'!$X$15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C2-41CA-802A-7547C703C90C}"/>
            </c:ext>
          </c:extLst>
        </c:ser>
        <c:ser>
          <c:idx val="4"/>
          <c:order val="4"/>
          <c:tx>
            <c:v>T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2'!$Y$13</c:f>
              <c:numCache>
                <c:formatCode>0.0</c:formatCode>
                <c:ptCount val="1"/>
                <c:pt idx="0">
                  <c:v>0</c:v>
                </c:pt>
              </c:numCache>
            </c:numRef>
          </c:xVal>
          <c:yVal>
            <c:numRef>
              <c:f>'Leg Kinematic 2'!$Y$15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C2-41CA-802A-7547C703C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226944"/>
        <c:axId val="239228904"/>
      </c:scatterChart>
      <c:valAx>
        <c:axId val="239226944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</a:t>
                </a:r>
              </a:p>
            </c:rich>
          </c:tx>
          <c:layout>
            <c:manualLayout>
              <c:xMode val="edge"/>
              <c:yMode val="edge"/>
              <c:x val="0.57000469187993108"/>
              <c:y val="5.37923583397740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228904"/>
        <c:crosses val="autoZero"/>
        <c:crossBetween val="midCat"/>
        <c:majorUnit val="250"/>
      </c:valAx>
      <c:valAx>
        <c:axId val="239228904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94882829372726629"/>
              <c:y val="0.50132653908350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226944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</a:t>
            </a:r>
          </a:p>
          <a:p>
            <a:pPr>
              <a:defRPr/>
            </a:pPr>
            <a:r>
              <a:rPr lang="en-US"/>
              <a:t>view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8.3891762459999408E-2"/>
          <c:y val="0.18180573855078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45649607259599"/>
          <c:y val="0.10679139070712877"/>
          <c:w val="0.60007693592813605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Actuators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3'!$V$3:$Z$3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40.5</c:v>
                </c:pt>
                <c:pt idx="2">
                  <c:v>179.88771974584191</c:v>
                </c:pt>
                <c:pt idx="3">
                  <c:v>179.88771974584191</c:v>
                </c:pt>
                <c:pt idx="4">
                  <c:v>336.62018436559265</c:v>
                </c:pt>
              </c:numCache>
            </c:numRef>
          </c:xVal>
          <c:yVal>
            <c:numRef>
              <c:f>'Leg Kinematic 3'!$V$4:$Z$4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1.5055736508203123E-15</c:v>
                </c:pt>
                <c:pt idx="3">
                  <c:v>1.5055736508203123E-15</c:v>
                </c:pt>
                <c:pt idx="4">
                  <c:v>-2.8244665464171501E-15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A6-493E-95C9-20CC9D274A23}"/>
            </c:ext>
          </c:extLst>
        </c:ser>
        <c:ser>
          <c:idx val="1"/>
          <c:order val="1"/>
          <c:tx>
            <c:v>H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3'!$V$13</c:f>
              <c:numCache>
                <c:formatCode>0.0</c:formatCode>
                <c:ptCount val="1"/>
                <c:pt idx="0">
                  <c:v>180.88904115109938</c:v>
                </c:pt>
              </c:numCache>
            </c:numRef>
          </c:xVal>
          <c:yVal>
            <c:numRef>
              <c:f>'Leg Kinematic 3'!$V$14</c:f>
              <c:numCache>
                <c:formatCode>0.0</c:formatCode>
                <c:ptCount val="1"/>
                <c:pt idx="0">
                  <c:v>-1.3390649173894494E-15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A6-493E-95C9-20CC9D274A23}"/>
            </c:ext>
          </c:extLst>
        </c:ser>
        <c:ser>
          <c:idx val="2"/>
          <c:order val="2"/>
          <c:tx>
            <c:v>C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3'!$W$13</c:f>
              <c:numCache>
                <c:formatCode>0.0</c:formatCode>
                <c:ptCount val="1"/>
                <c:pt idx="0">
                  <c:v>179.88771974584188</c:v>
                </c:pt>
              </c:numCache>
            </c:numRef>
          </c:xVal>
          <c:yVal>
            <c:numRef>
              <c:f>'Leg Kinematic 3'!$W$14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A6-493E-95C9-20CC9D274A23}"/>
            </c:ext>
          </c:extLst>
        </c:ser>
        <c:ser>
          <c:idx val="3"/>
          <c:order val="3"/>
          <c:tx>
            <c:v>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3'!$X$13</c:f>
              <c:numCache>
                <c:formatCode>0.0</c:formatCode>
                <c:ptCount val="1"/>
                <c:pt idx="0">
                  <c:v>180.88904115109938</c:v>
                </c:pt>
              </c:numCache>
            </c:numRef>
          </c:xVal>
          <c:yVal>
            <c:numRef>
              <c:f>'Leg Kinematic 3'!$X$14</c:f>
              <c:numCache>
                <c:formatCode>0.0</c:formatCode>
                <c:ptCount val="1"/>
                <c:pt idx="0">
                  <c:v>15.552692603585506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A6-493E-95C9-20CC9D274A23}"/>
            </c:ext>
          </c:extLst>
        </c:ser>
        <c:ser>
          <c:idx val="4"/>
          <c:order val="4"/>
          <c:tx>
            <c:v>T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3'!$Y$13</c:f>
              <c:numCache>
                <c:formatCode>0.0</c:formatCode>
                <c:ptCount val="1"/>
                <c:pt idx="0">
                  <c:v>179.88771974584188</c:v>
                </c:pt>
              </c:numCache>
            </c:numRef>
          </c:xVal>
          <c:yVal>
            <c:numRef>
              <c:f>'Leg Kinematic 3'!$Y$14</c:f>
              <c:numCache>
                <c:formatCode>0.0</c:formatCode>
                <c:ptCount val="1"/>
                <c:pt idx="0">
                  <c:v>-1.3390649173894494E-15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A6-493E-95C9-20CC9D274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94952"/>
        <c:axId val="240290640"/>
      </c:scatterChart>
      <c:valAx>
        <c:axId val="240294952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3090845224275085"/>
              <c:y val="4.82929415081689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0290640"/>
        <c:crosses val="autoZero"/>
        <c:crossBetween val="midCat"/>
        <c:majorUnit val="250"/>
        <c:minorUnit val="50"/>
      </c:valAx>
      <c:valAx>
        <c:axId val="240290640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5786421408407265"/>
              <c:y val="0.486697013217789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0294952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</a:t>
            </a:r>
          </a:p>
          <a:p>
            <a:pPr>
              <a:defRPr/>
            </a:pPr>
            <a:r>
              <a:rPr lang="en-US"/>
              <a:t>view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5020021664853254"/>
          <c:y val="0.11755487836093753"/>
          <c:w val="0.67719548895218651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Actuators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3'!$V$7:$Z$7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40.5</c:v>
                </c:pt>
                <c:pt idx="2">
                  <c:v>179.88771974584191</c:v>
                </c:pt>
                <c:pt idx="3">
                  <c:v>179.88771974584191</c:v>
                </c:pt>
                <c:pt idx="4">
                  <c:v>336.62018436559265</c:v>
                </c:pt>
              </c:numCache>
            </c:numRef>
          </c:xVal>
          <c:yVal>
            <c:numRef>
              <c:f>'Leg Kinematic 3'!$V$8:$Z$8</c:f>
              <c:numCache>
                <c:formatCode>_-* #,##0.0\ _€_-;\-* #,##0.0\ _€_-;_-* "-"??\ _€_-;_-@_-</c:formatCode>
                <c:ptCount val="5"/>
                <c:pt idx="0" formatCode="General">
                  <c:v>0</c:v>
                </c:pt>
                <c:pt idx="1">
                  <c:v>0</c:v>
                </c:pt>
                <c:pt idx="2">
                  <c:v>24.577815770621989</c:v>
                </c:pt>
                <c:pt idx="3">
                  <c:v>24.577815770621989</c:v>
                </c:pt>
                <c:pt idx="4">
                  <c:v>19.104597501762164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4-44B1-9228-6A816513F0A7}"/>
            </c:ext>
          </c:extLst>
        </c:ser>
        <c:ser>
          <c:idx val="1"/>
          <c:order val="1"/>
          <c:tx>
            <c:v>H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3'!$V$13</c:f>
              <c:numCache>
                <c:formatCode>0.0</c:formatCode>
                <c:ptCount val="1"/>
                <c:pt idx="0">
                  <c:v>180.88904115109938</c:v>
                </c:pt>
              </c:numCache>
            </c:numRef>
          </c:xVal>
          <c:yVal>
            <c:numRef>
              <c:f>'Leg Kinematic 3'!$V$15</c:f>
              <c:numCache>
                <c:formatCode>0.0</c:formatCode>
                <c:ptCount val="1"/>
                <c:pt idx="0">
                  <c:v>9.0573904328614212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4-44B1-9228-6A816513F0A7}"/>
            </c:ext>
          </c:extLst>
        </c:ser>
        <c:ser>
          <c:idx val="2"/>
          <c:order val="2"/>
          <c:tx>
            <c:v>C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3'!$W$13</c:f>
              <c:numCache>
                <c:formatCode>0.0</c:formatCode>
                <c:ptCount val="1"/>
                <c:pt idx="0">
                  <c:v>179.88771974584188</c:v>
                </c:pt>
              </c:numCache>
            </c:numRef>
          </c:xVal>
          <c:yVal>
            <c:numRef>
              <c:f>'Leg Kinematic 3'!$W$15</c:f>
              <c:numCache>
                <c:formatCode>0.0</c:formatCode>
                <c:ptCount val="1"/>
                <c:pt idx="0">
                  <c:v>24.577815770621868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44-44B1-9228-6A816513F0A7}"/>
            </c:ext>
          </c:extLst>
        </c:ser>
        <c:ser>
          <c:idx val="3"/>
          <c:order val="3"/>
          <c:tx>
            <c:v>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3'!$X$13</c:f>
              <c:numCache>
                <c:formatCode>0.0</c:formatCode>
                <c:ptCount val="1"/>
                <c:pt idx="0">
                  <c:v>180.88904115109938</c:v>
                </c:pt>
              </c:numCache>
            </c:numRef>
          </c:xVal>
          <c:yVal>
            <c:numRef>
              <c:f>'Leg Kinematic 3'!$X$15</c:f>
              <c:numCache>
                <c:formatCode>0.0</c:formatCode>
                <c:ptCount val="1"/>
                <c:pt idx="0">
                  <c:v>9.0573904328614212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44-44B1-9228-6A816513F0A7}"/>
            </c:ext>
          </c:extLst>
        </c:ser>
        <c:ser>
          <c:idx val="4"/>
          <c:order val="4"/>
          <c:tx>
            <c:v>T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'Leg Kinematic 3'!$Y$13</c:f>
              <c:numCache>
                <c:formatCode>0.0</c:formatCode>
                <c:ptCount val="1"/>
                <c:pt idx="0">
                  <c:v>179.88771974584188</c:v>
                </c:pt>
              </c:numCache>
            </c:numRef>
          </c:xVal>
          <c:yVal>
            <c:numRef>
              <c:f>'Leg Kinematic 3'!$Y$15</c:f>
              <c:numCache>
                <c:formatCode>0.0</c:formatCode>
                <c:ptCount val="1"/>
                <c:pt idx="0">
                  <c:v>24.577815770621868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44-44B1-9228-6A816513F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226944"/>
        <c:axId val="239228904"/>
      </c:scatterChart>
      <c:valAx>
        <c:axId val="239226944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</a:t>
                </a:r>
              </a:p>
            </c:rich>
          </c:tx>
          <c:layout>
            <c:manualLayout>
              <c:xMode val="edge"/>
              <c:yMode val="edge"/>
              <c:x val="0.57000469187993108"/>
              <c:y val="5.37923583397740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228904"/>
        <c:crosses val="autoZero"/>
        <c:crossBetween val="midCat"/>
        <c:majorUnit val="250"/>
      </c:valAx>
      <c:valAx>
        <c:axId val="239228904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94882829372726629"/>
              <c:y val="0.50132653908350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226944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</a:t>
            </a:r>
          </a:p>
          <a:p>
            <a:pPr>
              <a:defRPr/>
            </a:pPr>
            <a:r>
              <a:rPr lang="en-US"/>
              <a:t>view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8.3891762459999408E-2"/>
          <c:y val="0.18180573855078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4374318314524629"/>
          <c:y val="0.10386725916570695"/>
          <c:w val="0.53683586982457221"/>
          <c:h val="0.68442222499331129"/>
        </c:manualLayout>
      </c:layout>
      <c:scatterChart>
        <c:scatterStyle val="lineMarker"/>
        <c:varyColors val="0"/>
        <c:ser>
          <c:idx val="0"/>
          <c:order val="0"/>
          <c:tx>
            <c:v>Body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Kinematic'!$U$11:$AA$11</c:f>
              <c:numCache>
                <c:formatCode>_-* #,##0.0\ _€_-;\-* #,##0.0\ _€_-;_-* "-"??\ _€_-;_-@_-</c:formatCode>
                <c:ptCount val="7"/>
                <c:pt idx="0">
                  <c:v>-86.602540378443877</c:v>
                </c:pt>
                <c:pt idx="1">
                  <c:v>4.90059381963448E-15</c:v>
                </c:pt>
                <c:pt idx="2">
                  <c:v>86.602540378443877</c:v>
                </c:pt>
                <c:pt idx="3">
                  <c:v>86.602540378443877</c:v>
                </c:pt>
                <c:pt idx="4">
                  <c:v>4.90059381963448E-15</c:v>
                </c:pt>
                <c:pt idx="5">
                  <c:v>-86.602540378443877</c:v>
                </c:pt>
                <c:pt idx="6" formatCode="General">
                  <c:v>-86.602540378443877</c:v>
                </c:pt>
              </c:numCache>
            </c:numRef>
          </c:xVal>
          <c:yVal>
            <c:numRef>
              <c:f>'Body Kinematic'!$U$12:$AA$12</c:f>
              <c:numCache>
                <c:formatCode>_-* #,##0.0\ _€_-;\-* #,##0.0\ _€_-;_-* "-"??\ _€_-;_-@_-</c:formatCode>
                <c:ptCount val="7"/>
                <c:pt idx="0">
                  <c:v>49.999999999999993</c:v>
                </c:pt>
                <c:pt idx="1">
                  <c:v>80</c:v>
                </c:pt>
                <c:pt idx="2">
                  <c:v>49.999999999999993</c:v>
                </c:pt>
                <c:pt idx="3">
                  <c:v>-49.999999999999993</c:v>
                </c:pt>
                <c:pt idx="4">
                  <c:v>-80</c:v>
                </c:pt>
                <c:pt idx="5">
                  <c:v>-49.999999999999993</c:v>
                </c:pt>
                <c:pt idx="6" formatCode="General">
                  <c:v>49.999999999999993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33-4BAD-8D59-D0981D8CFFCE}"/>
            </c:ext>
          </c:extLst>
        </c:ser>
        <c:ser>
          <c:idx val="1"/>
          <c:order val="1"/>
          <c:tx>
            <c:v>Leg L1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Kinematic'!$U$15:$V$15</c:f>
              <c:numCache>
                <c:formatCode>0.0</c:formatCode>
                <c:ptCount val="2"/>
                <c:pt idx="0" formatCode="General">
                  <c:v>-86.602540378443877</c:v>
                </c:pt>
                <c:pt idx="1">
                  <c:v>-116.60254037844388</c:v>
                </c:pt>
              </c:numCache>
            </c:numRef>
          </c:xVal>
          <c:yVal>
            <c:numRef>
              <c:f>'Body Kinematic'!$U$16:$V$16</c:f>
              <c:numCache>
                <c:formatCode>0.0</c:formatCode>
                <c:ptCount val="2"/>
                <c:pt idx="0" formatCode="General">
                  <c:v>49.999999999999993</c:v>
                </c:pt>
                <c:pt idx="1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33-4BAD-8D59-D0981D8CFFCE}"/>
            </c:ext>
          </c:extLst>
        </c:ser>
        <c:ser>
          <c:idx val="2"/>
          <c:order val="2"/>
          <c:tx>
            <c:v>Leg L2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Kinematic'!$W$15:$X$15</c:f>
              <c:numCache>
                <c:formatCode>0.0</c:formatCode>
                <c:ptCount val="2"/>
                <c:pt idx="0" formatCode="_(* #,##0.00_);_(* \(#,##0.00\);_(* &quot;-&quot;??_);_(@_)">
                  <c:v>4.90059381963448E-15</c:v>
                </c:pt>
                <c:pt idx="1">
                  <c:v>0</c:v>
                </c:pt>
              </c:numCache>
            </c:numRef>
          </c:xVal>
          <c:yVal>
            <c:numRef>
              <c:f>'Body Kinematic'!$W$16:$X$16</c:f>
              <c:numCache>
                <c:formatCode>0.0</c:formatCode>
                <c:ptCount val="2"/>
                <c:pt idx="0" formatCode="_-* #,##0.0\ _€_-;\-* #,##0.0\ _€_-;_-* &quot;-&quot;??\ _€_-;_-@_-">
                  <c:v>80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33-4BAD-8D59-D0981D8CFFCE}"/>
            </c:ext>
          </c:extLst>
        </c:ser>
        <c:ser>
          <c:idx val="3"/>
          <c:order val="3"/>
          <c:tx>
            <c:v>Leg L3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Kinematic'!$Y$15:$Z$15</c:f>
              <c:numCache>
                <c:formatCode>0.0</c:formatCode>
                <c:ptCount val="2"/>
                <c:pt idx="0" formatCode="General">
                  <c:v>86.602540378443877</c:v>
                </c:pt>
                <c:pt idx="1">
                  <c:v>116.60254037844388</c:v>
                </c:pt>
              </c:numCache>
            </c:numRef>
          </c:xVal>
          <c:yVal>
            <c:numRef>
              <c:f>'Body Kinematic'!$Y$16:$Z$16</c:f>
              <c:numCache>
                <c:formatCode>0.0</c:formatCode>
                <c:ptCount val="2"/>
                <c:pt idx="0" formatCode="General">
                  <c:v>49.999999999999993</c:v>
                </c:pt>
                <c:pt idx="1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33-4BAD-8D59-D0981D8CFFCE}"/>
            </c:ext>
          </c:extLst>
        </c:ser>
        <c:ser>
          <c:idx val="6"/>
          <c:order val="4"/>
          <c:tx>
            <c:v>Leg R1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Kinematic'!$AE$15:$AF$15</c:f>
              <c:numCache>
                <c:formatCode>0.0</c:formatCode>
                <c:ptCount val="2"/>
                <c:pt idx="0" formatCode="General">
                  <c:v>-86.602540378443877</c:v>
                </c:pt>
                <c:pt idx="1">
                  <c:v>-116.60254037844388</c:v>
                </c:pt>
              </c:numCache>
            </c:numRef>
          </c:xVal>
          <c:yVal>
            <c:numRef>
              <c:f>'Body Kinematic'!$AE$16:$AF$16</c:f>
              <c:numCache>
                <c:formatCode>0.0</c:formatCode>
                <c:ptCount val="2"/>
                <c:pt idx="0" formatCode="General">
                  <c:v>-49.999999999999993</c:v>
                </c:pt>
                <c:pt idx="1">
                  <c:v>-80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33-4BAD-8D59-D0981D8CFFCE}"/>
            </c:ext>
          </c:extLst>
        </c:ser>
        <c:ser>
          <c:idx val="5"/>
          <c:order val="5"/>
          <c:tx>
            <c:v>Leg R2</c:v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Kinematic'!$AC$15:$AD$15</c:f>
              <c:numCache>
                <c:formatCode>0.0</c:formatCode>
                <c:ptCount val="2"/>
                <c:pt idx="0" formatCode="General">
                  <c:v>4.90059381963448E-15</c:v>
                </c:pt>
                <c:pt idx="1">
                  <c:v>0</c:v>
                </c:pt>
              </c:numCache>
            </c:numRef>
          </c:xVal>
          <c:yVal>
            <c:numRef>
              <c:f>'Body Kinematic'!$AC$16:$AD$16</c:f>
              <c:numCache>
                <c:formatCode>0.0</c:formatCode>
                <c:ptCount val="2"/>
                <c:pt idx="0" formatCode="General">
                  <c:v>-80</c:v>
                </c:pt>
                <c:pt idx="1">
                  <c:v>-110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33-4BAD-8D59-D0981D8CFFCE}"/>
            </c:ext>
          </c:extLst>
        </c:ser>
        <c:ser>
          <c:idx val="4"/>
          <c:order val="6"/>
          <c:tx>
            <c:v>Leg R3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Kinematic'!$AA$15:$AB$15</c:f>
              <c:numCache>
                <c:formatCode>0.0</c:formatCode>
                <c:ptCount val="2"/>
                <c:pt idx="0" formatCode="General">
                  <c:v>86.602540378443877</c:v>
                </c:pt>
                <c:pt idx="1">
                  <c:v>116.60254037844388</c:v>
                </c:pt>
              </c:numCache>
            </c:numRef>
          </c:xVal>
          <c:yVal>
            <c:numRef>
              <c:f>'Body Kinematic'!$AA$16:$AB$16</c:f>
              <c:numCache>
                <c:formatCode>0.0</c:formatCode>
                <c:ptCount val="2"/>
                <c:pt idx="0" formatCode="General">
                  <c:v>-49.999999999999993</c:v>
                </c:pt>
                <c:pt idx="1">
                  <c:v>-80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33-4BAD-8D59-D0981D8CF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460528"/>
        <c:axId val="547461704"/>
      </c:scatterChart>
      <c:valAx>
        <c:axId val="547460528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3090845224275085"/>
              <c:y val="4.82929415081689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61704"/>
        <c:crosses val="autoZero"/>
        <c:crossBetween val="midCat"/>
        <c:majorUnit val="250"/>
        <c:minorUnit val="50"/>
      </c:valAx>
      <c:valAx>
        <c:axId val="547461704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5786421408407265"/>
              <c:y val="0.486697013217789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60528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SideView</a:t>
            </a:r>
          </a:p>
        </c:rich>
      </c:tx>
      <c:layout>
        <c:manualLayout>
          <c:xMode val="edge"/>
          <c:yMode val="edge"/>
          <c:x val="3.0451738660948236E-2"/>
          <c:y val="0.17074390867070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5020021664853254"/>
          <c:y val="0.11755487836093753"/>
          <c:w val="0.67719548895218651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Body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Kinematic'!$U$11:$AA$11</c:f>
              <c:numCache>
                <c:formatCode>_-* #,##0.0\ _€_-;\-* #,##0.0\ _€_-;_-* "-"??\ _€_-;_-@_-</c:formatCode>
                <c:ptCount val="7"/>
                <c:pt idx="0">
                  <c:v>-86.602540378443877</c:v>
                </c:pt>
                <c:pt idx="1">
                  <c:v>4.90059381963448E-15</c:v>
                </c:pt>
                <c:pt idx="2">
                  <c:v>86.602540378443877</c:v>
                </c:pt>
                <c:pt idx="3">
                  <c:v>86.602540378443877</c:v>
                </c:pt>
                <c:pt idx="4">
                  <c:v>4.90059381963448E-15</c:v>
                </c:pt>
                <c:pt idx="5">
                  <c:v>-86.602540378443877</c:v>
                </c:pt>
                <c:pt idx="6" formatCode="General">
                  <c:v>-86.602540378443877</c:v>
                </c:pt>
              </c:numCache>
            </c:numRef>
          </c:xVal>
          <c:yVal>
            <c:numRef>
              <c:f>'Body Kinematic'!$U$13:$AA$13</c:f>
              <c:numCache>
                <c:formatCode>_-* #,##0.0\ _€_-;\-* #,##0.0\ _€_-;_-* "-"??\ _€_-;_-@_-</c:formatCode>
                <c:ptCount val="7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 formatCode="General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B-49C9-9AD5-701B0FE0600F}"/>
            </c:ext>
          </c:extLst>
        </c:ser>
        <c:ser>
          <c:idx val="1"/>
          <c:order val="1"/>
          <c:tx>
            <c:v>Leg L1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Kinematic'!$U$15:$V$15</c:f>
              <c:numCache>
                <c:formatCode>0.0</c:formatCode>
                <c:ptCount val="2"/>
                <c:pt idx="0" formatCode="General">
                  <c:v>-86.602540378443877</c:v>
                </c:pt>
                <c:pt idx="1">
                  <c:v>-116.60254037844388</c:v>
                </c:pt>
              </c:numCache>
            </c:numRef>
          </c:xVal>
          <c:yVal>
            <c:numRef>
              <c:f>'Body Kinematic'!$U$17:$V$17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1B-49C9-9AD5-701B0FE0600F}"/>
            </c:ext>
          </c:extLst>
        </c:ser>
        <c:ser>
          <c:idx val="2"/>
          <c:order val="2"/>
          <c:tx>
            <c:v>Leg L2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Kinematic'!$W$15:$X$15</c:f>
              <c:numCache>
                <c:formatCode>0.0</c:formatCode>
                <c:ptCount val="2"/>
                <c:pt idx="0" formatCode="_(* #,##0.00_);_(* \(#,##0.00\);_(* &quot;-&quot;??_);_(@_)">
                  <c:v>4.90059381963448E-15</c:v>
                </c:pt>
                <c:pt idx="1">
                  <c:v>0</c:v>
                </c:pt>
              </c:numCache>
            </c:numRef>
          </c:xVal>
          <c:yVal>
            <c:numRef>
              <c:f>'Body Kinematic'!$W$17:$X$17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1B-49C9-9AD5-701B0FE0600F}"/>
            </c:ext>
          </c:extLst>
        </c:ser>
        <c:ser>
          <c:idx val="3"/>
          <c:order val="3"/>
          <c:tx>
            <c:v>Leg L3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Kinematic'!$Y$15:$Z$15</c:f>
              <c:numCache>
                <c:formatCode>0.0</c:formatCode>
                <c:ptCount val="2"/>
                <c:pt idx="0" formatCode="General">
                  <c:v>86.602540378443877</c:v>
                </c:pt>
                <c:pt idx="1">
                  <c:v>116.60254037844388</c:v>
                </c:pt>
              </c:numCache>
            </c:numRef>
          </c:xVal>
          <c:yVal>
            <c:numRef>
              <c:f>'Body Kinematic'!$Y$17:$Z$17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1B-49C9-9AD5-701B0FE0600F}"/>
            </c:ext>
          </c:extLst>
        </c:ser>
        <c:ser>
          <c:idx val="6"/>
          <c:order val="4"/>
          <c:tx>
            <c:v>Leg R1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Kinematic'!$AE$15:$AF$15</c:f>
              <c:numCache>
                <c:formatCode>0.0</c:formatCode>
                <c:ptCount val="2"/>
                <c:pt idx="0" formatCode="General">
                  <c:v>-86.602540378443877</c:v>
                </c:pt>
                <c:pt idx="1">
                  <c:v>-116.60254037844388</c:v>
                </c:pt>
              </c:numCache>
            </c:numRef>
          </c:xVal>
          <c:yVal>
            <c:numRef>
              <c:f>'Body Kinematic'!$AE$17:$AF$17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1B-49C9-9AD5-701B0FE0600F}"/>
            </c:ext>
          </c:extLst>
        </c:ser>
        <c:ser>
          <c:idx val="5"/>
          <c:order val="5"/>
          <c:tx>
            <c:v>Leg R2</c:v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Kinematic'!$AC$15:$AD$15</c:f>
              <c:numCache>
                <c:formatCode>0.0</c:formatCode>
                <c:ptCount val="2"/>
                <c:pt idx="0" formatCode="General">
                  <c:v>4.90059381963448E-15</c:v>
                </c:pt>
                <c:pt idx="1">
                  <c:v>0</c:v>
                </c:pt>
              </c:numCache>
            </c:numRef>
          </c:xVal>
          <c:yVal>
            <c:numRef>
              <c:f>'Body Kinematic'!$AC$17:$AD$17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1B-49C9-9AD5-701B0FE0600F}"/>
            </c:ext>
          </c:extLst>
        </c:ser>
        <c:ser>
          <c:idx val="4"/>
          <c:order val="6"/>
          <c:tx>
            <c:v>Leg R3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Kinematic'!$AA$15:$AB$15</c:f>
              <c:numCache>
                <c:formatCode>0.0</c:formatCode>
                <c:ptCount val="2"/>
                <c:pt idx="0" formatCode="General">
                  <c:v>86.602540378443877</c:v>
                </c:pt>
                <c:pt idx="1">
                  <c:v>116.60254037844388</c:v>
                </c:pt>
              </c:numCache>
            </c:numRef>
          </c:xVal>
          <c:yVal>
            <c:numRef>
              <c:f>'Body Kinematic'!$AA$17:$AB$17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B-49C9-9AD5-701B0FE0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463664"/>
        <c:axId val="547457392"/>
      </c:scatterChart>
      <c:valAx>
        <c:axId val="547463664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</a:t>
                </a:r>
              </a:p>
            </c:rich>
          </c:tx>
          <c:layout>
            <c:manualLayout>
              <c:xMode val="edge"/>
              <c:yMode val="edge"/>
              <c:x val="0.57000469187993108"/>
              <c:y val="5.37923583397740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57392"/>
        <c:crosses val="autoZero"/>
        <c:crossBetween val="midCat"/>
        <c:majorUnit val="250"/>
      </c:valAx>
      <c:valAx>
        <c:axId val="547457392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94882829372726629"/>
              <c:y val="0.50132653908350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63664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FrontView</a:t>
            </a:r>
          </a:p>
        </c:rich>
      </c:tx>
      <c:layout>
        <c:manualLayout>
          <c:xMode val="edge"/>
          <c:yMode val="edge"/>
          <c:x val="8.2772923705897727E-3"/>
          <c:y val="0.17808120353670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25020021664853254"/>
          <c:y val="0.11755487836093753"/>
          <c:w val="0.67719548895218651"/>
          <c:h val="0.82940678105290822"/>
        </c:manualLayout>
      </c:layout>
      <c:scatterChart>
        <c:scatterStyle val="lineMarker"/>
        <c:varyColors val="0"/>
        <c:ser>
          <c:idx val="0"/>
          <c:order val="0"/>
          <c:tx>
            <c:v>Body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Kinematic'!$U$12:$AA$12</c:f>
              <c:numCache>
                <c:formatCode>_-* #,##0.0\ _€_-;\-* #,##0.0\ _€_-;_-* "-"??\ _€_-;_-@_-</c:formatCode>
                <c:ptCount val="7"/>
                <c:pt idx="0">
                  <c:v>49.999999999999993</c:v>
                </c:pt>
                <c:pt idx="1">
                  <c:v>80</c:v>
                </c:pt>
                <c:pt idx="2">
                  <c:v>49.999999999999993</c:v>
                </c:pt>
                <c:pt idx="3">
                  <c:v>-49.999999999999993</c:v>
                </c:pt>
                <c:pt idx="4">
                  <c:v>-80</c:v>
                </c:pt>
                <c:pt idx="5">
                  <c:v>-49.999999999999993</c:v>
                </c:pt>
                <c:pt idx="6" formatCode="General">
                  <c:v>49.999999999999993</c:v>
                </c:pt>
              </c:numCache>
            </c:numRef>
          </c:xVal>
          <c:yVal>
            <c:numRef>
              <c:f>'Body Kinematic'!$U$13:$AA$13</c:f>
              <c:numCache>
                <c:formatCode>_-* #,##0.0\ _€_-;\-* #,##0.0\ _€_-;_-* "-"??\ _€_-;_-@_-</c:formatCode>
                <c:ptCount val="7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 formatCode="General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22-48CF-8EE9-0E06B2EB50A0}"/>
            </c:ext>
          </c:extLst>
        </c:ser>
        <c:ser>
          <c:idx val="1"/>
          <c:order val="1"/>
          <c:tx>
            <c:v>Leg L1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Kinematic'!$U$16:$V$16</c:f>
              <c:numCache>
                <c:formatCode>0.0</c:formatCode>
                <c:ptCount val="2"/>
                <c:pt idx="0" formatCode="General">
                  <c:v>49.999999999999993</c:v>
                </c:pt>
                <c:pt idx="1">
                  <c:v>80</c:v>
                </c:pt>
              </c:numCache>
            </c:numRef>
          </c:xVal>
          <c:yVal>
            <c:numRef>
              <c:f>'Body Kinematic'!$U$17:$V$17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22-48CF-8EE9-0E06B2EB50A0}"/>
            </c:ext>
          </c:extLst>
        </c:ser>
        <c:ser>
          <c:idx val="2"/>
          <c:order val="2"/>
          <c:tx>
            <c:v>Leg L2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Kinematic'!$W$16:$X$16</c:f>
              <c:numCache>
                <c:formatCode>0.0</c:formatCode>
                <c:ptCount val="2"/>
                <c:pt idx="0" formatCode="_-* #,##0.0\ _€_-;\-* #,##0.0\ _€_-;_-* &quot;-&quot;??\ _€_-;_-@_-">
                  <c:v>80</c:v>
                </c:pt>
                <c:pt idx="1">
                  <c:v>110</c:v>
                </c:pt>
              </c:numCache>
            </c:numRef>
          </c:xVal>
          <c:yVal>
            <c:numRef>
              <c:f>'Body Kinematic'!$W$17:$X$17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22-48CF-8EE9-0E06B2EB50A0}"/>
            </c:ext>
          </c:extLst>
        </c:ser>
        <c:ser>
          <c:idx val="3"/>
          <c:order val="3"/>
          <c:tx>
            <c:v>Leg L3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Kinematic'!$Y$16:$Z$16</c:f>
              <c:numCache>
                <c:formatCode>0.0</c:formatCode>
                <c:ptCount val="2"/>
                <c:pt idx="0" formatCode="General">
                  <c:v>49.999999999999993</c:v>
                </c:pt>
                <c:pt idx="1">
                  <c:v>80</c:v>
                </c:pt>
              </c:numCache>
            </c:numRef>
          </c:xVal>
          <c:yVal>
            <c:numRef>
              <c:f>'Body Kinematic'!$Y$17:$Z$17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22-48CF-8EE9-0E06B2EB50A0}"/>
            </c:ext>
          </c:extLst>
        </c:ser>
        <c:ser>
          <c:idx val="6"/>
          <c:order val="4"/>
          <c:tx>
            <c:v>Leg R1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Kinematic'!$AE$16:$AF$16</c:f>
              <c:numCache>
                <c:formatCode>0.0</c:formatCode>
                <c:ptCount val="2"/>
                <c:pt idx="0" formatCode="General">
                  <c:v>-49.999999999999993</c:v>
                </c:pt>
                <c:pt idx="1">
                  <c:v>-80</c:v>
                </c:pt>
              </c:numCache>
            </c:numRef>
          </c:xVal>
          <c:yVal>
            <c:numRef>
              <c:f>'Body Kinematic'!$AE$17:$AF$17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22-48CF-8EE9-0E06B2EB50A0}"/>
            </c:ext>
          </c:extLst>
        </c:ser>
        <c:ser>
          <c:idx val="5"/>
          <c:order val="5"/>
          <c:tx>
            <c:v>Leg R2</c:v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Kinematic'!$AC$16:$AD$16</c:f>
              <c:numCache>
                <c:formatCode>0.0</c:formatCode>
                <c:ptCount val="2"/>
                <c:pt idx="0" formatCode="General">
                  <c:v>-80</c:v>
                </c:pt>
                <c:pt idx="1">
                  <c:v>-110</c:v>
                </c:pt>
              </c:numCache>
            </c:numRef>
          </c:xVal>
          <c:yVal>
            <c:numRef>
              <c:f>'Body Kinematic'!$AC$17:$AD$17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22-48CF-8EE9-0E06B2EB50A0}"/>
            </c:ext>
          </c:extLst>
        </c:ser>
        <c:ser>
          <c:idx val="4"/>
          <c:order val="6"/>
          <c:tx>
            <c:v>Leg R3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'Body Kinematic'!$AA$16:$AB$16</c:f>
              <c:numCache>
                <c:formatCode>0.0</c:formatCode>
                <c:ptCount val="2"/>
                <c:pt idx="0" formatCode="General">
                  <c:v>-49.999999999999993</c:v>
                </c:pt>
                <c:pt idx="1">
                  <c:v>-80</c:v>
                </c:pt>
              </c:numCache>
            </c:numRef>
          </c:xVal>
          <c:yVal>
            <c:numRef>
              <c:f>'Body Kinematic'!$AA$17:$AB$17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22-48CF-8EE9-0E06B2EB5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457784"/>
        <c:axId val="547460920"/>
      </c:scatterChart>
      <c:valAx>
        <c:axId val="547457784"/>
        <c:scaling>
          <c:orientation val="minMax"/>
          <c:max val="250"/>
          <c:min val="-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</a:t>
                </a:r>
              </a:p>
            </c:rich>
          </c:tx>
          <c:layout>
            <c:manualLayout>
              <c:xMode val="edge"/>
              <c:yMode val="edge"/>
              <c:x val="0.57000469187993108"/>
              <c:y val="5.379235833977406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60920"/>
        <c:crosses val="autoZero"/>
        <c:crossBetween val="midCat"/>
        <c:majorUnit val="250"/>
      </c:valAx>
      <c:valAx>
        <c:axId val="547460920"/>
        <c:scaling>
          <c:orientation val="minMax"/>
          <c:max val="2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94882829372726629"/>
              <c:y val="0.50132653908350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7457784"/>
        <c:crosses val="autoZero"/>
        <c:crossBetween val="midCat"/>
        <c:majorUnit val="250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726141</xdr:colOff>
      <xdr:row>34</xdr:row>
      <xdr:rowOff>17929</xdr:rowOff>
    </xdr:from>
    <xdr:ext cx="2689413" cy="7323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6204921" y="6373009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6204921" y="6373009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〗&amp;𝑑_0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−cos〗⁡〖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〗&amp;𝑑_0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39</xdr:row>
      <xdr:rowOff>7043</xdr:rowOff>
    </xdr:from>
    <xdr:ext cx="2689413" cy="7352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6124237" y="7291763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6124237" y="7291763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&amp;𝑑_1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&amp;𝑑_1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43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6128721" y="816595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6128721" y="816595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&amp;〖−sin〗⁡〖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170328</xdr:colOff>
      <xdr:row>1</xdr:row>
      <xdr:rowOff>44822</xdr:rowOff>
    </xdr:from>
    <xdr:to>
      <xdr:col>8</xdr:col>
      <xdr:colOff>977153</xdr:colOff>
      <xdr:row>24</xdr:row>
      <xdr:rowOff>152400</xdr:rowOff>
    </xdr:to>
    <xdr:graphicFrame macro="">
      <xdr:nvGraphicFramePr>
        <xdr:cNvPr id="6" name="Diagramm 5" title="Top view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30480</xdr:colOff>
      <xdr:row>2</xdr:row>
      <xdr:rowOff>0</xdr:rowOff>
    </xdr:from>
    <xdr:to>
      <xdr:col>2</xdr:col>
      <xdr:colOff>335280</xdr:colOff>
      <xdr:row>3</xdr:row>
      <xdr:rowOff>121920</xdr:rowOff>
    </xdr:to>
    <xdr:sp macro="" textlink="">
      <xdr:nvSpPr>
        <xdr:cNvPr id="7" name="AutoShape 4" descr="x_{n}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1546860" y="411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418652</xdr:colOff>
      <xdr:row>7</xdr:row>
      <xdr:rowOff>17929</xdr:rowOff>
    </xdr:from>
    <xdr:to>
      <xdr:col>25</xdr:col>
      <xdr:colOff>607807</xdr:colOff>
      <xdr:row>8</xdr:row>
      <xdr:rowOff>139849</xdr:rowOff>
    </xdr:to>
    <xdr:sp macro="" textlink="">
      <xdr:nvSpPr>
        <xdr:cNvPr id="8" name="AutoShape 7" descr="z_{{n-1}}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21404132" y="1343809"/>
          <a:ext cx="30345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30480</xdr:colOff>
      <xdr:row>3</xdr:row>
      <xdr:rowOff>0</xdr:rowOff>
    </xdr:from>
    <xdr:to>
      <xdr:col>2</xdr:col>
      <xdr:colOff>335280</xdr:colOff>
      <xdr:row>4</xdr:row>
      <xdr:rowOff>121920</xdr:rowOff>
    </xdr:to>
    <xdr:sp macro="" textlink="">
      <xdr:nvSpPr>
        <xdr:cNvPr id="9" name="AutoShape 8" descr="x_{n}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1546860" y="594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30480</xdr:colOff>
      <xdr:row>17</xdr:row>
      <xdr:rowOff>0</xdr:rowOff>
    </xdr:from>
    <xdr:to>
      <xdr:col>2</xdr:col>
      <xdr:colOff>335280</xdr:colOff>
      <xdr:row>18</xdr:row>
      <xdr:rowOff>121920</xdr:rowOff>
    </xdr:to>
    <xdr:sp macro="" textlink="">
      <xdr:nvSpPr>
        <xdr:cNvPr id="10" name="AutoShape 14" descr="z_{n}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546860" y="3154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8</xdr:col>
      <xdr:colOff>589109</xdr:colOff>
      <xdr:row>48</xdr:row>
      <xdr:rowOff>103093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 txBox="1"/>
          </xdr:nvSpPr>
          <xdr:spPr>
            <a:xfrm>
              <a:off x="6075509" y="9138236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6075509" y="9138236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_3^4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〗&amp;0&amp;𝑑_3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〗&amp;0&amp;𝑑_3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&amp;0&amp;1&amp;0@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8</xdr:col>
      <xdr:colOff>986117</xdr:colOff>
      <xdr:row>1</xdr:row>
      <xdr:rowOff>35858</xdr:rowOff>
    </xdr:from>
    <xdr:to>
      <xdr:col>15</xdr:col>
      <xdr:colOff>484094</xdr:colOff>
      <xdr:row>25</xdr:row>
      <xdr:rowOff>8964</xdr:rowOff>
    </xdr:to>
    <xdr:graphicFrame macro="">
      <xdr:nvGraphicFramePr>
        <xdr:cNvPr id="12" name="Diagramm 11" title="Top view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30</xdr:col>
      <xdr:colOff>19723</xdr:colOff>
      <xdr:row>38</xdr:row>
      <xdr:rowOff>80345</xdr:rowOff>
    </xdr:from>
    <xdr:ext cx="2910167" cy="7725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 txBox="1"/>
          </xdr:nvSpPr>
          <xdr:spPr>
            <a:xfrm>
              <a:off x="24335143" y="7182185"/>
              <a:ext cx="2910167" cy="7725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24335143" y="7182185"/>
              <a:ext cx="2910167" cy="7725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𝑐〗_1&amp;𝑠_0&amp;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𝑠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&amp;〖〖𝑐_0 𝑑〗_1 𝑐〗_1+ 〖𝑑_0 𝑐〗_0@〖𝑠_0 𝑐〗_1&amp;−𝑐_0&amp;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𝑠〗_1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&amp;〖〖𝑠_0 𝑑〗_1 𝑐〗_1+ 〖𝑑_0 𝑠〗_0@𝑠_1&amp;0&amp;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−𝑐_1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&amp;〖𝑑_1 𝑠〗_1@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30</xdr:col>
      <xdr:colOff>41698</xdr:colOff>
      <xdr:row>43</xdr:row>
      <xdr:rowOff>102011</xdr:rowOff>
    </xdr:from>
    <xdr:ext cx="6221942" cy="89595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feld 13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:cNvPr>
            <xdr:cNvSpPr txBox="1"/>
          </xdr:nvSpPr>
          <xdr:spPr>
            <a:xfrm>
              <a:off x="24174238" y="8133491"/>
              <a:ext cx="6221942" cy="8959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4" name="Textfeld 13"/>
            <xdr:cNvSpPr txBox="1"/>
          </xdr:nvSpPr>
          <xdr:spPr>
            <a:xfrm>
              <a:off x="24174238" y="8133491"/>
              <a:ext cx="6221942" cy="8959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𝑐_1&amp;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〖𝑐_0 𝑠〗_1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〗_0 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〖𝑐_0 𝑠〗_1 𝑐_2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 𝑑〗_1 𝑐〗_1+ 〖𝑑_0 𝑐〗_0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@〖𝑠_0 𝑐〗_1&amp;〖−𝑐〗_0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〖𝑠_0 𝑠〗_1 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 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𝑠〗_1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𝑐_2&amp;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𝑑〗_1 𝑐〗_1+ 〖𝑑_0 𝑠〗_0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@𝑠_1&amp;−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𝑐_1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𝑐_2&amp;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𝑑_1 𝑠〗_1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37</xdr:col>
      <xdr:colOff>98213</xdr:colOff>
      <xdr:row>43</xdr:row>
      <xdr:rowOff>166794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feld 17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 txBox="1"/>
          </xdr:nvSpPr>
          <xdr:spPr>
            <a:xfrm>
              <a:off x="28497953" y="8198274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8" name="Textfeld 17"/>
            <xdr:cNvSpPr txBox="1"/>
          </xdr:nvSpPr>
          <xdr:spPr>
            <a:xfrm>
              <a:off x="28497953" y="8198274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(■8(𝑐_3&amp;〖−𝑠〗_3&amp;0&amp;𝑑_3 𝑐_3@𝑠_3&amp;𝑐_3&amp;0&amp;𝑑_3 𝑠_3@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&amp;0&amp;1&amp;0@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29</xdr:col>
      <xdr:colOff>709022</xdr:colOff>
      <xdr:row>48</xdr:row>
      <xdr:rowOff>120832</xdr:rowOff>
    </xdr:from>
    <xdr:ext cx="5409838" cy="9164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SpPr txBox="1"/>
          </xdr:nvSpPr>
          <xdr:spPr>
            <a:xfrm>
              <a:off x="24125282" y="9081952"/>
              <a:ext cx="5409838" cy="9164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d>
                                <m:d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 </m:t>
                                  </m:r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d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+(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</m:m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+</m:t>
                              </m:r>
                              <m:d>
                                <m:d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d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−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/>
                            <m:e/>
                            <m:e/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4125282" y="9081952"/>
              <a:ext cx="5409838" cy="9164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i="0">
                  <a:latin typeface="Cambria Math" panose="02040503050406030204" pitchFamily="18" charset="0"/>
                </a:rPr>
                <a:t>(■8(&amp;&amp;&amp;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𝑑_3 𝑐_3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𝑐_2+ 〖𝑐_0 𝑠〗_1 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𝑑_3 𝑠_3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〖〖𝑐_0 𝑑〗_1 𝑐〗_1+ 〖𝑑_0 𝑐〗_0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@&amp;&amp;&amp;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𝑐〗_1 𝑑_3 𝑐_3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−𝑐〗_0 𝑐_2+〖𝑠_0 𝑠〗_1 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 𝑑_3 𝑠_3+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𝑑〗_1 𝑐〗_1+ 〖𝑑_0 𝑠〗_0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@&amp;&amp;&amp;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𝑠_1 𝑑_3 𝑐_3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−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𝑐_1 𝑠_2 𝑑_3 𝑠_3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〖𝑑_1 𝑠〗_1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@&amp;&amp;&amp;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394447</xdr:colOff>
      <xdr:row>65</xdr:row>
      <xdr:rowOff>13090</xdr:rowOff>
    </xdr:from>
    <xdr:ext cx="1222685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feld 19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SpPr txBox="1"/>
          </xdr:nvSpPr>
          <xdr:spPr>
            <a:xfrm>
              <a:off x="394447" y="13508110"/>
              <a:ext cx="122268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𝐵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0" name="Textfeld 19"/>
            <xdr:cNvSpPr txBox="1"/>
          </xdr:nvSpPr>
          <xdr:spPr>
            <a:xfrm>
              <a:off x="394447" y="13508110"/>
              <a:ext cx="122268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321804</xdr:colOff>
      <xdr:row>65</xdr:row>
      <xdr:rowOff>55424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feld 2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 txBox="1"/>
          </xdr:nvSpPr>
          <xdr:spPr>
            <a:xfrm>
              <a:off x="1838184" y="1355044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𝐴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1" name="Textfeld 20"/>
            <xdr:cNvSpPr txBox="1"/>
          </xdr:nvSpPr>
          <xdr:spPr>
            <a:xfrm>
              <a:off x="1838184" y="1355044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10</xdr:col>
      <xdr:colOff>897537</xdr:colOff>
      <xdr:row>65</xdr:row>
      <xdr:rowOff>38491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feld 21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SpPr txBox="1"/>
          </xdr:nvSpPr>
          <xdr:spPr>
            <a:xfrm>
              <a:off x="8372757" y="13533511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2" name="Textfeld 21"/>
            <xdr:cNvSpPr txBox="1"/>
          </xdr:nvSpPr>
          <xdr:spPr>
            <a:xfrm>
              <a:off x="8372757" y="13533511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601133</xdr:colOff>
      <xdr:row>73</xdr:row>
      <xdr:rowOff>143933</xdr:rowOff>
    </xdr:from>
    <xdr:ext cx="2023533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feld 22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 txBox="1"/>
          </xdr:nvSpPr>
          <xdr:spPr>
            <a:xfrm>
              <a:off x="601133" y="15178193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𝐻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sin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𝑎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  <m:func>
                        <m:func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uncPr>
                        <m:fNam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cos</m:t>
                          </m:r>
                        </m:fName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𝑎</m:t>
                          </m:r>
                        </m:e>
                      </m:func>
                    </m:e>
                  </m:func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23" name="Textfeld 22"/>
            <xdr:cNvSpPr txBox="1"/>
          </xdr:nvSpPr>
          <xdr:spPr>
            <a:xfrm>
              <a:off x="601133" y="15178193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𝐻+𝑆 sin⁡〖𝑎+𝑇 cos⁡𝑎 〗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237913</xdr:colOff>
      <xdr:row>76</xdr:row>
      <xdr:rowOff>90593</xdr:rowOff>
    </xdr:from>
    <xdr:ext cx="2023533" cy="3272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feld 23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SpPr txBox="1"/>
          </xdr:nvSpPr>
          <xdr:spPr>
            <a:xfrm>
              <a:off x="3804073" y="15673493"/>
              <a:ext cx="2023533" cy="3272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=0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groupChrPr>
                    <m:e>
                      <m:r>
                        <m:rPr>
                          <m:brk m:alnAt="2"/>
                        </m:r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𝑧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=0</m:t>
                      </m:r>
                    </m:e>
                  </m:groupCh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24" name="Textfeld 23"/>
            <xdr:cNvSpPr txBox="1"/>
          </xdr:nvSpPr>
          <xdr:spPr>
            <a:xfrm>
              <a:off x="3804073" y="15673493"/>
              <a:ext cx="2023533" cy="3272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𝑆(𝐵𝐻) ⃑=0⇒┴(𝑆𝑧=0)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</xdr:col>
      <xdr:colOff>0</xdr:colOff>
      <xdr:row>75</xdr:row>
      <xdr:rowOff>8466</xdr:rowOff>
    </xdr:from>
    <xdr:ext cx="2023533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feld 24">
              <a:extLst>
                <a:ext uri="{FF2B5EF4-FFF2-40B4-BE49-F238E27FC236}">
                  <a16:creationId xmlns:a16="http://schemas.microsoft.com/office/drawing/2014/main" id="{00000000-0008-0000-0100-000019000000}"/>
                </a:ext>
              </a:extLst>
            </xdr:cNvPr>
            <xdr:cNvSpPr txBox="1"/>
          </xdr:nvSpPr>
          <xdr:spPr>
            <a:xfrm>
              <a:off x="609600" y="15408486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 </m:t>
                  </m:r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</m:oMath>
              </a14:m>
              <a:r>
                <a:rPr lang="de-DE" sz="1100"/>
                <a:t>   </a:t>
              </a:r>
            </a:p>
          </xdr:txBody>
        </xdr:sp>
      </mc:Choice>
      <mc:Fallback xmlns="">
        <xdr:sp macro="" textlink="">
          <xdr:nvSpPr>
            <xdr:cNvPr id="25" name="Textfeld 24"/>
            <xdr:cNvSpPr txBox="1"/>
          </xdr:nvSpPr>
          <xdr:spPr>
            <a:xfrm>
              <a:off x="609600" y="15408486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|𝑆|= |𝑇|=ℎ_𝑐</a:t>
              </a:r>
              <a:r>
                <a:rPr lang="de-DE" sz="110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22860</xdr:colOff>
      <xdr:row>76</xdr:row>
      <xdr:rowOff>28787</xdr:rowOff>
    </xdr:from>
    <xdr:ext cx="2023533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feld 25">
              <a:extLst>
                <a:ext uri="{FF2B5EF4-FFF2-40B4-BE49-F238E27FC236}">
                  <a16:creationId xmlns:a16="http://schemas.microsoft.com/office/drawing/2014/main" id="{00000000-0008-0000-0100-00001A000000}"/>
                </a:ext>
              </a:extLst>
            </xdr:cNvPr>
            <xdr:cNvSpPr txBox="1"/>
          </xdr:nvSpPr>
          <xdr:spPr>
            <a:xfrm>
              <a:off x="632460" y="15611687"/>
              <a:ext cx="2023533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6" name="Textfeld 25"/>
            <xdr:cNvSpPr txBox="1"/>
          </xdr:nvSpPr>
          <xdr:spPr>
            <a:xfrm>
              <a:off x="632460" y="15611687"/>
              <a:ext cx="2023533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𝑇=𝑆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(𝐵𝐻) ⃑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7</xdr:col>
      <xdr:colOff>59266</xdr:colOff>
      <xdr:row>72</xdr:row>
      <xdr:rowOff>33867</xdr:rowOff>
    </xdr:from>
    <xdr:ext cx="2658533" cy="20254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Textfeld 26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SpPr txBox="1"/>
          </xdr:nvSpPr>
          <xdr:spPr>
            <a:xfrm>
              <a:off x="4997026" y="14885247"/>
              <a:ext cx="2658533" cy="2025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±</m:t>
                              </m:r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sSub>
                                        <m:sSub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h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sub>
                                      </m:sSub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 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d>
                                        <m:d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dPr>
                                        <m:e>
                                          <m:f>
                                            <m:f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Pr>
                                            <m:num>
                                              <m:sSub>
                                                <m:sSub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bPr>
                                                <m:e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h</m:t>
                                                  </m:r>
                                                </m:e>
                                                <m:sub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𝑐</m:t>
                                                  </m:r>
                                                </m:sub>
                                              </m:sSub>
                                            </m:num>
                                            <m:den>
                                              <m:rad>
                                                <m:radPr>
                                                  <m:degHide m:val="on"/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radPr>
                                                <m:deg/>
                                                <m:e>
                                                  <m:sSup>
                                                    <m:sSup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pPr>
                                                    <m:e>
                                                      <m:d>
                                                        <m:dPr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dPr>
                                                        <m:e>
                                                          <m:f>
                                                            <m:fPr>
                                                              <m:ctrlPr>
                                                                <a:rPr lang="de-DE" sz="1100" b="0" i="1"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  <a:effectLst/>
                                                                  <a:latin typeface="Cambria Math" panose="02040503050406030204" pitchFamily="18" charset="0"/>
                                                                  <a:ea typeface="+mn-ea"/>
                                                                  <a:cs typeface="+mn-cs"/>
                                                                </a:rPr>
                                                              </m:ctrlPr>
                                                            </m:fPr>
                                                            <m:num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acc>
                                                                    <m:accPr>
                                                                      <m:chr m:val="⃑"/>
                                                                      <m:ctrlP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</m:ctrlPr>
                                                                    </m:accPr>
                                                                    <m:e>
                                                                      <m: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  <m:t>𝐵𝐻</m:t>
                                                                      </m:r>
                                                                    </m:e>
                                                                  </m:acc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𝑥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num>
                                                            <m:den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acc>
                                                                    <m:accPr>
                                                                      <m:chr m:val="⃑"/>
                                                                      <m:ctrlP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</m:ctrlPr>
                                                                    </m:accPr>
                                                                    <m:e>
                                                                      <m: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  <m:t>𝐵𝐻</m:t>
                                                                      </m:r>
                                                                    </m:e>
                                                                  </m:acc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𝑦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den>
                                                          </m:f>
                                                        </m:e>
                                                      </m:d>
                                                    </m:e>
                                                    <m:sup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2</m:t>
                                                      </m:r>
                                                    </m:sup>
                                                  </m:sSup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+1</m:t>
                                                  </m:r>
                                                </m:e>
                                              </m:rad>
                                            </m:den>
                                          </m:f>
                                        </m:e>
                                      </m:d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</m:e>
                              </m:rad>
                            </m:e>
                          </m:mr>
                          <m:mr>
                            <m:e>
                              <m:f>
                                <m:f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h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sub>
                                  </m:sSub>
                                </m:num>
                                <m:den>
                                  <m:rad>
                                    <m:radPr>
                                      <m:degHide m:val="on"/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radPr>
                                    <m:deg/>
                                    <m:e>
                                      <m:sSup>
                                        <m:sSup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pPr>
                                        <m:e>
                                          <m:d>
                                            <m:d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dPr>
                                            <m:e>
                                              <m:f>
                                                <m:f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fPr>
                                                <m:num>
                                                  <m:sSub>
                                                    <m:sSub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acc>
                                                        <m:accPr>
                                                          <m:chr m:val="⃑"/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accPr>
                                                        <m:e>
                                                          <m: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  <m:t>𝐵𝐻</m:t>
                                                          </m:r>
                                                        </m:e>
                                                      </m:acc>
                                                    </m:e>
                                                    <m:sub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𝑥</m:t>
                                                      </m:r>
                                                    </m:sub>
                                                  </m:sSub>
                                                </m:num>
                                                <m:den>
                                                  <m:sSub>
                                                    <m:sSub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acc>
                                                        <m:accPr>
                                                          <m:chr m:val="⃑"/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accPr>
                                                        <m:e>
                                                          <m: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  <m:t>𝐵𝐻</m:t>
                                                          </m:r>
                                                        </m:e>
                                                      </m:acc>
                                                    </m:e>
                                                    <m:sub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𝑦</m:t>
                                                      </m:r>
                                                    </m:sub>
                                                  </m:sSub>
                                                </m:den>
                                              </m:f>
                                            </m:e>
                                          </m:d>
                                        </m:e>
                                        <m:sup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2</m:t>
                                          </m:r>
                                        </m:sup>
                                      </m:s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+1</m:t>
                                      </m:r>
                                    </m:e>
                                  </m:rad>
                                </m:den>
                              </m:f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7" name="Textfeld 26"/>
            <xdr:cNvSpPr txBox="1"/>
          </xdr:nvSpPr>
          <xdr:spPr>
            <a:xfrm>
              <a:off x="4997026" y="14885247"/>
              <a:ext cx="2658533" cy="2025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𝑆= 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±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√(〖ℎ_𝑐〗^2− (ℎ_𝑐/√(((𝐵𝐻) ⃑_𝑥/(𝐵𝐻) ⃑_𝑦 )^2+1))^2 )@ℎ_𝑐/√(((𝐵𝐻) ⃑_𝑥/(𝐵𝐻) ⃑_𝑦 )^2+1)@0))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237138</xdr:colOff>
      <xdr:row>74</xdr:row>
      <xdr:rowOff>59267</xdr:rowOff>
    </xdr:from>
    <xdr:ext cx="1523929" cy="5027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>
              <a:extLst>
                <a:ext uri="{FF2B5EF4-FFF2-40B4-BE49-F238E27FC236}">
                  <a16:creationId xmlns:a16="http://schemas.microsoft.com/office/drawing/2014/main" id="{00000000-0008-0000-0100-00001C000000}"/>
                </a:ext>
              </a:extLst>
            </xdr:cNvPr>
            <xdr:cNvSpPr txBox="1"/>
          </xdr:nvSpPr>
          <xdr:spPr>
            <a:xfrm>
              <a:off x="3186078" y="15276407"/>
              <a:ext cx="1523929" cy="5027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3186078" y="15276407"/>
              <a:ext cx="1523929" cy="5027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(𝐵𝐻) ⃑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13</xdr:col>
      <xdr:colOff>42333</xdr:colOff>
      <xdr:row>76</xdr:row>
      <xdr:rowOff>160866</xdr:rowOff>
    </xdr:from>
    <xdr:ext cx="931334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Textfeld 28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SpPr txBox="1"/>
          </xdr:nvSpPr>
          <xdr:spPr>
            <a:xfrm>
              <a:off x="10253133" y="15743766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   </a:t>
              </a:r>
            </a:p>
          </xdr:txBody>
        </xdr:sp>
      </mc:Choice>
      <mc:Fallback xmlns="">
        <xdr:sp macro="" textlink="">
          <xdr:nvSpPr>
            <xdr:cNvPr id="29" name="Textfeld 28"/>
            <xdr:cNvSpPr txBox="1"/>
          </xdr:nvSpPr>
          <xdr:spPr>
            <a:xfrm>
              <a:off x="10253133" y="15743766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|𝑆|=ℎ_𝑐=</a:t>
              </a:r>
              <a:r>
                <a:rPr lang="de-DE" sz="1100"/>
                <a:t>    </a:t>
              </a:r>
            </a:p>
          </xdr:txBody>
        </xdr:sp>
      </mc:Fallback>
    </mc:AlternateContent>
    <xdr:clientData/>
  </xdr:oneCellAnchor>
  <xdr:oneCellAnchor>
    <xdr:from>
      <xdr:col>13</xdr:col>
      <xdr:colOff>33866</xdr:colOff>
      <xdr:row>75</xdr:row>
      <xdr:rowOff>143933</xdr:rowOff>
    </xdr:from>
    <xdr:ext cx="931334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SpPr txBox="1"/>
          </xdr:nvSpPr>
          <xdr:spPr>
            <a:xfrm>
              <a:off x="10244666" y="15543953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10244666" y="15543953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𝑆(𝐵𝐻) ⃑=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10</xdr:col>
      <xdr:colOff>228670</xdr:colOff>
      <xdr:row>76</xdr:row>
      <xdr:rowOff>63890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>
              <a:extLst>
                <a:ext uri="{FF2B5EF4-FFF2-40B4-BE49-F238E27FC236}">
                  <a16:creationId xmlns:a16="http://schemas.microsoft.com/office/drawing/2014/main" id="{00000000-0008-0000-0100-00001F000000}"/>
                </a:ext>
              </a:extLst>
            </xdr:cNvPr>
            <xdr:cNvSpPr txBox="1"/>
          </xdr:nvSpPr>
          <xdr:spPr>
            <a:xfrm>
              <a:off x="7703890" y="15646790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7703890" y="15646790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433493</xdr:colOff>
      <xdr:row>83</xdr:row>
      <xdr:rowOff>55880</xdr:rowOff>
    </xdr:from>
    <xdr:ext cx="265853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SpPr txBox="1"/>
          </xdr:nvSpPr>
          <xdr:spPr>
            <a:xfrm>
              <a:off x="4601633" y="16918940"/>
              <a:ext cx="265853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4601633" y="16918940"/>
              <a:ext cx="265853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𝑇_0=𝑆×(𝐵𝐻) ⃑= (■8( @  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259081</xdr:colOff>
      <xdr:row>87</xdr:row>
      <xdr:rowOff>68581</xdr:rowOff>
    </xdr:from>
    <xdr:ext cx="2509962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SpPr txBox="1"/>
          </xdr:nvSpPr>
          <xdr:spPr>
            <a:xfrm>
              <a:off x="4427221" y="17663161"/>
              <a:ext cx="2509962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h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sub>
                        </m:sSub>
                      </m:num>
                      <m:den>
                        <m:d>
                          <m:dPr>
                            <m:begChr m:val="|"/>
                            <m:endChr m:val="|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</m:e>
                        </m:d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4427221" y="17663161"/>
              <a:ext cx="2509962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𝑇=ℎ_𝑐/|𝑇_0 |  𝑆×(𝐵𝐻) ⃑= (■8( @  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736600</xdr:colOff>
      <xdr:row>87</xdr:row>
      <xdr:rowOff>169333</xdr:rowOff>
    </xdr:from>
    <xdr:ext cx="931334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feld 33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SpPr txBox="1"/>
          </xdr:nvSpPr>
          <xdr:spPr>
            <a:xfrm>
              <a:off x="7198360" y="17763913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   </a:t>
              </a:r>
            </a:p>
          </xdr:txBody>
        </xdr:sp>
      </mc:Choice>
      <mc:Fallback xmlns="">
        <xdr:sp macro="" textlink="">
          <xdr:nvSpPr>
            <xdr:cNvPr id="34" name="Textfeld 33"/>
            <xdr:cNvSpPr txBox="1"/>
          </xdr:nvSpPr>
          <xdr:spPr>
            <a:xfrm>
              <a:off x="7198360" y="17763913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|𝑇|=ℎ_𝑐=</a:t>
              </a:r>
              <a:r>
                <a:rPr lang="de-DE" sz="1100"/>
                <a:t>    </a:t>
              </a:r>
            </a:p>
          </xdr:txBody>
        </xdr:sp>
      </mc:Fallback>
    </mc:AlternateContent>
    <xdr:clientData/>
  </xdr:oneCellAnchor>
  <xdr:oneCellAnchor>
    <xdr:from>
      <xdr:col>9</xdr:col>
      <xdr:colOff>745066</xdr:colOff>
      <xdr:row>86</xdr:row>
      <xdr:rowOff>118534</xdr:rowOff>
    </xdr:from>
    <xdr:ext cx="931334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SpPr txBox="1"/>
          </xdr:nvSpPr>
          <xdr:spPr>
            <a:xfrm>
              <a:off x="7206826" y="17530234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7206826" y="17530234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𝑇(𝐵𝐻) ⃑=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10</xdr:col>
      <xdr:colOff>0</xdr:colOff>
      <xdr:row>89</xdr:row>
      <xdr:rowOff>0</xdr:rowOff>
    </xdr:from>
    <xdr:ext cx="931334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SpPr txBox="1"/>
          </xdr:nvSpPr>
          <xdr:spPr>
            <a:xfrm>
              <a:off x="7475220" y="17960340"/>
              <a:ext cx="931334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𝑇𝑆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475220" y="17960340"/>
              <a:ext cx="931334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𝑇𝑆=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2</xdr:col>
      <xdr:colOff>406400</xdr:colOff>
      <xdr:row>93</xdr:row>
      <xdr:rowOff>110066</xdr:rowOff>
    </xdr:from>
    <xdr:ext cx="4944533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>
              <a:extLst>
                <a:ext uri="{FF2B5EF4-FFF2-40B4-BE49-F238E27FC236}">
                  <a16:creationId xmlns:a16="http://schemas.microsoft.com/office/drawing/2014/main" id="{00000000-0008-0000-0100-000025000000}"/>
                </a:ext>
              </a:extLst>
            </xdr:cNvPr>
            <xdr:cNvSpPr txBox="1"/>
          </xdr:nvSpPr>
          <xdr:spPr>
            <a:xfrm>
              <a:off x="1922780" y="18801926"/>
              <a:ext cx="4944533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</m:m>
                      </m:e>
                    </m:d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func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922780" y="18801926"/>
              <a:ext cx="4944533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(■8(0@0@0)) 𝑇_0^2= (■8(〖〖𝑐_0 𝑑〗_1 𝑐〗_1+ 〖𝑑_0 𝑐〗_0@〖〖𝑠_0 𝑑〗_1 𝑐〗_1+ 〖𝑑_0 𝑠〗_0@〖𝑑_1 𝑠〗_1 ))=𝐾(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cos⁡𝛼 〗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8466</xdr:colOff>
      <xdr:row>98</xdr:row>
      <xdr:rowOff>118532</xdr:rowOff>
    </xdr:from>
    <xdr:ext cx="3742267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>
              <a:extLst>
                <a:ext uri="{FF2B5EF4-FFF2-40B4-BE49-F238E27FC236}">
                  <a16:creationId xmlns:a16="http://schemas.microsoft.com/office/drawing/2014/main" id="{00000000-0008-0000-0100-000026000000}"/>
                </a:ext>
              </a:extLst>
            </xdr:cNvPr>
            <xdr:cNvSpPr txBox="1"/>
          </xdr:nvSpPr>
          <xdr:spPr>
            <a:xfrm>
              <a:off x="8466" y="19724792"/>
              <a:ext cx="3742267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func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8466" y="19724792"/>
              <a:ext cx="3742267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(■8(〖〖𝑐_0 𝑑〗_1 𝑐〗_1+ 〖𝑑_0 𝑐〗_0@〖〖𝑠_0 𝑑〗_1 𝑐〗_1+ 〖𝑑_0 𝑠〗_0@〖𝑑_1 𝑠〗_1 ))=𝐾(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cos⁡𝛼 〗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355600</xdr:colOff>
      <xdr:row>98</xdr:row>
      <xdr:rowOff>67732</xdr:rowOff>
    </xdr:from>
    <xdr:ext cx="2917687" cy="4506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>
              <a:extLst>
                <a:ext uri="{FF2B5EF4-FFF2-40B4-BE49-F238E27FC236}">
                  <a16:creationId xmlns:a16="http://schemas.microsoft.com/office/drawing/2014/main" id="{00000000-0008-0000-0100-000027000000}"/>
                </a:ext>
              </a:extLst>
            </xdr:cNvPr>
            <xdr:cNvSpPr txBox="1"/>
          </xdr:nvSpPr>
          <xdr:spPr>
            <a:xfrm>
              <a:off x="6817360" y="19673992"/>
              <a:ext cx="2917687" cy="450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6817360" y="19673992"/>
              <a:ext cx="2917687" cy="450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𝑑_1 𝑐〗_1=  (−〖𝑑_0 𝑐〗_0+ 𝐻_𝑥+𝑆_𝑥  sin⁡〖𝛼+𝑇_𝑥  cos⁡𝛼 〗)/𝑐_0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338667</xdr:colOff>
      <xdr:row>101</xdr:row>
      <xdr:rowOff>82457</xdr:rowOff>
    </xdr:from>
    <xdr:ext cx="3186411" cy="4467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Textfeld 39">
              <a:extLst>
                <a:ext uri="{FF2B5EF4-FFF2-40B4-BE49-F238E27FC236}">
                  <a16:creationId xmlns:a16="http://schemas.microsoft.com/office/drawing/2014/main" id="{00000000-0008-0000-0100-000028000000}"/>
                </a:ext>
              </a:extLst>
            </xdr:cNvPr>
            <xdr:cNvSpPr txBox="1"/>
          </xdr:nvSpPr>
          <xdr:spPr>
            <a:xfrm>
              <a:off x="6800427" y="20252597"/>
              <a:ext cx="3186411" cy="44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0" name="Textfeld 39"/>
            <xdr:cNvSpPr txBox="1"/>
          </xdr:nvSpPr>
          <xdr:spPr>
            <a:xfrm>
              <a:off x="6800427" y="20252597"/>
              <a:ext cx="3186411" cy="44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𝑑_1 𝑐〗_1=  (−〖𝑑_0 𝑠〗_0+ 𝐻_𝑦+𝑆_𝑦  sin⁡〖𝛼+𝑇_𝑦  cos⁡𝛼 〗)/𝑠_0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88347</xdr:colOff>
      <xdr:row>104</xdr:row>
      <xdr:rowOff>93500</xdr:rowOff>
    </xdr:from>
    <xdr:ext cx="4920975" cy="5492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>
              <a:extLst>
                <a:ext uri="{FF2B5EF4-FFF2-40B4-BE49-F238E27FC236}">
                  <a16:creationId xmlns:a16="http://schemas.microsoft.com/office/drawing/2014/main" id="{00000000-0008-0000-0100-000029000000}"/>
                </a:ext>
              </a:extLst>
            </xdr:cNvPr>
            <xdr:cNvSpPr txBox="1"/>
          </xdr:nvSpPr>
          <xdr:spPr>
            <a:xfrm>
              <a:off x="88347" y="20812280"/>
              <a:ext cx="4920975" cy="5492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88347" y="20812280"/>
              <a:ext cx="4920975" cy="5492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(−〖𝑑_0 𝑐〗_0+ 𝐻_𝑥+𝑆_𝑥  sin⁡〖𝛼+𝑇_𝑥  cos⁡𝛼 〗)/𝑐_0 =  (−〖𝑑_0 𝑠〗_0+ 𝐻_𝑦+𝑆_𝑦  sin⁡〖𝛼+𝑇_𝑦  cos⁡𝛼 〗)/𝑠_0 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112643</xdr:colOff>
      <xdr:row>109</xdr:row>
      <xdr:rowOff>39756</xdr:rowOff>
    </xdr:from>
    <xdr:ext cx="5413514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Textfeld 41">
              <a:extLst>
                <a:ext uri="{FF2B5EF4-FFF2-40B4-BE49-F238E27FC236}">
                  <a16:creationId xmlns:a16="http://schemas.microsoft.com/office/drawing/2014/main" id="{00000000-0008-0000-0100-00002A000000}"/>
                </a:ext>
              </a:extLst>
            </xdr:cNvPr>
            <xdr:cNvSpPr txBox="1"/>
          </xdr:nvSpPr>
          <xdr:spPr>
            <a:xfrm>
              <a:off x="112643" y="21672936"/>
              <a:ext cx="541351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2" name="Textfeld 41"/>
            <xdr:cNvSpPr txBox="1"/>
          </xdr:nvSpPr>
          <xdr:spPr>
            <a:xfrm>
              <a:off x="112643" y="21672936"/>
              <a:ext cx="541351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(−〖𝑑_0 𝑐〗_0+ 𝐻_𝑥+𝑆_𝑥  sin⁡〖𝛼+𝑇_𝑥  cos⁡𝛼 〗 )= 𝑐_0 (−〖𝑑_0 𝑠〗_0+ 𝐻_𝑦+𝑆_𝑦  sin⁡〖𝛼+𝑇_𝑦  cos⁡𝛼 〗 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112643</xdr:colOff>
      <xdr:row>111</xdr:row>
      <xdr:rowOff>6236</xdr:rowOff>
    </xdr:from>
    <xdr:ext cx="632401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Textfeld 42">
              <a:extLst>
                <a:ext uri="{FF2B5EF4-FFF2-40B4-BE49-F238E27FC236}">
                  <a16:creationId xmlns:a16="http://schemas.microsoft.com/office/drawing/2014/main" id="{00000000-0008-0000-0100-00002B000000}"/>
                </a:ext>
              </a:extLst>
            </xdr:cNvPr>
            <xdr:cNvSpPr txBox="1"/>
          </xdr:nvSpPr>
          <xdr:spPr>
            <a:xfrm>
              <a:off x="112643" y="22005176"/>
              <a:ext cx="632401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  <m:func>
                    <m:func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sin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𝛼</m:t>
                      </m:r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 </m:t>
                  </m:r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𝛼</m:t>
                      </m:r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 −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𝑑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+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de-DE" sz="1100"/>
                <a:t>+</a:t>
              </a:r>
              <a14:m>
                <m:oMath xmlns:m="http://schemas.openxmlformats.org/officeDocument/2006/math"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𝑑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r>
                <a:rPr lang="de-DE" sz="1100"/>
                <a:t> = </a:t>
              </a:r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</m:oMath>
              </a14:m>
              <a:r>
                <a:rPr lang="de-DE" sz="1100"/>
                <a:t> - </a:t>
              </a:r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43" name="Textfeld 42"/>
            <xdr:cNvSpPr txBox="1"/>
          </xdr:nvSpPr>
          <xdr:spPr>
            <a:xfrm>
              <a:off x="112643" y="22005176"/>
              <a:ext cx="632401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𝑆_𝑥  − 𝑐_0 𝑆_𝑦 )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 (𝑠_0 𝑇_𝑥−𝑐_0 𝑇_𝑦 )  cos⁡𝛼= 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𝑐〗_0 𝑠_0  + 𝑐_0 𝐻_𝑦  </a:t>
              </a:r>
              <a:r>
                <a:rPr lang="de-DE" sz="1100"/>
                <a:t>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𝑐〗_0 𝑠_0  − 𝑠_0 𝐻_𝑥</a:t>
              </a:r>
              <a:r>
                <a:rPr lang="de-DE" sz="1100"/>
                <a:t> 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𝐻_𝑦</a:t>
              </a:r>
              <a:r>
                <a:rPr lang="de-DE" sz="1100"/>
                <a:t> -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𝑠_0 𝐻_𝑥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284924</xdr:colOff>
      <xdr:row>115</xdr:row>
      <xdr:rowOff>145773</xdr:rowOff>
    </xdr:from>
    <xdr:ext cx="3982276" cy="10204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>
              <a:extLst>
                <a:ext uri="{FF2B5EF4-FFF2-40B4-BE49-F238E27FC236}">
                  <a16:creationId xmlns:a16="http://schemas.microsoft.com/office/drawing/2014/main" id="{00000000-0008-0000-0100-00002C000000}"/>
                </a:ext>
              </a:extLst>
            </xdr:cNvPr>
            <xdr:cNvSpPr txBox="1"/>
          </xdr:nvSpPr>
          <xdr:spPr>
            <a:xfrm>
              <a:off x="894524" y="22876233"/>
              <a:ext cx="3982276" cy="1020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func>
                      <m:func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𝑏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2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𝑎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𝑏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</m:t>
                                  </m:r>
                                </m:e>
                              </m:rad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d>
                                    <m:d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d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𝛼</m:t>
                                      </m:r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  <m:func>
                                        <m:func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funcPr>
                                        <m:fName>
                                          <m:sSup>
                                            <m:sSup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sSupPr>
                                            <m:e>
                                              <m:r>
                                                <m:rPr>
                                                  <m:sty m:val="p"/>
                                                </m:rPr>
                                                <a:rPr lang="de-DE" sz="1100" b="0" i="0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tan</m:t>
                                              </m:r>
                                            </m:e>
                                            <m:sup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−1</m:t>
                                              </m:r>
                                            </m:sup>
                                          </m:sSup>
                                        </m:fName>
                                        <m:e>
                                          <m:f>
                                            <m:f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Pr>
                                            <m:num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𝑏</m:t>
                                              </m:r>
                                            </m:num>
                                            <m:den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𝑎</m:t>
                                              </m:r>
                                            </m:den>
                                          </m:f>
                                        </m:e>
                                      </m:func>
                                    </m:e>
                                  </m:d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ü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𝑟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𝑎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&gt;0</m:t>
                              </m:r>
                            </m:e>
                          </m:mr>
                          <m:mr>
                            <m:e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𝑎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𝑏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 </m:t>
                                  </m:r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d>
                                        <m:d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d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𝛼</m:t>
                                          </m:r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−</m:t>
                                          </m:r>
                                          <m:func>
                                            <m:func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uncPr>
                                            <m:fName>
                                              <m:sSup>
                                                <m:sSup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pPr>
                                                <m:e>
                                                  <m:r>
                                                    <m:rPr>
                                                      <m:sty m:val="p"/>
                                                    </m:rPr>
                                                    <a:rPr lang="de-DE" sz="1100" b="0" i="0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tan</m:t>
                                                  </m:r>
                                                </m:e>
                                                <m:sup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−1</m:t>
                                                  </m:r>
                                                </m:sup>
                                              </m:sSup>
                                            </m:fName>
                                            <m:e>
                                              <m:f>
                                                <m:f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fPr>
                                                <m:num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𝑎</m:t>
                                                  </m:r>
                                                </m:num>
                                                <m:den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𝑏</m:t>
                                                  </m:r>
                                                </m:den>
                                              </m:f>
                                            </m:e>
                                          </m:func>
                                        </m:e>
                                      </m:d>
                                    </m:e>
                                  </m:func>
                                </m:e>
                              </m:rad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ü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𝑟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𝑏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&gt;0</m:t>
                              </m:r>
                            </m:e>
                          </m:m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𝑎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𝛼</m:t>
                                  </m:r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ü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𝑟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𝑏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=0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894524" y="22876233"/>
              <a:ext cx="3982276" cy="1020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cos⁡𝛼={■8(√(𝑎^2+𝑏^2  )  sin⁡(𝛼+tan^(−1)⁡〖𝑏/𝑎〗 )&amp;𝑓ü𝑟 𝑎&gt;0@√(𝑎^2+𝑏^2   cos⁡(𝛼−tan^(−1)⁡〖𝑎/𝑏〗 ) )&amp;𝑓ü𝑟 𝑏&gt;0@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𝛼&amp;𝑓ü𝑟 𝑏=0)┤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30480</xdr:colOff>
      <xdr:row>4</xdr:row>
      <xdr:rowOff>0</xdr:rowOff>
    </xdr:from>
    <xdr:ext cx="304800" cy="301214"/>
    <xdr:sp macro="" textlink="">
      <xdr:nvSpPr>
        <xdr:cNvPr id="45" name="AutoShape 14" descr="z_{n}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1546860" y="777240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564776</xdr:colOff>
      <xdr:row>124</xdr:row>
      <xdr:rowOff>99781</xdr:rowOff>
    </xdr:from>
    <xdr:ext cx="941294" cy="312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Textfeld 45">
              <a:extLst>
                <a:ext uri="{FF2B5EF4-FFF2-40B4-BE49-F238E27FC236}">
                  <a16:creationId xmlns:a16="http://schemas.microsoft.com/office/drawing/2014/main" id="{00000000-0008-0000-0100-00002E000000}"/>
                </a:ext>
              </a:extLst>
            </xdr:cNvPr>
            <xdr:cNvSpPr txBox="1"/>
          </xdr:nvSpPr>
          <xdr:spPr>
            <a:xfrm>
              <a:off x="564776" y="24476161"/>
              <a:ext cx="941294" cy="312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p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p>
                          <m:sSup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p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</m:e>
                    </m:ra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6" name="Textfeld 45"/>
            <xdr:cNvSpPr txBox="1"/>
          </xdr:nvSpPr>
          <xdr:spPr>
            <a:xfrm>
              <a:off x="564776" y="24476161"/>
              <a:ext cx="941294" cy="312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√(𝑎^2+𝑏^2  )=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251012</xdr:colOff>
      <xdr:row>121</xdr:row>
      <xdr:rowOff>113813</xdr:rowOff>
    </xdr:from>
    <xdr:ext cx="1550894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>
              <a:extLst>
                <a:ext uri="{FF2B5EF4-FFF2-40B4-BE49-F238E27FC236}">
                  <a16:creationId xmlns:a16="http://schemas.microsoft.com/office/drawing/2014/main" id="{00000000-0008-0000-0100-00002F000000}"/>
                </a:ext>
              </a:extLst>
            </xdr:cNvPr>
            <xdr:cNvSpPr txBox="1"/>
          </xdr:nvSpPr>
          <xdr:spPr>
            <a:xfrm>
              <a:off x="251012" y="23941553"/>
              <a:ext cx="155089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a = </a:t>
              </a:r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251012" y="23941553"/>
              <a:ext cx="155089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a 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𝑆_𝑥  − 𝑐_0 𝑆_𝑦 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259976</xdr:colOff>
      <xdr:row>122</xdr:row>
      <xdr:rowOff>131743</xdr:rowOff>
    </xdr:from>
    <xdr:ext cx="149710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SpPr txBox="1"/>
          </xdr:nvSpPr>
          <xdr:spPr>
            <a:xfrm>
              <a:off x="259976" y="2414236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b = </a:t>
              </a:r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259976" y="2414236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b 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𝑇_𝑥−𝑐_0 𝑇_𝑦 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277905</xdr:colOff>
      <xdr:row>126</xdr:row>
      <xdr:rowOff>113813</xdr:rowOff>
    </xdr:from>
    <xdr:ext cx="149710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>
              <a:extLst>
                <a:ext uri="{FF2B5EF4-FFF2-40B4-BE49-F238E27FC236}">
                  <a16:creationId xmlns:a16="http://schemas.microsoft.com/office/drawing/2014/main" id="{00000000-0008-0000-0100-000031000000}"/>
                </a:ext>
              </a:extLst>
            </xdr:cNvPr>
            <xdr:cNvSpPr txBox="1"/>
          </xdr:nvSpPr>
          <xdr:spPr>
            <a:xfrm>
              <a:off x="277905" y="2485595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c = </a:t>
              </a:r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m:rPr>
                      <m:nor/>
                    </m:rPr>
                    <a:rPr lang="de-DE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−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277905" y="2485595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c 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𝐻_𝑦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𝑠_0 𝐻_𝑥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8</xdr:col>
      <xdr:colOff>486180</xdr:colOff>
      <xdr:row>115</xdr:row>
      <xdr:rowOff>123088</xdr:rowOff>
    </xdr:from>
    <xdr:ext cx="4710660" cy="13856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>
              <a:extLst>
                <a:ext uri="{FF2B5EF4-FFF2-40B4-BE49-F238E27FC236}">
                  <a16:creationId xmlns:a16="http://schemas.microsoft.com/office/drawing/2014/main" id="{00000000-0008-0000-0100-000032000000}"/>
                </a:ext>
              </a:extLst>
            </xdr:cNvPr>
            <xdr:cNvSpPr txBox="1"/>
          </xdr:nvSpPr>
          <xdr:spPr>
            <a:xfrm>
              <a:off x="5964960" y="22853548"/>
              <a:ext cx="4710660" cy="13856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m>
                      <m:mPr>
                        <m:mcs>
                          <m:mc>
                            <m:mcPr>
                              <m:count m:val="2"/>
                              <m:mcJc m:val="center"/>
                            </m:mcPr>
                          </m:mc>
                        </m:mcs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mPr>
                      <m:m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𝑎</m:t>
                          </m:r>
                          <m:func>
                            <m:funcPr>
                              <m:ctrlP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uncPr>
                            <m:fName>
                              <m:r>
                                <m:rPr>
                                  <m:sty m:val="p"/>
                                </m:rPr>
                                <a:rPr lang="de-DE" sz="110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sin</m:t>
                              </m:r>
                            </m:fNam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𝛼</m:t>
                              </m:r>
                            </m:e>
                          </m:func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𝑏</m:t>
                          </m:r>
                          <m:func>
                            <m:func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uncPr>
                            <m:fName>
                              <m:r>
                                <m:rPr>
                                  <m:sty m:val="p"/>
                                </m:rPr>
                                <a:rPr lang="de-DE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cos</m:t>
                              </m:r>
                            </m:fNam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𝛼</m:t>
                              </m:r>
                            </m:e>
                          </m:func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groupChr>
                            <m:groupChrPr>
                              <m:chr m:val="⇒"/>
                              <m:pos m:val="top"/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groupChrPr>
                            <m:e/>
                          </m:groupChr>
                        </m:e>
                        <m:e>
                          <m:d>
                            <m:dPr>
                              <m:begChr m:val="{"/>
                              <m:endChr m:val=""/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m>
                                <m:mPr>
                                  <m:mcs>
                                    <m:mc>
                                      <m:mcPr>
                                        <m:count m:val="2"/>
                                        <m:mcJc m:val="center"/>
                                      </m:mcPr>
                                    </m:mc>
                                  </m:mcs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mP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sin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ad>
                                                  <m:radPr>
                                                    <m:degHide m:val="on"/>
                                                    <m:ctrlP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</m:ctrlPr>
                                                  </m:radPr>
                                                  <m:deg/>
                                                  <m:e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𝑎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+</m:t>
                                                    </m:r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𝑏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 </m:t>
                                                    </m:r>
                                                  </m:e>
                                                </m:rad>
                                              </m:den>
                                            </m:f>
                                          </m:e>
                                        </m:d>
                                        <m: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 − </m:t>
                                        </m:r>
                                        <m:func>
                                          <m:func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funcPr>
                                          <m:fName>
                                            <m:sSup>
                                              <m:sSup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pPr>
                                              <m:e>
                                                <m:r>
                                                  <m:rPr>
                                                    <m:sty m:val="p"/>
                                                  </m:rPr>
                                                  <a:rPr lang="de-DE" sz="1100" b="0" i="0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tan</m:t>
                                                </m:r>
                                              </m:e>
                                              <m:sup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−1</m:t>
                                                </m:r>
                                              </m:sup>
                                            </m:sSup>
                                          </m:fName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𝑏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den>
                                            </m:f>
                                          </m:e>
                                        </m:func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&gt;0</m:t>
                                    </m:r>
                                  </m:e>
                                </m:m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cos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ad>
                                                  <m:radPr>
                                                    <m:degHide m:val="on"/>
                                                    <m:ctrlP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</m:ctrlPr>
                                                  </m:radPr>
                                                  <m:deg/>
                                                  <m:e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𝑎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+</m:t>
                                                    </m:r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𝑏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 </m:t>
                                                    </m:r>
                                                  </m:e>
                                                </m:rad>
                                              </m:den>
                                            </m:f>
                                          </m:e>
                                        </m:d>
                                        <m: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func>
                                          <m:func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funcPr>
                                          <m:fName>
                                            <m:sSup>
                                              <m:sSup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pPr>
                                              <m:e>
                                                <m:r>
                                                  <m:rPr>
                                                    <m:sty m:val="p"/>
                                                  </m:rPr>
                                                  <a:rPr lang="de-DE" sz="1100" b="0" i="0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tan</m:t>
                                                </m:r>
                                              </m:e>
                                              <m:sup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−1</m:t>
                                                </m:r>
                                              </m:sup>
                                            </m:sSup>
                                          </m:fName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𝑏</m:t>
                                                </m:r>
                                              </m:den>
                                            </m:f>
                                          </m:e>
                                        </m:func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&gt;0</m:t>
                                    </m:r>
                                  </m:e>
                                </m:m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sin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den>
                                            </m:f>
                                          </m:e>
                                        </m:d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=0</m:t>
                                    </m:r>
                                  </m:e>
                                </m:mr>
                              </m:m>
                            </m:e>
                          </m:d>
                        </m:e>
                      </m:mr>
                    </m:m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964960" y="22853548"/>
              <a:ext cx="4710660" cy="13856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cos⁡𝛼=𝑐⇒┬&amp;{■8(𝛼=sin^(−1)⁡〖(𝑐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/√(𝑎^2+𝑏^2  ))  − tan^(−1)⁡〖𝑏/𝑎〗 〗&amp;𝑓ü𝑟 𝑎&gt;0@𝛼=cos^(−1)⁡〖(𝑐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/√(𝑎^2+𝑏^2  ))+ tan^(−1)⁡〖𝑎/𝑏〗 〗&amp;𝑓ü𝑟 𝑏&gt;0@𝛼=sin^(−1)⁡(𝑐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/𝑎)&amp;𝑓ü𝑟 𝑏=0)┤ 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293888</xdr:colOff>
      <xdr:row>130</xdr:row>
      <xdr:rowOff>144605</xdr:rowOff>
    </xdr:from>
    <xdr:ext cx="450183" cy="267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Textfeld 50">
              <a:extLst>
                <a:ext uri="{FF2B5EF4-FFF2-40B4-BE49-F238E27FC236}">
                  <a16:creationId xmlns:a16="http://schemas.microsoft.com/office/drawing/2014/main" id="{00000000-0008-0000-0100-000033000000}"/>
                </a:ext>
              </a:extLst>
            </xdr:cNvPr>
            <xdr:cNvSpPr txBox="1"/>
          </xdr:nvSpPr>
          <xdr:spPr>
            <a:xfrm>
              <a:off x="293888" y="25618265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1" name="Textfeld 50"/>
            <xdr:cNvSpPr txBox="1"/>
          </xdr:nvSpPr>
          <xdr:spPr>
            <a:xfrm>
              <a:off x="293888" y="25618265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557605</xdr:colOff>
      <xdr:row>134</xdr:row>
      <xdr:rowOff>58720</xdr:rowOff>
    </xdr:from>
    <xdr:ext cx="3480995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>
              <a:extLst>
                <a:ext uri="{FF2B5EF4-FFF2-40B4-BE49-F238E27FC236}">
                  <a16:creationId xmlns:a16="http://schemas.microsoft.com/office/drawing/2014/main" id="{00000000-0008-0000-0100-000034000000}"/>
                </a:ext>
              </a:extLst>
            </xdr:cNvPr>
            <xdr:cNvSpPr txBox="1"/>
          </xdr:nvSpPr>
          <xdr:spPr>
            <a:xfrm>
              <a:off x="557605" y="26263900"/>
              <a:ext cx="348099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    </m:t>
                            </m:r>
                          </m:e>
                        </m:func>
                      </m:e>
                    </m:func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</m:t>
                              </m:r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557605" y="26263900"/>
              <a:ext cx="348099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cos⁡〖𝛼=     〗 〗 (■8( @ @                  ))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</xdr:col>
      <xdr:colOff>518160</xdr:colOff>
      <xdr:row>130</xdr:row>
      <xdr:rowOff>144780</xdr:rowOff>
    </xdr:from>
    <xdr:ext cx="1325880" cy="2971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>
              <a:extLst>
                <a:ext uri="{FF2B5EF4-FFF2-40B4-BE49-F238E27FC236}">
                  <a16:creationId xmlns:a16="http://schemas.microsoft.com/office/drawing/2014/main" id="{00000000-0008-0000-0100-000035000000}"/>
                </a:ext>
              </a:extLst>
            </xdr:cNvPr>
            <xdr:cNvSpPr txBox="1"/>
          </xdr:nvSpPr>
          <xdr:spPr>
            <a:xfrm>
              <a:off x="2750820" y="25618440"/>
              <a:ext cx="1325880" cy="297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func>
                      <m:func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𝑏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2750820" y="25618440"/>
              <a:ext cx="1325880" cy="297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141488</xdr:colOff>
      <xdr:row>130</xdr:row>
      <xdr:rowOff>142812</xdr:rowOff>
    </xdr:from>
    <xdr:ext cx="450183" cy="267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SpPr txBox="1"/>
          </xdr:nvSpPr>
          <xdr:spPr>
            <a:xfrm>
              <a:off x="5620268" y="25616472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5620268" y="25616472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327660</xdr:colOff>
      <xdr:row>141</xdr:row>
      <xdr:rowOff>144780</xdr:rowOff>
    </xdr:from>
    <xdr:ext cx="16763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 txBox="1"/>
          </xdr:nvSpPr>
          <xdr:spPr>
            <a:xfrm>
              <a:off x="327660" y="27706320"/>
              <a:ext cx="16763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327660" y="27706320"/>
              <a:ext cx="16763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(■8(〖〖𝑐_0 𝑑〗_1 𝑐〗_1+ 〖𝑑_0 𝑐〗_0@〖〖𝑠_0 𝑑〗_1 𝑐〗_1+ 〖𝑑_0 𝑠〗_0@〖𝑑_1 𝑠〗_1 ))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190500</xdr:colOff>
      <xdr:row>151</xdr:row>
      <xdr:rowOff>83820</xdr:rowOff>
    </xdr:from>
    <xdr:ext cx="1546860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>
              <a:extLst>
                <a:ext uri="{FF2B5EF4-FFF2-40B4-BE49-F238E27FC236}">
                  <a16:creationId xmlns:a16="http://schemas.microsoft.com/office/drawing/2014/main" id="{00000000-0008-0000-0100-000038000000}"/>
                </a:ext>
              </a:extLst>
            </xdr:cNvPr>
            <xdr:cNvSpPr txBox="1"/>
          </xdr:nvSpPr>
          <xdr:spPr>
            <a:xfrm>
              <a:off x="190500" y="29573220"/>
              <a:ext cx="1546860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𝐵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190500" y="29573220"/>
              <a:ext cx="1546860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582677</xdr:colOff>
      <xdr:row>151</xdr:row>
      <xdr:rowOff>57574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Textfeld 56">
              <a:extLst>
                <a:ext uri="{FF2B5EF4-FFF2-40B4-BE49-F238E27FC236}">
                  <a16:creationId xmlns:a16="http://schemas.microsoft.com/office/drawing/2014/main" id="{00000000-0008-0000-0100-000039000000}"/>
                </a:ext>
              </a:extLst>
            </xdr:cNvPr>
            <xdr:cNvSpPr txBox="1"/>
          </xdr:nvSpPr>
          <xdr:spPr>
            <a:xfrm>
              <a:off x="2099057" y="2954697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7" name="Textfeld 56"/>
            <xdr:cNvSpPr txBox="1"/>
          </xdr:nvSpPr>
          <xdr:spPr>
            <a:xfrm>
              <a:off x="2099057" y="2954697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148337</xdr:colOff>
      <xdr:row>151</xdr:row>
      <xdr:rowOff>57574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Textfeld 95">
              <a:extLst>
                <a:ext uri="{FF2B5EF4-FFF2-40B4-BE49-F238E27FC236}">
                  <a16:creationId xmlns:a16="http://schemas.microsoft.com/office/drawing/2014/main" id="{00000000-0008-0000-0100-000060000000}"/>
                </a:ext>
              </a:extLst>
            </xdr:cNvPr>
            <xdr:cNvSpPr txBox="1"/>
          </xdr:nvSpPr>
          <xdr:spPr>
            <a:xfrm>
              <a:off x="3714497" y="2954697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𝐴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96" name="Textfeld 95"/>
            <xdr:cNvSpPr txBox="1"/>
          </xdr:nvSpPr>
          <xdr:spPr>
            <a:xfrm>
              <a:off x="3714497" y="2954697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35</xdr:col>
      <xdr:colOff>91440</xdr:colOff>
      <xdr:row>38</xdr:row>
      <xdr:rowOff>99060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Textfeld 96">
              <a:extLst>
                <a:ext uri="{FF2B5EF4-FFF2-40B4-BE49-F238E27FC236}">
                  <a16:creationId xmlns:a16="http://schemas.microsoft.com/office/drawing/2014/main" id="{00000000-0008-0000-0100-000061000000}"/>
                </a:ext>
              </a:extLst>
            </xdr:cNvPr>
            <xdr:cNvSpPr txBox="1"/>
          </xdr:nvSpPr>
          <xdr:spPr>
            <a:xfrm>
              <a:off x="27454860" y="720090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97" name="Textfeld 96"/>
            <xdr:cNvSpPr txBox="1"/>
          </xdr:nvSpPr>
          <xdr:spPr>
            <a:xfrm>
              <a:off x="27454860" y="720090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35</xdr:col>
      <xdr:colOff>7620</xdr:colOff>
      <xdr:row>34</xdr:row>
      <xdr:rowOff>15240</xdr:rowOff>
    </xdr:from>
    <xdr:ext cx="2689413" cy="7352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Textfeld 97">
              <a:extLst>
                <a:ext uri="{FF2B5EF4-FFF2-40B4-BE49-F238E27FC236}">
                  <a16:creationId xmlns:a16="http://schemas.microsoft.com/office/drawing/2014/main" id="{00000000-0008-0000-0100-000062000000}"/>
                </a:ext>
              </a:extLst>
            </xdr:cNvPr>
            <xdr:cNvSpPr txBox="1"/>
          </xdr:nvSpPr>
          <xdr:spPr>
            <a:xfrm>
              <a:off x="27371040" y="6370320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98" name="Textfeld 97"/>
            <xdr:cNvSpPr txBox="1"/>
          </xdr:nvSpPr>
          <xdr:spPr>
            <a:xfrm>
              <a:off x="27371040" y="6370320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30</xdr:col>
      <xdr:colOff>213360</xdr:colOff>
      <xdr:row>34</xdr:row>
      <xdr:rowOff>30480</xdr:rowOff>
    </xdr:from>
    <xdr:ext cx="2689413" cy="7323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Textfeld 98">
              <a:extLst>
                <a:ext uri="{FF2B5EF4-FFF2-40B4-BE49-F238E27FC236}">
                  <a16:creationId xmlns:a16="http://schemas.microsoft.com/office/drawing/2014/main" id="{00000000-0008-0000-0100-000063000000}"/>
                </a:ext>
              </a:extLst>
            </xdr:cNvPr>
            <xdr:cNvSpPr txBox="1"/>
          </xdr:nvSpPr>
          <xdr:spPr>
            <a:xfrm>
              <a:off x="24528780" y="6385560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99" name="Textfeld 98"/>
            <xdr:cNvSpPr txBox="1"/>
          </xdr:nvSpPr>
          <xdr:spPr>
            <a:xfrm>
              <a:off x="24528780" y="6385560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&amp;𝑑_0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518160</xdr:colOff>
      <xdr:row>160</xdr:row>
      <xdr:rowOff>175260</xdr:rowOff>
    </xdr:from>
    <xdr:ext cx="2461260" cy="2775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Textfeld 101">
              <a:extLst>
                <a:ext uri="{FF2B5EF4-FFF2-40B4-BE49-F238E27FC236}">
                  <a16:creationId xmlns:a16="http://schemas.microsoft.com/office/drawing/2014/main" id="{00000000-0008-0000-0100-000066000000}"/>
                </a:ext>
              </a:extLst>
            </xdr:cNvPr>
            <xdr:cNvSpPr txBox="1"/>
          </xdr:nvSpPr>
          <xdr:spPr>
            <a:xfrm>
              <a:off x="518160" y="29298900"/>
              <a:ext cx="2461260" cy="2775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−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2" name="Textfeld 101"/>
            <xdr:cNvSpPr txBox="1"/>
          </xdr:nvSpPr>
          <xdr:spPr>
            <a:xfrm>
              <a:off x="518160" y="29298900"/>
              <a:ext cx="2461260" cy="2775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𝐵_𝑧=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𝑠_1 𝑑_3 𝑐_3  − 𝑐_1 𝑠_2 𝑑_3 𝑠_3+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𝑑_1 𝑠〗_1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137160</xdr:colOff>
      <xdr:row>160</xdr:row>
      <xdr:rowOff>160020</xdr:rowOff>
    </xdr:from>
    <xdr:ext cx="2461260" cy="4490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Textfeld 102">
              <a:extLst>
                <a:ext uri="{FF2B5EF4-FFF2-40B4-BE49-F238E27FC236}">
                  <a16:creationId xmlns:a16="http://schemas.microsoft.com/office/drawing/2014/main" id="{00000000-0008-0000-0100-000067000000}"/>
                </a:ext>
              </a:extLst>
            </xdr:cNvPr>
            <xdr:cNvSpPr txBox="1"/>
          </xdr:nvSpPr>
          <xdr:spPr>
            <a:xfrm>
              <a:off x="3086100" y="29283660"/>
              <a:ext cx="2461260" cy="4490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𝑧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</m:num>
                      <m:den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3" name="Textfeld 102"/>
            <xdr:cNvSpPr txBox="1"/>
          </xdr:nvSpPr>
          <xdr:spPr>
            <a:xfrm>
              <a:off x="3086100" y="29283660"/>
              <a:ext cx="2461260" cy="4490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𝐵_𝑧− 〖𝑑_1 𝑠〗_1− 𝑠_1 𝑑_3 𝑐_3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 𝑐_1 𝑑_3 𝑠_3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𝑠_2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472440</xdr:colOff>
      <xdr:row>160</xdr:row>
      <xdr:rowOff>60960</xdr:rowOff>
    </xdr:from>
    <xdr:ext cx="8432074" cy="6565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Textfeld 104">
              <a:extLst>
                <a:ext uri="{FF2B5EF4-FFF2-40B4-BE49-F238E27FC236}">
                  <a16:creationId xmlns:a16="http://schemas.microsoft.com/office/drawing/2014/main" id="{00000000-0008-0000-0100-000069000000}"/>
                </a:ext>
              </a:extLst>
            </xdr:cNvPr>
            <xdr:cNvSpPr txBox="1"/>
          </xdr:nvSpPr>
          <xdr:spPr>
            <a:xfrm>
              <a:off x="6223883" y="29540421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+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e>
                    </m:d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 +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Choice>
      <mc:Fallback xmlns="">
        <xdr:sp macro="" textlink="">
          <xdr:nvSpPr>
            <xdr:cNvPr id="105" name="Textfeld 104"/>
            <xdr:cNvSpPr txBox="1"/>
          </xdr:nvSpPr>
          <xdr:spPr>
            <a:xfrm>
              <a:off x="6223883" y="29540421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𝐵_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𝑐〗_1 𝑑_3 𝑐_3  +(〖−𝑐〗_0 𝑐_2+〖𝑠_0 𝑠〗_1 𝑠_2 ) 𝑑_3 𝑠_3+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〖𝑠_0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𝑑_0 𝑠〗_0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𝑑_3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𝑠〗_0 𝑐〗_1 𝑐_3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−𝑐〗_0 𝑐_2 𝑠_3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𝑠_0 𝑠〗_1 𝑠_2 𝑠_3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〖𝑠_0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𝑑_0 𝑠〗_0   </a:t>
              </a:r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pPr/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465340</xdr:colOff>
      <xdr:row>162</xdr:row>
      <xdr:rowOff>61907</xdr:rowOff>
    </xdr:from>
    <xdr:ext cx="8432074" cy="6565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Textfeld 105">
              <a:extLst>
                <a:ext uri="{FF2B5EF4-FFF2-40B4-BE49-F238E27FC236}">
                  <a16:creationId xmlns:a16="http://schemas.microsoft.com/office/drawing/2014/main" id="{00000000-0008-0000-0100-00006A000000}"/>
                </a:ext>
              </a:extLst>
            </xdr:cNvPr>
            <xdr:cNvSpPr txBox="1"/>
          </xdr:nvSpPr>
          <xdr:spPr>
            <a:xfrm>
              <a:off x="6212997" y="29812564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e>
                    </m:d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+(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  </m:t>
                    </m:r>
                  </m:oMath>
                </m:oMathPara>
              </a14:m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Choice>
      <mc:Fallback xmlns="">
        <xdr:sp macro="" textlink="">
          <xdr:nvSpPr>
            <xdr:cNvPr id="106" name="Textfeld 105"/>
            <xdr:cNvSpPr txBox="1"/>
          </xdr:nvSpPr>
          <xdr:spPr>
            <a:xfrm>
              <a:off x="6212997" y="29812564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𝐵_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𝑐_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𝑑_3 𝑐_3+(𝑠_0 𝑐_2+ 〖𝑐_0 𝑠〗_1 𝑠_2 ) 𝑑_3 𝑠_3+(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〖𝑐_0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𝑑_0 𝑐〗_0)  </a:t>
              </a:r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pPr/>
              <a:endParaRPr lang="de-DE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726141</xdr:colOff>
      <xdr:row>34</xdr:row>
      <xdr:rowOff>17929</xdr:rowOff>
    </xdr:from>
    <xdr:ext cx="2689413" cy="7323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A88EF409-AAC9-4040-90F7-C9A8752D20D8}"/>
                </a:ext>
              </a:extLst>
            </xdr:cNvPr>
            <xdr:cNvSpPr txBox="1"/>
          </xdr:nvSpPr>
          <xdr:spPr>
            <a:xfrm>
              <a:off x="6580841" y="6469529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A88EF409-AAC9-4040-90F7-C9A8752D20D8}"/>
                </a:ext>
              </a:extLst>
            </xdr:cNvPr>
            <xdr:cNvSpPr txBox="1"/>
          </xdr:nvSpPr>
          <xdr:spPr>
            <a:xfrm>
              <a:off x="6580841" y="6469529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〗&amp;𝑑_0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−cos〗⁡〖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〗&amp;𝑑_0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39</xdr:row>
      <xdr:rowOff>7043</xdr:rowOff>
    </xdr:from>
    <xdr:ext cx="2689413" cy="7352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169C0D22-47C3-4F85-9EB2-C1DCF4980CB5}"/>
                </a:ext>
              </a:extLst>
            </xdr:cNvPr>
            <xdr:cNvSpPr txBox="1"/>
          </xdr:nvSpPr>
          <xdr:spPr>
            <a:xfrm>
              <a:off x="6500157" y="7404793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169C0D22-47C3-4F85-9EB2-C1DCF4980CB5}"/>
                </a:ext>
              </a:extLst>
            </xdr:cNvPr>
            <xdr:cNvSpPr txBox="1"/>
          </xdr:nvSpPr>
          <xdr:spPr>
            <a:xfrm>
              <a:off x="6500157" y="7404793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〗&amp;𝑑_1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〗&amp;𝑑_1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43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2F640B8C-3A7D-4C84-BDC3-E9163D055BBF}"/>
                </a:ext>
              </a:extLst>
            </xdr:cNvPr>
            <xdr:cNvSpPr txBox="1"/>
          </xdr:nvSpPr>
          <xdr:spPr>
            <a:xfrm>
              <a:off x="6504641" y="829422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2F640B8C-3A7D-4C84-BDC3-E9163D055BBF}"/>
                </a:ext>
              </a:extLst>
            </xdr:cNvPr>
            <xdr:cNvSpPr txBox="1"/>
          </xdr:nvSpPr>
          <xdr:spPr>
            <a:xfrm>
              <a:off x="6504641" y="829422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 〗&amp;〖−sin〗⁡〖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 〗&amp;cos⁡〖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170328</xdr:colOff>
      <xdr:row>1</xdr:row>
      <xdr:rowOff>44822</xdr:rowOff>
    </xdr:from>
    <xdr:to>
      <xdr:col>8</xdr:col>
      <xdr:colOff>977153</xdr:colOff>
      <xdr:row>24</xdr:row>
      <xdr:rowOff>152400</xdr:rowOff>
    </xdr:to>
    <xdr:graphicFrame macro="">
      <xdr:nvGraphicFramePr>
        <xdr:cNvPr id="5" name="Diagramm 4" title="Top view">
          <a:extLst>
            <a:ext uri="{FF2B5EF4-FFF2-40B4-BE49-F238E27FC236}">
              <a16:creationId xmlns:a16="http://schemas.microsoft.com/office/drawing/2014/main" id="{09A38FEA-0FC5-47D9-A36B-A3902698B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30480</xdr:colOff>
      <xdr:row>2</xdr:row>
      <xdr:rowOff>0</xdr:rowOff>
    </xdr:from>
    <xdr:to>
      <xdr:col>2</xdr:col>
      <xdr:colOff>335280</xdr:colOff>
      <xdr:row>3</xdr:row>
      <xdr:rowOff>121920</xdr:rowOff>
    </xdr:to>
    <xdr:sp macro="" textlink="">
      <xdr:nvSpPr>
        <xdr:cNvPr id="6" name="AutoShape 4" descr="x_{n}">
          <a:extLst>
            <a:ext uri="{FF2B5EF4-FFF2-40B4-BE49-F238E27FC236}">
              <a16:creationId xmlns:a16="http://schemas.microsoft.com/office/drawing/2014/main" id="{CEC207A2-5D43-43EA-8556-0E75C63FFEFA}"/>
            </a:ext>
          </a:extLst>
        </xdr:cNvPr>
        <xdr:cNvSpPr>
          <a:spLocks noChangeAspect="1" noChangeArrowheads="1"/>
        </xdr:cNvSpPr>
      </xdr:nvSpPr>
      <xdr:spPr bwMode="auto">
        <a:xfrm>
          <a:off x="1573530" y="419100"/>
          <a:ext cx="304800" cy="306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418652</xdr:colOff>
      <xdr:row>7</xdr:row>
      <xdr:rowOff>17929</xdr:rowOff>
    </xdr:from>
    <xdr:to>
      <xdr:col>25</xdr:col>
      <xdr:colOff>607807</xdr:colOff>
      <xdr:row>8</xdr:row>
      <xdr:rowOff>139849</xdr:rowOff>
    </xdr:to>
    <xdr:sp macro="" textlink="">
      <xdr:nvSpPr>
        <xdr:cNvPr id="7" name="AutoShape 7" descr="z_{{n-1}}">
          <a:extLst>
            <a:ext uri="{FF2B5EF4-FFF2-40B4-BE49-F238E27FC236}">
              <a16:creationId xmlns:a16="http://schemas.microsoft.com/office/drawing/2014/main" id="{84F27BBD-2737-4E99-AE1B-AC5123C70834}"/>
            </a:ext>
          </a:extLst>
        </xdr:cNvPr>
        <xdr:cNvSpPr>
          <a:spLocks noChangeAspect="1" noChangeArrowheads="1"/>
        </xdr:cNvSpPr>
      </xdr:nvSpPr>
      <xdr:spPr bwMode="auto">
        <a:xfrm>
          <a:off x="21894352" y="1357779"/>
          <a:ext cx="189155" cy="306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30480</xdr:colOff>
      <xdr:row>3</xdr:row>
      <xdr:rowOff>0</xdr:rowOff>
    </xdr:from>
    <xdr:to>
      <xdr:col>2</xdr:col>
      <xdr:colOff>335280</xdr:colOff>
      <xdr:row>4</xdr:row>
      <xdr:rowOff>121920</xdr:rowOff>
    </xdr:to>
    <xdr:sp macro="" textlink="">
      <xdr:nvSpPr>
        <xdr:cNvPr id="8" name="AutoShape 8" descr="x_{n}">
          <a:extLst>
            <a:ext uri="{FF2B5EF4-FFF2-40B4-BE49-F238E27FC236}">
              <a16:creationId xmlns:a16="http://schemas.microsoft.com/office/drawing/2014/main" id="{18002884-C06F-4C6B-8AE1-3E7A17E1FF86}"/>
            </a:ext>
          </a:extLst>
        </xdr:cNvPr>
        <xdr:cNvSpPr>
          <a:spLocks noChangeAspect="1" noChangeArrowheads="1"/>
        </xdr:cNvSpPr>
      </xdr:nvSpPr>
      <xdr:spPr bwMode="auto">
        <a:xfrm>
          <a:off x="1573530" y="603250"/>
          <a:ext cx="304800" cy="306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30480</xdr:colOff>
      <xdr:row>17</xdr:row>
      <xdr:rowOff>0</xdr:rowOff>
    </xdr:from>
    <xdr:to>
      <xdr:col>2</xdr:col>
      <xdr:colOff>335280</xdr:colOff>
      <xdr:row>18</xdr:row>
      <xdr:rowOff>121920</xdr:rowOff>
    </xdr:to>
    <xdr:sp macro="" textlink="">
      <xdr:nvSpPr>
        <xdr:cNvPr id="9" name="AutoShape 14" descr="z_{n}">
          <a:extLst>
            <a:ext uri="{FF2B5EF4-FFF2-40B4-BE49-F238E27FC236}">
              <a16:creationId xmlns:a16="http://schemas.microsoft.com/office/drawing/2014/main" id="{C2BEDE89-9182-4AA3-ADC2-104E2E6C1A05}"/>
            </a:ext>
          </a:extLst>
        </xdr:cNvPr>
        <xdr:cNvSpPr>
          <a:spLocks noChangeAspect="1" noChangeArrowheads="1"/>
        </xdr:cNvSpPr>
      </xdr:nvSpPr>
      <xdr:spPr bwMode="auto">
        <a:xfrm>
          <a:off x="1573530" y="3181350"/>
          <a:ext cx="304800" cy="306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8</xdr:col>
      <xdr:colOff>589109</xdr:colOff>
      <xdr:row>48</xdr:row>
      <xdr:rowOff>103093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>
              <a:extLst>
                <a:ext uri="{FF2B5EF4-FFF2-40B4-BE49-F238E27FC236}">
                  <a16:creationId xmlns:a16="http://schemas.microsoft.com/office/drawing/2014/main" id="{07F78DA2-95A0-475B-B566-C4C9FDD2E41A}"/>
                </a:ext>
              </a:extLst>
            </xdr:cNvPr>
            <xdr:cNvSpPr txBox="1"/>
          </xdr:nvSpPr>
          <xdr:spPr>
            <a:xfrm>
              <a:off x="6443809" y="9208993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𝑜𝑠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>
              <a:extLst>
                <a:ext uri="{FF2B5EF4-FFF2-40B4-BE49-F238E27FC236}">
                  <a16:creationId xmlns:a16="http://schemas.microsoft.com/office/drawing/2014/main" id="{07F78DA2-95A0-475B-B566-C4C9FDD2E41A}"/>
                </a:ext>
              </a:extLst>
            </xdr:cNvPr>
            <xdr:cNvSpPr txBox="1"/>
          </xdr:nvSpPr>
          <xdr:spPr>
            <a:xfrm>
              <a:off x="6443809" y="9208993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_3^4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〗&amp;0&amp;𝑑_3  c𝑜𝑠⁡〖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〗&amp;0&amp;𝑑_3  sin⁡〖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&amp;0&amp;1&amp;0@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8</xdr:col>
      <xdr:colOff>986117</xdr:colOff>
      <xdr:row>1</xdr:row>
      <xdr:rowOff>35858</xdr:rowOff>
    </xdr:from>
    <xdr:to>
      <xdr:col>15</xdr:col>
      <xdr:colOff>484094</xdr:colOff>
      <xdr:row>25</xdr:row>
      <xdr:rowOff>8964</xdr:rowOff>
    </xdr:to>
    <xdr:graphicFrame macro="">
      <xdr:nvGraphicFramePr>
        <xdr:cNvPr id="11" name="Diagramm 10" title="Top view">
          <a:extLst>
            <a:ext uri="{FF2B5EF4-FFF2-40B4-BE49-F238E27FC236}">
              <a16:creationId xmlns:a16="http://schemas.microsoft.com/office/drawing/2014/main" id="{E7711A88-8E9E-47F3-ACD0-14A9CB4B2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30</xdr:col>
      <xdr:colOff>19723</xdr:colOff>
      <xdr:row>38</xdr:row>
      <xdr:rowOff>80345</xdr:rowOff>
    </xdr:from>
    <xdr:ext cx="2910167" cy="7725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>
              <a:extLst>
                <a:ext uri="{FF2B5EF4-FFF2-40B4-BE49-F238E27FC236}">
                  <a16:creationId xmlns:a16="http://schemas.microsoft.com/office/drawing/2014/main" id="{2831E66B-76A0-4D70-B37F-6530A7F1463E}"/>
                </a:ext>
              </a:extLst>
            </xdr:cNvPr>
            <xdr:cNvSpPr txBox="1"/>
          </xdr:nvSpPr>
          <xdr:spPr>
            <a:xfrm>
              <a:off x="24886323" y="7293945"/>
              <a:ext cx="2910167" cy="7725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>
              <a:extLst>
                <a:ext uri="{FF2B5EF4-FFF2-40B4-BE49-F238E27FC236}">
                  <a16:creationId xmlns:a16="http://schemas.microsoft.com/office/drawing/2014/main" id="{2831E66B-76A0-4D70-B37F-6530A7F1463E}"/>
                </a:ext>
              </a:extLst>
            </xdr:cNvPr>
            <xdr:cNvSpPr txBox="1"/>
          </xdr:nvSpPr>
          <xdr:spPr>
            <a:xfrm>
              <a:off x="24886323" y="7293945"/>
              <a:ext cx="2910167" cy="7725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𝑐〗_1&amp;𝑠_0&amp;〖𝑐_0 𝑠〗_1&amp;〖〖𝑐_0 𝑑〗_1 𝑐〗_1+ 〖𝑑_0 𝑐〗_0@〖𝑠_0 𝑐〗_1&amp;−𝑐_0&amp;〖𝑠_0 𝑠〗_1&amp;〖〖𝑠_0 𝑑〗_1 𝑐〗_1+ 〖𝑑_0 𝑠〗_0@𝑠_1&amp;0&amp;−𝑐_1&amp;〖𝑑_1 𝑠〗_1@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30</xdr:col>
      <xdr:colOff>41698</xdr:colOff>
      <xdr:row>43</xdr:row>
      <xdr:rowOff>102011</xdr:rowOff>
    </xdr:from>
    <xdr:ext cx="6221942" cy="89595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>
              <a:extLst>
                <a:ext uri="{FF2B5EF4-FFF2-40B4-BE49-F238E27FC236}">
                  <a16:creationId xmlns:a16="http://schemas.microsoft.com/office/drawing/2014/main" id="{19DC1E7D-C4CE-401A-ABDC-D83369981563}"/>
                </a:ext>
              </a:extLst>
            </xdr:cNvPr>
            <xdr:cNvSpPr txBox="1"/>
          </xdr:nvSpPr>
          <xdr:spPr>
            <a:xfrm>
              <a:off x="24908298" y="8261761"/>
              <a:ext cx="6221942" cy="8959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>
              <a:extLst>
                <a:ext uri="{FF2B5EF4-FFF2-40B4-BE49-F238E27FC236}">
                  <a16:creationId xmlns:a16="http://schemas.microsoft.com/office/drawing/2014/main" id="{19DC1E7D-C4CE-401A-ABDC-D83369981563}"/>
                </a:ext>
              </a:extLst>
            </xdr:cNvPr>
            <xdr:cNvSpPr txBox="1"/>
          </xdr:nvSpPr>
          <xdr:spPr>
            <a:xfrm>
              <a:off x="24908298" y="8261761"/>
              <a:ext cx="6221942" cy="8959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𝑐_1&amp;𝑠_0 𝑐_2+ 〖𝑐_0 𝑠〗_1 𝑠_2&amp;〖−𝑠〗_0 𝑠_2+〖𝑐_0 𝑠〗_1 𝑐_2&amp;〖〖𝑐_0 𝑑〗_1 𝑐〗_1+ 〖𝑑_0 𝑐〗_0@〖𝑠_0 𝑐〗_1&amp;〖−𝑐〗_0 𝑐_2+〖𝑠_0 𝑠〗_1 𝑠_2&amp;𝑐_0 𝑠_2+〖𝑠_0 𝑠〗_1 𝑐_2&amp;〖〖𝑠_0 𝑑〗_1 𝑐〗_1+ 〖𝑑_0 𝑠〗_0@𝑠_1&amp;−𝑐_1 𝑠_2&amp;〖−𝑐〗_1 𝑐_2&amp;〖𝑑_1 𝑠〗_1@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37</xdr:col>
      <xdr:colOff>98213</xdr:colOff>
      <xdr:row>43</xdr:row>
      <xdr:rowOff>166794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feld 13">
              <a:extLst>
                <a:ext uri="{FF2B5EF4-FFF2-40B4-BE49-F238E27FC236}">
                  <a16:creationId xmlns:a16="http://schemas.microsoft.com/office/drawing/2014/main" id="{318AC642-4134-426B-88C7-BC1500C4DF14}"/>
                </a:ext>
              </a:extLst>
            </xdr:cNvPr>
            <xdr:cNvSpPr txBox="1"/>
          </xdr:nvSpPr>
          <xdr:spPr>
            <a:xfrm>
              <a:off x="29320913" y="8326544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4" name="Textfeld 13">
              <a:extLst>
                <a:ext uri="{FF2B5EF4-FFF2-40B4-BE49-F238E27FC236}">
                  <a16:creationId xmlns:a16="http://schemas.microsoft.com/office/drawing/2014/main" id="{318AC642-4134-426B-88C7-BC1500C4DF14}"/>
                </a:ext>
              </a:extLst>
            </xdr:cNvPr>
            <xdr:cNvSpPr txBox="1"/>
          </xdr:nvSpPr>
          <xdr:spPr>
            <a:xfrm>
              <a:off x="29320913" y="8326544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(■8(𝑐_3&amp;〖−𝑠〗_3&amp;0&amp;𝑑_3 𝑐_3@𝑠_3&amp;𝑐_3&amp;0&amp;𝑑_3 𝑠_3@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&amp;0&amp;1&amp;0@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29</xdr:col>
      <xdr:colOff>709022</xdr:colOff>
      <xdr:row>48</xdr:row>
      <xdr:rowOff>120832</xdr:rowOff>
    </xdr:from>
    <xdr:ext cx="5409838" cy="91640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>
              <a:extLst>
                <a:ext uri="{FF2B5EF4-FFF2-40B4-BE49-F238E27FC236}">
                  <a16:creationId xmlns:a16="http://schemas.microsoft.com/office/drawing/2014/main" id="{915CEB6F-DED3-49F1-B02A-F7713F757055}"/>
                </a:ext>
              </a:extLst>
            </xdr:cNvPr>
            <xdr:cNvSpPr txBox="1"/>
          </xdr:nvSpPr>
          <xdr:spPr>
            <a:xfrm>
              <a:off x="24845372" y="9226732"/>
              <a:ext cx="5409838" cy="9164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d>
                                <m:d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 </m:t>
                                  </m:r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d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+(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e>
                          </m:m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+</m:t>
                              </m:r>
                              <m:d>
                                <m:d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𝑠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d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/>
                            <m:e/>
                            <m:e/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−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3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/>
                            <m:e/>
                            <m:e/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>
              <a:extLst>
                <a:ext uri="{FF2B5EF4-FFF2-40B4-BE49-F238E27FC236}">
                  <a16:creationId xmlns:a16="http://schemas.microsoft.com/office/drawing/2014/main" id="{915CEB6F-DED3-49F1-B02A-F7713F757055}"/>
                </a:ext>
              </a:extLst>
            </xdr:cNvPr>
            <xdr:cNvSpPr txBox="1"/>
          </xdr:nvSpPr>
          <xdr:spPr>
            <a:xfrm>
              <a:off x="24845372" y="9226732"/>
              <a:ext cx="5409838" cy="9164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_0^4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i="0">
                  <a:latin typeface="Cambria Math" panose="02040503050406030204" pitchFamily="18" charset="0"/>
                </a:rPr>
                <a:t>(■8(&amp;&amp;&amp;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𝑐_1 𝑑_3 𝑐_3+(𝑠_0 𝑐_2+ 〖𝑐_0 𝑠〗_1 𝑠_2 ) 𝑑_3 𝑠_3+(〖〖𝑐_0 𝑑〗_1 𝑐〗_1+ 〖𝑑_0 𝑐〗_0)@&amp;&amp;&amp;〖𝑠_0 𝑐〗_1 𝑑_3 𝑐_3  +(〖−𝑐〗_0 𝑐_2+〖𝑠_0 𝑠〗_1 𝑠_2 ) 𝑑_3 𝑠_3+〖〖𝑠_0 𝑑〗_1 𝑐〗_1+ 〖𝑑_0 𝑠〗_0@&amp;&amp;&amp;𝑠_1 𝑑_3 𝑐_3  − 𝑐_1 𝑠_2 𝑑_3 𝑠_3+ 〖𝑑_1 𝑠〗_1@&amp;&amp;&amp;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394447</xdr:colOff>
      <xdr:row>65</xdr:row>
      <xdr:rowOff>13090</xdr:rowOff>
    </xdr:from>
    <xdr:ext cx="1222685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>
              <a:extLst>
                <a:ext uri="{FF2B5EF4-FFF2-40B4-BE49-F238E27FC236}">
                  <a16:creationId xmlns:a16="http://schemas.microsoft.com/office/drawing/2014/main" id="{3C5AC960-B071-4193-A571-91BAF4C24438}"/>
                </a:ext>
              </a:extLst>
            </xdr:cNvPr>
            <xdr:cNvSpPr txBox="1"/>
          </xdr:nvSpPr>
          <xdr:spPr>
            <a:xfrm>
              <a:off x="394447" y="12649590"/>
              <a:ext cx="122268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𝐵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>
              <a:extLst>
                <a:ext uri="{FF2B5EF4-FFF2-40B4-BE49-F238E27FC236}">
                  <a16:creationId xmlns:a16="http://schemas.microsoft.com/office/drawing/2014/main" id="{3C5AC960-B071-4193-A571-91BAF4C24438}"/>
                </a:ext>
              </a:extLst>
            </xdr:cNvPr>
            <xdr:cNvSpPr txBox="1"/>
          </xdr:nvSpPr>
          <xdr:spPr>
            <a:xfrm>
              <a:off x="394447" y="12649590"/>
              <a:ext cx="122268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321804</xdr:colOff>
      <xdr:row>65</xdr:row>
      <xdr:rowOff>55424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>
              <a:extLst>
                <a:ext uri="{FF2B5EF4-FFF2-40B4-BE49-F238E27FC236}">
                  <a16:creationId xmlns:a16="http://schemas.microsoft.com/office/drawing/2014/main" id="{D574D5E8-5BFD-4DD0-8928-9A79AD077EC9}"/>
                </a:ext>
              </a:extLst>
            </xdr:cNvPr>
            <xdr:cNvSpPr txBox="1"/>
          </xdr:nvSpPr>
          <xdr:spPr>
            <a:xfrm>
              <a:off x="1864854" y="126919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𝐴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>
              <a:extLst>
                <a:ext uri="{FF2B5EF4-FFF2-40B4-BE49-F238E27FC236}">
                  <a16:creationId xmlns:a16="http://schemas.microsoft.com/office/drawing/2014/main" id="{D574D5E8-5BFD-4DD0-8928-9A79AD077EC9}"/>
                </a:ext>
              </a:extLst>
            </xdr:cNvPr>
            <xdr:cNvSpPr txBox="1"/>
          </xdr:nvSpPr>
          <xdr:spPr>
            <a:xfrm>
              <a:off x="1864854" y="126919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10</xdr:col>
      <xdr:colOff>897537</xdr:colOff>
      <xdr:row>65</xdr:row>
      <xdr:rowOff>38491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feld 17">
              <a:extLst>
                <a:ext uri="{FF2B5EF4-FFF2-40B4-BE49-F238E27FC236}">
                  <a16:creationId xmlns:a16="http://schemas.microsoft.com/office/drawing/2014/main" id="{C6A31DA8-912B-421C-B92A-0D15116AB79E}"/>
                </a:ext>
              </a:extLst>
            </xdr:cNvPr>
            <xdr:cNvSpPr txBox="1"/>
          </xdr:nvSpPr>
          <xdr:spPr>
            <a:xfrm>
              <a:off x="8790587" y="12674991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8" name="Textfeld 17">
              <a:extLst>
                <a:ext uri="{FF2B5EF4-FFF2-40B4-BE49-F238E27FC236}">
                  <a16:creationId xmlns:a16="http://schemas.microsoft.com/office/drawing/2014/main" id="{C6A31DA8-912B-421C-B92A-0D15116AB79E}"/>
                </a:ext>
              </a:extLst>
            </xdr:cNvPr>
            <xdr:cNvSpPr txBox="1"/>
          </xdr:nvSpPr>
          <xdr:spPr>
            <a:xfrm>
              <a:off x="8790587" y="12674991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601133</xdr:colOff>
      <xdr:row>73</xdr:row>
      <xdr:rowOff>143933</xdr:rowOff>
    </xdr:from>
    <xdr:ext cx="2023533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>
              <a:extLst>
                <a:ext uri="{FF2B5EF4-FFF2-40B4-BE49-F238E27FC236}">
                  <a16:creationId xmlns:a16="http://schemas.microsoft.com/office/drawing/2014/main" id="{C78771E8-17B3-4B09-924B-43A37562AD11}"/>
                </a:ext>
              </a:extLst>
            </xdr:cNvPr>
            <xdr:cNvSpPr txBox="1"/>
          </xdr:nvSpPr>
          <xdr:spPr>
            <a:xfrm>
              <a:off x="601133" y="14380633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𝐻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sin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𝑎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  <m:func>
                        <m:func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uncPr>
                        <m:fNam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cos</m:t>
                          </m:r>
                        </m:fName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𝑎</m:t>
                          </m:r>
                        </m:e>
                      </m:func>
                    </m:e>
                  </m:func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19" name="Textfeld 18">
              <a:extLst>
                <a:ext uri="{FF2B5EF4-FFF2-40B4-BE49-F238E27FC236}">
                  <a16:creationId xmlns:a16="http://schemas.microsoft.com/office/drawing/2014/main" id="{C78771E8-17B3-4B09-924B-43A37562AD11}"/>
                </a:ext>
              </a:extLst>
            </xdr:cNvPr>
            <xdr:cNvSpPr txBox="1"/>
          </xdr:nvSpPr>
          <xdr:spPr>
            <a:xfrm>
              <a:off x="601133" y="14380633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𝐻+𝑆 sin⁡〖𝑎+𝑇 cos⁡𝑎 〗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237913</xdr:colOff>
      <xdr:row>76</xdr:row>
      <xdr:rowOff>90593</xdr:rowOff>
    </xdr:from>
    <xdr:ext cx="2023533" cy="3272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feld 19">
              <a:extLst>
                <a:ext uri="{FF2B5EF4-FFF2-40B4-BE49-F238E27FC236}">
                  <a16:creationId xmlns:a16="http://schemas.microsoft.com/office/drawing/2014/main" id="{02137D55-DF7E-4E0D-8714-B002F66F0ED0}"/>
                </a:ext>
              </a:extLst>
            </xdr:cNvPr>
            <xdr:cNvSpPr txBox="1"/>
          </xdr:nvSpPr>
          <xdr:spPr>
            <a:xfrm>
              <a:off x="4003463" y="14879743"/>
              <a:ext cx="2023533" cy="3272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=0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groupChrPr>
                    <m:e>
                      <m:r>
                        <m:rPr>
                          <m:brk m:alnAt="2"/>
                        </m:r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𝑧</m:t>
                      </m:r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=0</m:t>
                      </m:r>
                    </m:e>
                  </m:groupCh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20" name="Textfeld 19">
              <a:extLst>
                <a:ext uri="{FF2B5EF4-FFF2-40B4-BE49-F238E27FC236}">
                  <a16:creationId xmlns:a16="http://schemas.microsoft.com/office/drawing/2014/main" id="{02137D55-DF7E-4E0D-8714-B002F66F0ED0}"/>
                </a:ext>
              </a:extLst>
            </xdr:cNvPr>
            <xdr:cNvSpPr txBox="1"/>
          </xdr:nvSpPr>
          <xdr:spPr>
            <a:xfrm>
              <a:off x="4003463" y="14879743"/>
              <a:ext cx="2023533" cy="3272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𝑆(𝐵𝐻) ⃑=0⇒┴(𝑆𝑧=0)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</xdr:col>
      <xdr:colOff>0</xdr:colOff>
      <xdr:row>75</xdr:row>
      <xdr:rowOff>8466</xdr:rowOff>
    </xdr:from>
    <xdr:ext cx="2023533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feld 20">
              <a:extLst>
                <a:ext uri="{FF2B5EF4-FFF2-40B4-BE49-F238E27FC236}">
                  <a16:creationId xmlns:a16="http://schemas.microsoft.com/office/drawing/2014/main" id="{A5B0CBB7-817A-42F1-8E42-17B5061EB4C9}"/>
                </a:ext>
              </a:extLst>
            </xdr:cNvPr>
            <xdr:cNvSpPr txBox="1"/>
          </xdr:nvSpPr>
          <xdr:spPr>
            <a:xfrm>
              <a:off x="622300" y="14613466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 </m:t>
                  </m:r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</m:oMath>
              </a14:m>
              <a:r>
                <a:rPr lang="de-DE" sz="1100"/>
                <a:t>   </a:t>
              </a:r>
            </a:p>
          </xdr:txBody>
        </xdr:sp>
      </mc:Choice>
      <mc:Fallback xmlns="">
        <xdr:sp macro="" textlink="">
          <xdr:nvSpPr>
            <xdr:cNvPr id="21" name="Textfeld 20">
              <a:extLst>
                <a:ext uri="{FF2B5EF4-FFF2-40B4-BE49-F238E27FC236}">
                  <a16:creationId xmlns:a16="http://schemas.microsoft.com/office/drawing/2014/main" id="{A5B0CBB7-817A-42F1-8E42-17B5061EB4C9}"/>
                </a:ext>
              </a:extLst>
            </xdr:cNvPr>
            <xdr:cNvSpPr txBox="1"/>
          </xdr:nvSpPr>
          <xdr:spPr>
            <a:xfrm>
              <a:off x="622300" y="14613466"/>
              <a:ext cx="2023533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|𝑆|= |𝑇|=ℎ_𝑐</a:t>
              </a:r>
              <a:r>
                <a:rPr lang="de-DE" sz="1100"/>
                <a:t>   </a:t>
              </a:r>
            </a:p>
          </xdr:txBody>
        </xdr:sp>
      </mc:Fallback>
    </mc:AlternateContent>
    <xdr:clientData/>
  </xdr:oneCellAnchor>
  <xdr:oneCellAnchor>
    <xdr:from>
      <xdr:col>1</xdr:col>
      <xdr:colOff>22860</xdr:colOff>
      <xdr:row>76</xdr:row>
      <xdr:rowOff>28787</xdr:rowOff>
    </xdr:from>
    <xdr:ext cx="2023533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feld 21">
              <a:extLst>
                <a:ext uri="{FF2B5EF4-FFF2-40B4-BE49-F238E27FC236}">
                  <a16:creationId xmlns:a16="http://schemas.microsoft.com/office/drawing/2014/main" id="{5BCD20B1-43CE-41DB-803D-E34B82E3280F}"/>
                </a:ext>
              </a:extLst>
            </xdr:cNvPr>
            <xdr:cNvSpPr txBox="1"/>
          </xdr:nvSpPr>
          <xdr:spPr>
            <a:xfrm>
              <a:off x="645160" y="14817937"/>
              <a:ext cx="2023533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2" name="Textfeld 21">
              <a:extLst>
                <a:ext uri="{FF2B5EF4-FFF2-40B4-BE49-F238E27FC236}">
                  <a16:creationId xmlns:a16="http://schemas.microsoft.com/office/drawing/2014/main" id="{5BCD20B1-43CE-41DB-803D-E34B82E3280F}"/>
                </a:ext>
              </a:extLst>
            </xdr:cNvPr>
            <xdr:cNvSpPr txBox="1"/>
          </xdr:nvSpPr>
          <xdr:spPr>
            <a:xfrm>
              <a:off x="645160" y="14817937"/>
              <a:ext cx="2023533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𝑇=𝑆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(𝐵𝐻) ⃑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7</xdr:col>
      <xdr:colOff>59266</xdr:colOff>
      <xdr:row>72</xdr:row>
      <xdr:rowOff>33867</xdr:rowOff>
    </xdr:from>
    <xdr:ext cx="2658533" cy="20254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feld 22">
              <a:extLst>
                <a:ext uri="{FF2B5EF4-FFF2-40B4-BE49-F238E27FC236}">
                  <a16:creationId xmlns:a16="http://schemas.microsoft.com/office/drawing/2014/main" id="{06D9C5C9-D471-4CF5-A489-6B8BC54B5D71}"/>
                </a:ext>
              </a:extLst>
            </xdr:cNvPr>
            <xdr:cNvSpPr txBox="1"/>
          </xdr:nvSpPr>
          <xdr:spPr>
            <a:xfrm>
              <a:off x="5221816" y="14086417"/>
              <a:ext cx="2658533" cy="2025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±</m:t>
                              </m:r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sSub>
                                        <m:sSub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h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sub>
                                      </m:sSub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 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d>
                                        <m:d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dPr>
                                        <m:e>
                                          <m:f>
                                            <m:f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Pr>
                                            <m:num>
                                              <m:sSub>
                                                <m:sSub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bPr>
                                                <m:e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h</m:t>
                                                  </m:r>
                                                </m:e>
                                                <m:sub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𝑐</m:t>
                                                  </m:r>
                                                </m:sub>
                                              </m:sSub>
                                            </m:num>
                                            <m:den>
                                              <m:rad>
                                                <m:radPr>
                                                  <m:degHide m:val="on"/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radPr>
                                                <m:deg/>
                                                <m:e>
                                                  <m:sSup>
                                                    <m:sSup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pPr>
                                                    <m:e>
                                                      <m:d>
                                                        <m:dPr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dPr>
                                                        <m:e>
                                                          <m:f>
                                                            <m:fPr>
                                                              <m:ctrlPr>
                                                                <a:rPr lang="de-DE" sz="1100" b="0" i="1">
                                                                  <a:solidFill>
                                                                    <a:schemeClr val="tx1"/>
                                                                  </a:solidFill>
                                                                  <a:effectLst/>
                                                                  <a:latin typeface="Cambria Math" panose="02040503050406030204" pitchFamily="18" charset="0"/>
                                                                  <a:ea typeface="+mn-ea"/>
                                                                  <a:cs typeface="+mn-cs"/>
                                                                </a:rPr>
                                                              </m:ctrlPr>
                                                            </m:fPr>
                                                            <m:num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acc>
                                                                    <m:accPr>
                                                                      <m:chr m:val="⃑"/>
                                                                      <m:ctrlP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</m:ctrlPr>
                                                                    </m:accPr>
                                                                    <m:e>
                                                                      <m: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  <m:t>𝐵𝐻</m:t>
                                                                      </m:r>
                                                                    </m:e>
                                                                  </m:acc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𝑥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num>
                                                            <m:den>
                                                              <m:sSub>
                                                                <m:sSubPr>
                                                                  <m:ctrlP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</m:ctrlPr>
                                                                </m:sSubPr>
                                                                <m:e>
                                                                  <m:acc>
                                                                    <m:accPr>
                                                                      <m:chr m:val="⃑"/>
                                                                      <m:ctrlP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</m:ctrlPr>
                                                                    </m:accPr>
                                                                    <m:e>
                                                                      <m:r>
                                                                        <a:rPr lang="de-DE" sz="1100" b="0" i="1">
                                                                          <a:solidFill>
                                                                            <a:schemeClr val="tx1"/>
                                                                          </a:solidFill>
                                                                          <a:effectLst/>
                                                                          <a:latin typeface="Cambria Math" panose="02040503050406030204" pitchFamily="18" charset="0"/>
                                                                          <a:ea typeface="+mn-ea"/>
                                                                          <a:cs typeface="+mn-cs"/>
                                                                        </a:rPr>
                                                                        <m:t>𝐵𝐻</m:t>
                                                                      </m:r>
                                                                    </m:e>
                                                                  </m:acc>
                                                                </m:e>
                                                                <m:sub>
                                                                  <m:r>
                                                                    <a:rPr lang="de-DE" sz="1100" b="0" i="1">
                                                                      <a:solidFill>
                                                                        <a:schemeClr val="tx1"/>
                                                                      </a:solidFill>
                                                                      <a:effectLst/>
                                                                      <a:latin typeface="Cambria Math" panose="02040503050406030204" pitchFamily="18" charset="0"/>
                                                                      <a:ea typeface="+mn-ea"/>
                                                                      <a:cs typeface="+mn-cs"/>
                                                                    </a:rPr>
                                                                    <m:t>𝑦</m:t>
                                                                  </m:r>
                                                                </m:sub>
                                                              </m:sSub>
                                                            </m:den>
                                                          </m:f>
                                                        </m:e>
                                                      </m:d>
                                                    </m:e>
                                                    <m:sup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2</m:t>
                                                      </m:r>
                                                    </m:sup>
                                                  </m:sSup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+1</m:t>
                                                  </m:r>
                                                </m:e>
                                              </m:rad>
                                            </m:den>
                                          </m:f>
                                        </m:e>
                                      </m:d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</m:e>
                              </m:rad>
                            </m:e>
                          </m:mr>
                          <m:mr>
                            <m:e>
                              <m:f>
                                <m:f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h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𝑐</m:t>
                                      </m:r>
                                    </m:sub>
                                  </m:sSub>
                                </m:num>
                                <m:den>
                                  <m:rad>
                                    <m:radPr>
                                      <m:degHide m:val="on"/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radPr>
                                    <m:deg/>
                                    <m:e>
                                      <m:sSup>
                                        <m:sSup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pPr>
                                        <m:e>
                                          <m:d>
                                            <m:d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dPr>
                                            <m:e>
                                              <m:f>
                                                <m:f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fPr>
                                                <m:num>
                                                  <m:sSub>
                                                    <m:sSub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acc>
                                                        <m:accPr>
                                                          <m:chr m:val="⃑"/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accPr>
                                                        <m:e>
                                                          <m: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  <m:t>𝐵𝐻</m:t>
                                                          </m:r>
                                                        </m:e>
                                                      </m:acc>
                                                    </m:e>
                                                    <m:sub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𝑥</m:t>
                                                      </m:r>
                                                    </m:sub>
                                                  </m:sSub>
                                                </m:num>
                                                <m:den>
                                                  <m:sSub>
                                                    <m:sSubPr>
                                                      <m:ctrlP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</m:ctrlPr>
                                                    </m:sSubPr>
                                                    <m:e>
                                                      <m:acc>
                                                        <m:accPr>
                                                          <m:chr m:val="⃑"/>
                                                          <m:ctrlP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</m:ctrlPr>
                                                        </m:accPr>
                                                        <m:e>
                                                          <m:r>
                                                            <a:rPr lang="de-DE" sz="1100" b="0" i="1">
                                                              <a:solidFill>
                                                                <a:schemeClr val="tx1"/>
                                                              </a:solidFill>
                                                              <a:effectLst/>
                                                              <a:latin typeface="Cambria Math" panose="02040503050406030204" pitchFamily="18" charset="0"/>
                                                              <a:ea typeface="+mn-ea"/>
                                                              <a:cs typeface="+mn-cs"/>
                                                            </a:rPr>
                                                            <m:t>𝐵𝐻</m:t>
                                                          </m:r>
                                                        </m:e>
                                                      </m:acc>
                                                    </m:e>
                                                    <m:sub>
                                                      <m:r>
                                                        <a:rPr lang="de-DE" sz="1100" b="0" i="1">
                                                          <a:solidFill>
                                                            <a:schemeClr val="tx1"/>
                                                          </a:solidFill>
                                                          <a:effectLst/>
                                                          <a:latin typeface="Cambria Math" panose="02040503050406030204" pitchFamily="18" charset="0"/>
                                                          <a:ea typeface="+mn-ea"/>
                                                          <a:cs typeface="+mn-cs"/>
                                                        </a:rPr>
                                                        <m:t>𝑦</m:t>
                                                      </m:r>
                                                    </m:sub>
                                                  </m:sSub>
                                                </m:den>
                                              </m:f>
                                            </m:e>
                                          </m:d>
                                        </m:e>
                                        <m:sup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2</m:t>
                                          </m:r>
                                        </m:sup>
                                      </m:s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+1</m:t>
                                      </m:r>
                                    </m:e>
                                  </m:rad>
                                </m:den>
                              </m:f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3" name="Textfeld 22">
              <a:extLst>
                <a:ext uri="{FF2B5EF4-FFF2-40B4-BE49-F238E27FC236}">
                  <a16:creationId xmlns:a16="http://schemas.microsoft.com/office/drawing/2014/main" id="{06D9C5C9-D471-4CF5-A489-6B8BC54B5D71}"/>
                </a:ext>
              </a:extLst>
            </xdr:cNvPr>
            <xdr:cNvSpPr txBox="1"/>
          </xdr:nvSpPr>
          <xdr:spPr>
            <a:xfrm>
              <a:off x="5221816" y="14086417"/>
              <a:ext cx="2658533" cy="20254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𝑆= 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±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√(〖ℎ_𝑐〗^2− (ℎ_𝑐/√(((𝐵𝐻) ⃑_𝑥/(𝐵𝐻) ⃑_𝑦 )^2+1))^2 )@ℎ_𝑐/√(((𝐵𝐻) ⃑_𝑥/(𝐵𝐻) ⃑_𝑦 )^2+1)@0))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237138</xdr:colOff>
      <xdr:row>74</xdr:row>
      <xdr:rowOff>59267</xdr:rowOff>
    </xdr:from>
    <xdr:ext cx="1523929" cy="5027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feld 23">
              <a:extLst>
                <a:ext uri="{FF2B5EF4-FFF2-40B4-BE49-F238E27FC236}">
                  <a16:creationId xmlns:a16="http://schemas.microsoft.com/office/drawing/2014/main" id="{F9BBA658-9EB4-43DD-A06A-43BBA7DDCA43}"/>
                </a:ext>
              </a:extLst>
            </xdr:cNvPr>
            <xdr:cNvSpPr txBox="1"/>
          </xdr:nvSpPr>
          <xdr:spPr>
            <a:xfrm>
              <a:off x="3291488" y="14480117"/>
              <a:ext cx="1523929" cy="5027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4" name="Textfeld 23">
              <a:extLst>
                <a:ext uri="{FF2B5EF4-FFF2-40B4-BE49-F238E27FC236}">
                  <a16:creationId xmlns:a16="http://schemas.microsoft.com/office/drawing/2014/main" id="{F9BBA658-9EB4-43DD-A06A-43BBA7DDCA43}"/>
                </a:ext>
              </a:extLst>
            </xdr:cNvPr>
            <xdr:cNvSpPr txBox="1"/>
          </xdr:nvSpPr>
          <xdr:spPr>
            <a:xfrm>
              <a:off x="3291488" y="14480117"/>
              <a:ext cx="1523929" cy="5027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(𝐵𝐻) ⃑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13</xdr:col>
      <xdr:colOff>42333</xdr:colOff>
      <xdr:row>76</xdr:row>
      <xdr:rowOff>160866</xdr:rowOff>
    </xdr:from>
    <xdr:ext cx="931334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feld 24">
              <a:extLst>
                <a:ext uri="{FF2B5EF4-FFF2-40B4-BE49-F238E27FC236}">
                  <a16:creationId xmlns:a16="http://schemas.microsoft.com/office/drawing/2014/main" id="{F04EE08B-51DD-4BE8-80AA-3DEE47B416E8}"/>
                </a:ext>
              </a:extLst>
            </xdr:cNvPr>
            <xdr:cNvSpPr txBox="1"/>
          </xdr:nvSpPr>
          <xdr:spPr>
            <a:xfrm>
              <a:off x="10723033" y="14950016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𝑆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   </a:t>
              </a:r>
            </a:p>
          </xdr:txBody>
        </xdr:sp>
      </mc:Choice>
      <mc:Fallback xmlns="">
        <xdr:sp macro="" textlink="">
          <xdr:nvSpPr>
            <xdr:cNvPr id="25" name="Textfeld 24">
              <a:extLst>
                <a:ext uri="{FF2B5EF4-FFF2-40B4-BE49-F238E27FC236}">
                  <a16:creationId xmlns:a16="http://schemas.microsoft.com/office/drawing/2014/main" id="{F04EE08B-51DD-4BE8-80AA-3DEE47B416E8}"/>
                </a:ext>
              </a:extLst>
            </xdr:cNvPr>
            <xdr:cNvSpPr txBox="1"/>
          </xdr:nvSpPr>
          <xdr:spPr>
            <a:xfrm>
              <a:off x="10723033" y="14950016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|𝑆|=ℎ_𝑐=</a:t>
              </a:r>
              <a:r>
                <a:rPr lang="de-DE" sz="1100"/>
                <a:t>    </a:t>
              </a:r>
            </a:p>
          </xdr:txBody>
        </xdr:sp>
      </mc:Fallback>
    </mc:AlternateContent>
    <xdr:clientData/>
  </xdr:oneCellAnchor>
  <xdr:oneCellAnchor>
    <xdr:from>
      <xdr:col>13</xdr:col>
      <xdr:colOff>33866</xdr:colOff>
      <xdr:row>75</xdr:row>
      <xdr:rowOff>143933</xdr:rowOff>
    </xdr:from>
    <xdr:ext cx="931334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feld 25">
              <a:extLst>
                <a:ext uri="{FF2B5EF4-FFF2-40B4-BE49-F238E27FC236}">
                  <a16:creationId xmlns:a16="http://schemas.microsoft.com/office/drawing/2014/main" id="{3DE39CA0-1BBC-446D-83D0-5809A2D656B1}"/>
                </a:ext>
              </a:extLst>
            </xdr:cNvPr>
            <xdr:cNvSpPr txBox="1"/>
          </xdr:nvSpPr>
          <xdr:spPr>
            <a:xfrm>
              <a:off x="10714566" y="14748933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𝑆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26" name="Textfeld 25">
              <a:extLst>
                <a:ext uri="{FF2B5EF4-FFF2-40B4-BE49-F238E27FC236}">
                  <a16:creationId xmlns:a16="http://schemas.microsoft.com/office/drawing/2014/main" id="{3DE39CA0-1BBC-446D-83D0-5809A2D656B1}"/>
                </a:ext>
              </a:extLst>
            </xdr:cNvPr>
            <xdr:cNvSpPr txBox="1"/>
          </xdr:nvSpPr>
          <xdr:spPr>
            <a:xfrm>
              <a:off x="10714566" y="14748933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𝑆(𝐵𝐻) ⃑=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10</xdr:col>
      <xdr:colOff>228670</xdr:colOff>
      <xdr:row>76</xdr:row>
      <xdr:rowOff>63890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Textfeld 26">
              <a:extLst>
                <a:ext uri="{FF2B5EF4-FFF2-40B4-BE49-F238E27FC236}">
                  <a16:creationId xmlns:a16="http://schemas.microsoft.com/office/drawing/2014/main" id="{7FE2B30D-7FD3-41AF-8307-06923ED3C46C}"/>
                </a:ext>
              </a:extLst>
            </xdr:cNvPr>
            <xdr:cNvSpPr txBox="1"/>
          </xdr:nvSpPr>
          <xdr:spPr>
            <a:xfrm>
              <a:off x="8121720" y="14853040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7" name="Textfeld 26">
              <a:extLst>
                <a:ext uri="{FF2B5EF4-FFF2-40B4-BE49-F238E27FC236}">
                  <a16:creationId xmlns:a16="http://schemas.microsoft.com/office/drawing/2014/main" id="{7FE2B30D-7FD3-41AF-8307-06923ED3C46C}"/>
                </a:ext>
              </a:extLst>
            </xdr:cNvPr>
            <xdr:cNvSpPr txBox="1"/>
          </xdr:nvSpPr>
          <xdr:spPr>
            <a:xfrm>
              <a:off x="8121720" y="14853040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433493</xdr:colOff>
      <xdr:row>83</xdr:row>
      <xdr:rowOff>55880</xdr:rowOff>
    </xdr:from>
    <xdr:ext cx="265853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>
              <a:extLst>
                <a:ext uri="{FF2B5EF4-FFF2-40B4-BE49-F238E27FC236}">
                  <a16:creationId xmlns:a16="http://schemas.microsoft.com/office/drawing/2014/main" id="{7EDAD7D1-6526-4132-80F0-CCD9F5883275}"/>
                </a:ext>
              </a:extLst>
            </xdr:cNvPr>
            <xdr:cNvSpPr txBox="1"/>
          </xdr:nvSpPr>
          <xdr:spPr>
            <a:xfrm>
              <a:off x="4814993" y="16134080"/>
              <a:ext cx="265853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>
              <a:extLst>
                <a:ext uri="{FF2B5EF4-FFF2-40B4-BE49-F238E27FC236}">
                  <a16:creationId xmlns:a16="http://schemas.microsoft.com/office/drawing/2014/main" id="{7EDAD7D1-6526-4132-80F0-CCD9F5883275}"/>
                </a:ext>
              </a:extLst>
            </xdr:cNvPr>
            <xdr:cNvSpPr txBox="1"/>
          </xdr:nvSpPr>
          <xdr:spPr>
            <a:xfrm>
              <a:off x="4814993" y="16134080"/>
              <a:ext cx="265853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𝑇_0=𝑆×(𝐵𝐻) ⃑= (■8( @  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259081</xdr:colOff>
      <xdr:row>87</xdr:row>
      <xdr:rowOff>68581</xdr:rowOff>
    </xdr:from>
    <xdr:ext cx="2509962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Textfeld 28">
              <a:extLst>
                <a:ext uri="{FF2B5EF4-FFF2-40B4-BE49-F238E27FC236}">
                  <a16:creationId xmlns:a16="http://schemas.microsoft.com/office/drawing/2014/main" id="{186F3C71-E248-4F8F-AB2C-22F7C9FFB3D0}"/>
                </a:ext>
              </a:extLst>
            </xdr:cNvPr>
            <xdr:cNvSpPr txBox="1"/>
          </xdr:nvSpPr>
          <xdr:spPr>
            <a:xfrm>
              <a:off x="4640581" y="16883381"/>
              <a:ext cx="2509962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h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sub>
                        </m:sSub>
                      </m:num>
                      <m:den>
                        <m:d>
                          <m:dPr>
                            <m:begChr m:val="|"/>
                            <m:endChr m:val="|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</m:e>
                        </m:d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×</m:t>
                    </m:r>
                    <m:acc>
                      <m:accPr>
                        <m:chr m:val="⃑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𝐵𝐻</m:t>
                        </m:r>
                      </m:e>
                    </m:ac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9" name="Textfeld 28">
              <a:extLst>
                <a:ext uri="{FF2B5EF4-FFF2-40B4-BE49-F238E27FC236}">
                  <a16:creationId xmlns:a16="http://schemas.microsoft.com/office/drawing/2014/main" id="{186F3C71-E248-4F8F-AB2C-22F7C9FFB3D0}"/>
                </a:ext>
              </a:extLst>
            </xdr:cNvPr>
            <xdr:cNvSpPr txBox="1"/>
          </xdr:nvSpPr>
          <xdr:spPr>
            <a:xfrm>
              <a:off x="4640581" y="16883381"/>
              <a:ext cx="2509962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𝑇=ℎ_𝑐/|𝑇_0 |  𝑆×(𝐵𝐻) ⃑= (■8( @  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736600</xdr:colOff>
      <xdr:row>87</xdr:row>
      <xdr:rowOff>169333</xdr:rowOff>
    </xdr:from>
    <xdr:ext cx="931334" cy="273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>
              <a:extLst>
                <a:ext uri="{FF2B5EF4-FFF2-40B4-BE49-F238E27FC236}">
                  <a16:creationId xmlns:a16="http://schemas.microsoft.com/office/drawing/2014/main" id="{BFF0C29A-8E5A-45D6-B624-6A62B6812795}"/>
                </a:ext>
              </a:extLst>
            </xdr:cNvPr>
            <xdr:cNvSpPr txBox="1"/>
          </xdr:nvSpPr>
          <xdr:spPr>
            <a:xfrm>
              <a:off x="7594600" y="16984133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begChr m:val="|"/>
                      <m:endChr m:val="|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h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   </a:t>
              </a:r>
            </a:p>
          </xdr:txBody>
        </xdr:sp>
      </mc:Choice>
      <mc:Fallback xmlns="">
        <xdr:sp macro="" textlink="">
          <xdr:nvSpPr>
            <xdr:cNvPr id="30" name="Textfeld 29">
              <a:extLst>
                <a:ext uri="{FF2B5EF4-FFF2-40B4-BE49-F238E27FC236}">
                  <a16:creationId xmlns:a16="http://schemas.microsoft.com/office/drawing/2014/main" id="{BFF0C29A-8E5A-45D6-B624-6A62B6812795}"/>
                </a:ext>
              </a:extLst>
            </xdr:cNvPr>
            <xdr:cNvSpPr txBox="1"/>
          </xdr:nvSpPr>
          <xdr:spPr>
            <a:xfrm>
              <a:off x="7594600" y="16984133"/>
              <a:ext cx="931334" cy="273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|𝑇|=ℎ_𝑐=</a:t>
              </a:r>
              <a:r>
                <a:rPr lang="de-DE" sz="1100"/>
                <a:t>    </a:t>
              </a:r>
            </a:p>
          </xdr:txBody>
        </xdr:sp>
      </mc:Fallback>
    </mc:AlternateContent>
    <xdr:clientData/>
  </xdr:oneCellAnchor>
  <xdr:oneCellAnchor>
    <xdr:from>
      <xdr:col>9</xdr:col>
      <xdr:colOff>745066</xdr:colOff>
      <xdr:row>86</xdr:row>
      <xdr:rowOff>118534</xdr:rowOff>
    </xdr:from>
    <xdr:ext cx="931334" cy="28873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>
              <a:extLst>
                <a:ext uri="{FF2B5EF4-FFF2-40B4-BE49-F238E27FC236}">
                  <a16:creationId xmlns:a16="http://schemas.microsoft.com/office/drawing/2014/main" id="{09A4006A-75A4-41C2-9C98-F36D745B1766}"/>
                </a:ext>
              </a:extLst>
            </xdr:cNvPr>
            <xdr:cNvSpPr txBox="1"/>
          </xdr:nvSpPr>
          <xdr:spPr>
            <a:xfrm>
              <a:off x="7603066" y="16749184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</m:t>
                  </m:r>
                  <m:acc>
                    <m:accPr>
                      <m:chr m:val="⃑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acc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𝐵𝐻</m:t>
                      </m:r>
                    </m:e>
                  </m:ac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31" name="Textfeld 30">
              <a:extLst>
                <a:ext uri="{FF2B5EF4-FFF2-40B4-BE49-F238E27FC236}">
                  <a16:creationId xmlns:a16="http://schemas.microsoft.com/office/drawing/2014/main" id="{09A4006A-75A4-41C2-9C98-F36D745B1766}"/>
                </a:ext>
              </a:extLst>
            </xdr:cNvPr>
            <xdr:cNvSpPr txBox="1"/>
          </xdr:nvSpPr>
          <xdr:spPr>
            <a:xfrm>
              <a:off x="7603066" y="16749184"/>
              <a:ext cx="931334" cy="288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𝑇(𝐵𝐻) ⃑=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10</xdr:col>
      <xdr:colOff>0</xdr:colOff>
      <xdr:row>89</xdr:row>
      <xdr:rowOff>0</xdr:rowOff>
    </xdr:from>
    <xdr:ext cx="931334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>
              <a:extLst>
                <a:ext uri="{FF2B5EF4-FFF2-40B4-BE49-F238E27FC236}">
                  <a16:creationId xmlns:a16="http://schemas.microsoft.com/office/drawing/2014/main" id="{4B4C6D8A-A011-42C9-AAB2-0ACE217866F0}"/>
                </a:ext>
              </a:extLst>
            </xdr:cNvPr>
            <xdr:cNvSpPr txBox="1"/>
          </xdr:nvSpPr>
          <xdr:spPr>
            <a:xfrm>
              <a:off x="7893050" y="17183100"/>
              <a:ext cx="931334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𝑇𝑆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0 =    </a:t>
              </a:r>
            </a:p>
          </xdr:txBody>
        </xdr:sp>
      </mc:Choice>
      <mc:Fallback xmlns="">
        <xdr:sp macro="" textlink="">
          <xdr:nvSpPr>
            <xdr:cNvPr id="32" name="Textfeld 31">
              <a:extLst>
                <a:ext uri="{FF2B5EF4-FFF2-40B4-BE49-F238E27FC236}">
                  <a16:creationId xmlns:a16="http://schemas.microsoft.com/office/drawing/2014/main" id="{4B4C6D8A-A011-42C9-AAB2-0ACE217866F0}"/>
                </a:ext>
              </a:extLst>
            </xdr:cNvPr>
            <xdr:cNvSpPr txBox="1"/>
          </xdr:nvSpPr>
          <xdr:spPr>
            <a:xfrm>
              <a:off x="7893050" y="17183100"/>
              <a:ext cx="931334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𝑇𝑆=</a:t>
              </a:r>
              <a:r>
                <a:rPr lang="de-DE" sz="1100"/>
                <a:t> 0 =    </a:t>
              </a:r>
            </a:p>
          </xdr:txBody>
        </xdr:sp>
      </mc:Fallback>
    </mc:AlternateContent>
    <xdr:clientData/>
  </xdr:oneCellAnchor>
  <xdr:oneCellAnchor>
    <xdr:from>
      <xdr:col>2</xdr:col>
      <xdr:colOff>406400</xdr:colOff>
      <xdr:row>93</xdr:row>
      <xdr:rowOff>110066</xdr:rowOff>
    </xdr:from>
    <xdr:ext cx="4944533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>
              <a:extLst>
                <a:ext uri="{FF2B5EF4-FFF2-40B4-BE49-F238E27FC236}">
                  <a16:creationId xmlns:a16="http://schemas.microsoft.com/office/drawing/2014/main" id="{E2CE3EB9-48DA-4DE9-83BA-6AC2553F1BF7}"/>
                </a:ext>
              </a:extLst>
            </xdr:cNvPr>
            <xdr:cNvSpPr txBox="1"/>
          </xdr:nvSpPr>
          <xdr:spPr>
            <a:xfrm>
              <a:off x="1949450" y="18029766"/>
              <a:ext cx="4944533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</m:m>
                      </m:e>
                    </m:d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func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3" name="Textfeld 32">
              <a:extLst>
                <a:ext uri="{FF2B5EF4-FFF2-40B4-BE49-F238E27FC236}">
                  <a16:creationId xmlns:a16="http://schemas.microsoft.com/office/drawing/2014/main" id="{E2CE3EB9-48DA-4DE9-83BA-6AC2553F1BF7}"/>
                </a:ext>
              </a:extLst>
            </xdr:cNvPr>
            <xdr:cNvSpPr txBox="1"/>
          </xdr:nvSpPr>
          <xdr:spPr>
            <a:xfrm>
              <a:off x="1949450" y="18029766"/>
              <a:ext cx="4944533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(■8(0@0@0)) 𝑇_0^2= (■8(〖〖𝑐_0 𝑑〗_1 𝑐〗_1+ 〖𝑑_0 𝑐〗_0@〖〖𝑠_0 𝑑〗_1 𝑐〗_1+ 〖𝑑_0 𝑠〗_0@〖𝑑_1 𝑠〗_1 ))=𝐾(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cos⁡𝛼 〗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8466</xdr:colOff>
      <xdr:row>98</xdr:row>
      <xdr:rowOff>118532</xdr:rowOff>
    </xdr:from>
    <xdr:ext cx="3742267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feld 33">
              <a:extLst>
                <a:ext uri="{FF2B5EF4-FFF2-40B4-BE49-F238E27FC236}">
                  <a16:creationId xmlns:a16="http://schemas.microsoft.com/office/drawing/2014/main" id="{E16FB75A-4CDB-46E1-989D-75E49B65D792}"/>
                </a:ext>
              </a:extLst>
            </xdr:cNvPr>
            <xdr:cNvSpPr txBox="1"/>
          </xdr:nvSpPr>
          <xdr:spPr>
            <a:xfrm>
              <a:off x="8466" y="18958982"/>
              <a:ext cx="3742267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func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4" name="Textfeld 33">
              <a:extLst>
                <a:ext uri="{FF2B5EF4-FFF2-40B4-BE49-F238E27FC236}">
                  <a16:creationId xmlns:a16="http://schemas.microsoft.com/office/drawing/2014/main" id="{E16FB75A-4CDB-46E1-989D-75E49B65D792}"/>
                </a:ext>
              </a:extLst>
            </xdr:cNvPr>
            <xdr:cNvSpPr txBox="1"/>
          </xdr:nvSpPr>
          <xdr:spPr>
            <a:xfrm>
              <a:off x="8466" y="18958982"/>
              <a:ext cx="3742267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(■8(〖〖𝑐_0 𝑑〗_1 𝑐〗_1+ 〖𝑑_0 𝑐〗_0@〖〖𝑠_0 𝑑〗_1 𝑐〗_1+ 〖𝑑_0 𝑠〗_0@〖𝑑_1 𝑠〗_1 ))=𝐾(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cos⁡𝛼 〗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355600</xdr:colOff>
      <xdr:row>98</xdr:row>
      <xdr:rowOff>67732</xdr:rowOff>
    </xdr:from>
    <xdr:ext cx="2917687" cy="4506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>
              <a:extLst>
                <a:ext uri="{FF2B5EF4-FFF2-40B4-BE49-F238E27FC236}">
                  <a16:creationId xmlns:a16="http://schemas.microsoft.com/office/drawing/2014/main" id="{B1E4A4F9-8DDA-4078-89A8-4FB53008CF44}"/>
                </a:ext>
              </a:extLst>
            </xdr:cNvPr>
            <xdr:cNvSpPr txBox="1"/>
          </xdr:nvSpPr>
          <xdr:spPr>
            <a:xfrm>
              <a:off x="7213600" y="18908182"/>
              <a:ext cx="2917687" cy="450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>
              <a:extLst>
                <a:ext uri="{FF2B5EF4-FFF2-40B4-BE49-F238E27FC236}">
                  <a16:creationId xmlns:a16="http://schemas.microsoft.com/office/drawing/2014/main" id="{B1E4A4F9-8DDA-4078-89A8-4FB53008CF44}"/>
                </a:ext>
              </a:extLst>
            </xdr:cNvPr>
            <xdr:cNvSpPr txBox="1"/>
          </xdr:nvSpPr>
          <xdr:spPr>
            <a:xfrm>
              <a:off x="7213600" y="18908182"/>
              <a:ext cx="2917687" cy="450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𝑑_1 𝑐〗_1=  (−〖𝑑_0 𝑐〗_0+ 𝐻_𝑥+𝑆_𝑥  sin⁡〖𝛼+𝑇_𝑥  cos⁡𝛼 〗)/𝑐_0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9</xdr:col>
      <xdr:colOff>338667</xdr:colOff>
      <xdr:row>101</xdr:row>
      <xdr:rowOff>82457</xdr:rowOff>
    </xdr:from>
    <xdr:ext cx="3186411" cy="4467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>
              <a:extLst>
                <a:ext uri="{FF2B5EF4-FFF2-40B4-BE49-F238E27FC236}">
                  <a16:creationId xmlns:a16="http://schemas.microsoft.com/office/drawing/2014/main" id="{A3E30C42-5C4C-401B-A29F-E6F8AB00FD0A}"/>
                </a:ext>
              </a:extLst>
            </xdr:cNvPr>
            <xdr:cNvSpPr txBox="1"/>
          </xdr:nvSpPr>
          <xdr:spPr>
            <a:xfrm>
              <a:off x="7196667" y="19500757"/>
              <a:ext cx="3186411" cy="44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6" name="Textfeld 35">
              <a:extLst>
                <a:ext uri="{FF2B5EF4-FFF2-40B4-BE49-F238E27FC236}">
                  <a16:creationId xmlns:a16="http://schemas.microsoft.com/office/drawing/2014/main" id="{A3E30C42-5C4C-401B-A29F-E6F8AB00FD0A}"/>
                </a:ext>
              </a:extLst>
            </xdr:cNvPr>
            <xdr:cNvSpPr txBox="1"/>
          </xdr:nvSpPr>
          <xdr:spPr>
            <a:xfrm>
              <a:off x="7196667" y="19500757"/>
              <a:ext cx="3186411" cy="44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𝑑_1 𝑐〗_1=  (−〖𝑑_0 𝑠〗_0+ 𝐻_𝑦+𝑆_𝑦  sin⁡〖𝛼+𝑇_𝑦  cos⁡𝛼 〗)/𝑠_0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88347</xdr:colOff>
      <xdr:row>104</xdr:row>
      <xdr:rowOff>93500</xdr:rowOff>
    </xdr:from>
    <xdr:ext cx="4920975" cy="54923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>
              <a:extLst>
                <a:ext uri="{FF2B5EF4-FFF2-40B4-BE49-F238E27FC236}">
                  <a16:creationId xmlns:a16="http://schemas.microsoft.com/office/drawing/2014/main" id="{D81F9877-5A72-4CCD-9192-C4D7871FF720}"/>
                </a:ext>
              </a:extLst>
            </xdr:cNvPr>
            <xdr:cNvSpPr txBox="1"/>
          </xdr:nvSpPr>
          <xdr:spPr>
            <a:xfrm>
              <a:off x="88347" y="20064250"/>
              <a:ext cx="4920975" cy="5492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num>
                      <m:den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7" name="Textfeld 36">
              <a:extLst>
                <a:ext uri="{FF2B5EF4-FFF2-40B4-BE49-F238E27FC236}">
                  <a16:creationId xmlns:a16="http://schemas.microsoft.com/office/drawing/2014/main" id="{D81F9877-5A72-4CCD-9192-C4D7871FF720}"/>
                </a:ext>
              </a:extLst>
            </xdr:cNvPr>
            <xdr:cNvSpPr txBox="1"/>
          </xdr:nvSpPr>
          <xdr:spPr>
            <a:xfrm>
              <a:off x="88347" y="20064250"/>
              <a:ext cx="4920975" cy="5492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(−〖𝑑_0 𝑐〗_0+ 𝐻_𝑥+𝑆_𝑥  sin⁡〖𝛼+𝑇_𝑥  cos⁡𝛼 〗)/𝑐_0 =  (−〖𝑑_0 𝑠〗_0+ 𝐻_𝑦+𝑆_𝑦  sin⁡〖𝛼+𝑇_𝑦  cos⁡𝛼 〗)/𝑠_0 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112643</xdr:colOff>
      <xdr:row>109</xdr:row>
      <xdr:rowOff>39756</xdr:rowOff>
    </xdr:from>
    <xdr:ext cx="5413514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>
              <a:extLst>
                <a:ext uri="{FF2B5EF4-FFF2-40B4-BE49-F238E27FC236}">
                  <a16:creationId xmlns:a16="http://schemas.microsoft.com/office/drawing/2014/main" id="{CECCE71E-71E5-42F8-B4EC-BD078F35FABB}"/>
                </a:ext>
              </a:extLst>
            </xdr:cNvPr>
            <xdr:cNvSpPr txBox="1"/>
          </xdr:nvSpPr>
          <xdr:spPr>
            <a:xfrm>
              <a:off x="112643" y="20931256"/>
              <a:ext cx="541351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𝐻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</m:t>
                                </m:r>
                              </m:sub>
                            </m:sSub>
                            <m:func>
                              <m:func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de-DE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cos</m:t>
                                </m:r>
                              </m:fName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</m:e>
                            </m:func>
                          </m:e>
                        </m:func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>
              <a:extLst>
                <a:ext uri="{FF2B5EF4-FFF2-40B4-BE49-F238E27FC236}">
                  <a16:creationId xmlns:a16="http://schemas.microsoft.com/office/drawing/2014/main" id="{CECCE71E-71E5-42F8-B4EC-BD078F35FABB}"/>
                </a:ext>
              </a:extLst>
            </xdr:cNvPr>
            <xdr:cNvSpPr txBox="1"/>
          </xdr:nvSpPr>
          <xdr:spPr>
            <a:xfrm>
              <a:off x="112643" y="20931256"/>
              <a:ext cx="541351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(−〖𝑑_0 𝑐〗_0+ 𝐻_𝑥+𝑆_𝑥  sin⁡〖𝛼+𝑇_𝑥  cos⁡𝛼 〗 )= 𝑐_0 (−〖𝑑_0 𝑠〗_0+ 𝐻_𝑦+𝑆_𝑦  sin⁡〖𝛼+𝑇_𝑦  cos⁡𝛼 〗 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112643</xdr:colOff>
      <xdr:row>111</xdr:row>
      <xdr:rowOff>6236</xdr:rowOff>
    </xdr:from>
    <xdr:ext cx="632401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>
              <a:extLst>
                <a:ext uri="{FF2B5EF4-FFF2-40B4-BE49-F238E27FC236}">
                  <a16:creationId xmlns:a16="http://schemas.microsoft.com/office/drawing/2014/main" id="{1328982D-94DD-4DA2-B543-AE525F405EEF}"/>
                </a:ext>
              </a:extLst>
            </xdr:cNvPr>
            <xdr:cNvSpPr txBox="1"/>
          </xdr:nvSpPr>
          <xdr:spPr>
            <a:xfrm>
              <a:off x="112643" y="21266036"/>
              <a:ext cx="632401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  <m:func>
                    <m:func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sin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𝛼</m:t>
                      </m:r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 </m:t>
                  </m:r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𝛼</m:t>
                      </m:r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 −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𝑑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+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de-DE" sz="1100"/>
                <a:t>+</a:t>
              </a:r>
              <a14:m>
                <m:oMath xmlns:m="http://schemas.openxmlformats.org/officeDocument/2006/math"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𝑑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r>
                <a:rPr lang="de-DE" sz="1100"/>
                <a:t> = </a:t>
              </a:r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</m:oMath>
              </a14:m>
              <a:r>
                <a:rPr lang="de-DE" sz="1100"/>
                <a:t> - </a:t>
              </a:r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>
              <a:extLst>
                <a:ext uri="{FF2B5EF4-FFF2-40B4-BE49-F238E27FC236}">
                  <a16:creationId xmlns:a16="http://schemas.microsoft.com/office/drawing/2014/main" id="{1328982D-94DD-4DA2-B543-AE525F405EEF}"/>
                </a:ext>
              </a:extLst>
            </xdr:cNvPr>
            <xdr:cNvSpPr txBox="1"/>
          </xdr:nvSpPr>
          <xdr:spPr>
            <a:xfrm>
              <a:off x="112643" y="21266036"/>
              <a:ext cx="632401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𝑆_𝑥  − 𝑐_0 𝑆_𝑦 )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 (𝑠_0 𝑇_𝑥−𝑐_0 𝑇_𝑦 )  cos⁡𝛼= 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𝑐〗_0 𝑠_0  + 𝑐_0 𝐻_𝑦  </a:t>
              </a:r>
              <a:r>
                <a:rPr lang="de-DE" sz="1100"/>
                <a:t>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𝑐〗_0 𝑠_0  − 𝑠_0 𝐻_𝑥</a:t>
              </a:r>
              <a:r>
                <a:rPr lang="de-DE" sz="1100"/>
                <a:t> 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𝐻_𝑦</a:t>
              </a:r>
              <a:r>
                <a:rPr lang="de-DE" sz="1100"/>
                <a:t> -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𝑠_0 𝐻_𝑥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284924</xdr:colOff>
      <xdr:row>115</xdr:row>
      <xdr:rowOff>145772</xdr:rowOff>
    </xdr:from>
    <xdr:ext cx="3982276" cy="123217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Textfeld 39">
              <a:extLst>
                <a:ext uri="{FF2B5EF4-FFF2-40B4-BE49-F238E27FC236}">
                  <a16:creationId xmlns:a16="http://schemas.microsoft.com/office/drawing/2014/main" id="{4C4450FD-A64B-4682-B8CE-75606B50BBBA}"/>
                </a:ext>
              </a:extLst>
            </xdr:cNvPr>
            <xdr:cNvSpPr txBox="1"/>
          </xdr:nvSpPr>
          <xdr:spPr>
            <a:xfrm>
              <a:off x="907224" y="22142172"/>
              <a:ext cx="3982276" cy="12321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func>
                      <m:func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𝑏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begChr m:val="{"/>
                        <m:endChr m:val="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2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𝑎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𝑏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</m:t>
                                  </m:r>
                                </m:e>
                              </m:rad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d>
                                    <m:d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d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𝛼</m:t>
                                      </m:r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  <m:func>
                                        <m:func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funcPr>
                                        <m:fName>
                                          <m:sSup>
                                            <m:sSup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sSupPr>
                                            <m:e>
                                              <m:r>
                                                <m:rPr>
                                                  <m:sty m:val="p"/>
                                                </m:rPr>
                                                <a:rPr lang="de-DE" sz="1100" b="0" i="0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tan</m:t>
                                              </m:r>
                                            </m:e>
                                            <m:sup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−1</m:t>
                                              </m:r>
                                            </m:sup>
                                          </m:sSup>
                                        </m:fName>
                                        <m:e>
                                          <m:f>
                                            <m:f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Pr>
                                            <m:num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𝑏</m:t>
                                              </m:r>
                                            </m:num>
                                            <m:den>
                                              <m: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  <m:t>𝑎</m:t>
                                              </m:r>
                                            </m:den>
                                          </m:f>
                                        </m:e>
                                      </m:func>
                                    </m:e>
                                  </m:d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ü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𝑟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𝑎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&gt;0</m:t>
                              </m:r>
                            </m:e>
                          </m:mr>
                          <m:mr>
                            <m:e>
                              <m:rad>
                                <m:radPr>
                                  <m:degHide m:val="on"/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radPr>
                                <m:deg/>
                                <m:e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𝑎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+</m:t>
                                  </m:r>
                                  <m:sSup>
                                    <m:sSup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𝑏</m:t>
                                      </m:r>
                                    </m:e>
                                    <m:sup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p>
                                  </m:s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 </m:t>
                                  </m:r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d>
                                        <m:dPr>
                                          <m:ctrlP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d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𝛼</m:t>
                                          </m:r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−</m:t>
                                          </m:r>
                                          <m:func>
                                            <m:funcPr>
                                              <m:ctrlPr>
                                                <a:rPr lang="de-DE" sz="1100" b="0" i="1">
                                                  <a:solidFill>
                                                    <a:schemeClr val="tx1"/>
                                                  </a:solidFill>
                                                  <a:effectLst/>
                                                  <a:latin typeface="Cambria Math" panose="02040503050406030204" pitchFamily="18" charset="0"/>
                                                  <a:ea typeface="+mn-ea"/>
                                                  <a:cs typeface="+mn-cs"/>
                                                </a:rPr>
                                              </m:ctrlPr>
                                            </m:funcPr>
                                            <m:fName>
                                              <m:sSup>
                                                <m:sSup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sSupPr>
                                                <m:e>
                                                  <m:r>
                                                    <m:rPr>
                                                      <m:sty m:val="p"/>
                                                    </m:rPr>
                                                    <a:rPr lang="de-DE" sz="1100" b="0" i="0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tan</m:t>
                                                  </m:r>
                                                </m:e>
                                                <m:sup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−1</m:t>
                                                  </m:r>
                                                </m:sup>
                                              </m:sSup>
                                            </m:fName>
                                            <m:e>
                                              <m:f>
                                                <m:fPr>
                                                  <m:ctrlP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</m:ctrlPr>
                                                </m:fPr>
                                                <m:num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𝑎</m:t>
                                                  </m:r>
                                                </m:num>
                                                <m:den>
                                                  <m:r>
                                                    <a:rPr lang="de-DE" sz="1100" b="0" i="1">
                                                      <a:solidFill>
                                                        <a:schemeClr val="tx1"/>
                                                      </a:solidFill>
                                                      <a:effectLst/>
                                                      <a:latin typeface="Cambria Math" panose="02040503050406030204" pitchFamily="18" charset="0"/>
                                                      <a:ea typeface="+mn-ea"/>
                                                      <a:cs typeface="+mn-cs"/>
                                                    </a:rPr>
                                                    <m:t>𝑏</m:t>
                                                  </m:r>
                                                </m:den>
                                              </m:f>
                                            </m:e>
                                          </m:func>
                                        </m:e>
                                      </m:d>
                                    </m:e>
                                  </m:func>
                                </m:e>
                              </m:rad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𝑓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ü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𝑟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𝑏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&gt;0</m:t>
                              </m:r>
                            </m:e>
                          </m:mr>
                          <m:mr>
                            <m:e>
                              <m:eqArr>
                                <m:eqArr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eqArrPr>
                                <m:e>
                                  <m: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  <m:func>
                                    <m:func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𝛼</m:t>
                                      </m:r>
                                    </m:e>
                                  </m:func>
                                </m:e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𝑐𝑜𝑠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𝛼</m:t>
                                  </m:r>
                                </m:e>
                              </m:eqArr>
                            </m:e>
                            <m:e>
                              <m:eqArr>
                                <m:eqArr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eqArr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𝑓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ü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𝑟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=0</m:t>
                                  </m:r>
                                </m:e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𝑓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ü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𝑟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 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=0</m:t>
                                  </m:r>
                                </m:e>
                              </m:eqAr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  <a:p>
              <a:endParaRPr lang="de-DE" sz="1100"/>
            </a:p>
          </xdr:txBody>
        </xdr:sp>
      </mc:Choice>
      <mc:Fallback xmlns="">
        <xdr:sp macro="" textlink="">
          <xdr:nvSpPr>
            <xdr:cNvPr id="40" name="Textfeld 39">
              <a:extLst>
                <a:ext uri="{FF2B5EF4-FFF2-40B4-BE49-F238E27FC236}">
                  <a16:creationId xmlns:a16="http://schemas.microsoft.com/office/drawing/2014/main" id="{4C4450FD-A64B-4682-B8CE-75606B50BBBA}"/>
                </a:ext>
              </a:extLst>
            </xdr:cNvPr>
            <xdr:cNvSpPr txBox="1"/>
          </xdr:nvSpPr>
          <xdr:spPr>
            <a:xfrm>
              <a:off x="907224" y="22142172"/>
              <a:ext cx="3982276" cy="12321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cos⁡𝛼={■8(√(𝑎^2+𝑏^2  )  sin⁡(𝛼+tan^(−1)⁡〖𝑏/𝑎〗 )&amp;𝑓ü𝑟 𝑎&gt;0@√(𝑎^2+𝑏^2   cos⁡(𝛼−tan^(−1)⁡〖𝑎/𝑏〗 ) )&amp;𝑓ü𝑟 𝑏&gt;0@█(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𝛼@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𝑏 𝑐𝑜𝑠𝛼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)&amp;█(𝑓ü𝑟 𝑏=0@𝑓ü𝑟 𝑎=0))┤</a:t>
              </a:r>
              <a:endParaRPr lang="de-DE" sz="1100"/>
            </a:p>
            <a:p>
              <a:pPr/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30480</xdr:colOff>
      <xdr:row>4</xdr:row>
      <xdr:rowOff>0</xdr:rowOff>
    </xdr:from>
    <xdr:ext cx="304800" cy="301214"/>
    <xdr:sp macro="" textlink="">
      <xdr:nvSpPr>
        <xdr:cNvPr id="41" name="AutoShape 14" descr="z_{n}">
          <a:extLst>
            <a:ext uri="{FF2B5EF4-FFF2-40B4-BE49-F238E27FC236}">
              <a16:creationId xmlns:a16="http://schemas.microsoft.com/office/drawing/2014/main" id="{A89B49F4-4496-4A83-B39F-F84217C655A9}"/>
            </a:ext>
          </a:extLst>
        </xdr:cNvPr>
        <xdr:cNvSpPr>
          <a:spLocks noChangeAspect="1" noChangeArrowheads="1"/>
        </xdr:cNvSpPr>
      </xdr:nvSpPr>
      <xdr:spPr bwMode="auto">
        <a:xfrm>
          <a:off x="1573530" y="787400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564776</xdr:colOff>
      <xdr:row>124</xdr:row>
      <xdr:rowOff>99781</xdr:rowOff>
    </xdr:from>
    <xdr:ext cx="941294" cy="312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Textfeld 41">
              <a:extLst>
                <a:ext uri="{FF2B5EF4-FFF2-40B4-BE49-F238E27FC236}">
                  <a16:creationId xmlns:a16="http://schemas.microsoft.com/office/drawing/2014/main" id="{7856D998-2D6F-478C-8ED6-82E9ECE6B58C}"/>
                </a:ext>
              </a:extLst>
            </xdr:cNvPr>
            <xdr:cNvSpPr txBox="1"/>
          </xdr:nvSpPr>
          <xdr:spPr>
            <a:xfrm>
              <a:off x="564776" y="23753531"/>
              <a:ext cx="941294" cy="312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p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p>
                          <m:sSup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p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</m:e>
                    </m:ra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2" name="Textfeld 41">
              <a:extLst>
                <a:ext uri="{FF2B5EF4-FFF2-40B4-BE49-F238E27FC236}">
                  <a16:creationId xmlns:a16="http://schemas.microsoft.com/office/drawing/2014/main" id="{7856D998-2D6F-478C-8ED6-82E9ECE6B58C}"/>
                </a:ext>
              </a:extLst>
            </xdr:cNvPr>
            <xdr:cNvSpPr txBox="1"/>
          </xdr:nvSpPr>
          <xdr:spPr>
            <a:xfrm>
              <a:off x="564776" y="23753531"/>
              <a:ext cx="941294" cy="312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√(𝑎^2+𝑏^2  )=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251012</xdr:colOff>
      <xdr:row>121</xdr:row>
      <xdr:rowOff>113813</xdr:rowOff>
    </xdr:from>
    <xdr:ext cx="1550894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Textfeld 42">
              <a:extLst>
                <a:ext uri="{FF2B5EF4-FFF2-40B4-BE49-F238E27FC236}">
                  <a16:creationId xmlns:a16="http://schemas.microsoft.com/office/drawing/2014/main" id="{4AB11D97-D9F2-4A41-9BCF-515D50B9CF19}"/>
                </a:ext>
              </a:extLst>
            </xdr:cNvPr>
            <xdr:cNvSpPr txBox="1"/>
          </xdr:nvSpPr>
          <xdr:spPr>
            <a:xfrm>
              <a:off x="251012" y="23215113"/>
              <a:ext cx="155089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a = </a:t>
              </a:r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𝑆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3" name="Textfeld 42">
              <a:extLst>
                <a:ext uri="{FF2B5EF4-FFF2-40B4-BE49-F238E27FC236}">
                  <a16:creationId xmlns:a16="http://schemas.microsoft.com/office/drawing/2014/main" id="{4AB11D97-D9F2-4A41-9BCF-515D50B9CF19}"/>
                </a:ext>
              </a:extLst>
            </xdr:cNvPr>
            <xdr:cNvSpPr txBox="1"/>
          </xdr:nvSpPr>
          <xdr:spPr>
            <a:xfrm>
              <a:off x="251012" y="23215113"/>
              <a:ext cx="1550894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a 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𝑆_𝑥  − 𝑐_0 𝑆_𝑦 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259976</xdr:colOff>
      <xdr:row>122</xdr:row>
      <xdr:rowOff>131743</xdr:rowOff>
    </xdr:from>
    <xdr:ext cx="149710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>
              <a:extLst>
                <a:ext uri="{FF2B5EF4-FFF2-40B4-BE49-F238E27FC236}">
                  <a16:creationId xmlns:a16="http://schemas.microsoft.com/office/drawing/2014/main" id="{A45BC089-173E-4F23-A170-BAAB15D3C1B2}"/>
                </a:ext>
              </a:extLst>
            </xdr:cNvPr>
            <xdr:cNvSpPr txBox="1"/>
          </xdr:nvSpPr>
          <xdr:spPr>
            <a:xfrm>
              <a:off x="259976" y="2341719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b = </a:t>
              </a:r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𝑠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𝑥</m:t>
                          </m:r>
                        </m:sub>
                      </m:s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sSub>
                        <m:sSub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𝑦</m:t>
                          </m:r>
                        </m:sub>
                      </m:sSub>
                    </m:e>
                  </m:d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4" name="Textfeld 43">
              <a:extLst>
                <a:ext uri="{FF2B5EF4-FFF2-40B4-BE49-F238E27FC236}">
                  <a16:creationId xmlns:a16="http://schemas.microsoft.com/office/drawing/2014/main" id="{A45BC089-173E-4F23-A170-BAAB15D3C1B2}"/>
                </a:ext>
              </a:extLst>
            </xdr:cNvPr>
            <xdr:cNvSpPr txBox="1"/>
          </xdr:nvSpPr>
          <xdr:spPr>
            <a:xfrm>
              <a:off x="259976" y="2341719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b 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𝑇_𝑥−𝑐_0 𝑇_𝑦 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277905</xdr:colOff>
      <xdr:row>126</xdr:row>
      <xdr:rowOff>113813</xdr:rowOff>
    </xdr:from>
    <xdr:ext cx="1497106" cy="3776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>
              <a:extLst>
                <a:ext uri="{FF2B5EF4-FFF2-40B4-BE49-F238E27FC236}">
                  <a16:creationId xmlns:a16="http://schemas.microsoft.com/office/drawing/2014/main" id="{71A217B4-CEED-45CC-A6DD-C187DD0D28D8}"/>
                </a:ext>
              </a:extLst>
            </xdr:cNvPr>
            <xdr:cNvSpPr txBox="1"/>
          </xdr:nvSpPr>
          <xdr:spPr>
            <a:xfrm>
              <a:off x="277905" y="2413586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c = </a:t>
              </a:r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𝑐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m:rPr>
                      <m:nor/>
                    </m:rPr>
                    <a:rPr lang="de-DE" sz="11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−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𝐻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45" name="Textfeld 44">
              <a:extLst>
                <a:ext uri="{FF2B5EF4-FFF2-40B4-BE49-F238E27FC236}">
                  <a16:creationId xmlns:a16="http://schemas.microsoft.com/office/drawing/2014/main" id="{71A217B4-CEED-45CC-A6DD-C187DD0D28D8}"/>
                </a:ext>
              </a:extLst>
            </xdr:cNvPr>
            <xdr:cNvSpPr txBox="1"/>
          </xdr:nvSpPr>
          <xdr:spPr>
            <a:xfrm>
              <a:off x="277905" y="24135863"/>
              <a:ext cx="1497106" cy="3776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c 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 𝐻_𝑦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−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𝑠_0 𝐻_𝑥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8</xdr:col>
      <xdr:colOff>486180</xdr:colOff>
      <xdr:row>115</xdr:row>
      <xdr:rowOff>123088</xdr:rowOff>
    </xdr:from>
    <xdr:ext cx="4710660" cy="13856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Textfeld 45">
              <a:extLst>
                <a:ext uri="{FF2B5EF4-FFF2-40B4-BE49-F238E27FC236}">
                  <a16:creationId xmlns:a16="http://schemas.microsoft.com/office/drawing/2014/main" id="{D5ADB649-9FAE-46AB-85F2-0B0AFEC5419D}"/>
                </a:ext>
              </a:extLst>
            </xdr:cNvPr>
            <xdr:cNvSpPr txBox="1"/>
          </xdr:nvSpPr>
          <xdr:spPr>
            <a:xfrm>
              <a:off x="6340880" y="22119488"/>
              <a:ext cx="4710660" cy="13856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m>
                      <m:mPr>
                        <m:mcs>
                          <m:mc>
                            <m:mcPr>
                              <m:count m:val="2"/>
                              <m:mcJc m:val="center"/>
                            </m:mcPr>
                          </m:mc>
                        </m:mcs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mPr>
                      <m:m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𝑎</m:t>
                          </m:r>
                          <m:func>
                            <m:funcPr>
                              <m:ctrlP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uncPr>
                            <m:fName>
                              <m:r>
                                <m:rPr>
                                  <m:sty m:val="p"/>
                                </m:rPr>
                                <a:rPr lang="de-DE" sz="110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sin</m:t>
                              </m:r>
                            </m:fNam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𝛼</m:t>
                              </m:r>
                            </m:e>
                          </m:func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𝑏</m:t>
                          </m:r>
                          <m:func>
                            <m:func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uncPr>
                            <m:fName>
                              <m:r>
                                <m:rPr>
                                  <m:sty m:val="p"/>
                                </m:rPr>
                                <a:rPr lang="de-DE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cos</m:t>
                              </m:r>
                            </m:fNam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𝛼</m:t>
                              </m:r>
                            </m:e>
                          </m:func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𝑐</m:t>
                          </m:r>
                          <m:groupChr>
                            <m:groupChrPr>
                              <m:chr m:val="⇒"/>
                              <m:pos m:val="top"/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groupChrPr>
                            <m:e/>
                          </m:groupChr>
                        </m:e>
                        <m:e>
                          <m:d>
                            <m:dPr>
                              <m:begChr m:val="{"/>
                              <m:endChr m:val=""/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m>
                                <m:mPr>
                                  <m:mcs>
                                    <m:mc>
                                      <m:mcPr>
                                        <m:count m:val="2"/>
                                        <m:mcJc m:val="center"/>
                                      </m:mcPr>
                                    </m:mc>
                                  </m:mcs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mP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sin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ad>
                                                  <m:radPr>
                                                    <m:degHide m:val="on"/>
                                                    <m:ctrlP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</m:ctrlPr>
                                                  </m:radPr>
                                                  <m:deg/>
                                                  <m:e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𝑎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+</m:t>
                                                    </m:r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𝑏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 </m:t>
                                                    </m:r>
                                                  </m:e>
                                                </m:rad>
                                              </m:den>
                                            </m:f>
                                          </m:e>
                                        </m:d>
                                        <m: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 − </m:t>
                                        </m:r>
                                        <m:func>
                                          <m:func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funcPr>
                                          <m:fName>
                                            <m:sSup>
                                              <m:sSup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pPr>
                                              <m:e>
                                                <m:r>
                                                  <m:rPr>
                                                    <m:sty m:val="p"/>
                                                  </m:rPr>
                                                  <a:rPr lang="de-DE" sz="1100" b="0" i="0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tan</m:t>
                                                </m:r>
                                              </m:e>
                                              <m:sup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−1</m:t>
                                                </m:r>
                                              </m:sup>
                                            </m:sSup>
                                          </m:fName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𝑏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den>
                                            </m:f>
                                          </m:e>
                                        </m:func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&gt;0</m:t>
                                    </m:r>
                                  </m:e>
                                </m:m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cos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ad>
                                                  <m:radPr>
                                                    <m:degHide m:val="on"/>
                                                    <m:ctrlP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</m:ctrlPr>
                                                  </m:radPr>
                                                  <m:deg/>
                                                  <m:e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𝑎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+</m:t>
                                                    </m:r>
                                                    <m:sSup>
                                                      <m:sSupPr>
                                                        <m:ctrlP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pPr>
                                                      <m:e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𝑏</m:t>
                                                        </m:r>
                                                      </m:e>
                                                      <m:sup>
                                                        <m:r>
                                                          <a:rPr lang="de-DE" sz="11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2</m:t>
                                                        </m:r>
                                                      </m:sup>
                                                    </m:sSup>
                                                    <m:r>
                                                      <a:rPr lang="de-DE" sz="11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 </m:t>
                                                    </m:r>
                                                  </m:e>
                                                </m:rad>
                                              </m:den>
                                            </m:f>
                                          </m:e>
                                        </m:d>
                                        <m: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func>
                                          <m:func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funcPr>
                                          <m:fName>
                                            <m:sSup>
                                              <m:sSup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sSupPr>
                                              <m:e>
                                                <m:r>
                                                  <m:rPr>
                                                    <m:sty m:val="p"/>
                                                  </m:rPr>
                                                  <a:rPr lang="de-DE" sz="1100" b="0" i="0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tan</m:t>
                                                </m:r>
                                              </m:e>
                                              <m:sup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−1</m:t>
                                                </m:r>
                                              </m:sup>
                                            </m:sSup>
                                          </m:fName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𝑏</m:t>
                                                </m:r>
                                              </m:den>
                                            </m:f>
                                          </m:e>
                                        </m:func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&gt;0</m:t>
                                    </m:r>
                                  </m:e>
                                </m:mr>
                                <m:m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</m:t>
                                    </m:r>
                                    <m:func>
                                      <m:funcPr>
                                        <m:ctrlPr>
                                          <a:rPr lang="de-DE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sSup>
                                          <m:sSup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m:rPr>
                                                <m:sty m:val="p"/>
                                              </m:rPr>
                                              <a:rPr lang="de-DE" sz="1100" b="0" i="0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sin</m:t>
                                            </m:r>
                                          </m:e>
                                          <m:sup>
                                            <m: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−1</m:t>
                                            </m:r>
                                          </m:sup>
                                        </m:sSup>
                                      </m:fName>
                                      <m:e>
                                        <m:d>
                                          <m:dPr>
                                            <m:ctrlPr>
                                              <a:rPr lang="de-DE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f>
                                              <m:fPr>
                                                <m:ctrlP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fPr>
                                              <m:num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𝑐</m:t>
                                                </m:r>
                                                <m:r>
                                                  <m:rPr>
                                                    <m:nor/>
                                                  </m:rPr>
                                                  <a:rPr lang="de-DE" sz="110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+mn-lt"/>
                                                    <a:ea typeface="+mn-ea"/>
                                                    <a:cs typeface="+mn-cs"/>
                                                  </a:rPr>
                                                  <m:t> </m:t>
                                                </m:r>
                                              </m:num>
                                              <m:den>
                                                <m:r>
                                                  <a:rPr lang="de-DE" sz="11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  <m:t>𝑎</m:t>
                                                </m:r>
                                              </m:den>
                                            </m:f>
                                          </m:e>
                                        </m:d>
                                      </m:e>
                                    </m:func>
                                  </m:e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𝑓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ü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=0</m:t>
                                    </m:r>
                                  </m:e>
                                </m:mr>
                              </m:m>
                            </m:e>
                          </m:d>
                        </m:e>
                      </m:mr>
                    </m:m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6" name="Textfeld 45">
              <a:extLst>
                <a:ext uri="{FF2B5EF4-FFF2-40B4-BE49-F238E27FC236}">
                  <a16:creationId xmlns:a16="http://schemas.microsoft.com/office/drawing/2014/main" id="{D5ADB649-9FAE-46AB-85F2-0B0AFEC5419D}"/>
                </a:ext>
              </a:extLst>
            </xdr:cNvPr>
            <xdr:cNvSpPr txBox="1"/>
          </xdr:nvSpPr>
          <xdr:spPr>
            <a:xfrm>
              <a:off x="6340880" y="22119488"/>
              <a:ext cx="4710660" cy="13856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cos⁡𝛼=𝑐⇒┬&amp;{■8(𝛼=sin^(−1)⁡〖(𝑐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/√(𝑎^2+𝑏^2  ))  − tan^(−1)⁡〖𝑏/𝑎〗 〗&amp;𝑓ü𝑟 𝑎&gt;0@𝛼=cos^(−1)⁡〖(𝑐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/√(𝑎^2+𝑏^2  ))+ tan^(−1)⁡〖𝑎/𝑏〗 〗&amp;𝑓ü𝑟 𝑏&gt;0@𝛼=sin^(−1)⁡(𝑐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/𝑎)&amp;𝑓ü𝑟 𝑏=0)┤ 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293888</xdr:colOff>
      <xdr:row>130</xdr:row>
      <xdr:rowOff>144605</xdr:rowOff>
    </xdr:from>
    <xdr:ext cx="450183" cy="267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>
              <a:extLst>
                <a:ext uri="{FF2B5EF4-FFF2-40B4-BE49-F238E27FC236}">
                  <a16:creationId xmlns:a16="http://schemas.microsoft.com/office/drawing/2014/main" id="{167A3401-F8A2-4A4A-BCBE-119357B66203}"/>
                </a:ext>
              </a:extLst>
            </xdr:cNvPr>
            <xdr:cNvSpPr txBox="1"/>
          </xdr:nvSpPr>
          <xdr:spPr>
            <a:xfrm>
              <a:off x="293888" y="24903255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>
              <a:extLst>
                <a:ext uri="{FF2B5EF4-FFF2-40B4-BE49-F238E27FC236}">
                  <a16:creationId xmlns:a16="http://schemas.microsoft.com/office/drawing/2014/main" id="{167A3401-F8A2-4A4A-BCBE-119357B66203}"/>
                </a:ext>
              </a:extLst>
            </xdr:cNvPr>
            <xdr:cNvSpPr txBox="1"/>
          </xdr:nvSpPr>
          <xdr:spPr>
            <a:xfrm>
              <a:off x="293888" y="24903255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557605</xdr:colOff>
      <xdr:row>135</xdr:row>
      <xdr:rowOff>58720</xdr:rowOff>
    </xdr:from>
    <xdr:ext cx="3480995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>
              <a:extLst>
                <a:ext uri="{FF2B5EF4-FFF2-40B4-BE49-F238E27FC236}">
                  <a16:creationId xmlns:a16="http://schemas.microsoft.com/office/drawing/2014/main" id="{9D85F46E-18ED-45A2-AC75-DC0B38E1FFB4}"/>
                </a:ext>
              </a:extLst>
            </xdr:cNvPr>
            <xdr:cNvSpPr txBox="1"/>
          </xdr:nvSpPr>
          <xdr:spPr>
            <a:xfrm>
              <a:off x="557605" y="25553970"/>
              <a:ext cx="348099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𝐻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cos</m:t>
                            </m:r>
                          </m:fName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=     </m:t>
                            </m:r>
                          </m:e>
                        </m:func>
                      </m:e>
                    </m:func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</m:t>
                              </m:r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>
              <a:extLst>
                <a:ext uri="{FF2B5EF4-FFF2-40B4-BE49-F238E27FC236}">
                  <a16:creationId xmlns:a16="http://schemas.microsoft.com/office/drawing/2014/main" id="{9D85F46E-18ED-45A2-AC75-DC0B38E1FFB4}"/>
                </a:ext>
              </a:extLst>
            </xdr:cNvPr>
            <xdr:cNvSpPr txBox="1"/>
          </xdr:nvSpPr>
          <xdr:spPr>
            <a:xfrm>
              <a:off x="557605" y="25553970"/>
              <a:ext cx="3480995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𝐶=𝐾(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𝛼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)= 𝐻+𝑆 sin⁡〖𝛼+𝑇 cos⁡〖𝛼=     〗 〗 (■8( @ @                  ))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</xdr:col>
      <xdr:colOff>518160</xdr:colOff>
      <xdr:row>130</xdr:row>
      <xdr:rowOff>144780</xdr:rowOff>
    </xdr:from>
    <xdr:ext cx="1325880" cy="2971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>
              <a:extLst>
                <a:ext uri="{FF2B5EF4-FFF2-40B4-BE49-F238E27FC236}">
                  <a16:creationId xmlns:a16="http://schemas.microsoft.com/office/drawing/2014/main" id="{5009FB76-ED64-4E50-98D3-9697C587F596}"/>
                </a:ext>
              </a:extLst>
            </xdr:cNvPr>
            <xdr:cNvSpPr txBox="1"/>
          </xdr:nvSpPr>
          <xdr:spPr>
            <a:xfrm>
              <a:off x="2842260" y="24903430"/>
              <a:ext cx="1325880" cy="297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func>
                      <m:func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𝑏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</m:e>
                    </m:func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9" name="Textfeld 48">
              <a:extLst>
                <a:ext uri="{FF2B5EF4-FFF2-40B4-BE49-F238E27FC236}">
                  <a16:creationId xmlns:a16="http://schemas.microsoft.com/office/drawing/2014/main" id="{5009FB76-ED64-4E50-98D3-9697C587F596}"/>
                </a:ext>
              </a:extLst>
            </xdr:cNvPr>
            <xdr:cNvSpPr txBox="1"/>
          </xdr:nvSpPr>
          <xdr:spPr>
            <a:xfrm>
              <a:off x="2842260" y="24903430"/>
              <a:ext cx="1325880" cy="297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𝑎 sin⁡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𝛼+𝑏 cos⁡𝛼=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141488</xdr:colOff>
      <xdr:row>130</xdr:row>
      <xdr:rowOff>142812</xdr:rowOff>
    </xdr:from>
    <xdr:ext cx="450183" cy="267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>
              <a:extLst>
                <a:ext uri="{FF2B5EF4-FFF2-40B4-BE49-F238E27FC236}">
                  <a16:creationId xmlns:a16="http://schemas.microsoft.com/office/drawing/2014/main" id="{62DF803B-5417-41CB-8028-3CF4B406192D}"/>
                </a:ext>
              </a:extLst>
            </xdr:cNvPr>
            <xdr:cNvSpPr txBox="1"/>
          </xdr:nvSpPr>
          <xdr:spPr>
            <a:xfrm>
              <a:off x="5996188" y="24901462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𝛼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0" name="Textfeld 49">
              <a:extLst>
                <a:ext uri="{FF2B5EF4-FFF2-40B4-BE49-F238E27FC236}">
                  <a16:creationId xmlns:a16="http://schemas.microsoft.com/office/drawing/2014/main" id="{62DF803B-5417-41CB-8028-3CF4B406192D}"/>
                </a:ext>
              </a:extLst>
            </xdr:cNvPr>
            <xdr:cNvSpPr txBox="1"/>
          </xdr:nvSpPr>
          <xdr:spPr>
            <a:xfrm>
              <a:off x="5996188" y="24901462"/>
              <a:ext cx="450183" cy="267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𝛼=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327660</xdr:colOff>
      <xdr:row>142</xdr:row>
      <xdr:rowOff>144780</xdr:rowOff>
    </xdr:from>
    <xdr:ext cx="16763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Textfeld 50">
              <a:extLst>
                <a:ext uri="{FF2B5EF4-FFF2-40B4-BE49-F238E27FC236}">
                  <a16:creationId xmlns:a16="http://schemas.microsoft.com/office/drawing/2014/main" id="{21FCED11-ADF2-45C2-A6BD-C35F4E6EAC51}"/>
                </a:ext>
              </a:extLst>
            </xdr:cNvPr>
            <xdr:cNvSpPr txBox="1"/>
          </xdr:nvSpPr>
          <xdr:spPr>
            <a:xfrm>
              <a:off x="327660" y="27005280"/>
              <a:ext cx="16763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𝑐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𝑠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0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+ 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sSub>
                                    <m:sSub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𝑑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1" name="Textfeld 50">
              <a:extLst>
                <a:ext uri="{FF2B5EF4-FFF2-40B4-BE49-F238E27FC236}">
                  <a16:creationId xmlns:a16="http://schemas.microsoft.com/office/drawing/2014/main" id="{21FCED11-ADF2-45C2-A6BD-C35F4E6EAC51}"/>
                </a:ext>
              </a:extLst>
            </xdr:cNvPr>
            <xdr:cNvSpPr txBox="1"/>
          </xdr:nvSpPr>
          <xdr:spPr>
            <a:xfrm>
              <a:off x="327660" y="27005280"/>
              <a:ext cx="16763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(■8(〖〖𝑐_0 𝑑〗_1 𝑐〗_1+ 〖𝑑_0 𝑐〗_0@〖〖𝑠_0 𝑑〗_1 𝑐〗_1+ 〖𝑑_0 𝑠〗_0@〖𝑑_1 𝑠〗_1 ))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190500</xdr:colOff>
      <xdr:row>152</xdr:row>
      <xdr:rowOff>83820</xdr:rowOff>
    </xdr:from>
    <xdr:ext cx="1546860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>
              <a:extLst>
                <a:ext uri="{FF2B5EF4-FFF2-40B4-BE49-F238E27FC236}">
                  <a16:creationId xmlns:a16="http://schemas.microsoft.com/office/drawing/2014/main" id="{65C30EB2-F2FF-498D-8FFE-23B656358376}"/>
                </a:ext>
              </a:extLst>
            </xdr:cNvPr>
            <xdr:cNvSpPr txBox="1"/>
          </xdr:nvSpPr>
          <xdr:spPr>
            <a:xfrm>
              <a:off x="190500" y="28906470"/>
              <a:ext cx="1546860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𝐵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2" name="Textfeld 51">
              <a:extLst>
                <a:ext uri="{FF2B5EF4-FFF2-40B4-BE49-F238E27FC236}">
                  <a16:creationId xmlns:a16="http://schemas.microsoft.com/office/drawing/2014/main" id="{65C30EB2-F2FF-498D-8FFE-23B656358376}"/>
                </a:ext>
              </a:extLst>
            </xdr:cNvPr>
            <xdr:cNvSpPr txBox="1"/>
          </xdr:nvSpPr>
          <xdr:spPr>
            <a:xfrm>
              <a:off x="190500" y="28906470"/>
              <a:ext cx="1546860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2</xdr:col>
      <xdr:colOff>582677</xdr:colOff>
      <xdr:row>152</xdr:row>
      <xdr:rowOff>57574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>
              <a:extLst>
                <a:ext uri="{FF2B5EF4-FFF2-40B4-BE49-F238E27FC236}">
                  <a16:creationId xmlns:a16="http://schemas.microsoft.com/office/drawing/2014/main" id="{8E41A454-9101-4A76-9A08-9F880AB852E2}"/>
                </a:ext>
              </a:extLst>
            </xdr:cNvPr>
            <xdr:cNvSpPr txBox="1"/>
          </xdr:nvSpPr>
          <xdr:spPr>
            <a:xfrm>
              <a:off x="2125727" y="288802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>
              <a:extLst>
                <a:ext uri="{FF2B5EF4-FFF2-40B4-BE49-F238E27FC236}">
                  <a16:creationId xmlns:a16="http://schemas.microsoft.com/office/drawing/2014/main" id="{8E41A454-9101-4A76-9A08-9F880AB852E2}"/>
                </a:ext>
              </a:extLst>
            </xdr:cNvPr>
            <xdr:cNvSpPr txBox="1"/>
          </xdr:nvSpPr>
          <xdr:spPr>
            <a:xfrm>
              <a:off x="2125727" y="288802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148337</xdr:colOff>
      <xdr:row>152</xdr:row>
      <xdr:rowOff>57574</xdr:rowOff>
    </xdr:from>
    <xdr:ext cx="1134461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>
              <a:extLst>
                <a:ext uri="{FF2B5EF4-FFF2-40B4-BE49-F238E27FC236}">
                  <a16:creationId xmlns:a16="http://schemas.microsoft.com/office/drawing/2014/main" id="{673C0EEF-0611-44E7-BF80-B97404B8E143}"/>
                </a:ext>
              </a:extLst>
            </xdr:cNvPr>
            <xdr:cNvSpPr txBox="1"/>
          </xdr:nvSpPr>
          <xdr:spPr>
            <a:xfrm>
              <a:off x="3913887" y="288802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𝐴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       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>
              <a:extLst>
                <a:ext uri="{FF2B5EF4-FFF2-40B4-BE49-F238E27FC236}">
                  <a16:creationId xmlns:a16="http://schemas.microsoft.com/office/drawing/2014/main" id="{673C0EEF-0611-44E7-BF80-B97404B8E143}"/>
                </a:ext>
              </a:extLst>
            </xdr:cNvPr>
            <xdr:cNvSpPr txBox="1"/>
          </xdr:nvSpPr>
          <xdr:spPr>
            <a:xfrm>
              <a:off x="3913887" y="28880224"/>
              <a:ext cx="1134461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 @                @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35</xdr:col>
      <xdr:colOff>91440</xdr:colOff>
      <xdr:row>38</xdr:row>
      <xdr:rowOff>99060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>
              <a:extLst>
                <a:ext uri="{FF2B5EF4-FFF2-40B4-BE49-F238E27FC236}">
                  <a16:creationId xmlns:a16="http://schemas.microsoft.com/office/drawing/2014/main" id="{A616B5CC-E286-49AB-ABB5-7BAE66FFD2D6}"/>
                </a:ext>
              </a:extLst>
            </xdr:cNvPr>
            <xdr:cNvSpPr txBox="1"/>
          </xdr:nvSpPr>
          <xdr:spPr>
            <a:xfrm>
              <a:off x="28069540" y="731266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>
              <a:extLst>
                <a:ext uri="{FF2B5EF4-FFF2-40B4-BE49-F238E27FC236}">
                  <a16:creationId xmlns:a16="http://schemas.microsoft.com/office/drawing/2014/main" id="{A616B5CC-E286-49AB-ABB5-7BAE66FFD2D6}"/>
                </a:ext>
              </a:extLst>
            </xdr:cNvPr>
            <xdr:cNvSpPr txBox="1"/>
          </xdr:nvSpPr>
          <xdr:spPr>
            <a:xfrm>
              <a:off x="28069540" y="731266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𝑐_2&amp;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𝑠_2&amp;0@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𝑠_2&amp;𝑐_2&amp;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35</xdr:col>
      <xdr:colOff>7620</xdr:colOff>
      <xdr:row>34</xdr:row>
      <xdr:rowOff>15240</xdr:rowOff>
    </xdr:from>
    <xdr:ext cx="2689413" cy="7352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>
              <a:extLst>
                <a:ext uri="{FF2B5EF4-FFF2-40B4-BE49-F238E27FC236}">
                  <a16:creationId xmlns:a16="http://schemas.microsoft.com/office/drawing/2014/main" id="{3028A11D-1D5F-4D59-9FC6-CB519289408D}"/>
                </a:ext>
              </a:extLst>
            </xdr:cNvPr>
            <xdr:cNvSpPr txBox="1"/>
          </xdr:nvSpPr>
          <xdr:spPr>
            <a:xfrm>
              <a:off x="27985720" y="6466840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>
              <a:extLst>
                <a:ext uri="{FF2B5EF4-FFF2-40B4-BE49-F238E27FC236}">
                  <a16:creationId xmlns:a16="http://schemas.microsoft.com/office/drawing/2014/main" id="{3028A11D-1D5F-4D59-9FC6-CB519289408D}"/>
                </a:ext>
              </a:extLst>
            </xdr:cNvPr>
            <xdr:cNvSpPr txBox="1"/>
          </xdr:nvSpPr>
          <xdr:spPr>
            <a:xfrm>
              <a:off x="27985720" y="6466840"/>
              <a:ext cx="2689413" cy="7352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𝑐_1&amp;0&amp;𝑠_1&amp;𝑑_1 𝑐_1@𝑠_1&amp;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−𝑐_1&amp;𝑑_1 𝑐_1@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30</xdr:col>
      <xdr:colOff>213360</xdr:colOff>
      <xdr:row>34</xdr:row>
      <xdr:rowOff>30480</xdr:rowOff>
    </xdr:from>
    <xdr:ext cx="2689413" cy="7323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Textfeld 56">
              <a:extLst>
                <a:ext uri="{FF2B5EF4-FFF2-40B4-BE49-F238E27FC236}">
                  <a16:creationId xmlns:a16="http://schemas.microsoft.com/office/drawing/2014/main" id="{49CE6135-A117-4EDA-9372-E00CD2E2586F}"/>
                </a:ext>
              </a:extLst>
            </xdr:cNvPr>
            <xdr:cNvSpPr txBox="1"/>
          </xdr:nvSpPr>
          <xdr:spPr>
            <a:xfrm>
              <a:off x="25079960" y="6482080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  <m:sSub>
                                <m:sSub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0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7" name="Textfeld 56">
              <a:extLst>
                <a:ext uri="{FF2B5EF4-FFF2-40B4-BE49-F238E27FC236}">
                  <a16:creationId xmlns:a16="http://schemas.microsoft.com/office/drawing/2014/main" id="{49CE6135-A117-4EDA-9372-E00CD2E2586F}"/>
                </a:ext>
              </a:extLst>
            </xdr:cNvPr>
            <xdr:cNvSpPr txBox="1"/>
          </xdr:nvSpPr>
          <xdr:spPr>
            <a:xfrm>
              <a:off x="25079960" y="6482080"/>
              <a:ext cx="2689413" cy="732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(■8(𝑐_0&amp;0&amp;𝑠_0&amp;𝑑_0 𝑐_0@𝑠_0&amp;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0&amp;−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𝑐_0&amp;𝑑_0 𝑐_0@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&amp;1&amp;0&amp;0@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518160</xdr:colOff>
      <xdr:row>161</xdr:row>
      <xdr:rowOff>175260</xdr:rowOff>
    </xdr:from>
    <xdr:ext cx="2461260" cy="2775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Textfeld 57">
              <a:extLst>
                <a:ext uri="{FF2B5EF4-FFF2-40B4-BE49-F238E27FC236}">
                  <a16:creationId xmlns:a16="http://schemas.microsoft.com/office/drawing/2014/main" id="{B435085A-34A4-4C20-BD37-D666ED2D3930}"/>
                </a:ext>
              </a:extLst>
            </xdr:cNvPr>
            <xdr:cNvSpPr txBox="1"/>
          </xdr:nvSpPr>
          <xdr:spPr>
            <a:xfrm>
              <a:off x="518160" y="30756860"/>
              <a:ext cx="2461260" cy="2775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−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8" name="Textfeld 57">
              <a:extLst>
                <a:ext uri="{FF2B5EF4-FFF2-40B4-BE49-F238E27FC236}">
                  <a16:creationId xmlns:a16="http://schemas.microsoft.com/office/drawing/2014/main" id="{B435085A-34A4-4C20-BD37-D666ED2D3930}"/>
                </a:ext>
              </a:extLst>
            </xdr:cNvPr>
            <xdr:cNvSpPr txBox="1"/>
          </xdr:nvSpPr>
          <xdr:spPr>
            <a:xfrm>
              <a:off x="518160" y="30756860"/>
              <a:ext cx="2461260" cy="2775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𝐵_𝑧=𝑠_1 𝑑_3 𝑐_3  − 𝑐_1 𝑠_2 𝑑_3 𝑠_3+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𝑑_1 𝑠〗_1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137160</xdr:colOff>
      <xdr:row>161</xdr:row>
      <xdr:rowOff>160020</xdr:rowOff>
    </xdr:from>
    <xdr:ext cx="2461260" cy="44903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Textfeld 58">
              <a:extLst>
                <a:ext uri="{FF2B5EF4-FFF2-40B4-BE49-F238E27FC236}">
                  <a16:creationId xmlns:a16="http://schemas.microsoft.com/office/drawing/2014/main" id="{DF5EDAE5-3AC1-4CAC-8825-E3CB2D327967}"/>
                </a:ext>
              </a:extLst>
            </xdr:cNvPr>
            <xdr:cNvSpPr txBox="1"/>
          </xdr:nvSpPr>
          <xdr:spPr>
            <a:xfrm>
              <a:off x="3191510" y="30741620"/>
              <a:ext cx="2461260" cy="4490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𝑧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</m:num>
                      <m:den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</m:den>
                    </m:f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9" name="Textfeld 58">
              <a:extLst>
                <a:ext uri="{FF2B5EF4-FFF2-40B4-BE49-F238E27FC236}">
                  <a16:creationId xmlns:a16="http://schemas.microsoft.com/office/drawing/2014/main" id="{DF5EDAE5-3AC1-4CAC-8825-E3CB2D327967}"/>
                </a:ext>
              </a:extLst>
            </xdr:cNvPr>
            <xdr:cNvSpPr txBox="1"/>
          </xdr:nvSpPr>
          <xdr:spPr>
            <a:xfrm>
              <a:off x="3191510" y="30741620"/>
              <a:ext cx="2461260" cy="4490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(𝐵_𝑧− 〖𝑑_1 𝑠〗_1− 𝑠_1 𝑑_3 𝑐_3)/(− 𝑐_1 𝑑_3 𝑠_3 )= 𝑠_2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472440</xdr:colOff>
      <xdr:row>161</xdr:row>
      <xdr:rowOff>60960</xdr:rowOff>
    </xdr:from>
    <xdr:ext cx="8432074" cy="6565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Textfeld 59">
              <a:extLst>
                <a:ext uri="{FF2B5EF4-FFF2-40B4-BE49-F238E27FC236}">
                  <a16:creationId xmlns:a16="http://schemas.microsoft.com/office/drawing/2014/main" id="{2FC34701-7CC9-45E7-A41E-F43753F98E93}"/>
                </a:ext>
              </a:extLst>
            </xdr:cNvPr>
            <xdr:cNvSpPr txBox="1"/>
          </xdr:nvSpPr>
          <xdr:spPr>
            <a:xfrm>
              <a:off x="6327140" y="30642560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+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e>
                    </m:d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 +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Choice>
      <mc:Fallback xmlns="">
        <xdr:sp macro="" textlink="">
          <xdr:nvSpPr>
            <xdr:cNvPr id="60" name="Textfeld 59">
              <a:extLst>
                <a:ext uri="{FF2B5EF4-FFF2-40B4-BE49-F238E27FC236}">
                  <a16:creationId xmlns:a16="http://schemas.microsoft.com/office/drawing/2014/main" id="{2FC34701-7CC9-45E7-A41E-F43753F98E93}"/>
                </a:ext>
              </a:extLst>
            </xdr:cNvPr>
            <xdr:cNvSpPr txBox="1"/>
          </xdr:nvSpPr>
          <xdr:spPr>
            <a:xfrm>
              <a:off x="6327140" y="30642560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𝐵_𝑦=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𝑐〗_1 𝑑_3 𝑐_3  +(〖−𝑐〗_0 𝑐_2+〖𝑠_0 𝑠〗_1 𝑠_2 ) 𝑑_3 𝑠_3+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〖𝑠_0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𝑠〗_0  = 𝑑_3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(𝑠〗_0 𝑐〗_1 𝑐_3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−𝑐〗_0 𝑐_2 𝑠_3+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𝑠_0 𝑠〗_1 𝑠_2 𝑠_3) 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〖𝑠_0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𝑠〗_0   </a:t>
              </a:r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465340</xdr:colOff>
      <xdr:row>163</xdr:row>
      <xdr:rowOff>61907</xdr:rowOff>
    </xdr:from>
    <xdr:ext cx="8432074" cy="6565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feld 60">
              <a:extLst>
                <a:ext uri="{FF2B5EF4-FFF2-40B4-BE49-F238E27FC236}">
                  <a16:creationId xmlns:a16="http://schemas.microsoft.com/office/drawing/2014/main" id="{D206CCF6-0783-4548-8B9B-676014669745}"/>
                </a:ext>
              </a:extLst>
            </xdr:cNvPr>
            <xdr:cNvSpPr txBox="1"/>
          </xdr:nvSpPr>
          <xdr:spPr>
            <a:xfrm>
              <a:off x="6320040" y="31011807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 </m:t>
                        </m:r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e>
                    </m:d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+(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</m:s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𝑑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  </m:t>
                    </m:r>
                  </m:oMath>
                </m:oMathPara>
              </a14:m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Choice>
      <mc:Fallback xmlns="">
        <xdr:sp macro="" textlink="">
          <xdr:nvSpPr>
            <xdr:cNvPr id="61" name="Textfeld 60">
              <a:extLst>
                <a:ext uri="{FF2B5EF4-FFF2-40B4-BE49-F238E27FC236}">
                  <a16:creationId xmlns:a16="http://schemas.microsoft.com/office/drawing/2014/main" id="{D206CCF6-0783-4548-8B9B-676014669745}"/>
                </a:ext>
              </a:extLst>
            </xdr:cNvPr>
            <xdr:cNvSpPr txBox="1"/>
          </xdr:nvSpPr>
          <xdr:spPr>
            <a:xfrm>
              <a:off x="6320040" y="31011807"/>
              <a:ext cx="8432074" cy="6565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𝐵_𝑥= 𝑐_0 𝑐_1 𝑑_3 𝑐_3+(𝑠_0 𝑐_2+ 〖𝑐_0 𝑠〗_1 𝑠_2 ) 𝑑_3 𝑠_3+(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〖𝑐_0 𝑑〗_1 𝑐〗_1+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𝑑_0 𝑐〗_0)  </a:t>
              </a:r>
              <a:endParaRPr lang="de-DE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de-DE">
                <a:effectLst/>
              </a:endParaRPr>
            </a:p>
            <a:p>
              <a:endParaRPr lang="de-DE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</xdr:colOff>
      <xdr:row>2</xdr:row>
      <xdr:rowOff>22299</xdr:rowOff>
    </xdr:from>
    <xdr:to>
      <xdr:col>6</xdr:col>
      <xdr:colOff>54429</xdr:colOff>
      <xdr:row>22</xdr:row>
      <xdr:rowOff>21772</xdr:rowOff>
    </xdr:to>
    <xdr:graphicFrame macro="">
      <xdr:nvGraphicFramePr>
        <xdr:cNvPr id="2" name="Diagramm 1" title="Top view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86174</xdr:colOff>
      <xdr:row>2</xdr:row>
      <xdr:rowOff>22861</xdr:rowOff>
    </xdr:from>
    <xdr:to>
      <xdr:col>12</xdr:col>
      <xdr:colOff>333375</xdr:colOff>
      <xdr:row>22</xdr:row>
      <xdr:rowOff>28576</xdr:rowOff>
    </xdr:to>
    <xdr:graphicFrame macro="">
      <xdr:nvGraphicFramePr>
        <xdr:cNvPr id="3" name="Diagramm 2" title="Top view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371474</xdr:colOff>
      <xdr:row>2</xdr:row>
      <xdr:rowOff>9524</xdr:rowOff>
    </xdr:from>
    <xdr:to>
      <xdr:col>19</xdr:col>
      <xdr:colOff>9525</xdr:colOff>
      <xdr:row>21</xdr:row>
      <xdr:rowOff>161924</xdr:rowOff>
    </xdr:to>
    <xdr:graphicFrame macro="">
      <xdr:nvGraphicFramePr>
        <xdr:cNvPr id="4" name="Diagramm 3" title="Top view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0.44466</cdr:x>
      <cdr:y>0.80762</cdr:y>
    </cdr:from>
    <cdr:to>
      <cdr:x>0.61858</cdr:x>
      <cdr:y>0.93587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2143124" y="2759001"/>
          <a:ext cx="838200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1600"/>
            <a:t>Side</a:t>
          </a:r>
        </a:p>
      </cdr:txBody>
    </cdr:sp>
  </cdr:relSizeAnchor>
  <cdr:relSizeAnchor xmlns:cdr="http://schemas.openxmlformats.org/drawingml/2006/chartDrawing">
    <cdr:from>
      <cdr:x>0.81423</cdr:x>
      <cdr:y>0.39964</cdr:y>
    </cdr:from>
    <cdr:to>
      <cdr:x>0.98814</cdr:x>
      <cdr:y>0.52789</cdr:y>
    </cdr:to>
    <cdr:sp macro="" textlink="">
      <cdr:nvSpPr>
        <cdr:cNvPr id="3" name="Textfeld 1"/>
        <cdr:cNvSpPr txBox="1"/>
      </cdr:nvSpPr>
      <cdr:spPr>
        <a:xfrm xmlns:a="http://schemas.openxmlformats.org/drawingml/2006/main">
          <a:off x="3924300" y="1365250"/>
          <a:ext cx="838200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600"/>
            <a:t>Front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426720</xdr:colOff>
      <xdr:row>1</xdr:row>
      <xdr:rowOff>15241</xdr:rowOff>
    </xdr:from>
    <xdr:to>
      <xdr:col>8</xdr:col>
      <xdr:colOff>266700</xdr:colOff>
      <xdr:row>7</xdr:row>
      <xdr:rowOff>147503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747520" y="199391"/>
          <a:ext cx="3573780" cy="1237162"/>
          <a:chOff x="1547664" y="344666"/>
          <a:chExt cx="5112568" cy="2113724"/>
        </a:xfrm>
      </xdr:grpSpPr>
      <xdr:cxnSp macro="">
        <xdr:nvCxnSpPr>
          <xdr:cNvPr id="3" name="Gerader Verbinder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CxnSpPr/>
        </xdr:nvCxnSpPr>
        <xdr:spPr>
          <a:xfrm>
            <a:off x="1691680" y="1910595"/>
            <a:ext cx="1656184" cy="6237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" name="Ellipse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3347864" y="1736812"/>
            <a:ext cx="360040" cy="3600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de-DE" sz="800"/>
          </a:p>
        </xdr:txBody>
      </xdr:sp>
      <xdr:cxnSp macro="">
        <xdr:nvCxnSpPr>
          <xdr:cNvPr id="5" name="Gerader Verbinder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CxnSpPr/>
        </xdr:nvCxnSpPr>
        <xdr:spPr>
          <a:xfrm>
            <a:off x="3563888" y="1916832"/>
            <a:ext cx="144016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Ellipse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/>
        </xdr:nvSpPr>
        <xdr:spPr>
          <a:xfrm>
            <a:off x="4824028" y="1736812"/>
            <a:ext cx="360040" cy="3600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de-DE" sz="800"/>
          </a:p>
        </xdr:txBody>
      </xdr:sp>
      <xdr:cxnSp macro="">
        <xdr:nvCxnSpPr>
          <xdr:cNvPr id="7" name="Gerader Verbinder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CxnSpPr/>
        </xdr:nvCxnSpPr>
        <xdr:spPr>
          <a:xfrm>
            <a:off x="5013475" y="1910595"/>
            <a:ext cx="144016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Ellipse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/>
        </xdr:nvSpPr>
        <xdr:spPr>
          <a:xfrm>
            <a:off x="6300192" y="1730575"/>
            <a:ext cx="360040" cy="3600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de-DE" sz="800"/>
          </a:p>
        </xdr:txBody>
      </xdr:sp>
      <xdr:cxnSp macro="">
        <xdr:nvCxnSpPr>
          <xdr:cNvPr id="9" name="Gerade Verbindung mit Pfeil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CxnSpPr/>
        </xdr:nvCxnSpPr>
        <xdr:spPr>
          <a:xfrm>
            <a:off x="2411760" y="1052736"/>
            <a:ext cx="0" cy="7920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Textfeld 14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 txBox="1"/>
        </xdr:nvSpPr>
        <xdr:spPr>
          <a:xfrm>
            <a:off x="2483768" y="1412776"/>
            <a:ext cx="369012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m</a:t>
            </a:r>
          </a:p>
        </xdr:txBody>
      </xdr:sp>
      <xdr:sp macro="" textlink="">
        <xdr:nvSpPr>
          <xdr:cNvPr id="11" name="Textfeld 15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 txBox="1"/>
        </xdr:nvSpPr>
        <xdr:spPr>
          <a:xfrm>
            <a:off x="3968903" y="1475491"/>
            <a:ext cx="613630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l</a:t>
            </a:r>
            <a:r>
              <a:rPr lang="de-DE" sz="800" baseline="-25000"/>
              <a:t>femur</a:t>
            </a:r>
          </a:p>
        </xdr:txBody>
      </xdr:sp>
      <xdr:sp macro="" textlink="">
        <xdr:nvSpPr>
          <xdr:cNvPr id="12" name="Textfeld 16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 txBox="1"/>
        </xdr:nvSpPr>
        <xdr:spPr>
          <a:xfrm>
            <a:off x="5437546" y="1459247"/>
            <a:ext cx="537327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l</a:t>
            </a:r>
            <a:r>
              <a:rPr lang="de-DE" sz="800" baseline="-25000"/>
              <a:t>Tibia</a:t>
            </a:r>
          </a:p>
        </xdr:txBody>
      </xdr:sp>
      <xdr:sp macro="" textlink="">
        <xdr:nvSpPr>
          <xdr:cNvPr id="13" name="Textfeld 18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SpPr txBox="1"/>
        </xdr:nvSpPr>
        <xdr:spPr>
          <a:xfrm>
            <a:off x="3161953" y="2066163"/>
            <a:ext cx="1113766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Servo</a:t>
            </a:r>
            <a:r>
              <a:rPr lang="de-DE" sz="800" baseline="-25000"/>
              <a:t>Femur</a:t>
            </a:r>
          </a:p>
        </xdr:txBody>
      </xdr:sp>
      <xdr:sp macro="" textlink="">
        <xdr:nvSpPr>
          <xdr:cNvPr id="14" name="Textfeld 19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SpPr txBox="1"/>
        </xdr:nvSpPr>
        <xdr:spPr>
          <a:xfrm>
            <a:off x="4756148" y="2084379"/>
            <a:ext cx="1011815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Servo</a:t>
            </a:r>
            <a:r>
              <a:rPr lang="de-DE" sz="800" baseline="-25000"/>
              <a:t>Tibia</a:t>
            </a:r>
          </a:p>
        </xdr:txBody>
      </xdr:sp>
      <xdr:sp macro="" textlink="">
        <xdr:nvSpPr>
          <xdr:cNvPr id="15" name="Ellipse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2746217" y="1736812"/>
            <a:ext cx="360040" cy="3600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de-DE" sz="800"/>
          </a:p>
        </xdr:txBody>
      </xdr:sp>
      <xdr:sp macro="" textlink="">
        <xdr:nvSpPr>
          <xdr:cNvPr id="16" name="Textfeld 21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SpPr txBox="1"/>
        </xdr:nvSpPr>
        <xdr:spPr>
          <a:xfrm>
            <a:off x="2215585" y="344666"/>
            <a:ext cx="536365" cy="3740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de-D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de-DE" sz="800"/>
              <a:t>l</a:t>
            </a:r>
            <a:r>
              <a:rPr lang="de-DE" sz="800" baseline="-25000"/>
              <a:t>Coxa</a:t>
            </a:r>
          </a:p>
        </xdr:txBody>
      </xdr:sp>
      <xdr:cxnSp macro="">
        <xdr:nvCxnSpPr>
          <xdr:cNvPr id="17" name="Gerade Verbindung mit Pfeil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CxnSpPr/>
        </xdr:nvCxnSpPr>
        <xdr:spPr>
          <a:xfrm>
            <a:off x="1547664" y="776713"/>
            <a:ext cx="198022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oneCellAnchor>
    <xdr:from>
      <xdr:col>9</xdr:col>
      <xdr:colOff>624840</xdr:colOff>
      <xdr:row>94</xdr:row>
      <xdr:rowOff>0</xdr:rowOff>
    </xdr:from>
    <xdr:ext cx="303455" cy="301214"/>
    <xdr:sp macro="" textlink="">
      <xdr:nvSpPr>
        <xdr:cNvPr id="10" name="AutoShape 13" descr="z_{{n-1}}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3045440" y="777240"/>
          <a:ext cx="303455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16</xdr:col>
      <xdr:colOff>202826</xdr:colOff>
      <xdr:row>80</xdr:row>
      <xdr:rowOff>152401</xdr:rowOff>
    </xdr:from>
    <xdr:to>
      <xdr:col>30</xdr:col>
      <xdr:colOff>571500</xdr:colOff>
      <xdr:row>101</xdr:row>
      <xdr:rowOff>152401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425" t="23936" r="24886" b="37693"/>
        <a:stretch/>
      </xdr:blipFill>
      <xdr:spPr>
        <a:xfrm>
          <a:off x="9956426" y="15392401"/>
          <a:ext cx="8903074" cy="400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6"/>
  <sheetViews>
    <sheetView tabSelected="1" topLeftCell="A21" zoomScale="85" zoomScaleNormal="85" workbookViewId="0">
      <selection activeCell="E52" sqref="E52"/>
    </sheetView>
  </sheetViews>
  <sheetFormatPr baseColWidth="10" defaultColWidth="8.90625" defaultRowHeight="14.5" x14ac:dyDescent="0.35"/>
  <cols>
    <col min="2" max="2" width="13.1796875" customWidth="1"/>
    <col min="3" max="3" width="11.1796875" bestFit="1" customWidth="1"/>
    <col min="4" max="4" width="10.453125" customWidth="1"/>
    <col min="5" max="5" width="10.1796875" customWidth="1"/>
    <col min="6" max="6" width="8.81640625" customWidth="1"/>
    <col min="7" max="7" width="11.1796875" customWidth="1"/>
    <col min="8" max="8" width="9.90625" customWidth="1"/>
    <col min="9" max="9" width="14.36328125" customWidth="1"/>
    <col min="10" max="10" width="14.81640625" customWidth="1"/>
    <col min="11" max="11" width="14.08984375" customWidth="1"/>
    <col min="12" max="12" width="12" customWidth="1"/>
    <col min="13" max="13" width="13.81640625" customWidth="1"/>
    <col min="14" max="14" width="12.81640625" bestFit="1" customWidth="1"/>
    <col min="15" max="15" width="13" bestFit="1" customWidth="1"/>
    <col min="16" max="16" width="12.453125" customWidth="1"/>
    <col min="17" max="17" width="11.453125" customWidth="1"/>
    <col min="18" max="18" width="12.453125" bestFit="1" customWidth="1"/>
    <col min="19" max="19" width="12.81640625" customWidth="1"/>
    <col min="20" max="20" width="16.08984375" bestFit="1" customWidth="1"/>
    <col min="21" max="21" width="15.1796875" customWidth="1"/>
    <col min="22" max="22" width="12.08984375" customWidth="1"/>
    <col min="23" max="23" width="12.81640625" customWidth="1"/>
    <col min="24" max="24" width="14.453125" customWidth="1"/>
    <col min="26" max="26" width="9.453125" bestFit="1" customWidth="1"/>
    <col min="27" max="28" width="9.08984375" bestFit="1" customWidth="1"/>
    <col min="29" max="30" width="10.453125" bestFit="1" customWidth="1"/>
  </cols>
  <sheetData>
    <row r="1" spans="1:27" ht="18.5" x14ac:dyDescent="0.45">
      <c r="A1" s="22" t="s">
        <v>27</v>
      </c>
    </row>
    <row r="2" spans="1:27" x14ac:dyDescent="0.35">
      <c r="U2" t="s">
        <v>28</v>
      </c>
    </row>
    <row r="3" spans="1:27" x14ac:dyDescent="0.35">
      <c r="U3" t="s">
        <v>29</v>
      </c>
      <c r="V3">
        <f>V29</f>
        <v>0</v>
      </c>
      <c r="W3" s="21">
        <f>V35</f>
        <v>29.136276771871458</v>
      </c>
      <c r="X3" s="21">
        <f>V40</f>
        <v>87.616782062471628</v>
      </c>
      <c r="Y3" s="21">
        <f>V45</f>
        <v>87.616782062471628</v>
      </c>
      <c r="Z3" s="21" t="e">
        <f>V51</f>
        <v>#VALUE!</v>
      </c>
    </row>
    <row r="4" spans="1:27" x14ac:dyDescent="0.35">
      <c r="U4" t="s">
        <v>30</v>
      </c>
      <c r="V4">
        <f>V30</f>
        <v>0</v>
      </c>
      <c r="W4" s="21">
        <f>V36</f>
        <v>-34.723262517697037</v>
      </c>
      <c r="X4" s="21">
        <f>V41</f>
        <v>-104.4176147944945</v>
      </c>
      <c r="Y4" s="21">
        <f>V46</f>
        <v>-104.4176147944945</v>
      </c>
      <c r="Z4" s="21" t="e">
        <f>V52</f>
        <v>#VALUE!</v>
      </c>
    </row>
    <row r="6" spans="1:27" x14ac:dyDescent="0.35">
      <c r="U6" t="s">
        <v>31</v>
      </c>
      <c r="W6" s="21"/>
      <c r="X6" s="21"/>
      <c r="Y6" s="21"/>
      <c r="Z6" s="21"/>
    </row>
    <row r="7" spans="1:27" x14ac:dyDescent="0.35">
      <c r="U7" t="s">
        <v>29</v>
      </c>
      <c r="V7">
        <f>V29</f>
        <v>0</v>
      </c>
      <c r="W7" s="21">
        <f>V35</f>
        <v>29.136276771871458</v>
      </c>
      <c r="X7" s="21">
        <f>V40</f>
        <v>87.616782062471628</v>
      </c>
      <c r="Y7" s="21">
        <f>V45</f>
        <v>87.616782062471628</v>
      </c>
      <c r="Z7" s="21" t="e">
        <f>V51</f>
        <v>#VALUE!</v>
      </c>
    </row>
    <row r="8" spans="1:27" x14ac:dyDescent="0.35">
      <c r="U8" t="s">
        <v>32</v>
      </c>
      <c r="V8">
        <f>V29</f>
        <v>0</v>
      </c>
      <c r="W8" s="21">
        <f>V37</f>
        <v>0</v>
      </c>
      <c r="X8" s="21">
        <f>V42</f>
        <v>-108.42516443461702</v>
      </c>
      <c r="Y8" s="21">
        <f>V47</f>
        <v>-108.42516443461702</v>
      </c>
      <c r="Z8" s="21" t="e">
        <f>V53</f>
        <v>#VALUE!</v>
      </c>
    </row>
    <row r="10" spans="1:27" x14ac:dyDescent="0.35">
      <c r="W10" s="9" t="s">
        <v>15</v>
      </c>
    </row>
    <row r="12" spans="1:27" x14ac:dyDescent="0.35">
      <c r="A12" s="12"/>
      <c r="V12" t="s">
        <v>52</v>
      </c>
      <c r="W12" t="s">
        <v>51</v>
      </c>
      <c r="X12" t="s">
        <v>149</v>
      </c>
      <c r="Y12" t="s">
        <v>150</v>
      </c>
    </row>
    <row r="13" spans="1:27" x14ac:dyDescent="0.35">
      <c r="A13" s="1"/>
      <c r="U13" t="s">
        <v>29</v>
      </c>
      <c r="V13" s="4" t="e">
        <f>L66</f>
        <v>#VALUE!</v>
      </c>
      <c r="W13" s="4" t="e">
        <f>E135</f>
        <v>#VALUE!</v>
      </c>
      <c r="X13" s="4" t="e">
        <f>V13+K77</f>
        <v>#VALUE!</v>
      </c>
      <c r="Y13" s="4" t="e">
        <f>V13+I88</f>
        <v>#VALUE!</v>
      </c>
      <c r="Z13" s="4"/>
      <c r="AA13" s="4"/>
    </row>
    <row r="14" spans="1:27" x14ac:dyDescent="0.35">
      <c r="A14" s="1"/>
      <c r="U14" t="s">
        <v>30</v>
      </c>
      <c r="V14" s="4" t="e">
        <f>L67</f>
        <v>#VALUE!</v>
      </c>
      <c r="W14" s="4" t="e">
        <f>E136</f>
        <v>#VALUE!</v>
      </c>
      <c r="X14" s="4" t="e">
        <f>V14+K78</f>
        <v>#VALUE!</v>
      </c>
      <c r="Y14" s="4" t="e">
        <f>V14+I89</f>
        <v>#VALUE!</v>
      </c>
      <c r="Z14" s="4"/>
      <c r="AA14" s="4"/>
    </row>
    <row r="15" spans="1:27" x14ac:dyDescent="0.35">
      <c r="A15" s="1"/>
      <c r="U15" t="s">
        <v>32</v>
      </c>
      <c r="V15" s="4" t="e">
        <f>L68</f>
        <v>#VALUE!</v>
      </c>
      <c r="W15" s="4" t="e">
        <f>E137</f>
        <v>#VALUE!</v>
      </c>
      <c r="X15" s="4" t="e">
        <f>V15+K79</f>
        <v>#VALUE!</v>
      </c>
      <c r="Y15" s="4" t="e">
        <f>V15+I90</f>
        <v>#VALUE!</v>
      </c>
      <c r="Z15" s="4"/>
      <c r="AA15" s="4"/>
    </row>
    <row r="16" spans="1:27" x14ac:dyDescent="0.35">
      <c r="A16" s="1"/>
    </row>
    <row r="17" spans="1:23" x14ac:dyDescent="0.35">
      <c r="A17" s="1"/>
    </row>
    <row r="23" spans="1:23" x14ac:dyDescent="0.35">
      <c r="W23" s="9"/>
    </row>
    <row r="25" spans="1:23" x14ac:dyDescent="0.35">
      <c r="A25" s="12"/>
    </row>
    <row r="26" spans="1:23" ht="15" thickBot="1" x14ac:dyDescent="0.4">
      <c r="A26" s="1"/>
      <c r="F26" t="s">
        <v>33</v>
      </c>
      <c r="J26" t="s">
        <v>67</v>
      </c>
    </row>
    <row r="27" spans="1:23" ht="16.5" x14ac:dyDescent="0.45">
      <c r="A27" s="23" t="s">
        <v>7</v>
      </c>
      <c r="B27" s="24">
        <v>-50</v>
      </c>
      <c r="C27" s="120">
        <f t="shared" ref="C27:C30" si="0">RADIANS(B27)</f>
        <v>-0.87266462599716477</v>
      </c>
      <c r="F27" s="17">
        <f>B70</f>
        <v>-50</v>
      </c>
      <c r="G27" s="18">
        <f t="shared" ref="G27:G30" si="1">RADIANS(F27)</f>
        <v>-0.87266462599716477</v>
      </c>
      <c r="H27" t="str">
        <f>IF(ABS(B27-F27)&lt;0.1,"ok","FALSE")</f>
        <v>ok</v>
      </c>
      <c r="I27" t="s">
        <v>102</v>
      </c>
      <c r="J27" s="17" t="e">
        <f>X57</f>
        <v>#VALUE!</v>
      </c>
    </row>
    <row r="28" spans="1:23" ht="16.5" x14ac:dyDescent="0.45">
      <c r="A28" s="25" t="s">
        <v>4</v>
      </c>
      <c r="B28" s="26">
        <v>-50</v>
      </c>
      <c r="C28" s="44">
        <f t="shared" si="0"/>
        <v>-0.87266462599716477</v>
      </c>
      <c r="F28" s="17" t="e">
        <f>J144</f>
        <v>#VALUE!</v>
      </c>
      <c r="G28" s="18" t="e">
        <f t="shared" si="1"/>
        <v>#VALUE!</v>
      </c>
      <c r="H28" t="e">
        <f>IF(ABS(B28-F28)&lt;0.1,"ok","FALSE")</f>
        <v>#VALUE!</v>
      </c>
      <c r="I28" t="s">
        <v>103</v>
      </c>
      <c r="J28" s="17" t="e">
        <f>X58</f>
        <v>#VALUE!</v>
      </c>
      <c r="V28" t="s">
        <v>13</v>
      </c>
    </row>
    <row r="29" spans="1:23" ht="16.5" x14ac:dyDescent="0.45">
      <c r="A29" s="25" t="s">
        <v>5</v>
      </c>
      <c r="B29" s="26">
        <v>-50</v>
      </c>
      <c r="C29" s="44">
        <f t="shared" si="0"/>
        <v>-0.87266462599716477</v>
      </c>
      <c r="F29" s="17" t="e">
        <f>J172</f>
        <v>#VALUE!</v>
      </c>
      <c r="G29" s="18" t="e">
        <f t="shared" si="1"/>
        <v>#VALUE!</v>
      </c>
      <c r="H29" t="e">
        <f>IF(ABS(B29-F29)&lt;0.1,"ok","FALSE")</f>
        <v>#VALUE!</v>
      </c>
      <c r="I29" t="s">
        <v>104</v>
      </c>
      <c r="J29" s="17" t="e">
        <f>X59</f>
        <v>#VALUE!</v>
      </c>
      <c r="V29">
        <v>0</v>
      </c>
    </row>
    <row r="30" spans="1:23" ht="17" thickBot="1" x14ac:dyDescent="0.5">
      <c r="A30" s="27" t="s">
        <v>6</v>
      </c>
      <c r="B30" s="28">
        <v>50</v>
      </c>
      <c r="C30" s="44">
        <f t="shared" si="0"/>
        <v>0.87266462599716477</v>
      </c>
      <c r="F30" s="17" t="e">
        <f>K172</f>
        <v>#VALUE!</v>
      </c>
      <c r="G30" s="18" t="e">
        <f t="shared" si="1"/>
        <v>#VALUE!</v>
      </c>
      <c r="H30" t="e">
        <f>IF(ABS(B30-F30)&lt;0.1,"ok","FALSE")</f>
        <v>#VALUE!</v>
      </c>
      <c r="V30">
        <v>0</v>
      </c>
    </row>
    <row r="31" spans="1:23" x14ac:dyDescent="0.35">
      <c r="A31" s="57"/>
      <c r="B31" s="29"/>
      <c r="C31" s="18"/>
      <c r="S31" s="116"/>
      <c r="V31">
        <v>0</v>
      </c>
    </row>
    <row r="32" spans="1:23" x14ac:dyDescent="0.35">
      <c r="A32" s="57"/>
      <c r="B32" s="29"/>
      <c r="C32" s="18"/>
      <c r="V32">
        <v>1</v>
      </c>
    </row>
    <row r="33" spans="1:30" x14ac:dyDescent="0.35">
      <c r="A33" s="1"/>
      <c r="D33" s="12"/>
    </row>
    <row r="34" spans="1:30" ht="16.5" x14ac:dyDescent="0.45">
      <c r="C34" s="1" t="s">
        <v>8</v>
      </c>
      <c r="D34" s="1" t="s">
        <v>11</v>
      </c>
      <c r="E34" s="2" t="s">
        <v>3</v>
      </c>
      <c r="F34" s="2" t="s">
        <v>2</v>
      </c>
      <c r="G34" s="1" t="s">
        <v>9</v>
      </c>
      <c r="H34" s="1" t="s">
        <v>12</v>
      </c>
      <c r="N34" t="s">
        <v>16</v>
      </c>
      <c r="R34" t="s">
        <v>17</v>
      </c>
      <c r="V34" t="s">
        <v>10</v>
      </c>
      <c r="W34" s="11" t="s">
        <v>18</v>
      </c>
      <c r="X34" s="11" t="s">
        <v>19</v>
      </c>
    </row>
    <row r="35" spans="1:30" ht="16.5" x14ac:dyDescent="0.45">
      <c r="A35" t="s">
        <v>55</v>
      </c>
      <c r="C35">
        <v>90</v>
      </c>
      <c r="D35" s="3">
        <f>RADIANS(C35)</f>
        <v>1.5707963267948966</v>
      </c>
      <c r="E35">
        <v>45.328000000000003</v>
      </c>
      <c r="F35">
        <v>0</v>
      </c>
      <c r="G35" s="49">
        <f>B27</f>
        <v>-50</v>
      </c>
      <c r="H35" s="6">
        <f>RADIANS(G35)</f>
        <v>-0.87266462599716477</v>
      </c>
      <c r="N35" s="39">
        <f>COS(H35)</f>
        <v>0.64278760968653936</v>
      </c>
      <c r="O35" s="33">
        <f>-SIN(H35)*COS(D35)</f>
        <v>4.6925908293927509E-17</v>
      </c>
      <c r="P35" s="33">
        <f>SIN(H35)*SIN(D35)</f>
        <v>-0.76604444311897801</v>
      </c>
      <c r="Q35" s="40">
        <f>E35*COS(H35)</f>
        <v>29.136276771871458</v>
      </c>
      <c r="R35" s="41">
        <f t="array" ref="R35:U38">N35:Q38</f>
        <v>0.64278760968653936</v>
      </c>
      <c r="S35" s="42">
        <v>4.6925908293927509E-17</v>
      </c>
      <c r="T35" s="42">
        <v>-0.76604444311897801</v>
      </c>
      <c r="U35" s="43">
        <v>29.136276771871458</v>
      </c>
      <c r="V35" s="15">
        <f>$V$29*R35+$V$30*S35+$V$31*T35+$V$32*U35</f>
        <v>29.136276771871458</v>
      </c>
      <c r="W35" s="18">
        <f>IF(W36=PI()/2,-ATAN2(S36,S35),IF(-W36=PI()/2,ATAN2(S36,S35),ATAN2(T37,S37)))</f>
        <v>1.5707963267948966</v>
      </c>
      <c r="X35" s="17">
        <f>DEGREES(W35)</f>
        <v>90</v>
      </c>
    </row>
    <row r="36" spans="1:30" x14ac:dyDescent="0.35">
      <c r="N36" s="39">
        <f>SIN(H35)</f>
        <v>-0.76604444311897801</v>
      </c>
      <c r="O36" s="33">
        <f>COS(H35)*COS(D35)</f>
        <v>3.937551234209344E-17</v>
      </c>
      <c r="P36" s="33">
        <f>-COS(H35)*SIN(D35)</f>
        <v>-0.64278760968653936</v>
      </c>
      <c r="Q36" s="40">
        <f>E35*SIN(H35)</f>
        <v>-34.723262517697037</v>
      </c>
      <c r="R36" s="41">
        <v>-0.76604444311897801</v>
      </c>
      <c r="S36" s="42">
        <v>3.937551234209344E-17</v>
      </c>
      <c r="T36" s="42">
        <v>-0.64278760968653936</v>
      </c>
      <c r="U36" s="43">
        <v>-34.723262517697037</v>
      </c>
      <c r="V36" s="15">
        <f t="shared" ref="V36:V38" si="2">$V$29*R36+$V$30*S36+$V$31*T36+$V$32*U36</f>
        <v>-34.723262517697037</v>
      </c>
      <c r="W36" s="18">
        <f>ATAN2(SQRT(R35^2+R36^2),-R37)</f>
        <v>0</v>
      </c>
      <c r="X36" s="17">
        <f>DEGREES(W36)</f>
        <v>0</v>
      </c>
    </row>
    <row r="37" spans="1:30" x14ac:dyDescent="0.35">
      <c r="N37" s="39">
        <v>0</v>
      </c>
      <c r="O37" s="33">
        <f>SIN(D35)</f>
        <v>1</v>
      </c>
      <c r="P37" s="33">
        <f>COS(D35)</f>
        <v>6.1257422745431001E-17</v>
      </c>
      <c r="Q37" s="40">
        <f>F35</f>
        <v>0</v>
      </c>
      <c r="R37" s="41">
        <v>0</v>
      </c>
      <c r="S37" s="42">
        <v>1</v>
      </c>
      <c r="T37" s="42">
        <v>6.1257422745431001E-17</v>
      </c>
      <c r="U37" s="43">
        <v>0</v>
      </c>
      <c r="V37" s="15">
        <f t="shared" si="2"/>
        <v>0</v>
      </c>
      <c r="W37" s="18">
        <f>IF(ABS(W36)=PI()/2,0,ATAN2(R35,R36))</f>
        <v>-0.87266462599716466</v>
      </c>
      <c r="X37" s="17">
        <f>DEGREES(W37)</f>
        <v>-49.999999999999993</v>
      </c>
    </row>
    <row r="38" spans="1:30" x14ac:dyDescent="0.35">
      <c r="N38" s="39">
        <v>0</v>
      </c>
      <c r="O38" s="33">
        <v>0</v>
      </c>
      <c r="P38" s="33">
        <v>0</v>
      </c>
      <c r="Q38" s="40">
        <v>1</v>
      </c>
      <c r="R38" s="41">
        <v>0</v>
      </c>
      <c r="S38" s="42">
        <v>0</v>
      </c>
      <c r="T38" s="42">
        <v>0</v>
      </c>
      <c r="U38" s="43">
        <v>1</v>
      </c>
      <c r="V38" s="15">
        <f t="shared" si="2"/>
        <v>1</v>
      </c>
      <c r="W38" s="8"/>
    </row>
    <row r="39" spans="1:30" x14ac:dyDescent="0.35">
      <c r="V39" s="21"/>
    </row>
    <row r="40" spans="1:30" ht="16.5" x14ac:dyDescent="0.45">
      <c r="A40" t="s">
        <v>53</v>
      </c>
      <c r="C40" s="17">
        <v>90</v>
      </c>
      <c r="D40" s="3">
        <f>RADIANS(C40)</f>
        <v>1.5707963267948966</v>
      </c>
      <c r="E40" s="4">
        <f>45.328 + 0.5 + 95.711</f>
        <v>141.53899999999999</v>
      </c>
      <c r="F40">
        <v>0</v>
      </c>
      <c r="G40" s="49">
        <f>B28</f>
        <v>-50</v>
      </c>
      <c r="H40" s="6">
        <f>RADIANS(G40)</f>
        <v>-0.87266462599716477</v>
      </c>
      <c r="N40" s="37">
        <f>COS(H40)</f>
        <v>0.64278760968653936</v>
      </c>
      <c r="O40" s="32">
        <f>-SIN(H40)*COS(D40)</f>
        <v>4.6925908293927509E-17</v>
      </c>
      <c r="P40" s="32">
        <f>SIN(H40)*SIN(D40)</f>
        <v>-0.76604444311897801</v>
      </c>
      <c r="Q40" s="38">
        <f>E40*COS(H40)</f>
        <v>90.979515487423086</v>
      </c>
      <c r="R40" s="47">
        <f t="array" ref="R40:U43">MMULT(R35:U38,N40:Q43)</f>
        <v>0.41317591116653479</v>
      </c>
      <c r="S40" s="48">
        <v>-0.76604444311897801</v>
      </c>
      <c r="T40" s="48">
        <v>-0.49240387650610418</v>
      </c>
      <c r="U40" s="58">
        <v>87.616782062471628</v>
      </c>
      <c r="V40" s="15">
        <f>$V$29*R40+$V$30*S40+$V$31*T40+$V$32*U40</f>
        <v>87.616782062471628</v>
      </c>
      <c r="W40" s="18">
        <f>IF(W41=PI()/2,ATAN2(S41,S40),IF(-W41=PI()/2,-ATAN2(S41,S40),ATAN2(T42,S42)))</f>
        <v>3.1415926535897931</v>
      </c>
      <c r="X40" s="17">
        <f>DEGREES(W40)</f>
        <v>180</v>
      </c>
      <c r="Z40" s="34">
        <f>COS(H40)*COS(H35)</f>
        <v>0.41317591116653485</v>
      </c>
      <c r="AA40" s="34">
        <f>SIN(H35)</f>
        <v>-0.76604444311897801</v>
      </c>
      <c r="AB40" s="34">
        <f>COS(H35)*SIN(H40)</f>
        <v>-0.49240387650610407</v>
      </c>
      <c r="AC40" s="34">
        <f>E40*COS(H35)*COS(H40) + E35*COS(H35)</f>
        <v>87.616782062471628</v>
      </c>
    </row>
    <row r="41" spans="1:30" x14ac:dyDescent="0.35">
      <c r="N41" s="37">
        <f>SIN(H40)</f>
        <v>-0.76604444311897801</v>
      </c>
      <c r="O41" s="32">
        <f>COS(H40)*COS(D40)</f>
        <v>3.937551234209344E-17</v>
      </c>
      <c r="P41" s="32">
        <f>-COS(H40)*SIN(D40)</f>
        <v>-0.64278760968653936</v>
      </c>
      <c r="Q41" s="38">
        <f>E40*SIN(H40)</f>
        <v>-108.42516443461702</v>
      </c>
      <c r="R41" s="47">
        <v>-0.49240387650610412</v>
      </c>
      <c r="S41" s="48">
        <v>-0.64278760968653936</v>
      </c>
      <c r="T41" s="48">
        <v>0.58682408883346515</v>
      </c>
      <c r="U41" s="58">
        <v>-104.4176147944945</v>
      </c>
      <c r="V41" s="15">
        <f t="shared" ref="V41:V43" si="3">$V$29*R41+$V$30*S41+$V$31*T41+$V$32*U41</f>
        <v>-104.4176147944945</v>
      </c>
      <c r="W41" s="18">
        <f>ATAN2(SQRT(R40^2+R41^2),-R42)</f>
        <v>0.87266462599716466</v>
      </c>
      <c r="X41" s="17">
        <f>DEGREES(W41)</f>
        <v>49.999999999999993</v>
      </c>
      <c r="Z41" s="34">
        <f>SIN(H35)*COS(H40)</f>
        <v>-0.49240387650610407</v>
      </c>
      <c r="AA41" s="34">
        <f>-COS(H35)</f>
        <v>-0.64278760968653936</v>
      </c>
      <c r="AB41" s="34">
        <f>SIN(H35)*SIN(H40)</f>
        <v>0.58682408883346515</v>
      </c>
      <c r="AC41" s="34">
        <f>E40*SIN(H35)*COS(H40) + E35*SIN(H35)</f>
        <v>-104.41761479449448</v>
      </c>
    </row>
    <row r="42" spans="1:30" x14ac:dyDescent="0.35">
      <c r="N42" s="37">
        <v>0</v>
      </c>
      <c r="O42" s="32">
        <f>SIN(D40)</f>
        <v>1</v>
      </c>
      <c r="P42" s="32">
        <f>COS(D40)</f>
        <v>6.1257422745431001E-17</v>
      </c>
      <c r="Q42" s="38">
        <f>F40</f>
        <v>0</v>
      </c>
      <c r="R42" s="47">
        <v>-0.76604444311897801</v>
      </c>
      <c r="S42" s="48">
        <v>1.0063293508752445E-16</v>
      </c>
      <c r="T42" s="48">
        <v>-0.64278760968653936</v>
      </c>
      <c r="U42" s="58">
        <v>-108.42516443461702</v>
      </c>
      <c r="V42" s="15">
        <f t="shared" si="3"/>
        <v>-108.42516443461702</v>
      </c>
      <c r="W42" s="18">
        <f>IF(ABS(W41)=PI()/2,0,ATAN2(R40,R41))</f>
        <v>-0.87266462599716488</v>
      </c>
      <c r="X42" s="17">
        <f>DEGREES(W42)</f>
        <v>-50.000000000000007</v>
      </c>
      <c r="Z42" s="34">
        <f>SIN(H40)</f>
        <v>-0.76604444311897801</v>
      </c>
      <c r="AA42" s="34">
        <v>0</v>
      </c>
      <c r="AB42" s="34">
        <f>-COS(H40)</f>
        <v>-0.64278760968653936</v>
      </c>
      <c r="AC42" s="34">
        <f>E40*SIN(H40)</f>
        <v>-108.42516443461702</v>
      </c>
    </row>
    <row r="43" spans="1:30" x14ac:dyDescent="0.35">
      <c r="N43" s="37">
        <v>0</v>
      </c>
      <c r="O43" s="32">
        <v>0</v>
      </c>
      <c r="P43" s="32">
        <v>0</v>
      </c>
      <c r="Q43" s="38">
        <v>1</v>
      </c>
      <c r="R43" s="47">
        <v>0</v>
      </c>
      <c r="S43" s="48">
        <v>0</v>
      </c>
      <c r="T43" s="48">
        <v>0</v>
      </c>
      <c r="U43" s="58">
        <v>1</v>
      </c>
      <c r="V43" s="15">
        <f t="shared" si="3"/>
        <v>1</v>
      </c>
      <c r="W43" s="8"/>
      <c r="Z43" s="34">
        <v>0</v>
      </c>
      <c r="AA43" s="34">
        <v>0</v>
      </c>
      <c r="AB43" s="34">
        <v>0</v>
      </c>
      <c r="AC43" s="34">
        <v>1</v>
      </c>
    </row>
    <row r="44" spans="1:30" x14ac:dyDescent="0.35">
      <c r="V44" s="21"/>
    </row>
    <row r="45" spans="1:30" ht="16.5" x14ac:dyDescent="0.45">
      <c r="A45" t="s">
        <v>54</v>
      </c>
      <c r="C45" s="17">
        <f>B29+90</f>
        <v>40</v>
      </c>
      <c r="D45" s="3">
        <f>RADIANS(C45)</f>
        <v>0.69813170079773179</v>
      </c>
      <c r="E45">
        <v>0</v>
      </c>
      <c r="F45">
        <v>0</v>
      </c>
      <c r="G45" s="49">
        <v>0</v>
      </c>
      <c r="H45" s="6">
        <f>RADIANS(G45)</f>
        <v>0</v>
      </c>
      <c r="N45" s="39">
        <f>COS(H45)</f>
        <v>1</v>
      </c>
      <c r="O45" s="33">
        <f>-SIN(H45)*COS(D45)</f>
        <v>0</v>
      </c>
      <c r="P45" s="33">
        <f>SIN(H45)*SIN(D45)</f>
        <v>0</v>
      </c>
      <c r="Q45" s="40">
        <f>E45*COS(H45)</f>
        <v>0</v>
      </c>
      <c r="R45" s="47">
        <f t="array" ref="R45:U48">MMULT(R40:U43,N45:Q48)</f>
        <v>0.41317591116653479</v>
      </c>
      <c r="S45" s="48">
        <v>-0.90333519961320974</v>
      </c>
      <c r="T45" s="48">
        <v>0.11520062313835938</v>
      </c>
      <c r="U45" s="58">
        <v>87.616782062471628</v>
      </c>
      <c r="V45" s="15">
        <f>$V$29*R45+$V$30*S45+$V$31*T45+$V$32*U45</f>
        <v>87.616782062471628</v>
      </c>
      <c r="W45" s="18">
        <f>IF(W46=PI()/2,ATAN2(S46,S45),IF(-W46=PI()/2,-ATAN2(S46,S45),ATAN2(T47,S47)))</f>
        <v>-2.4434609527920612</v>
      </c>
      <c r="X45" s="17">
        <f>DEGREES(W45)</f>
        <v>-140</v>
      </c>
      <c r="Z45" s="34">
        <f>COS(H35)*COS(H40)</f>
        <v>0.41317591116653485</v>
      </c>
      <c r="AA45" s="34">
        <f>+SIN(H35)*COS(D45)+ COS(H35)*SIN(H40)*SIN(D45)</f>
        <v>-0.90333519961320963</v>
      </c>
      <c r="AB45" s="34">
        <f>-SIN(H35)*SIN(D45)+COS(H35)*SIN(H40)*COS(D45)</f>
        <v>0.11520062313835944</v>
      </c>
      <c r="AC45" s="31">
        <f>E40*COS(H35)*COS(H40) + E35*COS(H35)</f>
        <v>87.616782062471628</v>
      </c>
      <c r="AD45" s="31"/>
    </row>
    <row r="46" spans="1:30" x14ac:dyDescent="0.35">
      <c r="N46" s="39">
        <f>SIN(H45)</f>
        <v>0</v>
      </c>
      <c r="O46" s="33">
        <f>COS(H45)*COS(D45)</f>
        <v>0.76604444311897801</v>
      </c>
      <c r="P46" s="33">
        <f>-COS(H45)*SIN(D45)</f>
        <v>-0.64278760968653925</v>
      </c>
      <c r="Q46" s="40">
        <f>E45*SIN(H45)</f>
        <v>0</v>
      </c>
      <c r="R46" s="47">
        <v>-0.49240387650610412</v>
      </c>
      <c r="S46" s="48">
        <v>-0.1152006231383596</v>
      </c>
      <c r="T46" s="48">
        <v>0.86270924350576828</v>
      </c>
      <c r="U46" s="58">
        <v>-104.4176147944945</v>
      </c>
      <c r="V46" s="15">
        <f t="shared" ref="V46:V48" si="4">$V$29*R46+$V$30*S46+$V$31*T46+$V$32*U46</f>
        <v>-104.4176147944945</v>
      </c>
      <c r="W46" s="18">
        <f>ATAN2(SQRT(R45^2+R46^2),-R47)</f>
        <v>0.87266462599716466</v>
      </c>
      <c r="X46" s="17">
        <f>DEGREES(W46)</f>
        <v>49.999999999999993</v>
      </c>
      <c r="Z46" s="34">
        <f>SIN(H35)*COS(H40)</f>
        <v>-0.49240387650610407</v>
      </c>
      <c r="AA46" s="34">
        <f>-COS(H35)*COS(D45)+SIN(H35)*SIN(H40)*SIN(D45)</f>
        <v>-0.1152006231383596</v>
      </c>
      <c r="AB46" s="34">
        <f>COS(H35)*SIN(D45)+SIN(H35)*SIN(H40)*COS(D45)</f>
        <v>0.86270924350576828</v>
      </c>
      <c r="AC46" s="31">
        <f>E40*SIN(H35)*COS(H40) + E35*SIN(H35)</f>
        <v>-104.41761479449448</v>
      </c>
      <c r="AD46" s="3"/>
    </row>
    <row r="47" spans="1:30" x14ac:dyDescent="0.35">
      <c r="N47" s="39">
        <v>0</v>
      </c>
      <c r="O47" s="33">
        <f>SIN(D45)</f>
        <v>0.64278760968653925</v>
      </c>
      <c r="P47" s="33">
        <f>COS(D45)</f>
        <v>0.76604444311897801</v>
      </c>
      <c r="Q47" s="40">
        <f>F45</f>
        <v>0</v>
      </c>
      <c r="R47" s="47">
        <v>-0.76604444311897801</v>
      </c>
      <c r="S47" s="48">
        <v>-0.41317591116653474</v>
      </c>
      <c r="T47" s="48">
        <v>-0.49240387650610412</v>
      </c>
      <c r="U47" s="58">
        <v>-108.42516443461702</v>
      </c>
      <c r="V47" s="15">
        <f t="shared" si="4"/>
        <v>-108.42516443461702</v>
      </c>
      <c r="W47" s="18">
        <f>IF(ABS(W46)=PI()/2,0,ATAN2(R45,R46))</f>
        <v>-0.87266462599716488</v>
      </c>
      <c r="X47" s="17">
        <f>DEGREES(W47)</f>
        <v>-50.000000000000007</v>
      </c>
      <c r="Z47" s="34">
        <f>SIN(H40)</f>
        <v>-0.76604444311897801</v>
      </c>
      <c r="AA47" s="34">
        <f>-COS(H40)*SIN(D45)</f>
        <v>-0.41317591116653479</v>
      </c>
      <c r="AB47" s="34">
        <f>-COS(H40)*COS(D45)</f>
        <v>-0.49240387650610407</v>
      </c>
      <c r="AC47" s="34">
        <f>E40*SIN(H40)</f>
        <v>-108.42516443461702</v>
      </c>
    </row>
    <row r="48" spans="1:30" x14ac:dyDescent="0.35">
      <c r="N48" s="39">
        <v>0</v>
      </c>
      <c r="O48" s="33">
        <v>0</v>
      </c>
      <c r="P48" s="33">
        <v>0</v>
      </c>
      <c r="Q48" s="40">
        <v>1</v>
      </c>
      <c r="R48" s="47">
        <v>0</v>
      </c>
      <c r="S48" s="48">
        <v>0</v>
      </c>
      <c r="T48" s="48">
        <v>0</v>
      </c>
      <c r="U48" s="58">
        <v>1</v>
      </c>
      <c r="V48" s="15">
        <f t="shared" si="4"/>
        <v>1</v>
      </c>
      <c r="W48" s="18"/>
      <c r="X48" s="17"/>
      <c r="Z48" s="34">
        <v>0</v>
      </c>
      <c r="AA48" s="34">
        <v>0</v>
      </c>
      <c r="AB48" s="34">
        <v>0</v>
      </c>
      <c r="AC48" s="34">
        <v>1</v>
      </c>
    </row>
    <row r="49" spans="1:29" x14ac:dyDescent="0.35">
      <c r="V49" s="21"/>
    </row>
    <row r="51" spans="1:29" ht="16.5" x14ac:dyDescent="0.45">
      <c r="A51" t="s">
        <v>118</v>
      </c>
      <c r="C51" s="17">
        <v>0</v>
      </c>
      <c r="D51" s="3">
        <f>RADIANS(C51)</f>
        <v>0</v>
      </c>
      <c r="E51" t="s">
        <v>151</v>
      </c>
      <c r="G51" s="49">
        <f>B30</f>
        <v>50</v>
      </c>
      <c r="H51" s="6">
        <f>RADIANS(G51)</f>
        <v>0.87266462599716477</v>
      </c>
      <c r="N51" s="54">
        <f>COS(H51)</f>
        <v>0.64278760968653936</v>
      </c>
      <c r="O51" s="55">
        <f>-SIN(H51)*COS(D51)</f>
        <v>-0.76604444311897801</v>
      </c>
      <c r="P51" s="55">
        <f>SIN(H51)*SIN(D51)</f>
        <v>0</v>
      </c>
      <c r="Q51" s="56" t="e">
        <f>E51*COS(H51)</f>
        <v>#VALUE!</v>
      </c>
      <c r="R51" s="41" t="e">
        <f t="array" ref="R51:U54">MMULT(R45:U48,N51:Q54)</f>
        <v>#VALUE!</v>
      </c>
      <c r="S51" s="42" t="e">
        <v>#VALUE!</v>
      </c>
      <c r="T51" s="42" t="e">
        <v>#VALUE!</v>
      </c>
      <c r="U51" s="43" t="e">
        <v>#VALUE!</v>
      </c>
      <c r="V51" s="15" t="e">
        <f>$V$29*R51+$V$30*S51+$V$31*T51+$V$32*U51</f>
        <v>#VALUE!</v>
      </c>
      <c r="W51" s="18" t="e">
        <f>IF(W52=PI()/2,ATAN2(S52,S51),IF(-W52=PI()/2,-ATAN2(S52,S51),ATAN2(T53,S53)))</f>
        <v>#VALUE!</v>
      </c>
      <c r="X51" s="17" t="e">
        <f>DEGREES(W51)</f>
        <v>#VALUE!</v>
      </c>
      <c r="AC51" t="e">
        <f>COS(H35)*COS(H40)*E51*COS(H51) + (SIN(H35)*COS(D45) + COS(H35)*SIN(H40)*SIN(D45))*E51*SIN(H51) + E40*COS(H35)*COS(H40) + E35*COS(H35)</f>
        <v>#VALUE!</v>
      </c>
    </row>
    <row r="52" spans="1:29" x14ac:dyDescent="0.35">
      <c r="N52" s="54">
        <f>SIN(H51)</f>
        <v>0.76604444311897801</v>
      </c>
      <c r="O52" s="55">
        <f>COS(H51)*COS(D51)</f>
        <v>0.64278760968653936</v>
      </c>
      <c r="P52" s="55">
        <f>-COS(H51)*SIN(D51)</f>
        <v>0</v>
      </c>
      <c r="Q52" s="56" t="e">
        <f>E51*SIN(H51)</f>
        <v>#VALUE!</v>
      </c>
      <c r="R52" s="41" t="e">
        <v>#VALUE!</v>
      </c>
      <c r="S52" s="42" t="e">
        <v>#VALUE!</v>
      </c>
      <c r="T52" s="42" t="e">
        <v>#VALUE!</v>
      </c>
      <c r="U52" s="43" t="e">
        <v>#VALUE!</v>
      </c>
      <c r="V52" s="15" t="e">
        <f t="shared" ref="V52:V54" si="5">$V$29*R52+$V$30*S52+$V$31*T52+$V$32*U52</f>
        <v>#VALUE!</v>
      </c>
      <c r="W52" s="18" t="e">
        <f>ATAN2(SQRT(R51^2+R52^2),-R53)</f>
        <v>#VALUE!</v>
      </c>
      <c r="X52" s="17" t="e">
        <f>DEGREES(W52)</f>
        <v>#VALUE!</v>
      </c>
      <c r="AC52" t="e">
        <f>SIN(H35)*COS(H40)*E51*COS(H51) + (-COS(H35)*COS(D45)+SIN(H35)*SIN(H40)*SIN(D45))*E51*SIN(H51) + SIN(H35)*E40*COS(H40) + E35*SIN(H35)</f>
        <v>#VALUE!</v>
      </c>
    </row>
    <row r="53" spans="1:29" x14ac:dyDescent="0.35">
      <c r="N53" s="54">
        <v>0</v>
      </c>
      <c r="O53" s="55">
        <f>SIN(D51)</f>
        <v>0</v>
      </c>
      <c r="P53" s="55">
        <f>COS(D51)</f>
        <v>1</v>
      </c>
      <c r="Q53" s="56">
        <f>F51</f>
        <v>0</v>
      </c>
      <c r="R53" s="41" t="e">
        <v>#VALUE!</v>
      </c>
      <c r="S53" s="42" t="e">
        <v>#VALUE!</v>
      </c>
      <c r="T53" s="42" t="e">
        <v>#VALUE!</v>
      </c>
      <c r="U53" s="43" t="e">
        <v>#VALUE!</v>
      </c>
      <c r="V53" s="15" t="e">
        <f t="shared" si="5"/>
        <v>#VALUE!</v>
      </c>
      <c r="W53" s="18" t="e">
        <f>IF(ABS(W52)=PI()/2,0,ATAN2(R51,R52))</f>
        <v>#VALUE!</v>
      </c>
      <c r="X53" s="17" t="e">
        <f>DEGREES(W53)</f>
        <v>#VALUE!</v>
      </c>
      <c r="AC53" t="e">
        <f>SIN(H40)*E51*COS(H51) - COS(H40)*SIN(D45)*E51*SIN(H51) + E40*SIN(H40)</f>
        <v>#VALUE!</v>
      </c>
    </row>
    <row r="54" spans="1:29" x14ac:dyDescent="0.35">
      <c r="N54" s="54">
        <v>0</v>
      </c>
      <c r="O54" s="55">
        <v>0</v>
      </c>
      <c r="P54" s="55">
        <v>0</v>
      </c>
      <c r="Q54" s="56">
        <v>1</v>
      </c>
      <c r="R54" s="41" t="e">
        <v>#VALUE!</v>
      </c>
      <c r="S54" s="42" t="e">
        <v>#VALUE!</v>
      </c>
      <c r="T54" s="42" t="e">
        <v>#VALUE!</v>
      </c>
      <c r="U54" s="43" t="e">
        <v>#VALUE!</v>
      </c>
      <c r="V54" s="15" t="e">
        <f t="shared" si="5"/>
        <v>#VALUE!</v>
      </c>
      <c r="W54" s="8"/>
      <c r="X54" s="17"/>
      <c r="AC54">
        <v>1</v>
      </c>
    </row>
    <row r="55" spans="1:29" x14ac:dyDescent="0.35">
      <c r="N55" s="10"/>
      <c r="O55" s="10"/>
      <c r="P55" s="10"/>
      <c r="Q55" s="10"/>
      <c r="R55" s="42"/>
      <c r="S55" s="42"/>
      <c r="T55" s="42"/>
      <c r="U55" s="42"/>
      <c r="V55" s="15"/>
      <c r="W55" s="8"/>
    </row>
    <row r="56" spans="1:29" x14ac:dyDescent="0.35">
      <c r="N56" s="10"/>
      <c r="O56" s="10"/>
      <c r="P56" s="10"/>
      <c r="Q56" s="10"/>
      <c r="R56" s="42"/>
      <c r="S56" s="42"/>
      <c r="T56" s="42"/>
      <c r="U56" s="42"/>
      <c r="V56" s="15"/>
      <c r="W56" s="8"/>
    </row>
    <row r="57" spans="1:29" x14ac:dyDescent="0.35">
      <c r="C57" s="17">
        <v>90</v>
      </c>
      <c r="D57" s="3">
        <f>RADIANS(C57)</f>
        <v>1.5707963267948966</v>
      </c>
      <c r="E57">
        <v>0</v>
      </c>
      <c r="G57" s="49">
        <f>-90</f>
        <v>-90</v>
      </c>
      <c r="H57" s="6">
        <f>RADIANS(G57)</f>
        <v>-1.5707963267948966</v>
      </c>
      <c r="N57" s="54">
        <f>COS(H57)</f>
        <v>6.1257422745431001E-17</v>
      </c>
      <c r="O57" s="55">
        <f>-SIN(H57)*COS(D57)</f>
        <v>6.1257422745431001E-17</v>
      </c>
      <c r="P57" s="55">
        <f>SIN(H57)*SIN(D57)</f>
        <v>-1</v>
      </c>
      <c r="Q57" s="56">
        <f>E57*COS(H57)</f>
        <v>0</v>
      </c>
      <c r="R57" s="41" t="e">
        <f t="array" ref="R57:U60">MMULT(R51:U54,N57:Q60)</f>
        <v>#VALUE!</v>
      </c>
      <c r="S57" s="42" t="e">
        <v>#VALUE!</v>
      </c>
      <c r="T57" s="42" t="e">
        <v>#VALUE!</v>
      </c>
      <c r="U57" s="43" t="e">
        <v>#VALUE!</v>
      </c>
      <c r="V57" s="15" t="e">
        <f>$V$29*R57+$V$30*S57+$V$31*T57+$V$32*U57</f>
        <v>#VALUE!</v>
      </c>
      <c r="W57" s="18" t="e">
        <f>IF(W58=PI()/2,ATAN2(S58,S57),IF(-W58=PI()/2,-ATAN2(S58,S57),ATAN2(T59,S59)))</f>
        <v>#VALUE!</v>
      </c>
      <c r="X57" s="17" t="e">
        <f>DEGREES(W57)</f>
        <v>#VALUE!</v>
      </c>
      <c r="Z57" s="18" t="e">
        <f>IF(W58=PI()/2,ATAN2(S58,S57),IF(-W58=PI()/2,-ATAN2(S58,S57),ATAN2(T59,S59)))</f>
        <v>#VALUE!</v>
      </c>
    </row>
    <row r="58" spans="1:29" ht="18.5" x14ac:dyDescent="0.45">
      <c r="A58" s="22"/>
      <c r="N58" s="54">
        <f>SIN(H57)</f>
        <v>-1</v>
      </c>
      <c r="O58" s="55">
        <f>COS(H57)*COS(D57)</f>
        <v>3.7524718414124473E-33</v>
      </c>
      <c r="P58" s="55">
        <f>-COS(H57)*SIN(D57)</f>
        <v>-6.1257422745431001E-17</v>
      </c>
      <c r="Q58" s="56">
        <f>E57*SIN(H57)</f>
        <v>0</v>
      </c>
      <c r="R58" s="41" t="e">
        <v>#VALUE!</v>
      </c>
      <c r="S58" s="42" t="e">
        <v>#VALUE!</v>
      </c>
      <c r="T58" s="42" t="e">
        <v>#VALUE!</v>
      </c>
      <c r="U58" s="43" t="e">
        <v>#VALUE!</v>
      </c>
      <c r="V58" s="15" t="e">
        <f t="shared" ref="V58:V60" si="6">$V$29*R58+$V$30*S58+$V$31*T58+$V$32*U58</f>
        <v>#VALUE!</v>
      </c>
      <c r="W58" s="18" t="e">
        <f>ATAN2(SQRT(R57^2+R58^2),-R59)</f>
        <v>#VALUE!</v>
      </c>
      <c r="X58" s="17" t="e">
        <f>DEGREES(W58)</f>
        <v>#VALUE!</v>
      </c>
      <c r="Y58" s="1"/>
      <c r="Z58" s="18" t="e">
        <f>ATAN2(SQRT(R57^2+R58^2),-R59)</f>
        <v>#VALUE!</v>
      </c>
    </row>
    <row r="59" spans="1:29" ht="18.5" x14ac:dyDescent="0.45">
      <c r="A59" s="22"/>
      <c r="N59" s="54">
        <v>0</v>
      </c>
      <c r="O59" s="55">
        <f>SIN(D57)</f>
        <v>1</v>
      </c>
      <c r="P59" s="55">
        <f>COS(D57)</f>
        <v>6.1257422745431001E-17</v>
      </c>
      <c r="Q59" s="56">
        <f>F57</f>
        <v>0</v>
      </c>
      <c r="R59" s="41" t="e">
        <v>#VALUE!</v>
      </c>
      <c r="S59" s="42" t="e">
        <v>#VALUE!</v>
      </c>
      <c r="T59" s="42" t="e">
        <v>#VALUE!</v>
      </c>
      <c r="U59" s="43" t="e">
        <v>#VALUE!</v>
      </c>
      <c r="V59" s="15" t="e">
        <f t="shared" si="6"/>
        <v>#VALUE!</v>
      </c>
      <c r="W59" s="18" t="e">
        <f>IF(ABS(W58)=PI()/2,0,ATAN2(R57,R58))</f>
        <v>#VALUE!</v>
      </c>
      <c r="X59" s="17" t="e">
        <f>DEGREES(W59)</f>
        <v>#VALUE!</v>
      </c>
      <c r="Y59" s="1"/>
      <c r="Z59" s="18" t="e">
        <f>IF(ABS(W58)=PI()/2,0,ATAN2(R57,R58))</f>
        <v>#VALUE!</v>
      </c>
    </row>
    <row r="60" spans="1:29" ht="18.5" x14ac:dyDescent="0.45">
      <c r="A60" s="22"/>
      <c r="N60" s="54">
        <v>0</v>
      </c>
      <c r="O60" s="55">
        <v>0</v>
      </c>
      <c r="P60" s="55">
        <v>0</v>
      </c>
      <c r="Q60" s="56">
        <v>1</v>
      </c>
      <c r="R60" s="41" t="e">
        <v>#VALUE!</v>
      </c>
      <c r="S60" s="42" t="e">
        <v>#VALUE!</v>
      </c>
      <c r="T60" s="42" t="e">
        <v>#VALUE!</v>
      </c>
      <c r="U60" s="43" t="e">
        <v>#VALUE!</v>
      </c>
      <c r="V60" s="15" t="e">
        <f t="shared" si="6"/>
        <v>#VALUE!</v>
      </c>
      <c r="W60" s="8"/>
      <c r="X60" s="17"/>
      <c r="Y60" s="1"/>
    </row>
    <row r="61" spans="1:29" ht="18.5" x14ac:dyDescent="0.45">
      <c r="A61" s="22"/>
      <c r="N61" s="54"/>
      <c r="O61" s="55"/>
      <c r="P61" s="55"/>
      <c r="Q61" s="56"/>
      <c r="R61" s="41"/>
      <c r="S61" s="42"/>
      <c r="T61" s="42"/>
      <c r="U61" s="43"/>
      <c r="V61" s="15"/>
      <c r="W61" s="18"/>
      <c r="X61" s="17"/>
      <c r="Y61" s="1"/>
    </row>
    <row r="62" spans="1:29" ht="18.5" x14ac:dyDescent="0.45">
      <c r="A62" s="22" t="s">
        <v>33</v>
      </c>
      <c r="N62" s="54"/>
      <c r="O62" s="55"/>
      <c r="P62" s="55"/>
      <c r="Q62" s="56"/>
      <c r="R62" s="41"/>
      <c r="S62" s="42"/>
      <c r="T62" s="42"/>
      <c r="U62" s="43"/>
      <c r="V62" s="15"/>
      <c r="W62" s="18"/>
      <c r="X62" s="17"/>
      <c r="Y62" s="1"/>
    </row>
    <row r="63" spans="1:29" x14ac:dyDescent="0.35">
      <c r="N63" s="54"/>
      <c r="O63" s="55"/>
      <c r="P63" s="55"/>
      <c r="Q63" s="56"/>
      <c r="R63" s="41"/>
      <c r="S63" s="42"/>
      <c r="T63" s="42"/>
      <c r="U63" s="43"/>
      <c r="V63" s="15"/>
      <c r="W63" s="8"/>
      <c r="X63" s="17"/>
      <c r="Y63" s="1"/>
    </row>
    <row r="64" spans="1:29" ht="20.5" x14ac:dyDescent="0.55000000000000004">
      <c r="A64" s="68" t="s">
        <v>65</v>
      </c>
      <c r="N64" s="55"/>
      <c r="O64" s="55"/>
      <c r="P64" s="55"/>
      <c r="Q64" s="55"/>
      <c r="R64" s="42"/>
      <c r="S64" s="42"/>
      <c r="T64" s="42"/>
      <c r="U64" s="42"/>
      <c r="V64" s="15"/>
      <c r="W64" s="8"/>
      <c r="X64" s="17"/>
      <c r="Y64" s="1"/>
    </row>
    <row r="65" spans="1:25" ht="18" x14ac:dyDescent="0.4">
      <c r="A65" s="69"/>
      <c r="N65" s="55"/>
      <c r="O65" s="55"/>
      <c r="P65" s="55"/>
      <c r="Q65" s="55"/>
      <c r="R65" s="42"/>
      <c r="S65" s="42"/>
      <c r="T65" s="42"/>
      <c r="U65" s="42"/>
      <c r="V65" s="15"/>
      <c r="W65" s="8"/>
      <c r="X65" s="17"/>
      <c r="Y65" s="1"/>
    </row>
    <row r="66" spans="1:25" ht="16.5" x14ac:dyDescent="0.45">
      <c r="B66" s="21" t="e">
        <f>V51</f>
        <v>#VALUE!</v>
      </c>
      <c r="D66" s="4">
        <f>$V$29*R35+$V$30*S35+$V$31*T35+$V$32*U35</f>
        <v>29.136276771871458</v>
      </c>
      <c r="F66" t="s">
        <v>36</v>
      </c>
      <c r="G66" t="e">
        <f>SQRT(E51^2 + E45^2)</f>
        <v>#VALUE!</v>
      </c>
      <c r="I66" t="s">
        <v>39</v>
      </c>
      <c r="J66" s="4" t="e">
        <f>(2/G68)*SQRT(J67*(J67-G66)*(J67-G67)*(J67-G68))</f>
        <v>#VALUE!</v>
      </c>
      <c r="L66" s="4" t="e">
        <f>B66+(D66-B66)*$J$69</f>
        <v>#VALUE!</v>
      </c>
      <c r="O66" s="10"/>
      <c r="P66" s="10"/>
      <c r="S66" s="48"/>
      <c r="T66" s="48"/>
      <c r="W66" s="44"/>
      <c r="X66" s="17"/>
      <c r="Y66" s="1"/>
    </row>
    <row r="67" spans="1:25" ht="16.5" x14ac:dyDescent="0.45">
      <c r="B67" s="21" t="e">
        <f>V52</f>
        <v>#VALUE!</v>
      </c>
      <c r="D67" s="4">
        <f>$V$29*R36+$V$30*S36+$V$31*T36+$V$32*U36</f>
        <v>-34.723262517697037</v>
      </c>
      <c r="F67" t="s">
        <v>37</v>
      </c>
      <c r="G67">
        <f>E40</f>
        <v>141.53899999999999</v>
      </c>
      <c r="I67" t="s">
        <v>42</v>
      </c>
      <c r="J67" s="4" t="e">
        <f>0.5*(G66+G67+G68)</f>
        <v>#VALUE!</v>
      </c>
      <c r="L67" s="4" t="e">
        <f>B67+(D67-B67)*$J$69</f>
        <v>#VALUE!</v>
      </c>
      <c r="O67" s="10"/>
      <c r="P67" s="10"/>
      <c r="S67" s="48"/>
      <c r="T67" s="48"/>
      <c r="W67" s="8"/>
    </row>
    <row r="68" spans="1:25" ht="16.5" x14ac:dyDescent="0.45">
      <c r="B68" s="21" t="e">
        <f>V53</f>
        <v>#VALUE!</v>
      </c>
      <c r="D68" s="4">
        <v>0</v>
      </c>
      <c r="F68" t="s">
        <v>38</v>
      </c>
      <c r="G68" s="4" t="e">
        <f>SQRT((D66-B66)^2 + (D67-B67)^2 + (D68-B68)^2)</f>
        <v>#VALUE!</v>
      </c>
      <c r="I68" t="s">
        <v>40</v>
      </c>
      <c r="J68" s="4" t="e">
        <f>SQRT(G66^2-J66^2)</f>
        <v>#VALUE!</v>
      </c>
      <c r="L68" s="4" t="e">
        <f>B68+(D68-B68)*$J$69</f>
        <v>#VALUE!</v>
      </c>
      <c r="O68" s="10"/>
      <c r="P68" s="10"/>
      <c r="S68" s="48"/>
      <c r="T68" s="48"/>
      <c r="W68" s="8"/>
    </row>
    <row r="69" spans="1:25" x14ac:dyDescent="0.35">
      <c r="I69" t="s">
        <v>41</v>
      </c>
      <c r="J69" s="60" t="e">
        <f>J68/G68</f>
        <v>#VALUE!</v>
      </c>
      <c r="O69" s="10"/>
      <c r="P69" s="10"/>
      <c r="S69" s="42"/>
      <c r="T69" s="42"/>
      <c r="W69" s="8"/>
    </row>
    <row r="70" spans="1:25" ht="16.5" x14ac:dyDescent="0.45">
      <c r="A70" s="65" t="s">
        <v>60</v>
      </c>
      <c r="B70" s="20">
        <f>B27</f>
        <v>-50</v>
      </c>
      <c r="C70" s="18">
        <f t="shared" ref="C70" si="7">RADIANS(B70)</f>
        <v>-0.87266462599716477</v>
      </c>
      <c r="E70" s="16" t="e">
        <f>ASIN(B68/(E40+E51))</f>
        <v>#VALUE!</v>
      </c>
      <c r="F70" t="e">
        <f>DEGREES(E70)</f>
        <v>#VALUE!</v>
      </c>
      <c r="J70" s="4"/>
      <c r="O70" s="10"/>
      <c r="P70" s="10"/>
      <c r="S70" s="42"/>
      <c r="T70" s="42"/>
      <c r="W70" s="8"/>
    </row>
    <row r="71" spans="1:25" x14ac:dyDescent="0.35">
      <c r="A71" s="57"/>
      <c r="B71" s="17"/>
      <c r="C71" s="18"/>
      <c r="O71" s="10"/>
      <c r="P71" s="10"/>
      <c r="S71" s="42"/>
      <c r="T71" s="42"/>
      <c r="W71" s="8"/>
    </row>
    <row r="72" spans="1:25" ht="16.5" x14ac:dyDescent="0.45">
      <c r="A72" s="20" t="s">
        <v>45</v>
      </c>
      <c r="C72" s="18"/>
      <c r="O72" s="10"/>
      <c r="P72" s="10"/>
      <c r="S72" s="42"/>
      <c r="T72" s="42"/>
      <c r="W72" s="8"/>
    </row>
    <row r="73" spans="1:25" x14ac:dyDescent="0.35">
      <c r="A73" s="57"/>
      <c r="C73" s="18"/>
      <c r="O73" s="10"/>
      <c r="P73" s="10"/>
      <c r="S73" s="42"/>
      <c r="T73" s="42"/>
      <c r="W73" s="8"/>
    </row>
    <row r="74" spans="1:25" x14ac:dyDescent="0.35">
      <c r="A74" s="57"/>
      <c r="B74" s="17"/>
      <c r="C74" s="18"/>
      <c r="F74" s="4"/>
      <c r="O74" s="10"/>
      <c r="P74" s="10"/>
      <c r="S74" s="42"/>
      <c r="T74" s="42"/>
      <c r="W74" s="8"/>
    </row>
    <row r="75" spans="1:25" x14ac:dyDescent="0.35">
      <c r="A75" s="57"/>
      <c r="B75" s="17"/>
      <c r="C75" s="18"/>
      <c r="F75" s="4" t="e">
        <f>L66-B66</f>
        <v>#VALUE!</v>
      </c>
      <c r="O75" s="10"/>
      <c r="P75" s="10"/>
      <c r="S75" s="42"/>
      <c r="T75" s="42"/>
      <c r="W75" s="8"/>
    </row>
    <row r="76" spans="1:25" x14ac:dyDescent="0.35">
      <c r="F76" s="4" t="e">
        <f>L67-B67</f>
        <v>#VALUE!</v>
      </c>
      <c r="O76" s="10"/>
      <c r="P76" s="10"/>
      <c r="Q76" s="52"/>
      <c r="R76" s="42"/>
      <c r="S76" s="42"/>
      <c r="T76" s="42"/>
      <c r="U76" s="42"/>
      <c r="V76" s="15"/>
      <c r="W76" s="8"/>
    </row>
    <row r="77" spans="1:25" x14ac:dyDescent="0.35">
      <c r="F77" s="4" t="e">
        <f>L68-B68</f>
        <v>#VALUE!</v>
      </c>
      <c r="K77" s="4" t="e">
        <f>IF(SIGN(F75)&lt;&gt;SIGN(F76),SQRT(J66^2-K78^2),-SQRT(J66^2-K78^2))</f>
        <v>#VALUE!</v>
      </c>
      <c r="O77" s="3" t="e">
        <f>K77*F75+K78*F76+K79*F77</f>
        <v>#VALUE!</v>
      </c>
      <c r="P77" s="10" t="e">
        <f>IF(ABS(O77)&gt;0.1,"FALSE","OK")</f>
        <v>#VALUE!</v>
      </c>
      <c r="Q77" s="52"/>
      <c r="R77" s="42"/>
      <c r="S77" s="42"/>
      <c r="T77" s="42"/>
      <c r="U77" s="42"/>
      <c r="V77" s="15"/>
      <c r="W77" s="8"/>
    </row>
    <row r="78" spans="1:25" x14ac:dyDescent="0.35">
      <c r="A78" s="12"/>
      <c r="K78" s="4" t="e">
        <f>J66*SQRT(F75^2/(F76^2+F75^2))</f>
        <v>#VALUE!</v>
      </c>
      <c r="O78" s="59" t="e">
        <f>SQRT(K77^2+K78^2+K79^2)</f>
        <v>#VALUE!</v>
      </c>
      <c r="P78" s="10" t="e">
        <f>IF(ABS(O78-J66)&gt;0.1,"FALSE","OK")</f>
        <v>#VALUE!</v>
      </c>
      <c r="Q78" s="52"/>
    </row>
    <row r="79" spans="1:25" x14ac:dyDescent="0.35">
      <c r="A79" s="12"/>
      <c r="K79" s="4">
        <v>0</v>
      </c>
    </row>
    <row r="80" spans="1:25" x14ac:dyDescent="0.35">
      <c r="O80" s="10"/>
      <c r="P80" s="10"/>
      <c r="Q80" s="52"/>
      <c r="R80" s="42"/>
      <c r="S80" s="42"/>
      <c r="T80" s="42"/>
      <c r="U80" s="42"/>
      <c r="V80" s="15"/>
      <c r="W80" s="8"/>
    </row>
    <row r="81" spans="1:23" x14ac:dyDescent="0.35">
      <c r="O81" s="10"/>
      <c r="P81" s="10"/>
      <c r="Q81" s="52"/>
      <c r="R81" s="42"/>
      <c r="S81" s="42"/>
      <c r="T81" s="42"/>
      <c r="U81" s="42"/>
      <c r="V81" s="15"/>
      <c r="W81" s="8"/>
    </row>
    <row r="82" spans="1:23" x14ac:dyDescent="0.35">
      <c r="A82" s="12"/>
      <c r="Q82" s="52"/>
    </row>
    <row r="83" spans="1:23" x14ac:dyDescent="0.35">
      <c r="A83" s="12"/>
    </row>
    <row r="84" spans="1:23" x14ac:dyDescent="0.35">
      <c r="I84" s="4" t="e">
        <f>K78*F77-K79*F76</f>
        <v>#VALUE!</v>
      </c>
    </row>
    <row r="85" spans="1:23" x14ac:dyDescent="0.35">
      <c r="C85" s="7"/>
      <c r="D85" s="18"/>
      <c r="E85" s="17"/>
      <c r="F85" s="45"/>
      <c r="G85" s="18"/>
      <c r="H85" s="17"/>
      <c r="I85" s="4" t="e">
        <f>K79*F75-K77*F77</f>
        <v>#VALUE!</v>
      </c>
    </row>
    <row r="86" spans="1:23" x14ac:dyDescent="0.35">
      <c r="C86" s="7"/>
      <c r="D86" s="18"/>
      <c r="E86" s="17"/>
      <c r="F86" s="45"/>
      <c r="G86" s="18"/>
      <c r="H86" s="17"/>
      <c r="I86" s="4" t="e">
        <f>K77*F76-K78*F75</f>
        <v>#VALUE!</v>
      </c>
    </row>
    <row r="87" spans="1:23" x14ac:dyDescent="0.35">
      <c r="C87" s="7"/>
      <c r="D87" s="18"/>
      <c r="E87" s="17"/>
      <c r="F87" s="45"/>
      <c r="G87" s="18"/>
      <c r="H87" s="17"/>
      <c r="P87" s="44"/>
    </row>
    <row r="88" spans="1:23" x14ac:dyDescent="0.35">
      <c r="B88" t="s">
        <v>59</v>
      </c>
      <c r="C88" s="7"/>
      <c r="D88">
        <v>1</v>
      </c>
      <c r="I88" s="59" t="e">
        <f>SIGN(D88)*I84/(SQRT(I84^2+I85^2+I86^2))*J66</f>
        <v>#VALUE!</v>
      </c>
      <c r="L88" s="4" t="e">
        <f>I88*F75+I89*F76+I90*F77</f>
        <v>#VALUE!</v>
      </c>
      <c r="M88" s="10" t="e">
        <f>IF(ABS(L88)&gt;0.1,"FALSE","OK")</f>
        <v>#VALUE!</v>
      </c>
    </row>
    <row r="89" spans="1:23" x14ac:dyDescent="0.35">
      <c r="B89" s="9" t="s">
        <v>58</v>
      </c>
      <c r="C89" s="7"/>
      <c r="I89" s="59" t="e">
        <f>SIGN(D88)*I85/(SQRT(I84^2+I85^2+I86^2))*J66</f>
        <v>#VALUE!</v>
      </c>
      <c r="L89" s="4" t="e">
        <f>SQRT(I88^2+I89^2+I90^2)</f>
        <v>#VALUE!</v>
      </c>
      <c r="M89" s="10" t="e">
        <f>IF(ABS(L89-J66)&gt;0.1,"FALSE","OK")</f>
        <v>#VALUE!</v>
      </c>
      <c r="O89" s="7"/>
    </row>
    <row r="90" spans="1:23" x14ac:dyDescent="0.35">
      <c r="C90" s="7"/>
      <c r="D90" s="18"/>
      <c r="E90" s="17"/>
      <c r="F90" s="45"/>
      <c r="G90" s="18"/>
      <c r="H90" s="17"/>
      <c r="I90" s="59" t="e">
        <f>SIGN(D88)*I86/(SQRT(I84^2+I85^2+I86^2))*J66</f>
        <v>#VALUE!</v>
      </c>
      <c r="L90" s="4" t="e">
        <f>K77*I88+K78*I89+K79*I90</f>
        <v>#VALUE!</v>
      </c>
      <c r="M90" s="10" t="e">
        <f>IF(ABS(L90)&gt;0.1,"FALSE","OK")</f>
        <v>#VALUE!</v>
      </c>
    </row>
    <row r="91" spans="1:23" x14ac:dyDescent="0.35">
      <c r="C91" s="7"/>
      <c r="D91" s="18"/>
      <c r="E91" s="17"/>
      <c r="F91" s="45"/>
      <c r="G91" s="18"/>
      <c r="H91" s="17"/>
    </row>
    <row r="92" spans="1:23" x14ac:dyDescent="0.35">
      <c r="A92" s="12" t="s">
        <v>43</v>
      </c>
      <c r="C92" s="7"/>
      <c r="D92" s="18"/>
      <c r="E92" s="17"/>
      <c r="F92" s="45"/>
      <c r="G92" s="18"/>
      <c r="H92" s="17"/>
      <c r="P92" s="44"/>
    </row>
    <row r="93" spans="1:23" x14ac:dyDescent="0.35">
      <c r="C93" s="7"/>
    </row>
    <row r="94" spans="1:23" x14ac:dyDescent="0.35">
      <c r="C94" s="7"/>
      <c r="O94" s="7"/>
    </row>
    <row r="96" spans="1:23" x14ac:dyDescent="0.35">
      <c r="A96" t="s">
        <v>44</v>
      </c>
      <c r="B96" s="50"/>
      <c r="C96" s="50"/>
      <c r="D96" s="50"/>
      <c r="E96" s="46"/>
      <c r="F96" s="44"/>
      <c r="G96" s="7"/>
      <c r="H96" s="45"/>
      <c r="I96" s="18"/>
      <c r="J96" s="17"/>
      <c r="M96" s="50"/>
      <c r="N96" s="50"/>
      <c r="O96" s="50"/>
      <c r="P96" s="46"/>
      <c r="Q96" s="34"/>
      <c r="R96" s="34"/>
      <c r="S96" s="34"/>
      <c r="T96" s="34"/>
    </row>
    <row r="97" spans="1:20" x14ac:dyDescent="0.35">
      <c r="B97" s="50"/>
      <c r="C97" s="50"/>
      <c r="D97" s="50"/>
      <c r="E97" s="46"/>
      <c r="F97" s="44"/>
      <c r="G97" s="7"/>
      <c r="H97" s="45"/>
      <c r="I97" s="18"/>
      <c r="J97" s="17"/>
      <c r="M97" s="50"/>
      <c r="N97" s="50"/>
      <c r="O97" s="50"/>
      <c r="P97" s="46"/>
      <c r="Q97" s="34"/>
      <c r="R97" s="34"/>
      <c r="S97" s="34"/>
      <c r="T97" s="34"/>
    </row>
    <row r="98" spans="1:20" x14ac:dyDescent="0.35">
      <c r="B98" s="50"/>
      <c r="C98" s="50"/>
      <c r="D98" s="50"/>
      <c r="E98" s="46"/>
      <c r="F98" s="44"/>
      <c r="G98" s="7"/>
      <c r="H98" s="45"/>
      <c r="I98" s="18"/>
      <c r="J98" s="17"/>
      <c r="M98" s="50"/>
      <c r="N98" s="50"/>
      <c r="O98" s="50"/>
      <c r="P98" s="46"/>
      <c r="Q98" s="34"/>
      <c r="R98" s="34"/>
      <c r="S98" s="34"/>
      <c r="T98" s="34"/>
    </row>
    <row r="99" spans="1:20" x14ac:dyDescent="0.35">
      <c r="B99" s="46"/>
      <c r="C99" s="46"/>
      <c r="D99" s="46"/>
      <c r="E99" s="46"/>
      <c r="M99" s="46"/>
      <c r="N99" s="46"/>
      <c r="O99" s="46"/>
      <c r="P99" s="46"/>
      <c r="Q99" s="34"/>
      <c r="R99" s="34"/>
      <c r="S99" s="34"/>
      <c r="T99" s="34"/>
    </row>
    <row r="100" spans="1:20" x14ac:dyDescent="0.35">
      <c r="A100" s="12"/>
    </row>
    <row r="101" spans="1:20" ht="16.5" x14ac:dyDescent="0.45">
      <c r="A101" s="9"/>
      <c r="G101" s="9" t="s">
        <v>50</v>
      </c>
    </row>
    <row r="103" spans="1:20" x14ac:dyDescent="0.35">
      <c r="B103" s="13"/>
      <c r="I103" s="7"/>
      <c r="J103" s="7"/>
      <c r="K103" s="7"/>
      <c r="L103" s="7"/>
    </row>
    <row r="104" spans="1:20" x14ac:dyDescent="0.35">
      <c r="A104" s="61" t="s">
        <v>61</v>
      </c>
      <c r="I104" s="7"/>
      <c r="J104" s="7"/>
      <c r="K104" s="7"/>
      <c r="L104" s="7"/>
    </row>
    <row r="105" spans="1:20" x14ac:dyDescent="0.35">
      <c r="I105" s="7"/>
      <c r="J105" s="7"/>
      <c r="K105" s="7"/>
      <c r="L105" s="7"/>
    </row>
    <row r="106" spans="1:20" x14ac:dyDescent="0.35">
      <c r="I106" s="7"/>
      <c r="J106" s="7"/>
      <c r="K106" s="7"/>
      <c r="L106" s="7"/>
    </row>
    <row r="108" spans="1:20" x14ac:dyDescent="0.35">
      <c r="B108" s="14"/>
      <c r="C108" s="5"/>
    </row>
    <row r="109" spans="1:20" x14ac:dyDescent="0.35">
      <c r="A109" s="61" t="s">
        <v>62</v>
      </c>
    </row>
    <row r="110" spans="1:20" x14ac:dyDescent="0.35">
      <c r="A110" s="5"/>
      <c r="B110" s="8"/>
      <c r="C110" s="8"/>
      <c r="D110" s="8"/>
      <c r="E110" s="8"/>
    </row>
    <row r="111" spans="1:20" x14ac:dyDescent="0.35">
      <c r="B111" s="8"/>
      <c r="C111" s="8"/>
      <c r="D111" s="8"/>
      <c r="E111" s="8"/>
    </row>
    <row r="112" spans="1:20" x14ac:dyDescent="0.35">
      <c r="B112" s="8"/>
      <c r="C112" s="8"/>
      <c r="D112" s="8"/>
      <c r="E112" s="8"/>
    </row>
    <row r="113" spans="1:9" x14ac:dyDescent="0.35">
      <c r="B113" s="8"/>
      <c r="C113" s="8"/>
      <c r="D113" s="8"/>
      <c r="E113" s="8"/>
    </row>
    <row r="114" spans="1:9" x14ac:dyDescent="0.35">
      <c r="B114" s="8"/>
      <c r="C114" s="8"/>
      <c r="D114" s="8"/>
      <c r="E114" s="8"/>
    </row>
    <row r="115" spans="1:9" x14ac:dyDescent="0.35">
      <c r="A115" s="61" t="s">
        <v>49</v>
      </c>
      <c r="B115" s="8"/>
      <c r="C115" s="8"/>
      <c r="D115" s="8"/>
      <c r="E115" s="8"/>
    </row>
    <row r="117" spans="1:9" x14ac:dyDescent="0.35">
      <c r="A117" s="9"/>
    </row>
    <row r="118" spans="1:9" x14ac:dyDescent="0.35">
      <c r="B118" s="34"/>
      <c r="E118" s="5"/>
      <c r="H118" s="18"/>
      <c r="I118" s="20"/>
    </row>
    <row r="119" spans="1:9" x14ac:dyDescent="0.35">
      <c r="B119" s="31"/>
      <c r="H119" s="18"/>
      <c r="I119" s="20"/>
    </row>
    <row r="120" spans="1:9" x14ac:dyDescent="0.35">
      <c r="B120" s="31"/>
      <c r="G120" s="18"/>
      <c r="H120" s="20"/>
      <c r="I120" s="12"/>
    </row>
    <row r="121" spans="1:9" x14ac:dyDescent="0.35">
      <c r="G121" s="18"/>
      <c r="H121" s="20"/>
      <c r="I121" s="12"/>
    </row>
    <row r="123" spans="1:9" x14ac:dyDescent="0.35">
      <c r="A123" s="9"/>
      <c r="B123" s="59"/>
      <c r="C123" s="59" t="e">
        <f>SIN(C70)*K77-COS(C70)*K78</f>
        <v>#VALUE!</v>
      </c>
    </row>
    <row r="124" spans="1:9" x14ac:dyDescent="0.35">
      <c r="A124" s="9"/>
      <c r="B124" s="59"/>
      <c r="C124" s="59" t="e">
        <f>SIN(C70)*I88-COS(C70)*I89</f>
        <v>#VALUE!</v>
      </c>
    </row>
    <row r="126" spans="1:9" x14ac:dyDescent="0.35">
      <c r="A126" s="9"/>
      <c r="C126" s="59" t="e">
        <f>SQRT(C123^2 + C124^2)</f>
        <v>#VALUE!</v>
      </c>
    </row>
    <row r="128" spans="1:9" x14ac:dyDescent="0.35">
      <c r="C128" s="59" t="e">
        <f>COS(C70)*L67-SIN(C70)*L66</f>
        <v>#VALUE!</v>
      </c>
    </row>
    <row r="130" spans="1:12" x14ac:dyDescent="0.35">
      <c r="A130" s="9" t="s">
        <v>63</v>
      </c>
    </row>
    <row r="131" spans="1:12" x14ac:dyDescent="0.35">
      <c r="B131" s="18" t="e">
        <f>IF(ABS(C124)&lt;0.00001,ASIN(C128/C123),IF(  C123&gt;0,ASIN(C128/C126)-ATAN(C124/C123),ACOS(C128/C126)+ATAN(C123/C124)))</f>
        <v>#VALUE!</v>
      </c>
      <c r="C131" s="29" t="e">
        <f>DEGREES(B131)</f>
        <v>#VALUE!</v>
      </c>
      <c r="G131" s="59" t="e">
        <f>C123*SIN(B131)+C124*COS(B131)</f>
        <v>#VALUE!</v>
      </c>
    </row>
    <row r="132" spans="1:12" x14ac:dyDescent="0.35">
      <c r="B132" s="18">
        <v>4.6509999999999998</v>
      </c>
      <c r="C132" s="29">
        <f>DEGREES(B132)</f>
        <v>266.48267051534589</v>
      </c>
      <c r="G132" s="59" t="e">
        <f>-C123*SIN(B132)+C124*COS(B132)</f>
        <v>#VALUE!</v>
      </c>
      <c r="J132" s="18" t="e">
        <f>IF(ABS(G131-C128)&lt; 0.01,B131,IF(ABS(G133-C128)&lt;0.01,B133,ERROR))</f>
        <v>#VALUE!</v>
      </c>
      <c r="K132" s="29" t="e">
        <f>DEGREES(J132)</f>
        <v>#VALUE!</v>
      </c>
    </row>
    <row r="133" spans="1:12" x14ac:dyDescent="0.35">
      <c r="B133" s="18" t="e">
        <f>B131+PI()</f>
        <v>#VALUE!</v>
      </c>
      <c r="C133" s="29" t="e">
        <f>DEGREES(B133)</f>
        <v>#VALUE!</v>
      </c>
      <c r="G133" s="59" t="e">
        <f>C123*SIN(B133)+C124*COS(B133)</f>
        <v>#VALUE!</v>
      </c>
      <c r="L133" s="4"/>
    </row>
    <row r="134" spans="1:12" x14ac:dyDescent="0.35">
      <c r="B134" s="18"/>
      <c r="C134" s="29"/>
      <c r="L134" s="4"/>
    </row>
    <row r="135" spans="1:12" x14ac:dyDescent="0.35">
      <c r="E135" s="59" t="e">
        <f>L66 + K77*SIN(J132) + I88*COS(J132)</f>
        <v>#VALUE!</v>
      </c>
      <c r="G135" s="59" t="e">
        <f>L66 + K77*SIN(B132) + I88*COS(B132)</f>
        <v>#VALUE!</v>
      </c>
      <c r="I135">
        <v>84.51</v>
      </c>
    </row>
    <row r="136" spans="1:12" x14ac:dyDescent="0.35">
      <c r="E136" s="59" t="e">
        <f>L67 + K78*SIN(J132) + I89*COS(J132)</f>
        <v>#VALUE!</v>
      </c>
      <c r="G136" s="59" t="e">
        <f>L67 + K78*SIN(B132) + I89*COS(B132)</f>
        <v>#VALUE!</v>
      </c>
      <c r="I136">
        <v>-100.72</v>
      </c>
    </row>
    <row r="137" spans="1:12" x14ac:dyDescent="0.35">
      <c r="E137" s="59" t="e">
        <f>L68 + K79*SIN(J132) + I90*COS(J132)</f>
        <v>#VALUE!</v>
      </c>
      <c r="G137" s="59" t="e">
        <f>L68 + K79*SIN(B132) + I90*COS(B132)</f>
        <v>#VALUE!</v>
      </c>
      <c r="I137">
        <v>-108.42</v>
      </c>
    </row>
    <row r="140" spans="1:12" ht="20.5" x14ac:dyDescent="0.55000000000000004">
      <c r="A140" s="68" t="s">
        <v>64</v>
      </c>
    </row>
    <row r="143" spans="1:12" x14ac:dyDescent="0.35">
      <c r="E143" s="18" t="e">
        <f>PI()+ASIN(E137/E40)</f>
        <v>#VALUE!</v>
      </c>
      <c r="F143" s="29" t="e">
        <f>DEGREES(E143)</f>
        <v>#VALUE!</v>
      </c>
    </row>
    <row r="144" spans="1:12" ht="16.5" x14ac:dyDescent="0.45">
      <c r="D144" s="62" t="s">
        <v>56</v>
      </c>
      <c r="E144" s="18" t="e">
        <f>ASIN(E137/E40)</f>
        <v>#VALUE!</v>
      </c>
      <c r="F144" s="29" t="e">
        <f>DEGREES(E144)</f>
        <v>#VALUE!</v>
      </c>
      <c r="H144" s="63" t="s">
        <v>57</v>
      </c>
      <c r="I144" s="117" t="e">
        <f>E144</f>
        <v>#VALUE!</v>
      </c>
      <c r="J144" s="64" t="e">
        <f>DEGREES(I144)</f>
        <v>#VALUE!</v>
      </c>
    </row>
    <row r="145" spans="1:22" x14ac:dyDescent="0.35">
      <c r="E145" s="18" t="e">
        <f>PI()-ASIN(E137/E40)</f>
        <v>#VALUE!</v>
      </c>
      <c r="F145" s="29" t="e">
        <f>DEGREES(E145)</f>
        <v>#VALUE!</v>
      </c>
    </row>
    <row r="146" spans="1:22" x14ac:dyDescent="0.35">
      <c r="A146" s="12"/>
      <c r="E146" s="18"/>
      <c r="F146" s="29"/>
    </row>
    <row r="147" spans="1:22" ht="20" x14ac:dyDescent="0.5">
      <c r="A147" s="68" t="s">
        <v>117</v>
      </c>
      <c r="E147" s="16"/>
      <c r="M147" s="44"/>
      <c r="N147" s="17"/>
    </row>
    <row r="149" spans="1:22" x14ac:dyDescent="0.35">
      <c r="B149" s="9" t="s">
        <v>113</v>
      </c>
      <c r="E149" s="4"/>
      <c r="I149" s="16"/>
      <c r="J149" s="16"/>
      <c r="M149" s="51"/>
      <c r="N149" s="19"/>
    </row>
    <row r="150" spans="1:22" x14ac:dyDescent="0.35">
      <c r="C150" s="59"/>
      <c r="E150" s="4"/>
      <c r="K150" s="53"/>
      <c r="L150" s="18"/>
      <c r="P150" s="2"/>
      <c r="Q150" s="2"/>
      <c r="R150" s="35"/>
      <c r="S150" s="2"/>
      <c r="T150" s="2"/>
      <c r="U150" s="36"/>
      <c r="V150" s="35"/>
    </row>
    <row r="151" spans="1:22" ht="16.5" x14ac:dyDescent="0.45">
      <c r="B151" t="s">
        <v>114</v>
      </c>
      <c r="C151" s="59" t="e">
        <f>SQRT((G152-B152)*(G152-B152)+(G153-B153)*(G153-B153)+(G154-B154)*(G154-B154))</f>
        <v>#VALUE!</v>
      </c>
      <c r="E151" t="s">
        <v>115</v>
      </c>
      <c r="F151">
        <f>E40</f>
        <v>141.53899999999999</v>
      </c>
      <c r="H151" t="s">
        <v>116</v>
      </c>
      <c r="I151" t="str">
        <f>E51</f>
        <v>137,149+5</v>
      </c>
      <c r="K151" s="62" t="s">
        <v>66</v>
      </c>
      <c r="L151" s="18" t="e">
        <f>PI()-ACOS( ( -C151*C151 + F151*F151 +I151*I151) / (2*F151*I151) )</f>
        <v>#VALUE!</v>
      </c>
      <c r="M151" s="29" t="e">
        <f>DEGREES(L151)</f>
        <v>#VALUE!</v>
      </c>
      <c r="O151" s="5"/>
      <c r="P151" s="18"/>
      <c r="Q151" s="29"/>
      <c r="R151" s="35"/>
      <c r="S151" s="2"/>
      <c r="T151" s="2"/>
      <c r="U151" s="2"/>
      <c r="V151" s="2"/>
    </row>
    <row r="152" spans="1:22" x14ac:dyDescent="0.35">
      <c r="B152" s="71" t="e">
        <f>B66</f>
        <v>#VALUE!</v>
      </c>
      <c r="D152" s="4" t="e">
        <f>E135</f>
        <v>#VALUE!</v>
      </c>
      <c r="E152" s="7"/>
      <c r="G152" s="4">
        <f>D66</f>
        <v>29.136276771871458</v>
      </c>
      <c r="J152" s="4"/>
      <c r="K152" s="53"/>
      <c r="L152" s="18" t="e">
        <f>-PI()+ACOS( ( -C151*C151 + F151*F151 +I151*I151) / (2*F151*I151) )</f>
        <v>#VALUE!</v>
      </c>
      <c r="M152" s="29" t="e">
        <f>DEGREES(L152)</f>
        <v>#VALUE!</v>
      </c>
      <c r="O152" s="2"/>
      <c r="P152" s="18"/>
      <c r="Q152" s="29"/>
      <c r="R152" s="2"/>
      <c r="S152" s="2"/>
      <c r="T152" s="2"/>
      <c r="U152" s="2"/>
      <c r="V152" s="2"/>
    </row>
    <row r="153" spans="1:22" x14ac:dyDescent="0.35">
      <c r="B153" s="71" t="e">
        <f>B67</f>
        <v>#VALUE!</v>
      </c>
      <c r="D153" s="4" t="e">
        <f>E136</f>
        <v>#VALUE!</v>
      </c>
      <c r="E153" s="7"/>
      <c r="G153" s="4">
        <f>D67</f>
        <v>-34.723262517697037</v>
      </c>
      <c r="J153" s="4"/>
      <c r="K153" s="53"/>
      <c r="L153" s="18"/>
      <c r="M153" s="29"/>
      <c r="P153" s="2"/>
      <c r="Q153" s="2"/>
      <c r="R153" s="35"/>
      <c r="S153" s="2"/>
      <c r="T153" s="2"/>
      <c r="U153" s="36"/>
      <c r="V153" s="35"/>
    </row>
    <row r="154" spans="1:22" x14ac:dyDescent="0.35">
      <c r="B154" s="71" t="e">
        <f>B68</f>
        <v>#VALUE!</v>
      </c>
      <c r="D154" s="4" t="e">
        <f>E137</f>
        <v>#VALUE!</v>
      </c>
      <c r="E154" s="7"/>
      <c r="G154" s="4">
        <f>D68</f>
        <v>0</v>
      </c>
      <c r="J154" s="4"/>
      <c r="K154" s="53"/>
      <c r="L154" s="4"/>
      <c r="P154" s="2"/>
      <c r="Q154" s="2"/>
      <c r="R154" s="35"/>
      <c r="S154" s="2"/>
      <c r="T154" s="2"/>
      <c r="U154" s="2"/>
      <c r="V154" s="2"/>
    </row>
    <row r="155" spans="1:22" x14ac:dyDescent="0.35">
      <c r="G155" s="1"/>
      <c r="J155" s="60"/>
      <c r="K155" s="53"/>
      <c r="N155" s="2"/>
      <c r="O155" s="2"/>
      <c r="P155" s="2"/>
      <c r="Q155" s="2"/>
      <c r="R155" s="2"/>
      <c r="S155" s="2"/>
      <c r="T155" s="2"/>
      <c r="U155" s="2"/>
      <c r="V155" s="2"/>
    </row>
    <row r="158" spans="1:22" ht="20.5" x14ac:dyDescent="0.55000000000000004">
      <c r="A158" s="68" t="s">
        <v>119</v>
      </c>
    </row>
    <row r="160" spans="1:22" ht="16.5" x14ac:dyDescent="0.45">
      <c r="B160" s="61" t="s">
        <v>120</v>
      </c>
      <c r="G160" s="30" t="e">
        <f>(B154 - E40*SIN(I144) - SIN(I144)*E51*COS(L152)) / (-COS(I144)*E51*SIN(L152))</f>
        <v>#VALUE!</v>
      </c>
      <c r="H160" s="59"/>
    </row>
    <row r="167" spans="2:19" ht="16.5" x14ac:dyDescent="0.45">
      <c r="E167" s="5" t="s">
        <v>122</v>
      </c>
      <c r="G167" t="s">
        <v>123</v>
      </c>
      <c r="H167" t="s">
        <v>128</v>
      </c>
      <c r="J167" t="s">
        <v>127</v>
      </c>
      <c r="K167" s="62" t="s">
        <v>66</v>
      </c>
    </row>
    <row r="168" spans="2:19" ht="16.5" x14ac:dyDescent="0.45">
      <c r="B168" t="s">
        <v>121</v>
      </c>
      <c r="C168" s="18" t="e">
        <f>PI() -ASIN((B154 - E40*SIN(I144) - SIN(I144)*E51*COS(L151)) / (-COS(I144)*E51*SIN(L151)))</f>
        <v>#VALUE!</v>
      </c>
      <c r="D168" s="29" t="e">
        <f>DEGREES(C168)</f>
        <v>#VALUE!</v>
      </c>
      <c r="E168" s="18" t="e">
        <f>C168-PI()/2</f>
        <v>#VALUE!</v>
      </c>
      <c r="F168" s="29" t="e">
        <f>DEGREES(E168)</f>
        <v>#VALUE!</v>
      </c>
      <c r="G168" s="5" t="e">
        <f>SIN(C70)*COS(I144)*E51*COS(L151) + ( - COS(C70)*COS(C168) + SIN(C70)*SIN(I144)*SIN(C168) ) * E51 *SIN(L151) + SIN(C70)*E40*COS(I144) + E35*SIN(C70)</f>
        <v>#VALUE!</v>
      </c>
      <c r="H168" t="e">
        <f>COS(I144)*COS(C70)*E51*COS(L151) + (SIN(C70)*COS(C168) + COS(C70)*SIN(I144)*SIN(C168))*E51*SIN(L151)  +  COS(C70)*E40*COS(I144) + E35*COS(C70)</f>
        <v>#VALUE!</v>
      </c>
      <c r="I168" s="18" t="e">
        <f>IF(AND(ABS(G168-B$153)&lt;0.1,ABS(C168)&lt;PI()),C168,0)</f>
        <v>#VALUE!</v>
      </c>
      <c r="J168" s="29" t="e">
        <f>DEGREES(I168)</f>
        <v>#VALUE!</v>
      </c>
      <c r="K168" s="17" t="e">
        <f>IF(AND(ABS(G168-B$153)&lt;0.1,ABS(C168)&lt;PI()),M151,0)</f>
        <v>#VALUE!</v>
      </c>
      <c r="N168" s="18"/>
      <c r="O168" s="29"/>
    </row>
    <row r="169" spans="2:19" ht="16.5" x14ac:dyDescent="0.45">
      <c r="B169" t="s">
        <v>124</v>
      </c>
      <c r="C169" s="18" t="e">
        <f>PI() -ASIN((B154 - E40*SIN(I144) - SIN(I144)*E51*COS(L152)) / (-COS(I144)*E51*SIN(L152)))</f>
        <v>#VALUE!</v>
      </c>
      <c r="D169" s="29" t="e">
        <f>DEGREES(C169)</f>
        <v>#VALUE!</v>
      </c>
      <c r="E169" s="18" t="e">
        <f>C169-PI()/2</f>
        <v>#VALUE!</v>
      </c>
      <c r="F169" s="29" t="e">
        <f>DEGREES(E169)</f>
        <v>#VALUE!</v>
      </c>
      <c r="G169" s="5" t="e">
        <f>SIN(C70)*COS(I144)*E51*COS(L152) + ( - COS(C70)*COS(C169) + SIN(C70)*SIN(I144)*SIN(C169) ) * E51 *SIN(L152) + SIN(C70)*E40*COS(I144) + E35*SIN(C70)</f>
        <v>#VALUE!</v>
      </c>
      <c r="H169" t="e">
        <f>COS(I144)*COS(C70)*E51*COS(L152) + (SIN(C70)*COS(C169) + COS(C70)*SIN(I144)*SIN(C169))*E51*SIN(L152)  +  COS(C70)*E40*COS(I144) + E35*COS(C70)</f>
        <v>#VALUE!</v>
      </c>
      <c r="I169" s="18" t="e">
        <f>IF(AND(ABS(G169-B$153)&lt;0.1,ABS(C169)&lt;PI()),C169,0)</f>
        <v>#VALUE!</v>
      </c>
      <c r="J169" s="29" t="e">
        <f>DEGREES(I169)</f>
        <v>#VALUE!</v>
      </c>
      <c r="K169" s="17" t="e">
        <f>IF(AND(ABS(G169-B$153)&lt;0.1,ABS(C169)&lt;PI()),M152,0)</f>
        <v>#VALUE!</v>
      </c>
      <c r="N169" s="18"/>
      <c r="O169" s="29"/>
    </row>
    <row r="170" spans="2:19" ht="16.5" x14ac:dyDescent="0.45">
      <c r="B170" t="s">
        <v>125</v>
      </c>
      <c r="C170" s="18" t="e">
        <f xml:space="preserve"> -ASIN( (B154 - E40*SIN(I144) - SIN(I144)*E51*COS(L151)) / (-COS(I144)*E51*SIN(L151)))</f>
        <v>#VALUE!</v>
      </c>
      <c r="D170" s="29" t="e">
        <f>DEGREES(C170)</f>
        <v>#VALUE!</v>
      </c>
      <c r="E170" s="18" t="e">
        <f>C170-PI()/2</f>
        <v>#VALUE!</v>
      </c>
      <c r="F170" s="29" t="e">
        <f>DEGREES(E170)</f>
        <v>#VALUE!</v>
      </c>
      <c r="G170" t="e">
        <f>SIN(C70)*COS(I144)*E51*COS(L151) + ( - COS(C70)*COS(C170) + SIN(C70)*SIN(I144)*SIN(C170) ) * E51 *SIN(L151) + SIN(C70)*E40*COS(I144) + E35*SIN(C70)</f>
        <v>#VALUE!</v>
      </c>
      <c r="H170" t="e">
        <f>COS(I144)*COS(C70)*E51*COS(L151) + (SIN(C70)*COS(C170) + COS(C70)*SIN(I144)*SIN(C170))*E51*SIN(L151)  +  COS(C70)*E40*COS(I144) + E35*COS(C70)</f>
        <v>#VALUE!</v>
      </c>
      <c r="I170" s="18" t="e">
        <f>IF(AND(ABS(G170-B$153)&lt;0.1,ABS(C170)&lt;PI()),C170,0)</f>
        <v>#VALUE!</v>
      </c>
      <c r="J170" s="29" t="e">
        <f>DEGREES(I170)</f>
        <v>#VALUE!</v>
      </c>
      <c r="K170" s="17" t="e">
        <f>IF(AND(ABS(G170-B$153)&lt;0.1,ABS(C170)&lt;PI()),M151,0)</f>
        <v>#VALUE!</v>
      </c>
      <c r="O170" s="29"/>
    </row>
    <row r="171" spans="2:19" ht="16.5" x14ac:dyDescent="0.45">
      <c r="B171" t="s">
        <v>126</v>
      </c>
      <c r="C171" s="18" t="e">
        <f xml:space="preserve"> ASIN( (B154 - E40*SIN(I144) - SIN(I144)*E51*COS(L151)) / (-COS(I144)*E51*SIN(L151)))</f>
        <v>#VALUE!</v>
      </c>
      <c r="D171" s="29" t="e">
        <f>DEGREES(C171)</f>
        <v>#VALUE!</v>
      </c>
      <c r="E171" s="18" t="e">
        <f>C171-PI()/2</f>
        <v>#VALUE!</v>
      </c>
      <c r="F171" s="29" t="e">
        <f>DEGREES(E171)</f>
        <v>#VALUE!</v>
      </c>
      <c r="G171" t="e">
        <f>SIN(C70)*COS(I144)*E51*COS(L151) + ( - COS(C70)*COS(C171) + SIN(C70)*SIN(I144)*SIN(C171) ) * E51 *SIN(L151) + SIN(C70)*E40*COS(I144) + E35*SIN(C70)</f>
        <v>#VALUE!</v>
      </c>
      <c r="H171" t="e">
        <f>COS(I144)*COS(C70)*E51*COS(L151) + (SIN(C70)*COS(C171) + COS(C70)*SIN(I144)*SIN(C171))*E51*SIN(L151)  +  COS(C70)*E40*COS(I144) + E35*COS(C70)</f>
        <v>#VALUE!</v>
      </c>
      <c r="I171" s="18" t="e">
        <f>IF(AND(ABS(G171-B$153)&lt;0.1,ABS(C171)&lt;PI()),C171,0)</f>
        <v>#VALUE!</v>
      </c>
      <c r="J171" s="29" t="e">
        <f>DEGREES(I171)</f>
        <v>#VALUE!</v>
      </c>
      <c r="K171" s="17" t="e">
        <f>IF(AND(ABS(G171-B$153)&lt;0.1,ABS(C171)&lt;PI()),M151,0)</f>
        <v>#VALUE!</v>
      </c>
    </row>
    <row r="172" spans="2:19" x14ac:dyDescent="0.35">
      <c r="C172" s="59"/>
      <c r="J172" s="17" t="e">
        <f>SUM(J168:J171)-90</f>
        <v>#VALUE!</v>
      </c>
      <c r="K172" s="17" t="e">
        <f>SUM(K168:K171)</f>
        <v>#VALUE!</v>
      </c>
    </row>
    <row r="173" spans="2:19" x14ac:dyDescent="0.35">
      <c r="H173" t="e">
        <f>COS(H35)*COS(H40)*E51*COS(H51)+(SIN(H35)*COS(D45)+COS(H35)*SIN(H40)*SIN(D45))*E51*SIN(H51)+E40*COS(H35)*COS(H40)+E35*COS(H35)</f>
        <v>#VALUE!</v>
      </c>
    </row>
    <row r="174" spans="2:19" x14ac:dyDescent="0.35">
      <c r="H174" t="e">
        <f>COS(I144)*COS(C171)*E51*COS(L151) + (SIN(C70)*COS(C171) + COS(C70)*SIN(I144)*SIN(C171))*E51*SIN(L151)  +  COS(C70)*E40*COS(I144) + E35*COS(C70)</f>
        <v>#VALUE!</v>
      </c>
    </row>
    <row r="175" spans="2:19" x14ac:dyDescent="0.35">
      <c r="H175" t="e">
        <f>COS(I144)</f>
        <v>#VALUE!</v>
      </c>
      <c r="I175" t="e">
        <f>COS(I144)</f>
        <v>#VALUE!</v>
      </c>
      <c r="J175" s="31">
        <f>COS(C70)</f>
        <v>0.64278760968653936</v>
      </c>
      <c r="K175" t="str">
        <f>E51</f>
        <v>137,149+5</v>
      </c>
      <c r="L175" t="e">
        <f>COS(L151)</f>
        <v>#VALUE!</v>
      </c>
    </row>
    <row r="176" spans="2:19" x14ac:dyDescent="0.35">
      <c r="M176" s="72">
        <f>SIN(C73)</f>
        <v>0</v>
      </c>
      <c r="N176" s="72" t="e">
        <f>COS(C171)</f>
        <v>#VALUE!</v>
      </c>
      <c r="O176" s="34">
        <f>COS(C73)</f>
        <v>1</v>
      </c>
      <c r="P176" t="e">
        <f>SIN(I144)</f>
        <v>#VALUE!</v>
      </c>
      <c r="Q176" t="e">
        <f>SIN(C171)</f>
        <v>#VALUE!</v>
      </c>
      <c r="R176" t="str">
        <f>E51</f>
        <v>137,149+5</v>
      </c>
      <c r="S176" t="e">
        <f>SIN(L151)</f>
        <v>#VALUE!</v>
      </c>
    </row>
    <row r="177" spans="2:24" x14ac:dyDescent="0.35">
      <c r="T177">
        <f xml:space="preserve">  COS(C73)</f>
        <v>1</v>
      </c>
      <c r="U177" s="4">
        <f xml:space="preserve">  E40</f>
        <v>141.53899999999999</v>
      </c>
      <c r="V177" t="e">
        <f xml:space="preserve">  COS(I144)</f>
        <v>#VALUE!</v>
      </c>
      <c r="W177">
        <f xml:space="preserve">  E35</f>
        <v>45.328000000000003</v>
      </c>
      <c r="X177">
        <f>COS(C70)</f>
        <v>0.64278760968653936</v>
      </c>
    </row>
    <row r="179" spans="2:24" x14ac:dyDescent="0.35">
      <c r="H179" t="e">
        <f>COS(H35)*COS(H40)*E51*COS(H51)+(SIN(H35)*COS(D45)+COS(H35)*SIN(H40)*SIN(D45))*E51*SIN(H51)+E40*COS(H35)*COS(H40)+E35*COS(H35)</f>
        <v>#VALUE!</v>
      </c>
    </row>
    <row r="180" spans="2:24" x14ac:dyDescent="0.35">
      <c r="H180" t="e">
        <f>COS(H35)*COS(H40)*E51*COS(H51)</f>
        <v>#VALUE!</v>
      </c>
      <c r="I180" s="72">
        <f>COS(H35)</f>
        <v>0.64278760968653936</v>
      </c>
    </row>
    <row r="181" spans="2:24" x14ac:dyDescent="0.35">
      <c r="B181" s="70"/>
      <c r="E181" s="67"/>
      <c r="H181" t="e">
        <f>COS(I144)*COS(C171)*E51*COS(L151)</f>
        <v>#VALUE!</v>
      </c>
      <c r="I181" t="e">
        <f>COS(I144)</f>
        <v>#VALUE!</v>
      </c>
      <c r="J181" s="9"/>
    </row>
    <row r="182" spans="2:24" x14ac:dyDescent="0.35">
      <c r="B182" s="70"/>
      <c r="E182" s="67"/>
      <c r="J182" s="9"/>
    </row>
    <row r="183" spans="2:24" x14ac:dyDescent="0.35">
      <c r="E183" s="3"/>
      <c r="H183" s="3"/>
      <c r="L183" s="3"/>
    </row>
    <row r="184" spans="2:24" x14ac:dyDescent="0.35">
      <c r="L184" s="71"/>
    </row>
    <row r="185" spans="2:24" x14ac:dyDescent="0.35">
      <c r="J185" s="9"/>
      <c r="K185" s="59"/>
      <c r="M185" s="51"/>
      <c r="N185" s="66"/>
      <c r="O185" s="18"/>
    </row>
    <row r="186" spans="2:24" x14ac:dyDescent="0.35">
      <c r="M186" s="115"/>
      <c r="N186" s="66"/>
    </row>
    <row r="188" spans="2:24" x14ac:dyDescent="0.35">
      <c r="B188" s="62"/>
      <c r="C188" s="73"/>
      <c r="D188" s="35"/>
    </row>
    <row r="189" spans="2:24" x14ac:dyDescent="0.35">
      <c r="C189" s="72"/>
      <c r="D189" s="21"/>
    </row>
    <row r="192" spans="2:24" x14ac:dyDescent="0.35">
      <c r="B192" s="67"/>
      <c r="E192" s="67"/>
      <c r="G192" s="67"/>
    </row>
    <row r="193" spans="2:7" x14ac:dyDescent="0.35">
      <c r="B193" s="67"/>
      <c r="E193" s="67"/>
      <c r="G193" s="67"/>
    </row>
    <row r="196" spans="2:7" x14ac:dyDescent="0.35">
      <c r="B196" s="62"/>
      <c r="C196" s="67"/>
      <c r="D196" s="35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7"/>
  <sheetViews>
    <sheetView workbookViewId="0">
      <selection activeCell="L169" sqref="L169"/>
    </sheetView>
  </sheetViews>
  <sheetFormatPr baseColWidth="10" defaultColWidth="8.90625" defaultRowHeight="14.5" x14ac:dyDescent="0.35"/>
  <cols>
    <col min="2" max="2" width="13.1796875" customWidth="1"/>
    <col min="3" max="3" width="11.1796875" customWidth="1"/>
    <col min="4" max="4" width="10.453125" customWidth="1"/>
    <col min="5" max="5" width="10.1796875" customWidth="1"/>
    <col min="6" max="6" width="8.81640625" customWidth="1"/>
    <col min="7" max="7" width="11.1796875" customWidth="1"/>
    <col min="8" max="8" width="9.90625" customWidth="1"/>
    <col min="9" max="9" width="14.36328125" customWidth="1"/>
    <col min="10" max="10" width="14.81640625" customWidth="1"/>
    <col min="11" max="11" width="14.08984375" customWidth="1"/>
    <col min="12" max="12" width="12" customWidth="1"/>
    <col min="13" max="13" width="13.81640625" customWidth="1"/>
    <col min="14" max="14" width="12.81640625" customWidth="1"/>
    <col min="15" max="15" width="13" customWidth="1"/>
    <col min="16" max="16" width="12.453125" customWidth="1"/>
    <col min="17" max="17" width="11.453125" customWidth="1"/>
    <col min="18" max="18" width="12.453125" customWidth="1"/>
    <col min="19" max="19" width="12.81640625" customWidth="1"/>
    <col min="20" max="20" width="16.08984375" customWidth="1"/>
    <col min="21" max="21" width="15.1796875" customWidth="1"/>
    <col min="22" max="22" width="12.08984375" customWidth="1"/>
    <col min="23" max="23" width="12.81640625" customWidth="1"/>
    <col min="24" max="24" width="14.453125" customWidth="1"/>
    <col min="26" max="26" width="9.453125" customWidth="1"/>
    <col min="27" max="28" width="9.08984375" customWidth="1"/>
    <col min="29" max="30" width="10.453125" customWidth="1"/>
  </cols>
  <sheetData>
    <row r="1" spans="1:27" ht="18.5" x14ac:dyDescent="0.45">
      <c r="A1" s="22" t="s">
        <v>27</v>
      </c>
    </row>
    <row r="2" spans="1:27" x14ac:dyDescent="0.35">
      <c r="U2" t="s">
        <v>28</v>
      </c>
    </row>
    <row r="3" spans="1:27" x14ac:dyDescent="0.35">
      <c r="U3" t="s">
        <v>29</v>
      </c>
      <c r="V3">
        <f>V29</f>
        <v>0</v>
      </c>
      <c r="W3" s="21">
        <f>V35</f>
        <v>40.5</v>
      </c>
      <c r="X3" s="21">
        <f>V40</f>
        <v>179.88771974584191</v>
      </c>
      <c r="Y3" s="21">
        <f>V45</f>
        <v>179.88771974584191</v>
      </c>
      <c r="Z3" s="21">
        <f>V51</f>
        <v>336.62018436559265</v>
      </c>
    </row>
    <row r="4" spans="1:27" x14ac:dyDescent="0.35">
      <c r="U4" t="s">
        <v>30</v>
      </c>
      <c r="V4">
        <f>V30</f>
        <v>0</v>
      </c>
      <c r="W4" s="21">
        <f>V36</f>
        <v>0</v>
      </c>
      <c r="X4" s="21">
        <f>V41</f>
        <v>1.5055736508203123E-15</v>
      </c>
      <c r="Y4" s="21">
        <f>V46</f>
        <v>1.5055736508203123E-15</v>
      </c>
      <c r="Z4" s="21">
        <f>V52</f>
        <v>-2.8244665464171501E-15</v>
      </c>
    </row>
    <row r="6" spans="1:27" x14ac:dyDescent="0.35">
      <c r="U6" t="s">
        <v>31</v>
      </c>
      <c r="W6" s="21"/>
      <c r="X6" s="21"/>
      <c r="Y6" s="21"/>
      <c r="Z6" s="21"/>
    </row>
    <row r="7" spans="1:27" x14ac:dyDescent="0.35">
      <c r="U7" t="s">
        <v>29</v>
      </c>
      <c r="V7">
        <f>V29</f>
        <v>0</v>
      </c>
      <c r="W7" s="21">
        <f>V35</f>
        <v>40.5</v>
      </c>
      <c r="X7" s="21">
        <f>V40</f>
        <v>179.88771974584191</v>
      </c>
      <c r="Y7" s="21">
        <f>V45</f>
        <v>179.88771974584191</v>
      </c>
      <c r="Z7" s="21">
        <f>V51</f>
        <v>336.62018436559265</v>
      </c>
    </row>
    <row r="8" spans="1:27" x14ac:dyDescent="0.35">
      <c r="U8" t="s">
        <v>32</v>
      </c>
      <c r="V8">
        <f>V29</f>
        <v>0</v>
      </c>
      <c r="W8" s="21">
        <f>V37</f>
        <v>0</v>
      </c>
      <c r="X8" s="21">
        <f>V42</f>
        <v>24.577815770621989</v>
      </c>
      <c r="Y8" s="21">
        <f>V47</f>
        <v>24.577815770621989</v>
      </c>
      <c r="Z8" s="21">
        <f>V53</f>
        <v>19.104597501762164</v>
      </c>
    </row>
    <row r="10" spans="1:27" x14ac:dyDescent="0.35">
      <c r="W10" s="9" t="s">
        <v>15</v>
      </c>
    </row>
    <row r="12" spans="1:27" x14ac:dyDescent="0.35">
      <c r="A12" s="12"/>
      <c r="V12" t="s">
        <v>52</v>
      </c>
      <c r="W12" t="s">
        <v>51</v>
      </c>
      <c r="X12" t="s">
        <v>149</v>
      </c>
      <c r="Y12" t="s">
        <v>150</v>
      </c>
    </row>
    <row r="13" spans="1:27" x14ac:dyDescent="0.35">
      <c r="A13" s="1"/>
      <c r="U13" t="s">
        <v>29</v>
      </c>
      <c r="V13" s="4">
        <f>L66</f>
        <v>180.88904115109938</v>
      </c>
      <c r="W13" s="4">
        <f>E136</f>
        <v>179.88771974584188</v>
      </c>
      <c r="X13" s="4">
        <f>V13+K77</f>
        <v>180.88904115109938</v>
      </c>
      <c r="Y13" s="4">
        <f>V13+I88</f>
        <v>179.88771974584188</v>
      </c>
      <c r="Z13" s="4"/>
      <c r="AA13" s="4"/>
    </row>
    <row r="14" spans="1:27" x14ac:dyDescent="0.35">
      <c r="A14" s="1"/>
      <c r="U14" t="s">
        <v>30</v>
      </c>
      <c r="V14" s="4">
        <f>L67</f>
        <v>-1.3390649173894494E-15</v>
      </c>
      <c r="W14" s="4">
        <f>E137</f>
        <v>0</v>
      </c>
      <c r="X14" s="4">
        <f>V14+K78</f>
        <v>15.552692603585506</v>
      </c>
      <c r="Y14" s="4">
        <f>V14+I89</f>
        <v>-1.3390649173894494E-15</v>
      </c>
      <c r="Z14" s="4"/>
      <c r="AA14" s="4"/>
    </row>
    <row r="15" spans="1:27" x14ac:dyDescent="0.35">
      <c r="A15" s="1"/>
      <c r="U15" t="s">
        <v>32</v>
      </c>
      <c r="V15" s="4">
        <f>L68</f>
        <v>9.0573904328614212</v>
      </c>
      <c r="W15" s="4">
        <f>E138</f>
        <v>24.577815770621868</v>
      </c>
      <c r="X15" s="4">
        <f>V15+K79</f>
        <v>9.0573904328614212</v>
      </c>
      <c r="Y15" s="4">
        <f>V15+I90</f>
        <v>24.577815770621868</v>
      </c>
      <c r="Z15" s="4"/>
      <c r="AA15" s="4"/>
    </row>
    <row r="16" spans="1:27" x14ac:dyDescent="0.35">
      <c r="A16" s="1"/>
    </row>
    <row r="17" spans="1:23" x14ac:dyDescent="0.35">
      <c r="A17" s="1"/>
    </row>
    <row r="23" spans="1:23" x14ac:dyDescent="0.35">
      <c r="W23" s="9"/>
    </row>
    <row r="25" spans="1:23" x14ac:dyDescent="0.35">
      <c r="A25" s="12"/>
    </row>
    <row r="26" spans="1:23" ht="15" thickBot="1" x14ac:dyDescent="0.4">
      <c r="A26" s="1"/>
      <c r="F26" t="s">
        <v>33</v>
      </c>
      <c r="J26" t="s">
        <v>67</v>
      </c>
    </row>
    <row r="27" spans="1:23" ht="16.5" x14ac:dyDescent="0.45">
      <c r="A27" s="23" t="s">
        <v>7</v>
      </c>
      <c r="B27" s="24">
        <v>0</v>
      </c>
      <c r="C27" s="120">
        <f t="shared" ref="C27:C30" si="0">RADIANS(B27)</f>
        <v>0</v>
      </c>
      <c r="F27" s="17">
        <f>B70</f>
        <v>0</v>
      </c>
      <c r="G27" s="18">
        <f t="shared" ref="G27:G30" si="1">RADIANS(F27)</f>
        <v>0</v>
      </c>
      <c r="H27" t="str">
        <f>IF(ABS(B27-F27)&lt;0.1,"ok","FALSE")</f>
        <v>ok</v>
      </c>
      <c r="I27" t="s">
        <v>102</v>
      </c>
      <c r="J27" s="17">
        <f>X57</f>
        <v>-3.0215971797151736E-13</v>
      </c>
    </row>
    <row r="28" spans="1:23" ht="16.5" x14ac:dyDescent="0.45">
      <c r="A28" s="25" t="s">
        <v>4</v>
      </c>
      <c r="B28" s="26">
        <v>10</v>
      </c>
      <c r="C28" s="44">
        <f t="shared" si="0"/>
        <v>0.17453292519943295</v>
      </c>
      <c r="F28" s="17">
        <f>J145</f>
        <v>9.9999999999999503</v>
      </c>
      <c r="G28" s="18">
        <f t="shared" si="1"/>
        <v>0.17453292519943209</v>
      </c>
      <c r="H28" t="str">
        <f>IF(ABS(B28-F28)&lt;0.1,"ok","FALSE")</f>
        <v>ok</v>
      </c>
      <c r="I28" t="s">
        <v>103</v>
      </c>
      <c r="J28" s="17">
        <f>X58</f>
        <v>-88</v>
      </c>
      <c r="V28" t="s">
        <v>13</v>
      </c>
    </row>
    <row r="29" spans="1:23" ht="16.5" x14ac:dyDescent="0.45">
      <c r="A29" s="25" t="s">
        <v>5</v>
      </c>
      <c r="B29" s="26">
        <v>0</v>
      </c>
      <c r="C29" s="44">
        <f t="shared" si="0"/>
        <v>0</v>
      </c>
      <c r="F29" s="17">
        <f>J173</f>
        <v>1.0900252220835682E-5</v>
      </c>
      <c r="G29" s="18">
        <f t="shared" si="1"/>
        <v>1.9024529055140671E-7</v>
      </c>
      <c r="H29" t="str">
        <f>IF(ABS(B29-F29)&lt;0.1,"ok","FALSE")</f>
        <v>ok</v>
      </c>
      <c r="I29" t="s">
        <v>104</v>
      </c>
      <c r="J29" s="17">
        <f>X59</f>
        <v>2.9724905882291286E-13</v>
      </c>
      <c r="V29">
        <v>0</v>
      </c>
    </row>
    <row r="30" spans="1:23" ht="17" thickBot="1" x14ac:dyDescent="0.5">
      <c r="A30" s="27" t="s">
        <v>6</v>
      </c>
      <c r="B30" s="28">
        <v>12</v>
      </c>
      <c r="C30" s="44">
        <f t="shared" si="0"/>
        <v>0.20943951023931956</v>
      </c>
      <c r="F30" s="17">
        <f>K173</f>
        <v>36.000000000000355</v>
      </c>
      <c r="G30" s="18">
        <f t="shared" si="1"/>
        <v>0.62831853071796484</v>
      </c>
      <c r="H30" t="str">
        <f>IF(ABS(B30-F30)&lt;0.1,"ok","FALSE")</f>
        <v>FALSE</v>
      </c>
      <c r="V30">
        <v>0</v>
      </c>
    </row>
    <row r="31" spans="1:23" x14ac:dyDescent="0.35">
      <c r="A31" s="57"/>
      <c r="B31" s="29"/>
      <c r="C31" s="18"/>
      <c r="S31" s="116"/>
      <c r="V31">
        <v>0</v>
      </c>
    </row>
    <row r="32" spans="1:23" x14ac:dyDescent="0.35">
      <c r="A32" s="57"/>
      <c r="B32" s="29"/>
      <c r="C32" s="18"/>
      <c r="V32">
        <v>1</v>
      </c>
    </row>
    <row r="33" spans="1:30" x14ac:dyDescent="0.35">
      <c r="A33" s="1"/>
      <c r="D33" s="12"/>
    </row>
    <row r="34" spans="1:30" ht="16.5" x14ac:dyDescent="0.45">
      <c r="C34" s="1" t="s">
        <v>8</v>
      </c>
      <c r="D34" s="1" t="s">
        <v>11</v>
      </c>
      <c r="E34" s="2" t="s">
        <v>3</v>
      </c>
      <c r="F34" s="2" t="s">
        <v>2</v>
      </c>
      <c r="G34" s="1" t="s">
        <v>9</v>
      </c>
      <c r="H34" s="1" t="s">
        <v>12</v>
      </c>
      <c r="N34" t="s">
        <v>16</v>
      </c>
      <c r="R34" t="s">
        <v>17</v>
      </c>
      <c r="V34" t="s">
        <v>10</v>
      </c>
      <c r="W34" s="11" t="s">
        <v>18</v>
      </c>
      <c r="X34" s="11" t="s">
        <v>19</v>
      </c>
    </row>
    <row r="35" spans="1:30" ht="16.5" x14ac:dyDescent="0.45">
      <c r="A35" t="s">
        <v>55</v>
      </c>
      <c r="C35">
        <v>90</v>
      </c>
      <c r="D35" s="3">
        <f>RADIANS(C35)</f>
        <v>1.5707963267948966</v>
      </c>
      <c r="E35">
        <v>40.5</v>
      </c>
      <c r="F35">
        <v>0</v>
      </c>
      <c r="G35" s="49">
        <f>B27</f>
        <v>0</v>
      </c>
      <c r="H35" s="6">
        <f>RADIANS(G35)</f>
        <v>0</v>
      </c>
      <c r="N35" s="39">
        <f>COS(H35)</f>
        <v>1</v>
      </c>
      <c r="O35" s="33">
        <f>-SIN(H35)*COS(D35)</f>
        <v>0</v>
      </c>
      <c r="P35" s="33">
        <f>SIN(H35)*SIN(D35)</f>
        <v>0</v>
      </c>
      <c r="Q35" s="40">
        <f>E35*COS(H35)</f>
        <v>40.5</v>
      </c>
      <c r="R35" s="41">
        <f t="array" ref="R35:U38">N35:Q38</f>
        <v>1</v>
      </c>
      <c r="S35" s="42">
        <v>0</v>
      </c>
      <c r="T35" s="42">
        <v>0</v>
      </c>
      <c r="U35" s="43">
        <v>40.5</v>
      </c>
      <c r="V35" s="15">
        <f>$V$29*R35+$V$30*S35+$V$31*T35+$V$32*U35</f>
        <v>40.5</v>
      </c>
      <c r="W35" s="18">
        <f>IF(W36=PI()/2,-ATAN2(S36,S35),IF(-W36=PI()/2,ATAN2(S36,S35),ATAN2(T37,S37)))</f>
        <v>1.5707963267948966</v>
      </c>
      <c r="X35" s="17">
        <f>DEGREES(W35)</f>
        <v>90</v>
      </c>
    </row>
    <row r="36" spans="1:30" x14ac:dyDescent="0.35">
      <c r="N36" s="39">
        <f>SIN(H35)</f>
        <v>0</v>
      </c>
      <c r="O36" s="33">
        <f>COS(H35)*COS(D35)</f>
        <v>6.1257422745431001E-17</v>
      </c>
      <c r="P36" s="33">
        <f>-COS(H35)*SIN(D35)</f>
        <v>-1</v>
      </c>
      <c r="Q36" s="40">
        <f>E35*SIN(H35)</f>
        <v>0</v>
      </c>
      <c r="R36" s="41">
        <v>0</v>
      </c>
      <c r="S36" s="42">
        <v>6.1257422745431001E-17</v>
      </c>
      <c r="T36" s="42">
        <v>-1</v>
      </c>
      <c r="U36" s="43">
        <v>0</v>
      </c>
      <c r="V36" s="15">
        <f t="shared" ref="V36:V38" si="2">$V$29*R36+$V$30*S36+$V$31*T36+$V$32*U36</f>
        <v>0</v>
      </c>
      <c r="W36" s="18">
        <f>ATAN2(SQRT(R35^2+R36^2),-R37)</f>
        <v>0</v>
      </c>
      <c r="X36" s="17">
        <f>DEGREES(W36)</f>
        <v>0</v>
      </c>
    </row>
    <row r="37" spans="1:30" x14ac:dyDescent="0.35">
      <c r="N37" s="39">
        <v>0</v>
      </c>
      <c r="O37" s="33">
        <f>SIN(D35)</f>
        <v>1</v>
      </c>
      <c r="P37" s="33">
        <f>COS(D35)</f>
        <v>6.1257422745431001E-17</v>
      </c>
      <c r="Q37" s="40">
        <f>F35</f>
        <v>0</v>
      </c>
      <c r="R37" s="41">
        <v>0</v>
      </c>
      <c r="S37" s="42">
        <v>1</v>
      </c>
      <c r="T37" s="42">
        <v>6.1257422745431001E-17</v>
      </c>
      <c r="U37" s="43">
        <v>0</v>
      </c>
      <c r="V37" s="15">
        <f t="shared" si="2"/>
        <v>0</v>
      </c>
      <c r="W37" s="18">
        <f>IF(ABS(W36)=PI()/2,0,ATAN2(R35,R36))</f>
        <v>0</v>
      </c>
      <c r="X37" s="17">
        <f>DEGREES(W37)</f>
        <v>0</v>
      </c>
    </row>
    <row r="38" spans="1:30" x14ac:dyDescent="0.35">
      <c r="N38" s="39">
        <v>0</v>
      </c>
      <c r="O38" s="33">
        <v>0</v>
      </c>
      <c r="P38" s="33">
        <v>0</v>
      </c>
      <c r="Q38" s="40">
        <v>1</v>
      </c>
      <c r="R38" s="41">
        <v>0</v>
      </c>
      <c r="S38" s="42">
        <v>0</v>
      </c>
      <c r="T38" s="42">
        <v>0</v>
      </c>
      <c r="U38" s="43">
        <v>1</v>
      </c>
      <c r="V38" s="15">
        <f t="shared" si="2"/>
        <v>1</v>
      </c>
      <c r="W38" s="8"/>
    </row>
    <row r="39" spans="1:30" x14ac:dyDescent="0.35">
      <c r="V39" s="21"/>
    </row>
    <row r="40" spans="1:30" ht="16.5" x14ac:dyDescent="0.45">
      <c r="A40" t="s">
        <v>53</v>
      </c>
      <c r="C40" s="17">
        <v>90</v>
      </c>
      <c r="D40" s="3">
        <f>RADIANS(C40)</f>
        <v>1.5707963267948966</v>
      </c>
      <c r="E40" s="4">
        <v>141.53800000000001</v>
      </c>
      <c r="F40">
        <v>0</v>
      </c>
      <c r="G40" s="49">
        <f>B28</f>
        <v>10</v>
      </c>
      <c r="H40" s="6">
        <f>RADIANS(G40)</f>
        <v>0.17453292519943295</v>
      </c>
      <c r="N40" s="37">
        <f>COS(H40)</f>
        <v>0.98480775301220802</v>
      </c>
      <c r="O40" s="32">
        <f>-SIN(H40)*COS(D40)</f>
        <v>-1.0637239828316862E-17</v>
      </c>
      <c r="P40" s="32">
        <f>SIN(H40)*SIN(D40)</f>
        <v>0.17364817766693033</v>
      </c>
      <c r="Q40" s="38">
        <f>E40*COS(H40)</f>
        <v>139.38771974584191</v>
      </c>
      <c r="R40" s="47">
        <f t="array" ref="R40:U43">MMULT(R35:U38,N40:Q43)</f>
        <v>0.98480775301220802</v>
      </c>
      <c r="S40" s="48">
        <v>-1.0637239828316862E-17</v>
      </c>
      <c r="T40" s="48">
        <v>0.17364817766693033</v>
      </c>
      <c r="U40" s="58">
        <v>179.88771974584191</v>
      </c>
      <c r="V40" s="15">
        <f>$V$29*R40+$V$30*S40+$V$31*T40+$V$32*U40</f>
        <v>179.88771974584191</v>
      </c>
      <c r="W40" s="18">
        <f>IF(W41=PI()/2,ATAN2(S41,S40),IF(-W41=PI()/2,-ATAN2(S41,S40),ATAN2(T42,S42)))</f>
        <v>3.1415926535897931</v>
      </c>
      <c r="X40" s="17">
        <f>DEGREES(W40)</f>
        <v>180</v>
      </c>
      <c r="Z40" s="34">
        <f>COS(H40)*COS(H35)</f>
        <v>0.98480775301220802</v>
      </c>
      <c r="AA40" s="34">
        <f>SIN(H35)</f>
        <v>0</v>
      </c>
      <c r="AB40" s="34">
        <f>COS(H35)*SIN(H40)</f>
        <v>0.17364817766693033</v>
      </c>
      <c r="AC40" s="34">
        <f>E40*COS(H35)*COS(H40) + E35*COS(H35)</f>
        <v>179.88771974584191</v>
      </c>
    </row>
    <row r="41" spans="1:30" x14ac:dyDescent="0.35">
      <c r="N41" s="37">
        <f>SIN(H40)</f>
        <v>0.17364817766693033</v>
      </c>
      <c r="O41" s="32">
        <f>COS(H40)*COS(D40)</f>
        <v>6.032678484924683E-17</v>
      </c>
      <c r="P41" s="32">
        <f>-COS(H40)*SIN(D40)</f>
        <v>-0.98480775301220802</v>
      </c>
      <c r="Q41" s="38">
        <f>E40*SIN(H40)</f>
        <v>24.577815770621989</v>
      </c>
      <c r="R41" s="47">
        <v>1.0637239828316862E-17</v>
      </c>
      <c r="S41" s="48">
        <v>-1</v>
      </c>
      <c r="T41" s="48">
        <v>-1.2158420759467783E-16</v>
      </c>
      <c r="U41" s="58">
        <v>1.5055736508203123E-15</v>
      </c>
      <c r="V41" s="15">
        <f t="shared" ref="V41:V43" si="3">$V$29*R41+$V$30*S41+$V$31*T41+$V$32*U41</f>
        <v>1.5055736508203123E-15</v>
      </c>
      <c r="W41" s="18">
        <f>ATAN2(SQRT(R40^2+R41^2),-R42)</f>
        <v>-0.17453292519943295</v>
      </c>
      <c r="X41" s="17">
        <f>DEGREES(W41)</f>
        <v>-10</v>
      </c>
      <c r="Z41" s="34">
        <f>SIN(H35)*COS(H40)</f>
        <v>0</v>
      </c>
      <c r="AA41" s="34">
        <f>-COS(H35)</f>
        <v>-1</v>
      </c>
      <c r="AB41" s="34">
        <f>SIN(H35)*SIN(H40)</f>
        <v>0</v>
      </c>
      <c r="AC41" s="34">
        <f>E40*SIN(H35)*COS(H40) + E35*SIN(H35)</f>
        <v>0</v>
      </c>
    </row>
    <row r="42" spans="1:30" x14ac:dyDescent="0.35">
      <c r="N42" s="37">
        <v>0</v>
      </c>
      <c r="O42" s="32">
        <f>SIN(D40)</f>
        <v>1</v>
      </c>
      <c r="P42" s="32">
        <f>COS(D40)</f>
        <v>6.1257422745431001E-17</v>
      </c>
      <c r="Q42" s="38">
        <f>F40</f>
        <v>0</v>
      </c>
      <c r="R42" s="47">
        <v>0.17364817766693033</v>
      </c>
      <c r="S42" s="48">
        <v>1.2158420759467783E-16</v>
      </c>
      <c r="T42" s="48">
        <v>-0.98480775301220802</v>
      </c>
      <c r="U42" s="58">
        <v>24.577815770621989</v>
      </c>
      <c r="V42" s="15">
        <f t="shared" si="3"/>
        <v>24.577815770621989</v>
      </c>
      <c r="W42" s="18">
        <f>IF(ABS(W41)=PI()/2,0,ATAN2(R40,R41))</f>
        <v>1.0801336398683896E-17</v>
      </c>
      <c r="X42" s="17">
        <f>DEGREES(W42)</f>
        <v>6.1887098874562316E-16</v>
      </c>
      <c r="Z42" s="34">
        <f>SIN(H40)</f>
        <v>0.17364817766693033</v>
      </c>
      <c r="AA42" s="34">
        <v>0</v>
      </c>
      <c r="AB42" s="34">
        <f>-COS(H40)</f>
        <v>-0.98480775301220802</v>
      </c>
      <c r="AC42" s="34">
        <f>E40*SIN(H40)</f>
        <v>24.577815770621989</v>
      </c>
    </row>
    <row r="43" spans="1:30" x14ac:dyDescent="0.35">
      <c r="N43" s="37">
        <v>0</v>
      </c>
      <c r="O43" s="32">
        <v>0</v>
      </c>
      <c r="P43" s="32">
        <v>0</v>
      </c>
      <c r="Q43" s="38">
        <v>1</v>
      </c>
      <c r="R43" s="47">
        <v>0</v>
      </c>
      <c r="S43" s="48">
        <v>0</v>
      </c>
      <c r="T43" s="48">
        <v>0</v>
      </c>
      <c r="U43" s="58">
        <v>1</v>
      </c>
      <c r="V43" s="15">
        <f t="shared" si="3"/>
        <v>1</v>
      </c>
      <c r="W43" s="8"/>
      <c r="Z43" s="34">
        <v>0</v>
      </c>
      <c r="AA43" s="34">
        <v>0</v>
      </c>
      <c r="AB43" s="34">
        <v>0</v>
      </c>
      <c r="AC43" s="34">
        <v>1</v>
      </c>
    </row>
    <row r="44" spans="1:30" x14ac:dyDescent="0.35">
      <c r="V44" s="21"/>
    </row>
    <row r="45" spans="1:30" ht="16.5" x14ac:dyDescent="0.45">
      <c r="A45" t="s">
        <v>54</v>
      </c>
      <c r="C45" s="17">
        <f>B29+90</f>
        <v>90</v>
      </c>
      <c r="D45" s="3">
        <f>RADIANS(C45)</f>
        <v>1.5707963267948966</v>
      </c>
      <c r="E45">
        <v>0</v>
      </c>
      <c r="F45">
        <v>0</v>
      </c>
      <c r="G45" s="49">
        <v>0</v>
      </c>
      <c r="H45" s="6">
        <f>RADIANS(G45)</f>
        <v>0</v>
      </c>
      <c r="N45" s="39">
        <f>COS(H45)</f>
        <v>1</v>
      </c>
      <c r="O45" s="33">
        <f>-SIN(H45)*COS(D45)</f>
        <v>0</v>
      </c>
      <c r="P45" s="33">
        <f>SIN(H45)*SIN(D45)</f>
        <v>0</v>
      </c>
      <c r="Q45" s="40">
        <f>E45*COS(H45)</f>
        <v>0</v>
      </c>
      <c r="R45" s="47">
        <f t="array" ref="R45:U48">MMULT(R40:U43,N45:Q48)</f>
        <v>0.98480775301220802</v>
      </c>
      <c r="S45" s="48">
        <v>0.17364817766693033</v>
      </c>
      <c r="T45" s="48">
        <v>2.1274479656633724E-17</v>
      </c>
      <c r="U45" s="58">
        <v>179.88771974584191</v>
      </c>
      <c r="V45" s="15">
        <f>$V$29*R45+$V$30*S45+$V$31*T45+$V$32*U45</f>
        <v>179.88771974584191</v>
      </c>
      <c r="W45" s="18">
        <f>IF(W46=PI()/2,ATAN2(S46,S45),IF(-W46=PI()/2,-ATAN2(S46,S45),ATAN2(T47,S47)))</f>
        <v>-1.5707963267948968</v>
      </c>
      <c r="X45" s="17">
        <f>DEGREES(W45)</f>
        <v>-90.000000000000014</v>
      </c>
      <c r="Z45" s="34">
        <f>COS(H35)*COS(H40)</f>
        <v>0.98480775301220802</v>
      </c>
      <c r="AA45" s="34">
        <f>+SIN(H35)*COS(D45)+ COS(H35)*SIN(H40)*SIN(D45)</f>
        <v>0.17364817766693033</v>
      </c>
      <c r="AB45" s="34">
        <f>-SIN(H35)*SIN(D45)+COS(H35)*SIN(H40)*COS(D45)</f>
        <v>1.0637239828316862E-17</v>
      </c>
      <c r="AC45" s="31">
        <f>E40*COS(H35)*COS(H40) + E35*COS(H35)</f>
        <v>179.88771974584191</v>
      </c>
      <c r="AD45" s="31"/>
    </row>
    <row r="46" spans="1:30" x14ac:dyDescent="0.35">
      <c r="N46" s="39">
        <f>SIN(H45)</f>
        <v>0</v>
      </c>
      <c r="O46" s="33">
        <f>COS(H45)*COS(D45)</f>
        <v>6.1257422745431001E-17</v>
      </c>
      <c r="P46" s="33">
        <f>-COS(H45)*SIN(D45)</f>
        <v>-1</v>
      </c>
      <c r="Q46" s="40">
        <f>E45*SIN(H45)</f>
        <v>0</v>
      </c>
      <c r="R46" s="47">
        <v>1.0637239828316862E-17</v>
      </c>
      <c r="S46" s="48">
        <v>-1.8284163034010883E-16</v>
      </c>
      <c r="T46" s="48">
        <v>1</v>
      </c>
      <c r="U46" s="58">
        <v>1.5055736508203123E-15</v>
      </c>
      <c r="V46" s="15">
        <f t="shared" ref="V46:V48" si="4">$V$29*R46+$V$30*S46+$V$31*T46+$V$32*U46</f>
        <v>1.5055736508203123E-15</v>
      </c>
      <c r="W46" s="18">
        <f>ATAN2(SQRT(R45^2+R46^2),-R47)</f>
        <v>-0.17453292519943295</v>
      </c>
      <c r="X46" s="17">
        <f>DEGREES(W46)</f>
        <v>-10</v>
      </c>
      <c r="Z46" s="34">
        <f>SIN(H35)*COS(H40)</f>
        <v>0</v>
      </c>
      <c r="AA46" s="34">
        <f>-COS(H35)*COS(D45)+SIN(H35)*SIN(H40)*SIN(D45)</f>
        <v>-6.1257422745431001E-17</v>
      </c>
      <c r="AB46" s="34">
        <f>COS(H35)*SIN(D45)+SIN(H35)*SIN(H40)*COS(D45)</f>
        <v>1</v>
      </c>
      <c r="AC46" s="31">
        <f>E40*SIN(H35)*COS(H40) + E35*SIN(H35)</f>
        <v>0</v>
      </c>
      <c r="AD46" s="3"/>
    </row>
    <row r="47" spans="1:30" x14ac:dyDescent="0.35">
      <c r="N47" s="39">
        <v>0</v>
      </c>
      <c r="O47" s="33">
        <f>SIN(D45)</f>
        <v>1</v>
      </c>
      <c r="P47" s="33">
        <f>COS(D45)</f>
        <v>6.1257422745431001E-17</v>
      </c>
      <c r="Q47" s="40">
        <f>F45</f>
        <v>0</v>
      </c>
      <c r="R47" s="47">
        <v>0.17364817766693033</v>
      </c>
      <c r="S47" s="48">
        <v>-0.98480775301220802</v>
      </c>
      <c r="T47" s="48">
        <v>-1.8191099244392466E-16</v>
      </c>
      <c r="U47" s="58">
        <v>24.577815770621989</v>
      </c>
      <c r="V47" s="15">
        <f t="shared" si="4"/>
        <v>24.577815770621989</v>
      </c>
      <c r="W47" s="18">
        <f>IF(ABS(W46)=PI()/2,0,ATAN2(R45,R46))</f>
        <v>1.0801336398683896E-17</v>
      </c>
      <c r="X47" s="17">
        <f>DEGREES(W47)</f>
        <v>6.1887098874562316E-16</v>
      </c>
      <c r="Z47" s="34">
        <f>SIN(H40)</f>
        <v>0.17364817766693033</v>
      </c>
      <c r="AA47" s="34">
        <f>-COS(H40)*SIN(D45)</f>
        <v>-0.98480775301220802</v>
      </c>
      <c r="AB47" s="34">
        <f>-COS(H40)*COS(D45)</f>
        <v>-6.032678484924683E-17</v>
      </c>
      <c r="AC47" s="34">
        <f>E40*SIN(H40)</f>
        <v>24.577815770621989</v>
      </c>
    </row>
    <row r="48" spans="1:30" x14ac:dyDescent="0.35">
      <c r="N48" s="39">
        <v>0</v>
      </c>
      <c r="O48" s="33">
        <v>0</v>
      </c>
      <c r="P48" s="33">
        <v>0</v>
      </c>
      <c r="Q48" s="40">
        <v>1</v>
      </c>
      <c r="R48" s="47">
        <v>0</v>
      </c>
      <c r="S48" s="48">
        <v>0</v>
      </c>
      <c r="T48" s="48">
        <v>0</v>
      </c>
      <c r="U48" s="58">
        <v>1</v>
      </c>
      <c r="V48" s="15">
        <f t="shared" si="4"/>
        <v>1</v>
      </c>
      <c r="W48" s="18"/>
      <c r="X48" s="17"/>
      <c r="Z48" s="34">
        <v>0</v>
      </c>
      <c r="AA48" s="34">
        <v>0</v>
      </c>
      <c r="AB48" s="34">
        <v>0</v>
      </c>
      <c r="AC48" s="34">
        <v>1</v>
      </c>
    </row>
    <row r="49" spans="1:29" x14ac:dyDescent="0.35">
      <c r="V49" s="21"/>
    </row>
    <row r="51" spans="1:29" ht="16.5" x14ac:dyDescent="0.45">
      <c r="A51" t="s">
        <v>118</v>
      </c>
      <c r="C51" s="17">
        <v>0</v>
      </c>
      <c r="D51" s="3">
        <f>RADIANS(C51)</f>
        <v>0</v>
      </c>
      <c r="E51">
        <v>156.828</v>
      </c>
      <c r="G51" s="49">
        <f>B30</f>
        <v>12</v>
      </c>
      <c r="H51" s="6">
        <f>RADIANS(G51)</f>
        <v>0.20943951023931956</v>
      </c>
      <c r="N51" s="54">
        <f>COS(H51)</f>
        <v>0.97814760073380569</v>
      </c>
      <c r="O51" s="55">
        <f>-SIN(H51)*COS(D51)</f>
        <v>-0.20791169081775934</v>
      </c>
      <c r="P51" s="55">
        <f>SIN(H51)*SIN(D51)</f>
        <v>0</v>
      </c>
      <c r="Q51" s="56">
        <f>E51*COS(H51)</f>
        <v>153.40093192788129</v>
      </c>
      <c r="R51" s="41">
        <f t="array" ref="R51:U54">MMULT(R45:U48,N51:Q54)</f>
        <v>0.99939082701909565</v>
      </c>
      <c r="S51" s="42">
        <v>-3.4899496702500976E-2</v>
      </c>
      <c r="T51" s="42">
        <v>2.1274479656633724E-17</v>
      </c>
      <c r="U51" s="43">
        <v>336.62018436559265</v>
      </c>
      <c r="V51" s="15">
        <f>$V$29*R51+$V$30*S51+$V$31*T51+$V$32*U51</f>
        <v>336.62018436559265</v>
      </c>
      <c r="W51" s="18">
        <f>IF(W52=PI()/2,ATAN2(S52,S51),IF(-W52=PI()/2,-ATAN2(S52,S51),ATAN2(T53,S53)))</f>
        <v>-1.5707963267948968</v>
      </c>
      <c r="X51" s="17">
        <f>DEGREES(W51)</f>
        <v>-90.000000000000014</v>
      </c>
      <c r="AC51">
        <f>COS(H35)*COS(H40)*E51*COS(H51) + (SIN(H35)*COS(D45) + COS(H35)*SIN(H40)*SIN(D45))*E51*SIN(H51) + E40*COS(H35)*COS(H40) + E35*COS(H35)</f>
        <v>336.62018436559265</v>
      </c>
    </row>
    <row r="52" spans="1:29" x14ac:dyDescent="0.35">
      <c r="N52" s="54">
        <f>SIN(H51)</f>
        <v>0.20791169081775934</v>
      </c>
      <c r="O52" s="55">
        <f>COS(H51)*COS(D51)</f>
        <v>0.97814760073380569</v>
      </c>
      <c r="P52" s="55">
        <f>-COS(H51)*SIN(D51)</f>
        <v>0</v>
      </c>
      <c r="Q52" s="56">
        <f>E51*SIN(H51)</f>
        <v>32.606374647567563</v>
      </c>
      <c r="R52" s="41">
        <v>-2.7610121899389536E-17</v>
      </c>
      <c r="S52" s="42">
        <v>-1.8105770854977423E-16</v>
      </c>
      <c r="T52" s="42">
        <v>1</v>
      </c>
      <c r="U52" s="43">
        <v>-2.8244665464171501E-15</v>
      </c>
      <c r="V52" s="15">
        <f t="shared" ref="V52:V54" si="5">$V$29*R52+$V$30*S52+$V$31*T52+$V$32*U52</f>
        <v>-2.8244665464171501E-15</v>
      </c>
      <c r="W52" s="18">
        <f>ATAN2(SQRT(R51^2+R52^2),-R53)</f>
        <v>3.4906585039886598E-2</v>
      </c>
      <c r="X52" s="17">
        <f>DEGREES(W52)</f>
        <v>2.0000000000000004</v>
      </c>
      <c r="AC52">
        <f>SIN(H35)*COS(H40)*E51*COS(H51) + (-COS(H35)*COS(D45)+SIN(H35)*SIN(H40)*SIN(D45))*E51*SIN(H51) + SIN(H35)*E40*COS(H40) + E35*SIN(H35)</f>
        <v>-1.9973824759819501E-15</v>
      </c>
    </row>
    <row r="53" spans="1:29" x14ac:dyDescent="0.35">
      <c r="N53" s="54">
        <v>0</v>
      </c>
      <c r="O53" s="55">
        <f>SIN(D51)</f>
        <v>0</v>
      </c>
      <c r="P53" s="55">
        <f>COS(D51)</f>
        <v>1</v>
      </c>
      <c r="Q53" s="56">
        <f>F51</f>
        <v>0</v>
      </c>
      <c r="R53" s="41">
        <v>-3.4899496702500976E-2</v>
      </c>
      <c r="S53" s="42">
        <v>-0.99939082701909565</v>
      </c>
      <c r="T53" s="42">
        <v>-1.8191099244392466E-16</v>
      </c>
      <c r="U53" s="43">
        <v>19.104597501762164</v>
      </c>
      <c r="V53" s="15">
        <f t="shared" si="5"/>
        <v>19.104597501762164</v>
      </c>
      <c r="W53" s="18">
        <f>IF(ABS(W52)=PI()/2,0,ATAN2(R51,R52))</f>
        <v>-2.7626951491783084E-17</v>
      </c>
      <c r="X53" s="17">
        <f>DEGREES(W53)</f>
        <v>-1.5829077212918244E-15</v>
      </c>
      <c r="AC53">
        <f>SIN(H40)*E51*COS(H51) - COS(H40)*SIN(D45)*E51*SIN(H51) + E40*SIN(H40)</f>
        <v>19.104597501762164</v>
      </c>
    </row>
    <row r="54" spans="1:29" x14ac:dyDescent="0.35">
      <c r="N54" s="54">
        <v>0</v>
      </c>
      <c r="O54" s="55">
        <v>0</v>
      </c>
      <c r="P54" s="55">
        <v>0</v>
      </c>
      <c r="Q54" s="56">
        <v>1</v>
      </c>
      <c r="R54" s="41">
        <v>0</v>
      </c>
      <c r="S54" s="42">
        <v>0</v>
      </c>
      <c r="T54" s="42">
        <v>0</v>
      </c>
      <c r="U54" s="43">
        <v>1</v>
      </c>
      <c r="V54" s="15">
        <f t="shared" si="5"/>
        <v>1</v>
      </c>
      <c r="W54" s="8"/>
      <c r="X54" s="17"/>
      <c r="AC54">
        <v>1</v>
      </c>
    </row>
    <row r="55" spans="1:29" x14ac:dyDescent="0.35">
      <c r="N55" s="10"/>
      <c r="O55" s="10"/>
      <c r="P55" s="10"/>
      <c r="Q55" s="10"/>
      <c r="R55" s="42"/>
      <c r="S55" s="42"/>
      <c r="T55" s="42"/>
      <c r="U55" s="42"/>
      <c r="V55" s="15"/>
      <c r="W55" s="8"/>
    </row>
    <row r="56" spans="1:29" x14ac:dyDescent="0.35">
      <c r="N56" s="10"/>
      <c r="O56" s="10"/>
      <c r="P56" s="10"/>
      <c r="Q56" s="10"/>
      <c r="R56" s="42"/>
      <c r="S56" s="42"/>
      <c r="T56" s="42"/>
      <c r="U56" s="42"/>
      <c r="V56" s="15"/>
      <c r="W56" s="8"/>
    </row>
    <row r="57" spans="1:29" x14ac:dyDescent="0.35">
      <c r="C57" s="17">
        <v>90</v>
      </c>
      <c r="D57" s="3">
        <f>RADIANS(C57)</f>
        <v>1.5707963267948966</v>
      </c>
      <c r="E57">
        <v>0</v>
      </c>
      <c r="G57" s="49">
        <f>-90</f>
        <v>-90</v>
      </c>
      <c r="H57" s="6">
        <f>RADIANS(G57)</f>
        <v>-1.5707963267948966</v>
      </c>
      <c r="N57" s="54">
        <f>COS(H57)</f>
        <v>6.1257422745431001E-17</v>
      </c>
      <c r="O57" s="55">
        <f>-SIN(H57)*COS(D57)</f>
        <v>6.1257422745431001E-17</v>
      </c>
      <c r="P57" s="55">
        <f>SIN(H57)*SIN(D57)</f>
        <v>-1</v>
      </c>
      <c r="Q57" s="56">
        <f>E57*COS(H57)</f>
        <v>0</v>
      </c>
      <c r="R57" s="41">
        <f t="array" ref="R57:U60">MMULT(R51:U54,N57:Q60)</f>
        <v>3.4899496702501039E-2</v>
      </c>
      <c r="S57" s="42">
        <v>8.2494586035248381E-17</v>
      </c>
      <c r="T57" s="42">
        <v>-0.99939082701909565</v>
      </c>
      <c r="U57" s="43">
        <v>336.62018436559265</v>
      </c>
      <c r="V57" s="15">
        <f>$V$29*R57+$V$30*S57+$V$31*T57+$V$32*U57</f>
        <v>336.62018436559265</v>
      </c>
      <c r="W57" s="18">
        <f>IF(W58=PI()/2,ATAN2(S58,S57),IF(-W58=PI()/2,-ATAN2(S58,S57),ATAN2(T59,S59)))</f>
        <v>-5.2736819455004595E-15</v>
      </c>
      <c r="X57" s="17">
        <f>DEGREES(W57)</f>
        <v>-3.0215971797151736E-13</v>
      </c>
      <c r="Z57" s="18">
        <f>IF(W58=PI()/2,ATAN2(S58,S57),IF(-W58=PI()/2,-ATAN2(S58,S57),ATAN2(T59,S59)))</f>
        <v>-5.2736819455004595E-15</v>
      </c>
    </row>
    <row r="58" spans="1:29" ht="18.5" x14ac:dyDescent="0.45">
      <c r="A58" s="22"/>
      <c r="N58" s="54">
        <f>SIN(H57)</f>
        <v>-1</v>
      </c>
      <c r="O58" s="55">
        <f>COS(H57)*COS(D57)</f>
        <v>3.7524718414124473E-33</v>
      </c>
      <c r="P58" s="55">
        <f>-COS(H57)*SIN(D57)</f>
        <v>-6.1257422745431001E-17</v>
      </c>
      <c r="Q58" s="56">
        <f>E57*SIN(H57)</f>
        <v>0</v>
      </c>
      <c r="R58" s="41">
        <v>1.8105770854977423E-16</v>
      </c>
      <c r="S58" s="42">
        <v>1</v>
      </c>
      <c r="T58" s="42">
        <v>8.8867544644820555E-17</v>
      </c>
      <c r="U58" s="43">
        <v>-2.8244665464171501E-15</v>
      </c>
      <c r="V58" s="15">
        <f t="shared" ref="V58:V60" si="6">$V$29*R58+$V$30*S58+$V$31*T58+$V$32*U58</f>
        <v>-2.8244665464171501E-15</v>
      </c>
      <c r="W58" s="18">
        <f>ATAN2(SQRT(R57^2+R58^2),-R59)</f>
        <v>-1.5358897417550099</v>
      </c>
      <c r="X58" s="17">
        <f>DEGREES(W58)</f>
        <v>-88</v>
      </c>
      <c r="Y58" s="1"/>
      <c r="Z58" s="18">
        <f>ATAN2(SQRT(R57^2+R58^2),-R59)</f>
        <v>-1.5358897417550099</v>
      </c>
    </row>
    <row r="59" spans="1:29" ht="18.5" x14ac:dyDescent="0.45">
      <c r="A59" s="22"/>
      <c r="N59" s="54">
        <v>0</v>
      </c>
      <c r="O59" s="55">
        <f>SIN(D57)</f>
        <v>1</v>
      </c>
      <c r="P59" s="55">
        <f>COS(D57)</f>
        <v>6.1257422745431001E-17</v>
      </c>
      <c r="Q59" s="56">
        <f>F57</f>
        <v>0</v>
      </c>
      <c r="R59" s="41">
        <v>0.99939082701909565</v>
      </c>
      <c r="S59" s="42">
        <v>-1.8404884566703254E-16</v>
      </c>
      <c r="T59" s="42">
        <v>3.4899496702501039E-2</v>
      </c>
      <c r="U59" s="43">
        <v>19.104597501762164</v>
      </c>
      <c r="V59" s="15">
        <f t="shared" si="6"/>
        <v>19.104597501762164</v>
      </c>
      <c r="W59" s="18">
        <f>IF(ABS(W58)=PI()/2,0,ATAN2(R57,R58))</f>
        <v>5.1879747749141298E-15</v>
      </c>
      <c r="X59" s="17">
        <f>DEGREES(W59)</f>
        <v>2.9724905882291286E-13</v>
      </c>
      <c r="Y59" s="1"/>
      <c r="Z59" s="18">
        <f>IF(ABS(W58)=PI()/2,0,ATAN2(R57,R58))</f>
        <v>5.1879747749141298E-15</v>
      </c>
    </row>
    <row r="60" spans="1:29" ht="18.5" x14ac:dyDescent="0.45">
      <c r="A60" s="22"/>
      <c r="N60" s="54">
        <v>0</v>
      </c>
      <c r="O60" s="55">
        <v>0</v>
      </c>
      <c r="P60" s="55">
        <v>0</v>
      </c>
      <c r="Q60" s="56">
        <v>1</v>
      </c>
      <c r="R60" s="41">
        <v>0</v>
      </c>
      <c r="S60" s="42">
        <v>0</v>
      </c>
      <c r="T60" s="42">
        <v>0</v>
      </c>
      <c r="U60" s="43">
        <v>1</v>
      </c>
      <c r="V60" s="15">
        <f t="shared" si="6"/>
        <v>1</v>
      </c>
      <c r="W60" s="8"/>
      <c r="X60" s="17"/>
      <c r="Y60" s="1"/>
    </row>
    <row r="61" spans="1:29" ht="18.5" x14ac:dyDescent="0.45">
      <c r="A61" s="22"/>
      <c r="N61" s="54"/>
      <c r="O61" s="55"/>
      <c r="P61" s="55"/>
      <c r="Q61" s="56"/>
      <c r="R61" s="41"/>
      <c r="S61" s="42"/>
      <c r="T61" s="42"/>
      <c r="U61" s="43"/>
      <c r="V61" s="15"/>
      <c r="W61" s="18"/>
      <c r="X61" s="17"/>
      <c r="Y61" s="1"/>
    </row>
    <row r="62" spans="1:29" ht="18.5" x14ac:dyDescent="0.45">
      <c r="A62" s="22" t="s">
        <v>33</v>
      </c>
      <c r="N62" s="54"/>
      <c r="O62" s="55"/>
      <c r="P62" s="55"/>
      <c r="Q62" s="56"/>
      <c r="R62" s="41"/>
      <c r="S62" s="42"/>
      <c r="T62" s="42"/>
      <c r="U62" s="43"/>
      <c r="V62" s="15"/>
      <c r="W62" s="18"/>
      <c r="X62" s="17"/>
      <c r="Y62" s="1"/>
    </row>
    <row r="63" spans="1:29" x14ac:dyDescent="0.35">
      <c r="N63" s="54"/>
      <c r="O63" s="55"/>
      <c r="P63" s="55"/>
      <c r="Q63" s="56"/>
      <c r="R63" s="41"/>
      <c r="S63" s="42"/>
      <c r="T63" s="42"/>
      <c r="U63" s="43"/>
      <c r="V63" s="15"/>
      <c r="W63" s="8"/>
      <c r="X63" s="17"/>
      <c r="Y63" s="1"/>
    </row>
    <row r="64" spans="1:29" ht="20.5" x14ac:dyDescent="0.55000000000000004">
      <c r="A64" s="68" t="s">
        <v>65</v>
      </c>
      <c r="N64" s="55"/>
      <c r="O64" s="55"/>
      <c r="P64" s="55"/>
      <c r="Q64" s="55"/>
      <c r="R64" s="42"/>
      <c r="S64" s="42"/>
      <c r="T64" s="42"/>
      <c r="U64" s="42"/>
      <c r="V64" s="15"/>
      <c r="W64" s="8"/>
      <c r="X64" s="17"/>
      <c r="Y64" s="1"/>
    </row>
    <row r="65" spans="1:25" ht="18" x14ac:dyDescent="0.4">
      <c r="A65" s="69"/>
      <c r="N65" s="55"/>
      <c r="O65" s="55"/>
      <c r="P65" s="55"/>
      <c r="Q65" s="55"/>
      <c r="R65" s="42"/>
      <c r="S65" s="42"/>
      <c r="T65" s="42"/>
      <c r="U65" s="42"/>
      <c r="V65" s="15"/>
      <c r="W65" s="8"/>
      <c r="X65" s="17"/>
      <c r="Y65" s="1"/>
    </row>
    <row r="66" spans="1:25" ht="16.5" x14ac:dyDescent="0.45">
      <c r="B66" s="21">
        <f>V51</f>
        <v>336.62018436559265</v>
      </c>
      <c r="D66" s="4">
        <f>$V$29*R35+$V$30*S35+$V$31*T35+$V$32*U35</f>
        <v>40.5</v>
      </c>
      <c r="F66" t="s">
        <v>36</v>
      </c>
      <c r="G66">
        <f>SQRT(E51^2 + E45^2)</f>
        <v>156.828</v>
      </c>
      <c r="I66" t="s">
        <v>39</v>
      </c>
      <c r="J66" s="4">
        <f>(2/G68)*SQRT(J67*(J67-G66)*(J67-G67)*(J67-G68))</f>
        <v>15.552692603585507</v>
      </c>
      <c r="L66" s="4">
        <f>B66+(D66-B66)*$J$69</f>
        <v>180.88904115109938</v>
      </c>
      <c r="O66" s="10"/>
      <c r="P66" s="10"/>
      <c r="S66" s="48"/>
      <c r="T66" s="48"/>
      <c r="W66" s="44"/>
      <c r="X66" s="17"/>
      <c r="Y66" s="1"/>
    </row>
    <row r="67" spans="1:25" ht="16.5" x14ac:dyDescent="0.45">
      <c r="B67" s="21">
        <f>V52</f>
        <v>-2.8244665464171501E-15</v>
      </c>
      <c r="D67" s="4">
        <f>$V$29*R36+$V$30*S36+$V$31*T36+$V$32*U36</f>
        <v>0</v>
      </c>
      <c r="F67" t="s">
        <v>37</v>
      </c>
      <c r="G67">
        <f>E40</f>
        <v>141.53800000000001</v>
      </c>
      <c r="I67" t="s">
        <v>42</v>
      </c>
      <c r="J67" s="4">
        <f>0.5*(G66+G67+G68)</f>
        <v>297.55091199111831</v>
      </c>
      <c r="L67" s="4">
        <f>B67+(D67-B67)*$J$69</f>
        <v>-1.3390649173894494E-15</v>
      </c>
      <c r="O67" s="10"/>
      <c r="P67" s="10"/>
      <c r="S67" s="48"/>
      <c r="T67" s="48"/>
      <c r="W67" s="8"/>
    </row>
    <row r="68" spans="1:25" ht="16.5" x14ac:dyDescent="0.45">
      <c r="B68" s="21">
        <f>V53</f>
        <v>19.104597501762164</v>
      </c>
      <c r="D68" s="4">
        <v>0</v>
      </c>
      <c r="F68" t="s">
        <v>38</v>
      </c>
      <c r="G68" s="4">
        <f>SQRT((D66-B66)^2 + (D67-B67)^2 + (D68-B68)^2)</f>
        <v>296.73582398223664</v>
      </c>
      <c r="I68" t="s">
        <v>40</v>
      </c>
      <c r="J68" s="4">
        <f>SQRT(G66^2-J66^2)</f>
        <v>156.05491128695175</v>
      </c>
      <c r="L68" s="4">
        <f>B68+(D68-B68)*$J$69</f>
        <v>9.0573904328614212</v>
      </c>
      <c r="O68" s="10"/>
      <c r="P68" s="10"/>
      <c r="S68" s="48"/>
      <c r="T68" s="48"/>
      <c r="W68" s="8"/>
    </row>
    <row r="69" spans="1:25" x14ac:dyDescent="0.35">
      <c r="I69" t="s">
        <v>41</v>
      </c>
      <c r="J69" s="60">
        <f>J68/G68</f>
        <v>0.5259051947037362</v>
      </c>
      <c r="O69" s="10"/>
      <c r="P69" s="10"/>
      <c r="S69" s="42"/>
      <c r="T69" s="42"/>
      <c r="W69" s="8"/>
    </row>
    <row r="70" spans="1:25" ht="16.5" x14ac:dyDescent="0.45">
      <c r="A70" s="65" t="s">
        <v>60</v>
      </c>
      <c r="B70" s="20">
        <f>B27</f>
        <v>0</v>
      </c>
      <c r="C70" s="18">
        <f t="shared" ref="C70" si="7">RADIANS(B70)</f>
        <v>0</v>
      </c>
      <c r="E70" s="16">
        <f>ASIN(B68/(E40+E51))</f>
        <v>6.407458038747342E-2</v>
      </c>
      <c r="F70">
        <f>DEGREES(E70)</f>
        <v>3.6712030302739458</v>
      </c>
      <c r="J70" s="4"/>
      <c r="O70" s="10"/>
      <c r="P70" s="10"/>
      <c r="S70" s="42"/>
      <c r="T70" s="42"/>
      <c r="W70" s="8"/>
    </row>
    <row r="71" spans="1:25" x14ac:dyDescent="0.35">
      <c r="A71" s="57"/>
      <c r="B71" s="17"/>
      <c r="C71" s="18"/>
      <c r="O71" s="10"/>
      <c r="P71" s="10"/>
      <c r="S71" s="42"/>
      <c r="T71" s="42"/>
      <c r="W71" s="8"/>
    </row>
    <row r="72" spans="1:25" ht="16.5" x14ac:dyDescent="0.45">
      <c r="A72" s="20" t="s">
        <v>45</v>
      </c>
      <c r="C72" s="18"/>
      <c r="O72" s="10"/>
      <c r="P72" s="10"/>
      <c r="S72" s="42"/>
      <c r="T72" s="42"/>
      <c r="W72" s="8"/>
    </row>
    <row r="73" spans="1:25" x14ac:dyDescent="0.35">
      <c r="A73" s="57"/>
      <c r="C73" s="18"/>
      <c r="O73" s="10"/>
      <c r="P73" s="10"/>
      <c r="S73" s="42"/>
      <c r="T73" s="42"/>
      <c r="W73" s="8"/>
    </row>
    <row r="74" spans="1:25" x14ac:dyDescent="0.35">
      <c r="A74" s="57"/>
      <c r="B74" s="17"/>
      <c r="C74" s="18"/>
      <c r="F74" s="4"/>
      <c r="O74" s="10"/>
      <c r="P74" s="10"/>
      <c r="S74" s="42"/>
      <c r="T74" s="42"/>
      <c r="W74" s="8"/>
    </row>
    <row r="75" spans="1:25" x14ac:dyDescent="0.35">
      <c r="A75" s="57"/>
      <c r="B75" s="17"/>
      <c r="C75" s="18"/>
      <c r="F75" s="4">
        <f>L66-B66</f>
        <v>-155.73114321449327</v>
      </c>
      <c r="O75" s="10"/>
      <c r="P75" s="10"/>
      <c r="S75" s="42"/>
      <c r="T75" s="42"/>
      <c r="W75" s="8"/>
    </row>
    <row r="76" spans="1:25" x14ac:dyDescent="0.35">
      <c r="F76" s="4">
        <f>L67-B67</f>
        <v>1.4854016290277007E-15</v>
      </c>
      <c r="O76" s="10"/>
      <c r="P76" s="10"/>
      <c r="Q76" s="52"/>
      <c r="R76" s="42"/>
      <c r="S76" s="42"/>
      <c r="T76" s="42"/>
      <c r="U76" s="42"/>
      <c r="V76" s="15"/>
      <c r="W76" s="8"/>
    </row>
    <row r="77" spans="1:25" x14ac:dyDescent="0.35">
      <c r="F77" s="4">
        <f>L68-B68</f>
        <v>-10.047207068900743</v>
      </c>
      <c r="K77" s="4">
        <f>IF(SIGN(F75)&lt;&gt;SIGN(F76),SQRT(J66^2-K78^2),-SQRT(J66^2-K78^2))</f>
        <v>0</v>
      </c>
      <c r="O77" s="3">
        <f>K77*F75+K78*F76+K79*F77</f>
        <v>2.3101994929132985E-14</v>
      </c>
      <c r="P77" s="10" t="str">
        <f>IF(ABS(O77)&gt;0.1,"FALSE","OK")</f>
        <v>OK</v>
      </c>
      <c r="Q77" s="52"/>
      <c r="R77" s="42"/>
      <c r="S77" s="42"/>
      <c r="T77" s="42"/>
      <c r="U77" s="42"/>
      <c r="V77" s="15"/>
      <c r="W77" s="8"/>
    </row>
    <row r="78" spans="1:25" x14ac:dyDescent="0.35">
      <c r="A78" s="12"/>
      <c r="K78" s="4">
        <f>J66*SQRT(F75^2/(F76^2+F75^2))</f>
        <v>15.552692603585507</v>
      </c>
      <c r="O78" s="59">
        <f>SQRT(K77^2+K78^2+K79^2)</f>
        <v>15.552692603585507</v>
      </c>
      <c r="P78" s="10" t="str">
        <f>IF(ABS(O78-J66)&gt;0.1,"FALSE","OK")</f>
        <v>OK</v>
      </c>
      <c r="Q78" s="52"/>
    </row>
    <row r="79" spans="1:25" x14ac:dyDescent="0.35">
      <c r="A79" s="12"/>
      <c r="K79" s="4">
        <v>0</v>
      </c>
    </row>
    <row r="80" spans="1:25" x14ac:dyDescent="0.35">
      <c r="O80" s="10"/>
      <c r="P80" s="10"/>
      <c r="Q80" s="52"/>
      <c r="R80" s="42"/>
      <c r="S80" s="42"/>
      <c r="T80" s="42"/>
      <c r="U80" s="42"/>
      <c r="V80" s="15"/>
      <c r="W80" s="8"/>
    </row>
    <row r="81" spans="1:23" x14ac:dyDescent="0.35">
      <c r="O81" s="10"/>
      <c r="P81" s="10"/>
      <c r="Q81" s="52"/>
      <c r="R81" s="42"/>
      <c r="S81" s="42"/>
      <c r="T81" s="42"/>
      <c r="U81" s="42"/>
      <c r="V81" s="15"/>
      <c r="W81" s="8"/>
    </row>
    <row r="82" spans="1:23" x14ac:dyDescent="0.35">
      <c r="A82" s="12"/>
      <c r="Q82" s="52"/>
    </row>
    <row r="83" spans="1:23" x14ac:dyDescent="0.35">
      <c r="A83" s="12"/>
    </row>
    <row r="84" spans="1:23" x14ac:dyDescent="0.35">
      <c r="I84" s="4">
        <f>K78*F77-K79*F76</f>
        <v>-156.2611230671846</v>
      </c>
    </row>
    <row r="85" spans="1:23" x14ac:dyDescent="0.35">
      <c r="C85" s="7"/>
      <c r="D85" s="18"/>
      <c r="E85" s="17"/>
      <c r="F85" s="45"/>
      <c r="G85" s="18"/>
      <c r="H85" s="17"/>
      <c r="I85" s="4">
        <f>K79*F75-K77*F77</f>
        <v>0</v>
      </c>
    </row>
    <row r="86" spans="1:23" x14ac:dyDescent="0.35">
      <c r="C86" s="7"/>
      <c r="D86" s="18"/>
      <c r="E86" s="17"/>
      <c r="F86" s="45"/>
      <c r="G86" s="18"/>
      <c r="H86" s="17"/>
      <c r="I86" s="4">
        <f>K77*F76-K78*F75</f>
        <v>2422.0385992199649</v>
      </c>
    </row>
    <row r="87" spans="1:23" x14ac:dyDescent="0.35">
      <c r="C87" s="7"/>
      <c r="D87" s="18"/>
      <c r="E87" s="17"/>
      <c r="F87" s="45"/>
      <c r="G87" s="18"/>
      <c r="H87" s="17"/>
      <c r="P87" s="44"/>
    </row>
    <row r="88" spans="1:23" x14ac:dyDescent="0.35">
      <c r="B88" t="s">
        <v>59</v>
      </c>
      <c r="C88" s="7"/>
      <c r="D88">
        <v>1</v>
      </c>
      <c r="I88" s="59">
        <f>SIGN(D88)*I84/(SQRT(I84^2+I85^2+I86^2))*J66</f>
        <v>-1.001321405257497</v>
      </c>
      <c r="L88" s="4">
        <f>I88*F75+I89*F76+I90*F77</f>
        <v>0</v>
      </c>
      <c r="M88" s="10" t="str">
        <f>IF(ABS(L88)&gt;0.1,"FALSE","OK")</f>
        <v>OK</v>
      </c>
    </row>
    <row r="89" spans="1:23" x14ac:dyDescent="0.35">
      <c r="B89" s="9" t="s">
        <v>58</v>
      </c>
      <c r="C89" s="7"/>
      <c r="I89" s="59">
        <f>SIGN(D88)*I85/(SQRT(I84^2+I85^2+I86^2))*J66</f>
        <v>0</v>
      </c>
      <c r="L89" s="4">
        <f>SQRT(I88^2+I89^2+I90^2)</f>
        <v>15.552692603585506</v>
      </c>
      <c r="M89" s="10" t="str">
        <f>IF(ABS(L89-J66)&gt;0.1,"FALSE","OK")</f>
        <v>OK</v>
      </c>
      <c r="O89" s="7"/>
    </row>
    <row r="90" spans="1:23" x14ac:dyDescent="0.35">
      <c r="C90" s="7"/>
      <c r="D90" s="18"/>
      <c r="E90" s="17"/>
      <c r="F90" s="45"/>
      <c r="G90" s="18"/>
      <c r="H90" s="17"/>
      <c r="I90" s="59">
        <f>SIGN(D88)*I86/(SQRT(I84^2+I85^2+I86^2))*J66</f>
        <v>15.520425337760445</v>
      </c>
      <c r="L90" s="4">
        <f>K77*I88+K78*I89+K79*I90</f>
        <v>0</v>
      </c>
      <c r="M90" s="10" t="str">
        <f>IF(ABS(L90)&gt;0.1,"FALSE","OK")</f>
        <v>OK</v>
      </c>
    </row>
    <row r="91" spans="1:23" x14ac:dyDescent="0.35">
      <c r="C91" s="7"/>
      <c r="D91" s="18"/>
      <c r="E91" s="17"/>
      <c r="F91" s="45"/>
      <c r="G91" s="18"/>
      <c r="H91" s="17"/>
    </row>
    <row r="92" spans="1:23" x14ac:dyDescent="0.35">
      <c r="A92" s="12" t="s">
        <v>43</v>
      </c>
      <c r="C92" s="7"/>
      <c r="D92" s="18"/>
      <c r="E92" s="17"/>
      <c r="F92" s="45"/>
      <c r="G92" s="18"/>
      <c r="H92" s="17"/>
      <c r="P92" s="44"/>
    </row>
    <row r="93" spans="1:23" x14ac:dyDescent="0.35">
      <c r="C93" s="7"/>
    </row>
    <row r="94" spans="1:23" x14ac:dyDescent="0.35">
      <c r="C94" s="7"/>
      <c r="O94" s="7"/>
    </row>
    <row r="96" spans="1:23" x14ac:dyDescent="0.35">
      <c r="A96" t="s">
        <v>44</v>
      </c>
      <c r="B96" s="50"/>
      <c r="C96" s="50"/>
      <c r="D96" s="50"/>
      <c r="E96" s="46"/>
      <c r="F96" s="44"/>
      <c r="G96" s="7"/>
      <c r="H96" s="45"/>
      <c r="I96" s="18"/>
      <c r="J96" s="17"/>
      <c r="M96" s="50"/>
      <c r="N96" s="50"/>
      <c r="O96" s="50"/>
      <c r="P96" s="46"/>
      <c r="Q96" s="34"/>
      <c r="R96" s="34"/>
      <c r="S96" s="34"/>
      <c r="T96" s="34"/>
    </row>
    <row r="97" spans="1:20" x14ac:dyDescent="0.35">
      <c r="B97" s="50"/>
      <c r="C97" s="50"/>
      <c r="D97" s="50"/>
      <c r="E97" s="46"/>
      <c r="F97" s="44"/>
      <c r="G97" s="7"/>
      <c r="H97" s="45"/>
      <c r="I97" s="18"/>
      <c r="J97" s="17"/>
      <c r="M97" s="50"/>
      <c r="N97" s="50"/>
      <c r="O97" s="50"/>
      <c r="P97" s="46"/>
      <c r="Q97" s="34"/>
      <c r="R97" s="34"/>
      <c r="S97" s="34"/>
      <c r="T97" s="34"/>
    </row>
    <row r="98" spans="1:20" x14ac:dyDescent="0.35">
      <c r="B98" s="50"/>
      <c r="C98" s="50"/>
      <c r="D98" s="50"/>
      <c r="E98" s="46"/>
      <c r="F98" s="44"/>
      <c r="G98" s="7"/>
      <c r="H98" s="45"/>
      <c r="I98" s="18"/>
      <c r="J98" s="17"/>
      <c r="M98" s="50"/>
      <c r="N98" s="50"/>
      <c r="O98" s="50"/>
      <c r="P98" s="46"/>
      <c r="Q98" s="34"/>
      <c r="R98" s="34"/>
      <c r="S98" s="34"/>
      <c r="T98" s="34"/>
    </row>
    <row r="99" spans="1:20" x14ac:dyDescent="0.35">
      <c r="B99" s="46"/>
      <c r="C99" s="46"/>
      <c r="D99" s="46"/>
      <c r="E99" s="46"/>
      <c r="M99" s="46"/>
      <c r="N99" s="46"/>
      <c r="O99" s="46"/>
      <c r="P99" s="46"/>
      <c r="Q99" s="34"/>
      <c r="R99" s="34"/>
      <c r="S99" s="34"/>
      <c r="T99" s="34"/>
    </row>
    <row r="100" spans="1:20" x14ac:dyDescent="0.35">
      <c r="A100" s="12"/>
    </row>
    <row r="101" spans="1:20" ht="16.5" x14ac:dyDescent="0.45">
      <c r="A101" s="9"/>
      <c r="G101" s="9" t="s">
        <v>50</v>
      </c>
    </row>
    <row r="103" spans="1:20" x14ac:dyDescent="0.35">
      <c r="B103" s="13"/>
      <c r="I103" s="7"/>
      <c r="J103" s="7"/>
      <c r="K103" s="7"/>
      <c r="L103" s="7"/>
    </row>
    <row r="104" spans="1:20" x14ac:dyDescent="0.35">
      <c r="A104" s="61" t="s">
        <v>61</v>
      </c>
      <c r="I104" s="7"/>
      <c r="J104" s="7"/>
      <c r="K104" s="7"/>
      <c r="L104" s="7"/>
    </row>
    <row r="105" spans="1:20" x14ac:dyDescent="0.35">
      <c r="I105" s="7"/>
      <c r="J105" s="7"/>
      <c r="K105" s="7"/>
      <c r="L105" s="7"/>
    </row>
    <row r="106" spans="1:20" x14ac:dyDescent="0.35">
      <c r="I106" s="7"/>
      <c r="J106" s="7"/>
      <c r="K106" s="7"/>
      <c r="L106" s="7"/>
    </row>
    <row r="108" spans="1:20" x14ac:dyDescent="0.35">
      <c r="B108" s="14"/>
      <c r="C108" s="5"/>
    </row>
    <row r="109" spans="1:20" x14ac:dyDescent="0.35">
      <c r="A109" s="61" t="s">
        <v>62</v>
      </c>
    </row>
    <row r="110" spans="1:20" x14ac:dyDescent="0.35">
      <c r="A110" s="5"/>
      <c r="B110" s="8"/>
      <c r="C110" s="8"/>
      <c r="D110" s="8"/>
      <c r="E110" s="8"/>
    </row>
    <row r="111" spans="1:20" x14ac:dyDescent="0.35">
      <c r="B111" s="8"/>
      <c r="C111" s="8"/>
      <c r="D111" s="8"/>
      <c r="E111" s="8"/>
    </row>
    <row r="112" spans="1:20" x14ac:dyDescent="0.35">
      <c r="B112" s="8"/>
      <c r="C112" s="8"/>
      <c r="D112" s="8"/>
      <c r="E112" s="8"/>
    </row>
    <row r="113" spans="1:9" x14ac:dyDescent="0.35">
      <c r="B113" s="8"/>
      <c r="C113" s="8"/>
      <c r="D113" s="8"/>
      <c r="E113" s="8"/>
    </row>
    <row r="114" spans="1:9" x14ac:dyDescent="0.35">
      <c r="B114" s="8"/>
      <c r="C114" s="8"/>
      <c r="D114" s="8"/>
      <c r="E114" s="8"/>
    </row>
    <row r="115" spans="1:9" x14ac:dyDescent="0.35">
      <c r="A115" s="61" t="s">
        <v>49</v>
      </c>
      <c r="B115" s="8"/>
      <c r="C115" s="8"/>
      <c r="D115" s="8"/>
      <c r="E115" s="8"/>
    </row>
    <row r="117" spans="1:9" x14ac:dyDescent="0.35">
      <c r="A117" s="9"/>
    </row>
    <row r="118" spans="1:9" x14ac:dyDescent="0.35">
      <c r="B118" s="34"/>
      <c r="E118" s="5"/>
      <c r="H118" s="44">
        <f>IF(C123&lt;0,PI() + ASIN(C128/C126)-ATAN(C124/C123),ASIN(C128/C126)-ATAN(C124/C123))</f>
        <v>3.1415926535897931</v>
      </c>
      <c r="I118" s="20"/>
    </row>
    <row r="119" spans="1:9" x14ac:dyDescent="0.35">
      <c r="B119" s="31"/>
      <c r="H119" s="18"/>
      <c r="I119" s="20"/>
    </row>
    <row r="120" spans="1:9" x14ac:dyDescent="0.35">
      <c r="B120" s="31"/>
      <c r="G120" s="18"/>
      <c r="H120" s="44" t="e">
        <f>IF(C124&lt;0,PI() + ACOS(C128/C126)+ATAN(C123/C124),ACOS(C128/C126)+ATAN(C123/C124))</f>
        <v>#DIV/0!</v>
      </c>
      <c r="I120" s="12"/>
    </row>
    <row r="121" spans="1:9" x14ac:dyDescent="0.35">
      <c r="G121" s="18"/>
      <c r="H121" s="18">
        <f>ASIN(C128/C123)</f>
        <v>8.6098590869129786E-17</v>
      </c>
      <c r="I121" s="12"/>
    </row>
    <row r="123" spans="1:9" x14ac:dyDescent="0.35">
      <c r="A123" s="9"/>
      <c r="B123" s="59"/>
      <c r="C123" s="59">
        <f>(SIN(C70)*K77-COS(C70)*K78)</f>
        <v>-15.552692603585507</v>
      </c>
    </row>
    <row r="124" spans="1:9" x14ac:dyDescent="0.35">
      <c r="A124" s="9"/>
      <c r="B124" s="59"/>
      <c r="C124" s="59">
        <f>(SIN(C70)*I88-COS(C70)*I89)</f>
        <v>0</v>
      </c>
    </row>
    <row r="126" spans="1:9" x14ac:dyDescent="0.35">
      <c r="A126" s="9"/>
      <c r="C126" s="59">
        <f>SQRT(C123*C123 + C124*C124)</f>
        <v>15.552692603585507</v>
      </c>
    </row>
    <row r="128" spans="1:9" x14ac:dyDescent="0.35">
      <c r="C128" s="59">
        <f>(COS(C70)*L67-SIN(C70)*L66)</f>
        <v>-1.3390649173894494E-15</v>
      </c>
    </row>
    <row r="130" spans="1:12" x14ac:dyDescent="0.35">
      <c r="A130" s="9" t="s">
        <v>63</v>
      </c>
    </row>
    <row r="131" spans="1:12" x14ac:dyDescent="0.35">
      <c r="B131" s="18">
        <f>IF(C124 = 0,H121,H118)</f>
        <v>8.6098590869129786E-17</v>
      </c>
      <c r="C131" s="29">
        <f>DEGREES(B131)</f>
        <v>4.933085878824743E-15</v>
      </c>
      <c r="G131" s="59">
        <f>C123*SIN(B131)+C124*COS(B131)</f>
        <v>-1.3390649173894494E-15</v>
      </c>
      <c r="J131" s="18">
        <f>IF(ABS(G131-C128)&lt; 0.001,B131,ERROR)</f>
        <v>8.6098590869129786E-17</v>
      </c>
      <c r="K131" s="29">
        <f>DEGREES(J131)</f>
        <v>4.933085878824743E-15</v>
      </c>
    </row>
    <row r="132" spans="1:12" x14ac:dyDescent="0.35">
      <c r="B132" s="18">
        <f>IF(C124 = 0,H121,H120)</f>
        <v>8.6098590869129786E-17</v>
      </c>
      <c r="C132" s="29">
        <f>DEGREES(B132)</f>
        <v>4.933085878824743E-15</v>
      </c>
      <c r="G132" s="59">
        <f>C123*SIN(B132)+C124*COS(B132)</f>
        <v>-1.3390649173894494E-15</v>
      </c>
      <c r="J132" s="18">
        <f>IF(ABS(G132-C128)&lt; 0.001,B132,ERROR)</f>
        <v>8.6098590869129786E-17</v>
      </c>
      <c r="K132" s="29">
        <f>DEGREES(J132)</f>
        <v>4.933085878824743E-15</v>
      </c>
    </row>
    <row r="133" spans="1:12" x14ac:dyDescent="0.35">
      <c r="B133" s="18"/>
      <c r="C133" s="29"/>
      <c r="G133" s="59"/>
      <c r="L133" s="4"/>
    </row>
    <row r="134" spans="1:12" x14ac:dyDescent="0.35">
      <c r="B134" s="18"/>
      <c r="C134" s="29"/>
      <c r="G134" s="59"/>
      <c r="L134" s="4"/>
    </row>
    <row r="135" spans="1:12" x14ac:dyDescent="0.35">
      <c r="B135" s="18"/>
      <c r="C135" s="29"/>
      <c r="H135" s="18">
        <f>4.65</f>
        <v>4.6500000000000004</v>
      </c>
      <c r="L135" s="4"/>
    </row>
    <row r="136" spans="1:12" x14ac:dyDescent="0.35">
      <c r="E136" s="59">
        <f>L66 + K77*SIN(J132) + I88*COS(J132)</f>
        <v>179.88771974584188</v>
      </c>
      <c r="F136" s="59">
        <f>L66 + K77*SIN(J131) + I88*COS(J131)</f>
        <v>179.88771974584188</v>
      </c>
      <c r="H136" s="59">
        <f>L66 + K77*SIN(H135) + I88*COS(H135)</f>
        <v>180.95147205336136</v>
      </c>
    </row>
    <row r="137" spans="1:12" x14ac:dyDescent="0.35">
      <c r="E137" s="59">
        <f>L67 + K78*SIN(J132) + I89*COS(J132)</f>
        <v>0</v>
      </c>
      <c r="F137" s="59">
        <f>L67 + K78*SIN(J131) + I89*COS(J131)</f>
        <v>0</v>
      </c>
      <c r="H137" s="59">
        <f>L67 + K78*SIN(H135) + I89*COS(H135)</f>
        <v>-15.522433887660911</v>
      </c>
    </row>
    <row r="138" spans="1:12" x14ac:dyDescent="0.35">
      <c r="E138" s="59">
        <f>L68 + K79*SIN(J132) + I90*COS(J132)</f>
        <v>24.577815770621868</v>
      </c>
      <c r="F138" s="59">
        <f>L68 + K79*SIN(J131) + I90*COS(J131)</f>
        <v>24.577815770621868</v>
      </c>
      <c r="H138" s="59">
        <f>L68 + K79*SIN(H135) + I90*COS(H135)</f>
        <v>8.0897149669833404</v>
      </c>
    </row>
    <row r="141" spans="1:12" ht="20.5" x14ac:dyDescent="0.55000000000000004">
      <c r="A141" s="68" t="s">
        <v>64</v>
      </c>
    </row>
    <row r="144" spans="1:12" x14ac:dyDescent="0.35">
      <c r="E144" s="18"/>
      <c r="F144" s="29"/>
    </row>
    <row r="145" spans="1:22" ht="16.5" x14ac:dyDescent="0.45">
      <c r="D145" s="62" t="s">
        <v>56</v>
      </c>
      <c r="E145" s="18">
        <f>ASIN(E138/E40)</f>
        <v>0.17453292519943209</v>
      </c>
      <c r="F145" s="29">
        <f>DEGREES(E145)</f>
        <v>9.9999999999999503</v>
      </c>
      <c r="H145" s="63" t="s">
        <v>57</v>
      </c>
      <c r="I145" s="117">
        <f>E145</f>
        <v>0.17453292519943209</v>
      </c>
      <c r="J145" s="64">
        <f>DEGREES(I145)</f>
        <v>9.9999999999999503</v>
      </c>
    </row>
    <row r="146" spans="1:22" x14ac:dyDescent="0.35">
      <c r="E146" s="18">
        <f>ASIN(F138/E40)</f>
        <v>0.17453292519943209</v>
      </c>
      <c r="F146" s="29">
        <f>DEGREES(E146)</f>
        <v>9.9999999999999503</v>
      </c>
      <c r="I146" s="117">
        <f>E146</f>
        <v>0.17453292519943209</v>
      </c>
      <c r="J146" s="64">
        <f>DEGREES(I146)</f>
        <v>9.9999999999999503</v>
      </c>
    </row>
    <row r="147" spans="1:22" x14ac:dyDescent="0.35">
      <c r="A147" s="12"/>
      <c r="E147" s="18"/>
      <c r="F147" s="29"/>
    </row>
    <row r="148" spans="1:22" ht="20" x14ac:dyDescent="0.5">
      <c r="A148" s="68" t="s">
        <v>117</v>
      </c>
      <c r="E148" s="16"/>
      <c r="M148" s="44"/>
      <c r="N148" s="17"/>
    </row>
    <row r="150" spans="1:22" x14ac:dyDescent="0.35">
      <c r="B150" s="9" t="s">
        <v>113</v>
      </c>
      <c r="E150" s="4"/>
      <c r="I150" s="16"/>
      <c r="J150" s="16"/>
      <c r="M150" s="51"/>
      <c r="N150" s="19"/>
    </row>
    <row r="151" spans="1:22" x14ac:dyDescent="0.35">
      <c r="C151" s="59"/>
      <c r="E151" s="4"/>
      <c r="K151" s="53"/>
      <c r="L151" s="18"/>
      <c r="P151" s="2"/>
      <c r="Q151" s="2"/>
      <c r="R151" s="35"/>
      <c r="S151" s="2"/>
      <c r="T151" s="2"/>
      <c r="U151" s="36"/>
      <c r="V151" s="35"/>
    </row>
    <row r="152" spans="1:22" ht="16.5" x14ac:dyDescent="0.45">
      <c r="B152" t="s">
        <v>114</v>
      </c>
      <c r="C152" s="59">
        <f>SQRT((G153-B153)*(G153-B153)+(G154-B154)*(G154-B154)+(G155-B155)*(G155-B155))</f>
        <v>296.73582398223664</v>
      </c>
      <c r="E152" t="s">
        <v>115</v>
      </c>
      <c r="F152">
        <f>E40</f>
        <v>141.53800000000001</v>
      </c>
      <c r="H152" t="s">
        <v>116</v>
      </c>
      <c r="I152">
        <f>E51</f>
        <v>156.828</v>
      </c>
      <c r="K152" s="62" t="s">
        <v>66</v>
      </c>
      <c r="L152" s="18">
        <f>PI()-ACOS( ( -C152*C152 + F152*F152 +I152*I152) / (2*F152*I152) )</f>
        <v>0.20943951023932161</v>
      </c>
      <c r="M152" s="29">
        <f>DEGREES(L152)</f>
        <v>12.000000000000119</v>
      </c>
      <c r="O152" s="5"/>
      <c r="P152" s="18"/>
      <c r="Q152" s="29"/>
      <c r="R152" s="35"/>
      <c r="S152" s="2"/>
      <c r="T152" s="2"/>
      <c r="U152" s="2"/>
      <c r="V152" s="2"/>
    </row>
    <row r="153" spans="1:22" x14ac:dyDescent="0.35">
      <c r="B153" s="71">
        <f>B66</f>
        <v>336.62018436559265</v>
      </c>
      <c r="D153" s="4">
        <f>E136</f>
        <v>179.88771974584188</v>
      </c>
      <c r="E153" s="7"/>
      <c r="G153" s="4">
        <f>D66</f>
        <v>40.5</v>
      </c>
      <c r="J153" s="4"/>
      <c r="K153" s="53"/>
      <c r="L153" s="18">
        <f>-PI()+ACOS( ( -C152*C152 + F152*F152 +I152*I152) / (2*F152*I152) )</f>
        <v>-0.20943951023932161</v>
      </c>
      <c r="M153" s="29">
        <f>DEGREES(L153)</f>
        <v>-12.000000000000119</v>
      </c>
      <c r="O153" s="2"/>
      <c r="P153" s="18"/>
      <c r="Q153" s="29"/>
      <c r="R153" s="2"/>
      <c r="S153" s="2"/>
      <c r="T153" s="2"/>
      <c r="U153" s="2"/>
      <c r="V153" s="2"/>
    </row>
    <row r="154" spans="1:22" x14ac:dyDescent="0.35">
      <c r="B154" s="71">
        <f>B67</f>
        <v>-2.8244665464171501E-15</v>
      </c>
      <c r="D154" s="4">
        <f>E137</f>
        <v>0</v>
      </c>
      <c r="E154" s="7"/>
      <c r="G154" s="4">
        <f>D67</f>
        <v>0</v>
      </c>
      <c r="J154" s="4"/>
      <c r="K154" s="53"/>
      <c r="L154" s="18"/>
      <c r="M154" s="29"/>
      <c r="P154" s="2"/>
      <c r="Q154" s="2"/>
      <c r="R154" s="35"/>
      <c r="S154" s="2"/>
      <c r="T154" s="2"/>
      <c r="U154" s="36"/>
      <c r="V154" s="35"/>
    </row>
    <row r="155" spans="1:22" x14ac:dyDescent="0.35">
      <c r="B155" s="71">
        <f>B68</f>
        <v>19.104597501762164</v>
      </c>
      <c r="D155" s="4">
        <f>E138</f>
        <v>24.577815770621868</v>
      </c>
      <c r="E155" s="7"/>
      <c r="G155" s="4">
        <f>D68</f>
        <v>0</v>
      </c>
      <c r="J155" s="4"/>
      <c r="K155" s="53"/>
      <c r="L155" s="4"/>
      <c r="P155" s="2"/>
      <c r="Q155" s="2"/>
      <c r="R155" s="35"/>
      <c r="S155" s="2"/>
      <c r="T155" s="2"/>
      <c r="U155" s="2"/>
      <c r="V155" s="2"/>
    </row>
    <row r="156" spans="1:22" x14ac:dyDescent="0.35">
      <c r="G156" s="1"/>
      <c r="J156" s="60"/>
      <c r="K156" s="53"/>
      <c r="N156" s="2"/>
      <c r="O156" s="2"/>
      <c r="P156" s="2"/>
      <c r="Q156" s="2"/>
      <c r="R156" s="2"/>
      <c r="S156" s="2"/>
      <c r="T156" s="2"/>
      <c r="U156" s="2"/>
      <c r="V156" s="2"/>
    </row>
    <row r="159" spans="1:22" ht="20.5" x14ac:dyDescent="0.55000000000000004">
      <c r="A159" s="68" t="s">
        <v>119</v>
      </c>
    </row>
    <row r="161" spans="2:15" ht="16.5" x14ac:dyDescent="0.45">
      <c r="B161" s="61" t="s">
        <v>120</v>
      </c>
      <c r="G161" s="30">
        <f>(B155 - E40*SIN(I145) - SIN(I145)*E51*COS(L153)) / (-COS(I145)*E51*SIN(L153))</f>
        <v>-0.9999999999999819</v>
      </c>
      <c r="H161" s="59"/>
    </row>
    <row r="168" spans="2:15" ht="16.5" x14ac:dyDescent="0.45">
      <c r="E168" s="5" t="s">
        <v>122</v>
      </c>
      <c r="G168" t="s">
        <v>123</v>
      </c>
      <c r="H168" t="s">
        <v>128</v>
      </c>
      <c r="J168" t="s">
        <v>127</v>
      </c>
      <c r="K168" s="62" t="s">
        <v>66</v>
      </c>
    </row>
    <row r="169" spans="2:15" ht="16.5" x14ac:dyDescent="0.45">
      <c r="B169" t="s">
        <v>121</v>
      </c>
      <c r="C169" s="18">
        <f>PI() -ASIN((B155 - E40*SIN(I145) - SIN(I145)*E51*COS(L152)) / (-COS(I145)*E51*SIN(L152)))</f>
        <v>1.5707965170401872</v>
      </c>
      <c r="D169" s="29">
        <f>DEGREES(C169)</f>
        <v>90.000010900252221</v>
      </c>
      <c r="E169" s="18">
        <f>C169-PI()/2</f>
        <v>1.9024529063216278E-7</v>
      </c>
      <c r="F169" s="29">
        <f>DEGREES(E169)</f>
        <v>1.0900252225462664E-5</v>
      </c>
      <c r="G169" s="5">
        <f>SIN(C70)*COS(I145)*E51*COS(L152) + ( - COS(C70)*COS(C169) + SIN(C70)*SIN(I145)*SIN(C169) ) * E51 *SIN(L152) + SIN(C70)*E40*COS(I145) + E35*SIN(C70)</f>
        <v>6.2032092192903161E-6</v>
      </c>
      <c r="H169">
        <f>COS(I145)*COS(C70)*E51*COS(L152) + (SIN(C70)*COS(C169) + COS(C70)*SIN(I145)*SIN(C169))*E51*SIN(L152)  +  COS(C70)*E40*COS(I145) + E35*COS(C70)</f>
        <v>336.62018436559254</v>
      </c>
      <c r="I169" s="18">
        <f>IF(AND(ABS(G169-B$154)&lt;0.1,ABS(C169)&lt;PI()),C169,0)</f>
        <v>1.5707965170401872</v>
      </c>
      <c r="J169" s="29">
        <f>DEGREES(I169)</f>
        <v>90.000010900252221</v>
      </c>
      <c r="K169" s="17">
        <f>IF(AND(ABS(G169-B$154)&lt;0.1,ABS(C169)&lt;PI()),M152,0)</f>
        <v>12.000000000000119</v>
      </c>
      <c r="N169" s="18"/>
      <c r="O169" s="29"/>
    </row>
    <row r="170" spans="2:15" ht="16.5" x14ac:dyDescent="0.45">
      <c r="B170" t="s">
        <v>124</v>
      </c>
      <c r="C170" s="18">
        <f>PI() -ASIN((B155 - E40*SIN(I145) - SIN(I145)*E51*COS(L153)) / (-COS(I145)*E51*SIN(L153)))</f>
        <v>4.7123887895567167</v>
      </c>
      <c r="D170" s="29">
        <f>DEGREES(C170)</f>
        <v>269.99998906636256</v>
      </c>
      <c r="E170" s="18">
        <f>C170-PI()/2</f>
        <v>3.1415924627618201</v>
      </c>
      <c r="F170" s="29">
        <f>DEGREES(E170)</f>
        <v>179.99998906636253</v>
      </c>
      <c r="G170" s="5">
        <f>SIN(C70)*COS(I145)*E51*COS(L153) + ( - COS(C70)*COS(C170) + SIN(C70)*SIN(I145)*SIN(C170) ) * E51 *SIN(L153) + SIN(C70)*E40*COS(I145) + E35*SIN(C70)</f>
        <v>-6.2222083861806815E-6</v>
      </c>
      <c r="H170">
        <f>COS(I145)*COS(C70)*E51*COS(L153) + (SIN(C70)*COS(C170) + COS(C70)*SIN(I145)*SIN(C170))*E51*SIN(L153)  +  COS(C70)*E40*COS(I145) + E35*COS(C70)</f>
        <v>336.62018436559254</v>
      </c>
      <c r="I170" s="18">
        <f>IF(AND(ABS(G170-B$154)&lt;0.1,ABS(C170)&lt;PI()),C170,0)</f>
        <v>0</v>
      </c>
      <c r="J170" s="29">
        <f>DEGREES(I170)</f>
        <v>0</v>
      </c>
      <c r="K170" s="17">
        <f>IF(AND(ABS(G170-B$154)&lt;0.1,ABS(C170)&lt;PI()),M153,0)</f>
        <v>0</v>
      </c>
      <c r="N170" s="18"/>
      <c r="O170" s="29"/>
    </row>
    <row r="171" spans="2:15" ht="16.5" x14ac:dyDescent="0.45">
      <c r="B171" t="s">
        <v>125</v>
      </c>
      <c r="C171" s="18">
        <f xml:space="preserve"> -ASIN( (B155 - E40*SIN(I145) - SIN(I145)*E51*COS(L152)) / (-COS(I145)*E51*SIN(L152)))</f>
        <v>-1.5707961365496059</v>
      </c>
      <c r="D171" s="29">
        <f>DEGREES(C171)</f>
        <v>-89.999989099747779</v>
      </c>
      <c r="E171" s="18">
        <f>C171-PI()/2</f>
        <v>-3.1415924633445025</v>
      </c>
      <c r="F171" s="29">
        <f>DEGREES(E171)</f>
        <v>-179.99998909974778</v>
      </c>
      <c r="G171">
        <f>SIN(C70)*COS(I145)*E51*COS(L152) + ( - COS(C70)*COS(C171) + SIN(C70)*SIN(I145)*SIN(C171) ) * E51 *SIN(L152) + SIN(C70)*E40*COS(I145) + E35*SIN(C70)</f>
        <v>-6.2032092232850811E-6</v>
      </c>
      <c r="H171">
        <f>COS(I145)*COS(C70)*E51*COS(L152) + (SIN(C70)*COS(C171) + COS(C70)*SIN(I145)*SIN(C171))*E51*SIN(L152)  +  COS(C70)*E40*COS(I145) + E35*COS(C70)</f>
        <v>325.29610928984209</v>
      </c>
      <c r="I171" s="18">
        <f>IF(AND(ABS(G171-B$154)&lt;0.1,ABS(C171)&lt;PI()),C171,0)</f>
        <v>-1.5707961365496059</v>
      </c>
      <c r="J171" s="29">
        <f>DEGREES(I171)</f>
        <v>-89.999989099747779</v>
      </c>
      <c r="K171" s="17">
        <f>IF(AND(ABS(G171-B$154)&lt;0.1,ABS(C171)&lt;PI()),M152,0)</f>
        <v>12.000000000000119</v>
      </c>
      <c r="O171" s="29"/>
    </row>
    <row r="172" spans="2:15" ht="16.5" x14ac:dyDescent="0.45">
      <c r="B172" t="s">
        <v>126</v>
      </c>
      <c r="C172" s="18">
        <f xml:space="preserve"> ASIN( (B155 - E40*SIN(I145) - SIN(I145)*E51*COS(L152)) / (-COS(I145)*E51*SIN(L152)))</f>
        <v>1.5707961365496059</v>
      </c>
      <c r="D172" s="29">
        <f>DEGREES(C172)</f>
        <v>89.999989099747779</v>
      </c>
      <c r="E172" s="18">
        <f>C172-PI()/2</f>
        <v>-1.9024529063216278E-7</v>
      </c>
      <c r="F172" s="29">
        <f>DEGREES(E172)</f>
        <v>-1.0900252225462664E-5</v>
      </c>
      <c r="G172">
        <f>SIN(C70)*COS(I145)*E51*COS(L152) + ( - COS(C70)*COS(C172) + SIN(C70)*SIN(I145)*SIN(C172) ) * E51 *SIN(L152) + SIN(C70)*E40*COS(I145) + E35*SIN(C70)</f>
        <v>-6.2032092232850811E-6</v>
      </c>
      <c r="H172">
        <f>COS(I145)*COS(C70)*E51*COS(L152) + (SIN(C70)*COS(C172) + COS(C70)*SIN(I145)*SIN(C172))*E51*SIN(L152)  +  COS(C70)*E40*COS(I145) + E35*COS(C70)</f>
        <v>336.62018436559254</v>
      </c>
      <c r="I172" s="18">
        <f>IF(AND(ABS(G172-B$154)&lt;0.1,ABS(C172)&lt;PI()),C172,0)</f>
        <v>1.5707961365496059</v>
      </c>
      <c r="J172" s="29">
        <f>DEGREES(I172)</f>
        <v>89.999989099747779</v>
      </c>
      <c r="K172" s="17">
        <f>IF(AND(ABS(G172-B$154)&lt;0.1,ABS(C172)&lt;PI()),M152,0)</f>
        <v>12.000000000000119</v>
      </c>
    </row>
    <row r="173" spans="2:15" x14ac:dyDescent="0.35">
      <c r="C173" s="59"/>
      <c r="J173" s="17">
        <f>SUM(J169:J172)-90</f>
        <v>1.0900252220835682E-5</v>
      </c>
      <c r="K173" s="17">
        <f>SUM(K169:K172)</f>
        <v>36.000000000000355</v>
      </c>
    </row>
    <row r="174" spans="2:15" x14ac:dyDescent="0.35">
      <c r="H174">
        <f>COS(H35)*COS(H40)*E51*COS(H51)+(SIN(H35)*COS(D45)+COS(H35)*SIN(H40)*SIN(D45))*E51*SIN(H51)+E40*COS(H35)*COS(H40)+E35*COS(H35)</f>
        <v>336.62018436559265</v>
      </c>
    </row>
    <row r="175" spans="2:15" x14ac:dyDescent="0.35">
      <c r="H175">
        <f>COS(I145)*COS(C172)*E51*COS(L152) + (SIN(C70)*COS(C172) + COS(C70)*SIN(I145)*SIN(C172))*E51*SIN(L152)  +  COS(C70)*E40*COS(I145) + E35*COS(C70)</f>
        <v>185.54978602415449</v>
      </c>
    </row>
    <row r="176" spans="2:15" x14ac:dyDescent="0.35">
      <c r="H176">
        <f>COS(I145)</f>
        <v>0.98480775301220824</v>
      </c>
      <c r="I176">
        <f>COS(I145)</f>
        <v>0.98480775301220824</v>
      </c>
      <c r="J176" s="31">
        <f>COS(C70)</f>
        <v>1</v>
      </c>
      <c r="K176">
        <f>E51</f>
        <v>156.828</v>
      </c>
      <c r="L176">
        <f>COS(L152)</f>
        <v>0.97814760073380524</v>
      </c>
    </row>
    <row r="177" spans="2:24" x14ac:dyDescent="0.35">
      <c r="M177" s="72">
        <f>SIN(C73)</f>
        <v>0</v>
      </c>
      <c r="N177" s="72">
        <f>COS(C172)</f>
        <v>1.9024529069341906E-7</v>
      </c>
      <c r="O177" s="34">
        <f>COS(C73)</f>
        <v>1</v>
      </c>
      <c r="P177">
        <f>SIN(I145)</f>
        <v>0.1736481776669295</v>
      </c>
      <c r="Q177">
        <f>SIN(C172)</f>
        <v>0.9999999999999819</v>
      </c>
      <c r="R177">
        <f>E51</f>
        <v>156.828</v>
      </c>
      <c r="S177">
        <f>SIN(L152)</f>
        <v>0.20791169081776137</v>
      </c>
    </row>
    <row r="178" spans="2:24" x14ac:dyDescent="0.35">
      <c r="T178">
        <f xml:space="preserve">  COS(C73)</f>
        <v>1</v>
      </c>
      <c r="U178" s="4">
        <f xml:space="preserve">  E40</f>
        <v>141.53800000000001</v>
      </c>
      <c r="V178">
        <f xml:space="preserve">  COS(I145)</f>
        <v>0.98480775301220824</v>
      </c>
      <c r="W178">
        <f xml:space="preserve">  E35</f>
        <v>40.5</v>
      </c>
      <c r="X178">
        <f>COS(C70)</f>
        <v>1</v>
      </c>
    </row>
    <row r="180" spans="2:24" x14ac:dyDescent="0.35">
      <c r="H180">
        <f>COS(H35)*COS(H40)*E51*COS(H51)+(SIN(H35)*COS(D45)+COS(H35)*SIN(H40)*SIN(D45))*E51*SIN(H51)+E40*COS(H35)*COS(H40)+E35*COS(H35)</f>
        <v>336.62018436559265</v>
      </c>
    </row>
    <row r="181" spans="2:24" x14ac:dyDescent="0.35">
      <c r="H181">
        <f>COS(H35)*COS(H40)*E51*COS(H51)</f>
        <v>151.07042708187544</v>
      </c>
      <c r="I181" s="72">
        <f>COS(H35)</f>
        <v>1</v>
      </c>
    </row>
    <row r="182" spans="2:24" x14ac:dyDescent="0.35">
      <c r="B182" s="70"/>
      <c r="E182" s="67"/>
      <c r="H182">
        <f>COS(I145)*COS(C172)*E51*COS(L152)</f>
        <v>2.8740437315370354E-5</v>
      </c>
      <c r="I182">
        <f>COS(I145)</f>
        <v>0.98480775301220824</v>
      </c>
      <c r="J182" s="9"/>
    </row>
    <row r="183" spans="2:24" x14ac:dyDescent="0.35">
      <c r="B183" s="70"/>
      <c r="E183" s="67"/>
      <c r="J183" s="9"/>
    </row>
    <row r="184" spans="2:24" x14ac:dyDescent="0.35">
      <c r="E184" s="3"/>
      <c r="H184" s="3"/>
      <c r="L184" s="3"/>
    </row>
    <row r="185" spans="2:24" x14ac:dyDescent="0.35">
      <c r="L185" s="71"/>
    </row>
    <row r="186" spans="2:24" x14ac:dyDescent="0.35">
      <c r="J186" s="9"/>
      <c r="K186" s="59"/>
      <c r="M186" s="51"/>
      <c r="N186" s="66"/>
      <c r="O186" s="18"/>
    </row>
    <row r="187" spans="2:24" x14ac:dyDescent="0.35">
      <c r="M187" s="115"/>
      <c r="N187" s="66"/>
    </row>
    <row r="189" spans="2:24" x14ac:dyDescent="0.35">
      <c r="B189" s="62"/>
      <c r="C189" s="73"/>
      <c r="D189" s="35"/>
    </row>
    <row r="190" spans="2:24" x14ac:dyDescent="0.35">
      <c r="C190" s="72"/>
      <c r="D190" s="21"/>
    </row>
    <row r="193" spans="2:7" x14ac:dyDescent="0.35">
      <c r="B193" s="67"/>
      <c r="E193" s="67"/>
      <c r="G193" s="67"/>
    </row>
    <row r="194" spans="2:7" x14ac:dyDescent="0.35">
      <c r="B194" s="67"/>
      <c r="E194" s="67"/>
      <c r="G194" s="67"/>
    </row>
    <row r="197" spans="2:7" x14ac:dyDescent="0.35">
      <c r="B197" s="62"/>
      <c r="C197" s="67"/>
      <c r="D197" s="35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K74"/>
  <sheetViews>
    <sheetView topLeftCell="A34" zoomScale="70" zoomScaleNormal="70" workbookViewId="0">
      <selection activeCell="J46" sqref="J46"/>
    </sheetView>
  </sheetViews>
  <sheetFormatPr baseColWidth="10" defaultRowHeight="14.5" x14ac:dyDescent="0.35"/>
  <cols>
    <col min="14" max="16" width="11.81640625" bestFit="1" customWidth="1"/>
    <col min="17" max="17" width="13.453125" bestFit="1" customWidth="1"/>
    <col min="20" max="22" width="11.6328125" bestFit="1" customWidth="1"/>
    <col min="23" max="23" width="12.08984375" bestFit="1" customWidth="1"/>
  </cols>
  <sheetData>
    <row r="10" spans="20:32" x14ac:dyDescent="0.35">
      <c r="T10" t="s">
        <v>70</v>
      </c>
      <c r="U10" t="s">
        <v>71</v>
      </c>
      <c r="V10" t="s">
        <v>72</v>
      </c>
      <c r="W10" t="s">
        <v>73</v>
      </c>
      <c r="X10" t="s">
        <v>77</v>
      </c>
      <c r="Y10" t="s">
        <v>76</v>
      </c>
      <c r="Z10" t="s">
        <v>75</v>
      </c>
      <c r="AA10" t="s">
        <v>71</v>
      </c>
    </row>
    <row r="11" spans="20:32" x14ac:dyDescent="0.35">
      <c r="T11" t="s">
        <v>29</v>
      </c>
      <c r="U11" s="21">
        <f>R46</f>
        <v>-86.602540378443877</v>
      </c>
      <c r="V11" s="21">
        <f>R51</f>
        <v>4.90059381963448E-15</v>
      </c>
      <c r="W11" s="21">
        <f>R56</f>
        <v>86.602540378443877</v>
      </c>
      <c r="X11" s="21">
        <f>R71</f>
        <v>86.602540378443877</v>
      </c>
      <c r="Y11" s="21">
        <f>R66</f>
        <v>4.90059381963448E-15</v>
      </c>
      <c r="Z11" s="21">
        <f>R61</f>
        <v>-86.602540378443877</v>
      </c>
      <c r="AA11">
        <f>U11</f>
        <v>-86.602540378443877</v>
      </c>
    </row>
    <row r="12" spans="20:32" x14ac:dyDescent="0.35">
      <c r="T12" t="s">
        <v>30</v>
      </c>
      <c r="U12" s="21">
        <f>R47</f>
        <v>49.999999999999993</v>
      </c>
      <c r="V12" s="21">
        <f>R52</f>
        <v>80</v>
      </c>
      <c r="W12" s="21">
        <f>R57</f>
        <v>49.999999999999993</v>
      </c>
      <c r="X12" s="21">
        <f>R72</f>
        <v>-49.999999999999993</v>
      </c>
      <c r="Y12" s="21">
        <f>R67</f>
        <v>-80</v>
      </c>
      <c r="Z12" s="21">
        <f>R62</f>
        <v>-49.999999999999993</v>
      </c>
      <c r="AA12">
        <f>U12</f>
        <v>49.999999999999993</v>
      </c>
    </row>
    <row r="13" spans="20:32" x14ac:dyDescent="0.35">
      <c r="T13" t="s">
        <v>32</v>
      </c>
      <c r="U13" s="21">
        <f>R48</f>
        <v>70</v>
      </c>
      <c r="V13" s="21">
        <f>R53</f>
        <v>70</v>
      </c>
      <c r="W13" s="21">
        <f>R58</f>
        <v>70</v>
      </c>
      <c r="X13" s="21">
        <f>R73</f>
        <v>70</v>
      </c>
      <c r="Y13" s="21">
        <f>R68</f>
        <v>70</v>
      </c>
      <c r="Z13" s="21">
        <f>R63</f>
        <v>70</v>
      </c>
      <c r="AA13">
        <f>U13</f>
        <v>70</v>
      </c>
    </row>
    <row r="14" spans="20:32" x14ac:dyDescent="0.35">
      <c r="T14" t="s">
        <v>74</v>
      </c>
      <c r="U14" t="s">
        <v>83</v>
      </c>
      <c r="V14" s="12" t="s">
        <v>82</v>
      </c>
      <c r="W14" t="s">
        <v>84</v>
      </c>
      <c r="X14" s="12" t="s">
        <v>81</v>
      </c>
      <c r="Y14" t="s">
        <v>85</v>
      </c>
      <c r="Z14" s="12" t="s">
        <v>80</v>
      </c>
      <c r="AA14" t="s">
        <v>86</v>
      </c>
      <c r="AB14" s="12" t="s">
        <v>87</v>
      </c>
      <c r="AC14" t="s">
        <v>88</v>
      </c>
      <c r="AD14" s="12" t="s">
        <v>89</v>
      </c>
      <c r="AE14" t="s">
        <v>90</v>
      </c>
      <c r="AF14" s="12" t="s">
        <v>91</v>
      </c>
    </row>
    <row r="15" spans="20:32" x14ac:dyDescent="0.35">
      <c r="T15" t="s">
        <v>29</v>
      </c>
      <c r="U15">
        <f>U11</f>
        <v>-86.602540378443877</v>
      </c>
      <c r="V15" s="75">
        <f>U11-30</f>
        <v>-116.60254037844388</v>
      </c>
      <c r="W15" s="8">
        <f>V11</f>
        <v>4.90059381963448E-15</v>
      </c>
      <c r="X15" s="75">
        <v>0</v>
      </c>
      <c r="Y15">
        <f>W11</f>
        <v>86.602540378443877</v>
      </c>
      <c r="Z15" s="75">
        <f>W11+30</f>
        <v>116.60254037844388</v>
      </c>
      <c r="AA15">
        <f>X11</f>
        <v>86.602540378443877</v>
      </c>
      <c r="AB15" s="75">
        <f>X11+30</f>
        <v>116.60254037844388</v>
      </c>
      <c r="AC15">
        <f>Y11</f>
        <v>4.90059381963448E-15</v>
      </c>
      <c r="AD15" s="75">
        <v>0</v>
      </c>
      <c r="AE15">
        <f>Z11</f>
        <v>-86.602540378443877</v>
      </c>
      <c r="AF15" s="75">
        <f>Z11-30</f>
        <v>-116.60254037844388</v>
      </c>
    </row>
    <row r="16" spans="20:32" x14ac:dyDescent="0.35">
      <c r="T16" t="s">
        <v>30</v>
      </c>
      <c r="U16">
        <f>U12</f>
        <v>49.999999999999993</v>
      </c>
      <c r="V16" s="75">
        <f>U12+30</f>
        <v>80</v>
      </c>
      <c r="W16" s="7">
        <f>V12</f>
        <v>80</v>
      </c>
      <c r="X16" s="75">
        <f>V12+30</f>
        <v>110</v>
      </c>
      <c r="Y16">
        <f>W12</f>
        <v>49.999999999999993</v>
      </c>
      <c r="Z16" s="75">
        <f>W12+30</f>
        <v>80</v>
      </c>
      <c r="AA16">
        <f>X12</f>
        <v>-49.999999999999993</v>
      </c>
      <c r="AB16" s="75">
        <f>X12-30</f>
        <v>-80</v>
      </c>
      <c r="AC16">
        <f>Y12</f>
        <v>-80</v>
      </c>
      <c r="AD16" s="75">
        <f>Y12-30</f>
        <v>-110</v>
      </c>
      <c r="AE16">
        <f>Z12</f>
        <v>-49.999999999999993</v>
      </c>
      <c r="AF16" s="75">
        <f>Z12-30</f>
        <v>-80</v>
      </c>
    </row>
    <row r="17" spans="1:32" x14ac:dyDescent="0.35">
      <c r="T17" t="s">
        <v>32</v>
      </c>
      <c r="U17">
        <f>U13</f>
        <v>70</v>
      </c>
      <c r="V17" s="75">
        <v>0</v>
      </c>
      <c r="W17">
        <f>V13</f>
        <v>70</v>
      </c>
      <c r="X17" s="75">
        <v>0</v>
      </c>
      <c r="Y17">
        <f>W13</f>
        <v>70</v>
      </c>
      <c r="Z17" s="75">
        <v>0</v>
      </c>
      <c r="AA17">
        <f>X13</f>
        <v>70</v>
      </c>
      <c r="AB17" s="75">
        <v>0</v>
      </c>
      <c r="AC17">
        <f>Y13</f>
        <v>70</v>
      </c>
      <c r="AD17" s="75">
        <v>0</v>
      </c>
      <c r="AE17">
        <f>Z13</f>
        <v>70</v>
      </c>
      <c r="AF17" s="75">
        <v>0</v>
      </c>
    </row>
    <row r="18" spans="1:32" x14ac:dyDescent="0.35">
      <c r="V18">
        <v>1</v>
      </c>
      <c r="X18">
        <v>1</v>
      </c>
      <c r="Z18">
        <v>1</v>
      </c>
      <c r="AB18">
        <v>1</v>
      </c>
      <c r="AD18">
        <v>1</v>
      </c>
      <c r="AF18">
        <v>1</v>
      </c>
    </row>
    <row r="24" spans="1:32" ht="15" thickBot="1" x14ac:dyDescent="0.4">
      <c r="F24" s="12" t="s">
        <v>71</v>
      </c>
      <c r="G24" s="12" t="s">
        <v>72</v>
      </c>
      <c r="H24" s="12" t="s">
        <v>73</v>
      </c>
    </row>
    <row r="25" spans="1:32" ht="15.5" x14ac:dyDescent="0.35">
      <c r="A25" s="77" t="s">
        <v>29</v>
      </c>
      <c r="B25" s="78">
        <v>0</v>
      </c>
      <c r="C25" s="18">
        <f t="shared" ref="C25" si="0">RADIANS(B25)</f>
        <v>0</v>
      </c>
      <c r="E25" s="1" t="s">
        <v>9</v>
      </c>
      <c r="F25" s="77">
        <v>150</v>
      </c>
      <c r="G25" s="83">
        <v>90</v>
      </c>
      <c r="H25" s="84">
        <v>30</v>
      </c>
    </row>
    <row r="26" spans="1:32" ht="16" thickBot="1" x14ac:dyDescent="0.4">
      <c r="A26" s="79" t="s">
        <v>30</v>
      </c>
      <c r="B26" s="80">
        <v>0</v>
      </c>
      <c r="C26" s="18">
        <f t="shared" ref="C26:C27" si="1">RADIANS(B26)</f>
        <v>0</v>
      </c>
      <c r="E26" t="s">
        <v>79</v>
      </c>
      <c r="F26" s="81">
        <v>100</v>
      </c>
      <c r="G26" s="85">
        <v>80</v>
      </c>
      <c r="H26" s="86">
        <v>100</v>
      </c>
    </row>
    <row r="27" spans="1:32" ht="15.5" x14ac:dyDescent="0.35">
      <c r="A27" s="79" t="s">
        <v>32</v>
      </c>
      <c r="B27" s="80">
        <v>0</v>
      </c>
      <c r="C27" s="18">
        <f t="shared" si="1"/>
        <v>0</v>
      </c>
      <c r="E27" t="s">
        <v>105</v>
      </c>
      <c r="F27">
        <v>0</v>
      </c>
      <c r="G27">
        <v>-30</v>
      </c>
      <c r="H27">
        <v>0</v>
      </c>
    </row>
    <row r="28" spans="1:32" ht="16" thickBot="1" x14ac:dyDescent="0.4">
      <c r="A28" s="81" t="s">
        <v>78</v>
      </c>
      <c r="B28" s="82">
        <v>70</v>
      </c>
      <c r="E28" t="s">
        <v>106</v>
      </c>
      <c r="F28">
        <v>0</v>
      </c>
      <c r="G28">
        <v>0</v>
      </c>
      <c r="H28">
        <v>0</v>
      </c>
    </row>
    <row r="29" spans="1:32" x14ac:dyDescent="0.35">
      <c r="E29" t="s">
        <v>107</v>
      </c>
      <c r="F29">
        <v>0</v>
      </c>
      <c r="G29">
        <v>0</v>
      </c>
      <c r="H29">
        <v>0</v>
      </c>
    </row>
    <row r="31" spans="1:32" x14ac:dyDescent="0.35">
      <c r="F31" s="12" t="s">
        <v>75</v>
      </c>
      <c r="G31" s="12" t="s">
        <v>76</v>
      </c>
      <c r="H31" s="12" t="s">
        <v>77</v>
      </c>
    </row>
    <row r="32" spans="1:32" x14ac:dyDescent="0.35">
      <c r="E32" s="1" t="s">
        <v>9</v>
      </c>
      <c r="F32">
        <f>-F25</f>
        <v>-150</v>
      </c>
      <c r="G32">
        <f>-G25</f>
        <v>-90</v>
      </c>
      <c r="H32">
        <f>-H25</f>
        <v>-30</v>
      </c>
      <c r="L32" t="s">
        <v>13</v>
      </c>
      <c r="N32" s="12" t="s">
        <v>95</v>
      </c>
    </row>
    <row r="33" spans="1:37" x14ac:dyDescent="0.35">
      <c r="E33" t="s">
        <v>79</v>
      </c>
      <c r="F33">
        <f>F26</f>
        <v>100</v>
      </c>
      <c r="G33">
        <f>G26</f>
        <v>80</v>
      </c>
      <c r="H33">
        <f>H26</f>
        <v>100</v>
      </c>
      <c r="L33">
        <v>0</v>
      </c>
      <c r="N33" s="90">
        <f>COS(C26)*COS(C27)</f>
        <v>1</v>
      </c>
      <c r="O33" s="91">
        <f>-COS(C26)*SIN(C27)</f>
        <v>0</v>
      </c>
      <c r="P33" s="92">
        <f>-SIN(C26)</f>
        <v>0</v>
      </c>
      <c r="Q33" s="96">
        <v>0</v>
      </c>
    </row>
    <row r="34" spans="1:37" x14ac:dyDescent="0.35">
      <c r="E34" t="s">
        <v>105</v>
      </c>
      <c r="F34">
        <v>0</v>
      </c>
      <c r="G34">
        <v>0</v>
      </c>
      <c r="H34">
        <v>0</v>
      </c>
      <c r="L34">
        <v>0</v>
      </c>
      <c r="N34" s="54">
        <f>-SIN(C25)*SIN(C26)*COS(C27)+COS(C25)*SIN(C27)</f>
        <v>0</v>
      </c>
      <c r="O34" s="55">
        <f>SIN(C25)*SIN(C26)*SIN(C27)+COS(C25)*COS(C27)</f>
        <v>1</v>
      </c>
      <c r="P34" s="56">
        <f>-SIN(C25)*COS(C26)</f>
        <v>0</v>
      </c>
      <c r="Q34" s="97">
        <v>0</v>
      </c>
    </row>
    <row r="35" spans="1:37" x14ac:dyDescent="0.35">
      <c r="E35" t="s">
        <v>106</v>
      </c>
      <c r="F35">
        <v>0</v>
      </c>
      <c r="G35">
        <v>0</v>
      </c>
      <c r="H35">
        <v>0</v>
      </c>
      <c r="L35">
        <v>0</v>
      </c>
      <c r="N35" s="93">
        <f>COS(C25)*SIN(C26)*COS(C27) + SIN(C25)*SIN(C27)</f>
        <v>0</v>
      </c>
      <c r="O35" s="94">
        <f>-COS(C25)*SIN(C26)*SIN(C27)+SIN(C25)*COS(C27)</f>
        <v>0</v>
      </c>
      <c r="P35" s="95">
        <f>COS(C25)*COS(C26)</f>
        <v>1</v>
      </c>
      <c r="Q35" s="98">
        <f>B28</f>
        <v>70</v>
      </c>
    </row>
    <row r="36" spans="1:37" ht="15" thickBot="1" x14ac:dyDescent="0.4">
      <c r="E36" t="s">
        <v>107</v>
      </c>
      <c r="F36">
        <v>0</v>
      </c>
      <c r="G36">
        <v>0</v>
      </c>
      <c r="H36">
        <v>0</v>
      </c>
      <c r="L36">
        <v>1</v>
      </c>
      <c r="N36" s="87">
        <v>0</v>
      </c>
      <c r="O36" s="88">
        <v>0</v>
      </c>
      <c r="P36" s="88">
        <v>0</v>
      </c>
      <c r="Q36" s="89">
        <v>1</v>
      </c>
    </row>
    <row r="37" spans="1:37" x14ac:dyDescent="0.35">
      <c r="N37" s="4"/>
      <c r="O37" s="4"/>
      <c r="P37" s="4"/>
      <c r="Q37" s="4"/>
    </row>
    <row r="41" spans="1:37" x14ac:dyDescent="0.35">
      <c r="O41" s="17"/>
      <c r="R41" s="34"/>
      <c r="S41" s="34"/>
      <c r="T41" s="34"/>
    </row>
    <row r="42" spans="1:37" x14ac:dyDescent="0.35">
      <c r="O42" s="17"/>
      <c r="R42" s="34"/>
      <c r="S42" s="34"/>
      <c r="T42" s="34"/>
    </row>
    <row r="43" spans="1:37" x14ac:dyDescent="0.35">
      <c r="O43" s="17"/>
      <c r="R43" s="34"/>
      <c r="S43" s="34"/>
      <c r="T43" s="34"/>
      <c r="U43" s="74"/>
    </row>
    <row r="44" spans="1:37" ht="76" x14ac:dyDescent="0.35">
      <c r="J44" s="113" t="s">
        <v>100</v>
      </c>
      <c r="K44" s="114"/>
      <c r="L44" s="114"/>
      <c r="M44" s="106"/>
      <c r="N44" s="100" t="s">
        <v>99</v>
      </c>
      <c r="O44" s="112"/>
      <c r="P44" s="112"/>
      <c r="Q44" s="106"/>
      <c r="R44" s="107" t="s">
        <v>96</v>
      </c>
      <c r="S44" s="110" t="s">
        <v>97</v>
      </c>
      <c r="T44" s="100" t="s">
        <v>101</v>
      </c>
      <c r="U44" s="101"/>
      <c r="V44" s="101"/>
      <c r="W44" s="104"/>
      <c r="X44" s="99" t="s">
        <v>98</v>
      </c>
      <c r="Y44" s="110" t="s">
        <v>97</v>
      </c>
      <c r="Z44" s="113" t="s">
        <v>110</v>
      </c>
      <c r="AA44" s="113" t="s">
        <v>109</v>
      </c>
      <c r="AB44" s="113" t="s">
        <v>108</v>
      </c>
      <c r="AC44" s="103"/>
      <c r="AD44" s="103"/>
      <c r="AE44" s="103"/>
      <c r="AF44" s="113" t="s">
        <v>111</v>
      </c>
      <c r="AJ44" s="113" t="s">
        <v>112</v>
      </c>
    </row>
    <row r="45" spans="1:37" x14ac:dyDescent="0.35">
      <c r="C45" s="1" t="s">
        <v>8</v>
      </c>
      <c r="D45" s="1" t="s">
        <v>11</v>
      </c>
      <c r="E45" s="2" t="s">
        <v>3</v>
      </c>
      <c r="F45" s="2" t="s">
        <v>2</v>
      </c>
      <c r="G45" s="1" t="s">
        <v>9</v>
      </c>
      <c r="H45" s="1" t="s">
        <v>12</v>
      </c>
      <c r="J45" s="39"/>
      <c r="K45" s="33"/>
      <c r="L45" s="33"/>
      <c r="M45" s="40"/>
      <c r="N45" s="102"/>
      <c r="O45" s="103"/>
      <c r="P45" s="103"/>
      <c r="Q45" s="105"/>
      <c r="R45" s="108"/>
      <c r="S45" s="108"/>
      <c r="T45" s="102"/>
      <c r="U45" s="103"/>
      <c r="V45" s="103"/>
      <c r="W45" s="105"/>
      <c r="Z45" s="102"/>
      <c r="AA45" s="102"/>
      <c r="AB45" s="102"/>
      <c r="AC45" s="103"/>
      <c r="AD45" s="103"/>
      <c r="AE45" s="105"/>
    </row>
    <row r="46" spans="1:37" x14ac:dyDescent="0.35">
      <c r="A46" t="s">
        <v>71</v>
      </c>
      <c r="C46">
        <v>0</v>
      </c>
      <c r="D46" s="3">
        <f>RADIANS(C46)</f>
        <v>0</v>
      </c>
      <c r="E46">
        <f>F26</f>
        <v>100</v>
      </c>
      <c r="F46">
        <v>0</v>
      </c>
      <c r="G46" s="49">
        <f>F25</f>
        <v>150</v>
      </c>
      <c r="H46" s="6">
        <f>RADIANS(G46)</f>
        <v>2.6179938779914944</v>
      </c>
      <c r="J46" s="39">
        <f>COS(H46)</f>
        <v>-0.86602540378443871</v>
      </c>
      <c r="K46" s="33">
        <f>-SIN(H46)*COS(D46)</f>
        <v>-0.49999999999999994</v>
      </c>
      <c r="L46" s="33">
        <f>SIN(H46)*SIN(D46)</f>
        <v>0</v>
      </c>
      <c r="M46" s="40">
        <f>E46*COS(H46)</f>
        <v>-86.602540378443877</v>
      </c>
      <c r="N46" s="41">
        <f t="array" ref="N46:Q49">MMULT($N$33:$Q$36,J46:M49)</f>
        <v>-0.86602540378443871</v>
      </c>
      <c r="O46" s="42">
        <v>-0.49999999999999994</v>
      </c>
      <c r="P46" s="42">
        <v>0</v>
      </c>
      <c r="Q46" s="43">
        <v>-86.602540378443877</v>
      </c>
      <c r="R46" s="109">
        <f>$L$33*N46+$L$34*O46+$L$35*P46+$L$36*Q46</f>
        <v>-86.602540378443877</v>
      </c>
      <c r="S46" s="111">
        <f>V15</f>
        <v>-116.60254037844388</v>
      </c>
      <c r="T46" s="102">
        <f t="array" ref="T46:W49">MINVERSE(N46:Q49)</f>
        <v>-0.86602540378443871</v>
      </c>
      <c r="U46" s="103">
        <v>0.49999999999999994</v>
      </c>
      <c r="V46" s="103">
        <v>0</v>
      </c>
      <c r="W46" s="105">
        <v>-100</v>
      </c>
      <c r="X46" s="76">
        <f>$S$46*T46+$S$47*U46+$S$48*V46+$S$49*W46</f>
        <v>40.98076211353316</v>
      </c>
      <c r="Y46" s="4">
        <f>$X46*N46+$X47*O46+$X48*P46+$X49*Q46</f>
        <v>-116.60254037844388</v>
      </c>
      <c r="Z46" s="102">
        <f>F27</f>
        <v>0</v>
      </c>
      <c r="AA46" s="102">
        <f>RADIANS(Z46)</f>
        <v>0</v>
      </c>
      <c r="AB46" s="102">
        <f>COS(AA47)*COS(AA48)</f>
        <v>1</v>
      </c>
      <c r="AC46" s="103">
        <f>-COS(AA47)*SIN(AA48)</f>
        <v>0</v>
      </c>
      <c r="AD46" s="103">
        <f>-SIN(AA47)</f>
        <v>0</v>
      </c>
      <c r="AE46" s="105">
        <v>0</v>
      </c>
      <c r="AF46">
        <f t="array" ref="AF46:AI49">MMULT(AB46:AE49,N46:Q49)</f>
        <v>-0.86602540378443871</v>
      </c>
      <c r="AG46">
        <v>-0.49999999999999994</v>
      </c>
      <c r="AH46">
        <v>0</v>
      </c>
      <c r="AI46">
        <v>-86.602540378443877</v>
      </c>
      <c r="AJ46" s="18">
        <f>IF(AJ47=PI()/2,ATAN2(AG47,AG46),IF(-AJ47=PI()/2,-ATAN2(AG47,AG46),ATAN2(AH48,AG48)))</f>
        <v>0</v>
      </c>
      <c r="AK46" s="17">
        <f>DEGREES(AJ46)</f>
        <v>0</v>
      </c>
    </row>
    <row r="47" spans="1:37" x14ac:dyDescent="0.35">
      <c r="J47" s="39">
        <f>SIN(H46)</f>
        <v>0.49999999999999994</v>
      </c>
      <c r="K47" s="33">
        <f>COS(H46)*COS(D46)</f>
        <v>-0.86602540378443871</v>
      </c>
      <c r="L47" s="33">
        <f>-COS(H46)*SIN(D46)</f>
        <v>0</v>
      </c>
      <c r="M47" s="40">
        <f>E46*SIN(H46)</f>
        <v>49.999999999999993</v>
      </c>
      <c r="N47" s="41">
        <v>0.49999999999999994</v>
      </c>
      <c r="O47" s="42">
        <v>-0.86602540378443871</v>
      </c>
      <c r="P47" s="42">
        <v>0</v>
      </c>
      <c r="Q47" s="43">
        <v>49.999999999999993</v>
      </c>
      <c r="R47" s="109">
        <f>$L$33*N47+$L$34*O47+$L$35*P47+$L$36*Q47</f>
        <v>49.999999999999993</v>
      </c>
      <c r="S47" s="111">
        <f>V16</f>
        <v>80</v>
      </c>
      <c r="T47" s="102">
        <v>-0.49999999999999989</v>
      </c>
      <c r="U47" s="103">
        <v>-0.86602540378443871</v>
      </c>
      <c r="V47" s="103">
        <v>0</v>
      </c>
      <c r="W47" s="105">
        <v>0</v>
      </c>
      <c r="X47" s="76">
        <f>$S$46*T47+$S$47*U47+$S$48*V47+$S$49*W47</f>
        <v>-10.980762113533174</v>
      </c>
      <c r="Y47" s="4">
        <f>$X$46*N47+$X$47*O47+$X$48*P47+$X$49*Q47</f>
        <v>80</v>
      </c>
      <c r="Z47" s="102">
        <f>F28</f>
        <v>0</v>
      </c>
      <c r="AA47" s="102">
        <f>RADIANS(Z47)</f>
        <v>0</v>
      </c>
      <c r="AB47" s="102">
        <f>-SIN(AA46)*SIN(AA47)*COS(AA48)+COS(AA46)*SIN(AA48)</f>
        <v>0</v>
      </c>
      <c r="AC47" s="103">
        <f>SIN(AA46)*SIN(AA47)*SIN(AA48)+COS(AA46)*COS(AA48)</f>
        <v>1</v>
      </c>
      <c r="AD47" s="103">
        <f>-SIN(AA46)*COS(AA47)</f>
        <v>0</v>
      </c>
      <c r="AE47" s="105">
        <v>0</v>
      </c>
      <c r="AF47">
        <v>0.49999999999999994</v>
      </c>
      <c r="AG47">
        <v>-0.86602540378443871</v>
      </c>
      <c r="AH47">
        <v>0</v>
      </c>
      <c r="AI47">
        <v>49.999999999999993</v>
      </c>
      <c r="AJ47" s="18">
        <f>ATAN2(SQRT(AF46^2+AF47^2),-AF48)</f>
        <v>0</v>
      </c>
      <c r="AK47" s="17">
        <f>DEGREES(AJ47)</f>
        <v>0</v>
      </c>
    </row>
    <row r="48" spans="1:37" x14ac:dyDescent="0.35">
      <c r="J48" s="39">
        <v>0</v>
      </c>
      <c r="K48" s="33">
        <f>SIN(D46)</f>
        <v>0</v>
      </c>
      <c r="L48" s="33">
        <f>COS(D46)</f>
        <v>1</v>
      </c>
      <c r="M48" s="40">
        <f>F46</f>
        <v>0</v>
      </c>
      <c r="N48" s="41">
        <v>0</v>
      </c>
      <c r="O48" s="42">
        <v>0</v>
      </c>
      <c r="P48" s="42">
        <v>1</v>
      </c>
      <c r="Q48" s="43">
        <v>70</v>
      </c>
      <c r="R48" s="109">
        <f>$L$33*N48+$L$34*O48+$L$35*P48+$L$36*Q48</f>
        <v>70</v>
      </c>
      <c r="S48" s="111">
        <f>V17</f>
        <v>0</v>
      </c>
      <c r="T48" s="102">
        <v>0</v>
      </c>
      <c r="U48" s="103">
        <v>0</v>
      </c>
      <c r="V48" s="103">
        <v>1</v>
      </c>
      <c r="W48" s="105">
        <v>-70</v>
      </c>
      <c r="X48" s="76">
        <f>$S$46*T48+$S$47*U48+$S$48*V48+$S$49*W48</f>
        <v>-70</v>
      </c>
      <c r="Y48" s="4">
        <f>$X$46*N48+$X$47*O48+$X$48*P48+$X$49*Q48</f>
        <v>0</v>
      </c>
      <c r="Z48" s="102">
        <f>F29</f>
        <v>0</v>
      </c>
      <c r="AA48" s="102">
        <f>RADIANS(Z48)</f>
        <v>0</v>
      </c>
      <c r="AB48" s="102">
        <f>COS(AA46)*SIN(AA47)*COS(AA48) + SIN(AA46)*SIN(AA48)</f>
        <v>0</v>
      </c>
      <c r="AC48" s="103">
        <f>-COS(AA46)*SIN(AA47)*SIN(AA48)+SIN(AA46)*COS(AA48)</f>
        <v>0</v>
      </c>
      <c r="AD48" s="103">
        <f>COS(AA46)*COS(AA47)</f>
        <v>1</v>
      </c>
      <c r="AE48" s="105">
        <v>0</v>
      </c>
      <c r="AF48">
        <v>0</v>
      </c>
      <c r="AG48">
        <v>0</v>
      </c>
      <c r="AH48">
        <v>1</v>
      </c>
      <c r="AI48">
        <v>70</v>
      </c>
      <c r="AJ48" s="18">
        <f>IF(ABS(AJ47)=PI()/2,0,ATAN2(AF46,AF47))</f>
        <v>2.6179938779914944</v>
      </c>
      <c r="AK48" s="17">
        <f>DEGREES(AJ48)</f>
        <v>150</v>
      </c>
    </row>
    <row r="49" spans="1:37" x14ac:dyDescent="0.35">
      <c r="J49" s="39">
        <v>0</v>
      </c>
      <c r="K49" s="33">
        <v>0</v>
      </c>
      <c r="L49" s="33">
        <v>0</v>
      </c>
      <c r="M49" s="40">
        <v>1</v>
      </c>
      <c r="N49" s="41">
        <v>0</v>
      </c>
      <c r="O49" s="42">
        <v>0</v>
      </c>
      <c r="P49" s="42">
        <v>0</v>
      </c>
      <c r="Q49" s="43">
        <v>1</v>
      </c>
      <c r="R49" s="109">
        <f>$L$33*N49+$L$34*O49+$L$35*P49+$L$36*Q49</f>
        <v>1</v>
      </c>
      <c r="S49" s="108">
        <v>1</v>
      </c>
      <c r="T49" s="102">
        <v>0</v>
      </c>
      <c r="U49" s="103">
        <v>0</v>
      </c>
      <c r="V49" s="103">
        <v>0</v>
      </c>
      <c r="W49" s="105">
        <v>1</v>
      </c>
      <c r="X49" s="76">
        <f>$R$46*T49+$R$47*U49+$R$48*V49+$R$49*W49</f>
        <v>1</v>
      </c>
      <c r="Y49" s="4">
        <f>$X$46*N49+$X$47*O49+$X$48*P49+$X$49*Q49</f>
        <v>1</v>
      </c>
      <c r="Z49" s="102"/>
      <c r="AA49" s="102"/>
      <c r="AB49" s="102">
        <v>0</v>
      </c>
      <c r="AC49" s="103">
        <v>0</v>
      </c>
      <c r="AD49" s="103">
        <v>0</v>
      </c>
      <c r="AE49" s="105">
        <v>1</v>
      </c>
      <c r="AF49">
        <v>0</v>
      </c>
      <c r="AG49">
        <v>0</v>
      </c>
      <c r="AH49">
        <v>0</v>
      </c>
      <c r="AI49">
        <v>1</v>
      </c>
    </row>
    <row r="50" spans="1:37" x14ac:dyDescent="0.35">
      <c r="J50" s="102"/>
      <c r="K50" s="103"/>
      <c r="L50" s="103"/>
      <c r="M50" s="105"/>
      <c r="N50" s="102"/>
      <c r="O50" s="103"/>
      <c r="P50" s="103"/>
      <c r="Q50" s="105"/>
      <c r="R50" s="108"/>
      <c r="S50" s="108"/>
      <c r="T50" s="102"/>
      <c r="U50" s="103"/>
      <c r="V50" s="103"/>
      <c r="W50" s="105"/>
      <c r="X50" s="12"/>
      <c r="Z50" s="102"/>
      <c r="AA50" s="102"/>
      <c r="AB50" s="102"/>
      <c r="AC50" s="103"/>
      <c r="AD50" s="103"/>
      <c r="AE50" s="105"/>
    </row>
    <row r="51" spans="1:37" x14ac:dyDescent="0.35">
      <c r="A51" t="s">
        <v>72</v>
      </c>
      <c r="C51">
        <v>0</v>
      </c>
      <c r="D51" s="3">
        <f>RADIANS(C51)</f>
        <v>0</v>
      </c>
      <c r="E51">
        <f>G26</f>
        <v>80</v>
      </c>
      <c r="F51">
        <v>0</v>
      </c>
      <c r="G51" s="49">
        <f>G25</f>
        <v>90</v>
      </c>
      <c r="H51" s="6">
        <f>RADIANS(G51)</f>
        <v>1.5707963267948966</v>
      </c>
      <c r="J51" s="39">
        <f>COS(H51)</f>
        <v>6.1257422745431001E-17</v>
      </c>
      <c r="K51" s="33">
        <f>-SIN(H51)*COS(D51)</f>
        <v>-1</v>
      </c>
      <c r="L51" s="33">
        <f>SIN(H51)*SIN(D51)</f>
        <v>0</v>
      </c>
      <c r="M51" s="40">
        <f>E51*COS(H51)</f>
        <v>4.90059381963448E-15</v>
      </c>
      <c r="N51" s="41">
        <f t="array" ref="N51:Q54">MMULT($N$33:$Q$36,J51:M54)</f>
        <v>6.1257422745431001E-17</v>
      </c>
      <c r="O51" s="42">
        <v>-1</v>
      </c>
      <c r="P51" s="42">
        <v>0</v>
      </c>
      <c r="Q51" s="43">
        <v>4.90059381963448E-15</v>
      </c>
      <c r="R51" s="109">
        <f>$L$33*N51+$L$34*O51+$L$35*P51+$L$36*Q51</f>
        <v>4.90059381963448E-15</v>
      </c>
      <c r="S51" s="111">
        <f>X15</f>
        <v>0</v>
      </c>
      <c r="T51" s="102">
        <f t="array" ref="T51:W54">MINVERSE(N51:Q54)</f>
        <v>6.1257422745431001E-17</v>
      </c>
      <c r="U51" s="103">
        <v>1</v>
      </c>
      <c r="V51" s="103">
        <v>0</v>
      </c>
      <c r="W51" s="105">
        <v>-80</v>
      </c>
      <c r="X51" s="76">
        <f>$S$51*T51+$S$52*U51+$S$53*V51+$S$54*W51</f>
        <v>30</v>
      </c>
      <c r="Y51" s="4">
        <f>$X$51*N51+$X$52*O51+$X$53*P51+$X$54*Q51</f>
        <v>0</v>
      </c>
      <c r="Z51" s="102">
        <f>G27</f>
        <v>-30</v>
      </c>
      <c r="AA51" s="102">
        <f>RADIANS(Z51)</f>
        <v>-0.52359877559829882</v>
      </c>
      <c r="AB51" s="102">
        <f>COS(AA52)*COS(AA53)</f>
        <v>1</v>
      </c>
      <c r="AC51" s="103">
        <f>-COS(AA52)*SIN(AA53)</f>
        <v>0</v>
      </c>
      <c r="AD51" s="103">
        <f>-SIN(AA52)</f>
        <v>0</v>
      </c>
      <c r="AE51" s="105">
        <v>0</v>
      </c>
      <c r="AF51">
        <f t="array" ref="AF51:AI54">MMULT(AB51:AE54,N51:Q54)</f>
        <v>6.1257422745431001E-17</v>
      </c>
      <c r="AG51">
        <v>-1</v>
      </c>
      <c r="AH51">
        <v>0</v>
      </c>
      <c r="AI51">
        <v>4.90059381963448E-15</v>
      </c>
      <c r="AJ51" s="18">
        <f>IF(AJ52=PI()/2,ATAN2(AG52,AG51),IF(-AJ52=PI()/2,-ATAN2(AG52,AG51),ATAN2(AH53,AG53)))</f>
        <v>-3.5366989511937282E-17</v>
      </c>
      <c r="AK51" s="17">
        <f>DEGREES(AJ51)</f>
        <v>-2.0263792331174534E-15</v>
      </c>
    </row>
    <row r="52" spans="1:37" x14ac:dyDescent="0.35">
      <c r="J52" s="39">
        <f>SIN(H51)</f>
        <v>1</v>
      </c>
      <c r="K52" s="33">
        <f>COS(H51)*COS(D51)</f>
        <v>6.1257422745431001E-17</v>
      </c>
      <c r="L52" s="33">
        <f>-COS(H51)*SIN(D51)</f>
        <v>0</v>
      </c>
      <c r="M52" s="40">
        <f>E51*SIN(H51)</f>
        <v>80</v>
      </c>
      <c r="N52" s="41">
        <v>1</v>
      </c>
      <c r="O52" s="42">
        <v>6.1257422745431001E-17</v>
      </c>
      <c r="P52" s="42">
        <v>0</v>
      </c>
      <c r="Q52" s="43">
        <v>80</v>
      </c>
      <c r="R52" s="109">
        <f>$L$33*N52+$L$34*O52+$L$35*P52+$L$36*Q52</f>
        <v>80</v>
      </c>
      <c r="S52" s="111">
        <f>X16</f>
        <v>110</v>
      </c>
      <c r="T52" s="102">
        <v>-1</v>
      </c>
      <c r="U52" s="103">
        <v>6.1257422745431001E-17</v>
      </c>
      <c r="V52" s="103">
        <v>0</v>
      </c>
      <c r="W52" s="105">
        <v>0</v>
      </c>
      <c r="X52" s="76">
        <f>$S$51*T52+$S$52*U52+$S$53*V52+$S$54*W52</f>
        <v>6.7383165019974101E-15</v>
      </c>
      <c r="Y52" s="4">
        <f>$X$51*N52+$X$52*O52+$X$53*P52+$X$54*Q52</f>
        <v>110</v>
      </c>
      <c r="Z52" s="102">
        <f>G28</f>
        <v>0</v>
      </c>
      <c r="AA52" s="102">
        <f>RADIANS(Z52)</f>
        <v>0</v>
      </c>
      <c r="AB52" s="102">
        <f>-SIN(AA51)*SIN(AA52)*COS(AA53)+COS(AA51)*SIN(AA53)</f>
        <v>0</v>
      </c>
      <c r="AC52" s="103">
        <f>SIN(AA51)*SIN(AA52)*SIN(AA53)+COS(AA51)*COS(AA53)</f>
        <v>0.86602540378443871</v>
      </c>
      <c r="AD52" s="103">
        <f>-SIN(AA51)*COS(AA52)</f>
        <v>0.49999999999999994</v>
      </c>
      <c r="AE52" s="105">
        <v>0</v>
      </c>
      <c r="AF52">
        <v>0.86602540378443871</v>
      </c>
      <c r="AG52">
        <v>5.3050484267905944E-17</v>
      </c>
      <c r="AH52">
        <v>0.49999999999999994</v>
      </c>
      <c r="AI52">
        <v>104.28203230275508</v>
      </c>
      <c r="AJ52" s="18">
        <f>ATAN2(SQRT(AF51^2+AF52^2),-AF53)</f>
        <v>0.52359877559829882</v>
      </c>
      <c r="AK52" s="17">
        <f>DEGREES(AJ52)</f>
        <v>29.999999999999996</v>
      </c>
    </row>
    <row r="53" spans="1:37" x14ac:dyDescent="0.35">
      <c r="J53" s="39">
        <v>0</v>
      </c>
      <c r="K53" s="33">
        <f>SIN(D51)</f>
        <v>0</v>
      </c>
      <c r="L53" s="33">
        <f>COS(D51)</f>
        <v>1</v>
      </c>
      <c r="M53" s="40">
        <f>F51</f>
        <v>0</v>
      </c>
      <c r="N53" s="41">
        <v>0</v>
      </c>
      <c r="O53" s="42">
        <v>0</v>
      </c>
      <c r="P53" s="42">
        <v>1</v>
      </c>
      <c r="Q53" s="43">
        <v>70</v>
      </c>
      <c r="R53" s="109">
        <f>$L$33*N53+$L$34*O53+$L$35*P53+$L$36*Q53</f>
        <v>70</v>
      </c>
      <c r="S53" s="111">
        <f>X17</f>
        <v>0</v>
      </c>
      <c r="T53" s="102">
        <v>0</v>
      </c>
      <c r="U53" s="103">
        <v>0</v>
      </c>
      <c r="V53" s="103">
        <v>1</v>
      </c>
      <c r="W53" s="105">
        <v>-70</v>
      </c>
      <c r="X53" s="76">
        <f>$S$51*T53+$S$52*U53+$S$53*V53+$S$54*W53</f>
        <v>-70</v>
      </c>
      <c r="Y53" s="4">
        <f>$X$51*N53+$X$52*O53+$X$53*P53+$X$54*Q53</f>
        <v>0</v>
      </c>
      <c r="Z53" s="102">
        <f>G29</f>
        <v>0</v>
      </c>
      <c r="AA53" s="102">
        <f>RADIANS(Z53)</f>
        <v>0</v>
      </c>
      <c r="AB53" s="102">
        <f>COS(AA51)*SIN(AA52)*COS(AA53) + SIN(AA51)*SIN(AA53)</f>
        <v>0</v>
      </c>
      <c r="AC53" s="103">
        <f>-COS(AA51)*SIN(AA52)*SIN(AA53)+SIN(AA51)*COS(AA53)</f>
        <v>-0.49999999999999994</v>
      </c>
      <c r="AD53" s="103">
        <f>COS(AA51)*COS(AA52)</f>
        <v>0.86602540378443871</v>
      </c>
      <c r="AE53" s="105">
        <v>0</v>
      </c>
      <c r="AF53">
        <v>-0.49999999999999994</v>
      </c>
      <c r="AG53">
        <v>-3.0628711372715494E-17</v>
      </c>
      <c r="AH53">
        <v>0.86602540378443871</v>
      </c>
      <c r="AI53">
        <v>20.621778264910716</v>
      </c>
      <c r="AJ53" s="18">
        <f>IF(ABS(AJ52)=PI()/2,0,ATAN2(AF51,AF52))</f>
        <v>1.5707963267948966</v>
      </c>
      <c r="AK53" s="17">
        <f>DEGREES(AJ53)</f>
        <v>90</v>
      </c>
    </row>
    <row r="54" spans="1:37" x14ac:dyDescent="0.35">
      <c r="J54" s="39">
        <v>0</v>
      </c>
      <c r="K54" s="33">
        <v>0</v>
      </c>
      <c r="L54" s="33">
        <v>0</v>
      </c>
      <c r="M54" s="40">
        <v>1</v>
      </c>
      <c r="N54" s="41">
        <v>0</v>
      </c>
      <c r="O54" s="42">
        <v>0</v>
      </c>
      <c r="P54" s="42">
        <v>0</v>
      </c>
      <c r="Q54" s="43">
        <v>1</v>
      </c>
      <c r="R54" s="109">
        <f>$L$33*N54+$L$34*O54+$L$35*P54+$L$36*Q54</f>
        <v>1</v>
      </c>
      <c r="S54" s="108">
        <v>1</v>
      </c>
      <c r="T54" s="102">
        <v>0</v>
      </c>
      <c r="U54" s="103">
        <v>0</v>
      </c>
      <c r="V54" s="103">
        <v>0</v>
      </c>
      <c r="W54" s="105">
        <v>1</v>
      </c>
      <c r="X54" s="76">
        <f>$S$51*T54+$S$52*U54+$S$53*V54+$S$54*W54</f>
        <v>1</v>
      </c>
      <c r="Y54" s="4">
        <f>$X$51*N54+$X$52*O54+$X$53*P54+$X$54*Q54</f>
        <v>1</v>
      </c>
      <c r="Z54" s="102"/>
      <c r="AA54" s="102"/>
      <c r="AB54" s="102">
        <v>0</v>
      </c>
      <c r="AC54" s="103">
        <v>0</v>
      </c>
      <c r="AD54" s="103">
        <v>0</v>
      </c>
      <c r="AE54" s="105">
        <v>1</v>
      </c>
      <c r="AF54">
        <v>0</v>
      </c>
      <c r="AG54">
        <v>0</v>
      </c>
      <c r="AH54">
        <v>0</v>
      </c>
      <c r="AI54">
        <v>1</v>
      </c>
    </row>
    <row r="55" spans="1:37" x14ac:dyDescent="0.35">
      <c r="J55" s="102"/>
      <c r="K55" s="103"/>
      <c r="L55" s="103"/>
      <c r="M55" s="105"/>
      <c r="N55" s="102"/>
      <c r="O55" s="103"/>
      <c r="P55" s="103"/>
      <c r="Q55" s="105"/>
      <c r="R55" s="108"/>
      <c r="S55" s="108"/>
      <c r="T55" s="102"/>
      <c r="U55" s="103"/>
      <c r="V55" s="103"/>
      <c r="W55" s="105"/>
      <c r="X55" s="12"/>
      <c r="Z55" s="102"/>
      <c r="AA55" s="102"/>
      <c r="AB55" s="102"/>
      <c r="AC55" s="103"/>
      <c r="AD55" s="103"/>
      <c r="AE55" s="105"/>
    </row>
    <row r="56" spans="1:37" x14ac:dyDescent="0.35">
      <c r="A56" t="s">
        <v>73</v>
      </c>
      <c r="C56">
        <v>0</v>
      </c>
      <c r="D56" s="3">
        <f>RADIANS(C56)</f>
        <v>0</v>
      </c>
      <c r="E56">
        <f>H26</f>
        <v>100</v>
      </c>
      <c r="F56">
        <v>0</v>
      </c>
      <c r="G56" s="49">
        <f>H25</f>
        <v>30</v>
      </c>
      <c r="H56" s="6">
        <f>RADIANS(G56)</f>
        <v>0.52359877559829882</v>
      </c>
      <c r="J56" s="39">
        <f>COS(H56)</f>
        <v>0.86602540378443871</v>
      </c>
      <c r="K56" s="33">
        <f>-SIN(H56)*COS(D56)</f>
        <v>-0.49999999999999994</v>
      </c>
      <c r="L56" s="33">
        <f>SIN(H56)*SIN(D56)</f>
        <v>0</v>
      </c>
      <c r="M56" s="40">
        <f>E56*COS(H56)</f>
        <v>86.602540378443877</v>
      </c>
      <c r="N56" s="41">
        <f t="array" ref="N56:Q59">MMULT($N$33:$Q$36,J56:M59)</f>
        <v>0.86602540378443871</v>
      </c>
      <c r="O56" s="42">
        <v>-0.49999999999999994</v>
      </c>
      <c r="P56" s="42">
        <v>0</v>
      </c>
      <c r="Q56" s="43">
        <v>86.602540378443877</v>
      </c>
      <c r="R56" s="109">
        <f>$L$33*N56+$L$34*O56+$L$35*P56+$L$36*Q56</f>
        <v>86.602540378443877</v>
      </c>
      <c r="S56" s="111">
        <f>Z15</f>
        <v>116.60254037844388</v>
      </c>
      <c r="T56" s="102">
        <f t="array" ref="T56:W59">MINVERSE(N56:Q59)</f>
        <v>0.86602540378443871</v>
      </c>
      <c r="U56" s="103">
        <v>0.49999999999999994</v>
      </c>
      <c r="V56" s="103">
        <v>0</v>
      </c>
      <c r="W56" s="105">
        <v>-100</v>
      </c>
      <c r="X56" s="76">
        <f>$S$56*T56+$S$57*U56+$S$58*V56+$S$59*W56</f>
        <v>40.98076211353316</v>
      </c>
      <c r="Y56" s="4">
        <f>$X$56*N56+$X$57*O56+$X$58*P56+$X$59*Q56</f>
        <v>116.60254037844388</v>
      </c>
      <c r="Z56" s="102">
        <f>H27</f>
        <v>0</v>
      </c>
      <c r="AA56" s="102">
        <f t="shared" ref="AA56:AA58" si="2">RADIANS(Z56)</f>
        <v>0</v>
      </c>
      <c r="AB56" s="102">
        <f>COS(AA57)*COS(AA58)</f>
        <v>1</v>
      </c>
      <c r="AC56" s="103">
        <f>-COS(AA57)*SIN(AA58)</f>
        <v>0</v>
      </c>
      <c r="AD56" s="103">
        <f>-SIN(AA57)</f>
        <v>0</v>
      </c>
      <c r="AE56" s="105">
        <v>0</v>
      </c>
      <c r="AF56">
        <f t="array" ref="AF56:AI59">MMULT(AB56:AE59,N56:Q59)</f>
        <v>0.86602540378443871</v>
      </c>
      <c r="AG56">
        <v>-0.49999999999999994</v>
      </c>
      <c r="AH56">
        <v>0</v>
      </c>
      <c r="AI56">
        <v>86.602540378443877</v>
      </c>
      <c r="AJ56" s="18">
        <f>IF(AJ57=PI()/2,ATAN2(AG57,AG56),IF(-AJ57=PI()/2,-ATAN2(AG57,AG56),ATAN2(AH58,AG58)))</f>
        <v>0</v>
      </c>
      <c r="AK56" s="17">
        <f>DEGREES(AJ56)</f>
        <v>0</v>
      </c>
    </row>
    <row r="57" spans="1:37" x14ac:dyDescent="0.35">
      <c r="J57" s="39">
        <f>SIN(H56)</f>
        <v>0.49999999999999994</v>
      </c>
      <c r="K57" s="33">
        <f>COS(H56)*COS(D56)</f>
        <v>0.86602540378443871</v>
      </c>
      <c r="L57" s="33">
        <f>-COS(H56)*SIN(D56)</f>
        <v>0</v>
      </c>
      <c r="M57" s="40">
        <f>E56*SIN(H56)</f>
        <v>49.999999999999993</v>
      </c>
      <c r="N57" s="41">
        <v>0.49999999999999994</v>
      </c>
      <c r="O57" s="42">
        <v>0.86602540378443871</v>
      </c>
      <c r="P57" s="42">
        <v>0</v>
      </c>
      <c r="Q57" s="43">
        <v>49.999999999999993</v>
      </c>
      <c r="R57" s="109">
        <f>$L$33*N57+$L$34*O57+$L$35*P57+$L$36*Q57</f>
        <v>49.999999999999993</v>
      </c>
      <c r="S57" s="111">
        <f>Z16</f>
        <v>80</v>
      </c>
      <c r="T57" s="102">
        <v>-0.49999999999999989</v>
      </c>
      <c r="U57" s="103">
        <v>0.86602540378443871</v>
      </c>
      <c r="V57" s="103">
        <v>0</v>
      </c>
      <c r="W57" s="105">
        <v>0</v>
      </c>
      <c r="X57" s="76">
        <f>$S$56*T57+$S$57*U57+$S$58*V57+$S$59*W57</f>
        <v>10.980762113533174</v>
      </c>
      <c r="Y57" s="4">
        <f>$X$56*N57+$X$57*O57+$X$58*P57+$X$59*Q57</f>
        <v>80</v>
      </c>
      <c r="Z57" s="102">
        <f>H28</f>
        <v>0</v>
      </c>
      <c r="AA57" s="102">
        <f t="shared" si="2"/>
        <v>0</v>
      </c>
      <c r="AB57" s="102">
        <f>-SIN(AA56)*SIN(AA57)*COS(AA58)+COS(AA56)*SIN(AA58)</f>
        <v>0</v>
      </c>
      <c r="AC57" s="103">
        <f>SIN(AA56)*SIN(AA57)*SIN(AA58)+COS(AA56)*COS(AA58)</f>
        <v>1</v>
      </c>
      <c r="AD57" s="103">
        <f>-SIN(AA56)*COS(AA57)</f>
        <v>0</v>
      </c>
      <c r="AE57" s="105">
        <v>0</v>
      </c>
      <c r="AF57">
        <v>0.49999999999999994</v>
      </c>
      <c r="AG57">
        <v>0.86602540378443871</v>
      </c>
      <c r="AH57">
        <v>0</v>
      </c>
      <c r="AI57">
        <v>49.999999999999993</v>
      </c>
      <c r="AJ57" s="18">
        <f>ATAN2(SQRT(AF56^2+AF57^2),-AF58)</f>
        <v>0</v>
      </c>
      <c r="AK57" s="17">
        <f>DEGREES(AJ57)</f>
        <v>0</v>
      </c>
    </row>
    <row r="58" spans="1:37" x14ac:dyDescent="0.35">
      <c r="J58" s="39">
        <v>0</v>
      </c>
      <c r="K58" s="33">
        <f>SIN(D56)</f>
        <v>0</v>
      </c>
      <c r="L58" s="33">
        <f>COS(D56)</f>
        <v>1</v>
      </c>
      <c r="M58" s="40">
        <f>F56</f>
        <v>0</v>
      </c>
      <c r="N58" s="41">
        <v>0</v>
      </c>
      <c r="O58" s="42">
        <v>0</v>
      </c>
      <c r="P58" s="42">
        <v>1</v>
      </c>
      <c r="Q58" s="43">
        <v>70</v>
      </c>
      <c r="R58" s="109">
        <f>$L$33*N58+$L$34*O58+$L$35*P58+$L$36*Q58</f>
        <v>70</v>
      </c>
      <c r="S58" s="111">
        <f>Z17</f>
        <v>0</v>
      </c>
      <c r="T58" s="102">
        <v>0</v>
      </c>
      <c r="U58" s="103">
        <v>0</v>
      </c>
      <c r="V58" s="103">
        <v>1</v>
      </c>
      <c r="W58" s="105">
        <v>-70</v>
      </c>
      <c r="X58" s="76">
        <f>$S$56*T58+$S$57*U58+$S$58*V58+$S$59*W58</f>
        <v>-70</v>
      </c>
      <c r="Y58" s="4">
        <f>$X$56*N58+$X$57*O58+$X$58*P58+$X$59*Q58</f>
        <v>0</v>
      </c>
      <c r="Z58" s="102">
        <f>H29</f>
        <v>0</v>
      </c>
      <c r="AA58" s="102">
        <f t="shared" si="2"/>
        <v>0</v>
      </c>
      <c r="AB58" s="102">
        <f>COS(AA56)*SIN(AA57)*COS(AA58) + SIN(AA56)*SIN(AA58)</f>
        <v>0</v>
      </c>
      <c r="AC58" s="103">
        <f>-COS(AA56)*SIN(AA57)*SIN(AA58)+SIN(AA56)*COS(AA58)</f>
        <v>0</v>
      </c>
      <c r="AD58" s="103">
        <f>COS(AA56)*COS(AA57)</f>
        <v>1</v>
      </c>
      <c r="AE58" s="105">
        <v>0</v>
      </c>
      <c r="AF58">
        <v>0</v>
      </c>
      <c r="AG58">
        <v>0</v>
      </c>
      <c r="AH58">
        <v>1</v>
      </c>
      <c r="AI58">
        <v>70</v>
      </c>
      <c r="AJ58" s="18">
        <f>IF(ABS(AJ57)=PI()/2,0,ATAN2(AF56,AF57))</f>
        <v>0.52359877559829882</v>
      </c>
      <c r="AK58" s="17">
        <f>DEGREES(AJ58)</f>
        <v>29.999999999999996</v>
      </c>
    </row>
    <row r="59" spans="1:37" x14ac:dyDescent="0.35">
      <c r="J59" s="39">
        <v>0</v>
      </c>
      <c r="K59" s="33">
        <v>0</v>
      </c>
      <c r="L59" s="33">
        <v>0</v>
      </c>
      <c r="M59" s="40">
        <v>1</v>
      </c>
      <c r="N59" s="41">
        <v>0</v>
      </c>
      <c r="O59" s="42">
        <v>0</v>
      </c>
      <c r="P59" s="42">
        <v>0</v>
      </c>
      <c r="Q59" s="43">
        <v>1</v>
      </c>
      <c r="R59" s="109">
        <f>$L$33*N59+$L$34*O59+$L$35*P59+$L$36*Q59</f>
        <v>1</v>
      </c>
      <c r="S59" s="108">
        <v>1</v>
      </c>
      <c r="T59" s="102">
        <v>0</v>
      </c>
      <c r="U59" s="103">
        <v>0</v>
      </c>
      <c r="V59" s="103">
        <v>0</v>
      </c>
      <c r="W59" s="105">
        <v>1</v>
      </c>
      <c r="X59" s="76">
        <f>$S$56*T59+$S$57*U59+$S$58*V59+$S$59*W59</f>
        <v>1</v>
      </c>
      <c r="Y59" s="4">
        <f>$X$56*N59+$X$57*O59+$X$58*P59+$X$59*Q59</f>
        <v>1</v>
      </c>
      <c r="Z59" s="102"/>
      <c r="AA59" s="102"/>
      <c r="AB59" s="102">
        <v>0</v>
      </c>
      <c r="AC59" s="103">
        <v>0</v>
      </c>
      <c r="AD59" s="103">
        <v>0</v>
      </c>
      <c r="AE59" s="105">
        <v>1</v>
      </c>
      <c r="AF59">
        <v>0</v>
      </c>
      <c r="AG59">
        <v>0</v>
      </c>
      <c r="AH59">
        <v>0</v>
      </c>
      <c r="AI59">
        <v>1</v>
      </c>
    </row>
    <row r="60" spans="1:37" x14ac:dyDescent="0.35">
      <c r="J60" s="102"/>
      <c r="K60" s="103"/>
      <c r="L60" s="103"/>
      <c r="M60" s="105"/>
      <c r="N60" s="102"/>
      <c r="O60" s="103"/>
      <c r="P60" s="103"/>
      <c r="Q60" s="105"/>
      <c r="R60" s="108"/>
      <c r="S60" s="108"/>
      <c r="T60" s="102"/>
      <c r="U60" s="103"/>
      <c r="V60" s="103"/>
      <c r="W60" s="105"/>
      <c r="X60" s="12"/>
      <c r="Z60" s="102"/>
      <c r="AA60" s="102"/>
      <c r="AB60" s="102"/>
      <c r="AC60" s="103"/>
      <c r="AD60" s="103"/>
      <c r="AE60" s="105"/>
    </row>
    <row r="61" spans="1:37" x14ac:dyDescent="0.35">
      <c r="A61" t="s">
        <v>75</v>
      </c>
      <c r="C61">
        <v>0</v>
      </c>
      <c r="D61" s="3">
        <f>RADIANS(C61)</f>
        <v>0</v>
      </c>
      <c r="E61">
        <f>F33</f>
        <v>100</v>
      </c>
      <c r="F61">
        <v>0</v>
      </c>
      <c r="G61" s="49">
        <f>F32</f>
        <v>-150</v>
      </c>
      <c r="H61" s="6">
        <f>RADIANS(G61)</f>
        <v>-2.6179938779914944</v>
      </c>
      <c r="J61" s="39">
        <f>COS(H61)</f>
        <v>-0.86602540378443871</v>
      </c>
      <c r="K61" s="33">
        <f>-SIN(H61)*COS(D61)</f>
        <v>0.49999999999999994</v>
      </c>
      <c r="L61" s="33">
        <f>SIN(H61)*SIN(D61)</f>
        <v>0</v>
      </c>
      <c r="M61" s="40">
        <f>E61*COS(H61)</f>
        <v>-86.602540378443877</v>
      </c>
      <c r="N61" s="41">
        <f t="array" ref="N61:Q64">MMULT($N$33:$Q$36,J61:M64)</f>
        <v>-0.86602540378443871</v>
      </c>
      <c r="O61" s="42">
        <v>0.49999999999999994</v>
      </c>
      <c r="P61" s="42">
        <v>0</v>
      </c>
      <c r="Q61" s="43">
        <v>-86.602540378443877</v>
      </c>
      <c r="R61" s="109">
        <f>$L$33*N61+$L$34*O61+$L$35*P61+$L$36*Q61</f>
        <v>-86.602540378443877</v>
      </c>
      <c r="S61" s="111">
        <f>AF15</f>
        <v>-116.60254037844388</v>
      </c>
      <c r="T61" s="102">
        <f t="array" ref="T61:W64">MINVERSE(N61:Q64)</f>
        <v>-0.86602540378443871</v>
      </c>
      <c r="U61" s="103">
        <v>-0.49999999999999994</v>
      </c>
      <c r="V61" s="103">
        <v>0</v>
      </c>
      <c r="W61" s="105">
        <v>-100</v>
      </c>
      <c r="X61" s="76">
        <f>$S$61*T61+$S$62*U61+$S$63*V61+$S$64*W61</f>
        <v>40.98076211353316</v>
      </c>
      <c r="Y61" s="4">
        <f>$X$61*N61+$X$62*O61+$X$63*P61+$X$64*Q61</f>
        <v>-116.60254037844388</v>
      </c>
      <c r="Z61" s="102">
        <f>F34</f>
        <v>0</v>
      </c>
      <c r="AA61" s="102">
        <f t="shared" ref="AA61:AA63" si="3">RADIANS(Z61)</f>
        <v>0</v>
      </c>
      <c r="AB61" s="102">
        <f>COS(AA62)*COS(AA63)</f>
        <v>1</v>
      </c>
      <c r="AC61" s="103">
        <f>-COS(AA62)*SIN(AA63)</f>
        <v>0</v>
      </c>
      <c r="AD61" s="103">
        <f>-SIN(AA62)</f>
        <v>0</v>
      </c>
      <c r="AE61" s="105">
        <v>0</v>
      </c>
      <c r="AF61">
        <f t="array" ref="AF61:AI64">MMULT(AB61:AE64,N61:Q64)</f>
        <v>-0.86602540378443871</v>
      </c>
      <c r="AG61">
        <v>0.49999999999999994</v>
      </c>
      <c r="AH61">
        <v>0</v>
      </c>
      <c r="AI61">
        <v>-86.602540378443877</v>
      </c>
      <c r="AJ61" s="18">
        <f>IF(AJ62=PI()/2,ATAN2(AG62,AG61),IF(-AJ62=PI()/2,-ATAN2(AG62,AG61),ATAN2(AH63,AG63)))</f>
        <v>0</v>
      </c>
      <c r="AK61" s="17">
        <f>DEGREES(AJ61)</f>
        <v>0</v>
      </c>
    </row>
    <row r="62" spans="1:37" x14ac:dyDescent="0.35">
      <c r="J62" s="39">
        <f>SIN(H61)</f>
        <v>-0.49999999999999994</v>
      </c>
      <c r="K62" s="33">
        <f>COS(H61)*COS(D61)</f>
        <v>-0.86602540378443871</v>
      </c>
      <c r="L62" s="33">
        <f>-COS(H61)*SIN(D61)</f>
        <v>0</v>
      </c>
      <c r="M62" s="40">
        <f>E61*SIN(H61)</f>
        <v>-49.999999999999993</v>
      </c>
      <c r="N62" s="41">
        <v>-0.49999999999999994</v>
      </c>
      <c r="O62" s="42">
        <v>-0.86602540378443871</v>
      </c>
      <c r="P62" s="42">
        <v>0</v>
      </c>
      <c r="Q62" s="43">
        <v>-49.999999999999993</v>
      </c>
      <c r="R62" s="109">
        <f>$L$33*N62+$L$34*O62+$L$35*P62+$L$36*Q62</f>
        <v>-49.999999999999993</v>
      </c>
      <c r="S62" s="111">
        <f>AF16</f>
        <v>-80</v>
      </c>
      <c r="T62" s="102">
        <v>0.49999999999999989</v>
      </c>
      <c r="U62" s="103">
        <v>-0.86602540378443871</v>
      </c>
      <c r="V62" s="103">
        <v>0</v>
      </c>
      <c r="W62" s="105">
        <v>0</v>
      </c>
      <c r="X62" s="76">
        <f>$S$61*T62+$S$62*U62+$S$63*V62+$S$64*W62</f>
        <v>10.980762113533174</v>
      </c>
      <c r="Y62" s="4">
        <f>$X$61*N62+$X$62*O62+$X$63*P62+$X$64*Q62</f>
        <v>-80</v>
      </c>
      <c r="Z62" s="102">
        <f>F35</f>
        <v>0</v>
      </c>
      <c r="AA62" s="102">
        <f t="shared" si="3"/>
        <v>0</v>
      </c>
      <c r="AB62" s="102">
        <f>-SIN(AA61)*SIN(AA62)*COS(AA63)+COS(AA61)*SIN(AA63)</f>
        <v>0</v>
      </c>
      <c r="AC62" s="103">
        <f>SIN(AA61)*SIN(AA62)*SIN(AA63)+COS(AA61)*COS(AA63)</f>
        <v>1</v>
      </c>
      <c r="AD62" s="103">
        <f>-SIN(AA61)*COS(AA62)</f>
        <v>0</v>
      </c>
      <c r="AE62" s="105">
        <v>0</v>
      </c>
      <c r="AF62">
        <v>-0.49999999999999994</v>
      </c>
      <c r="AG62">
        <v>-0.86602540378443871</v>
      </c>
      <c r="AH62">
        <v>0</v>
      </c>
      <c r="AI62">
        <v>-49.999999999999993</v>
      </c>
      <c r="AJ62" s="18">
        <f>ATAN2(SQRT(AF61^2+AF62^2),-AF63)</f>
        <v>0</v>
      </c>
      <c r="AK62" s="17">
        <f>DEGREES(AJ62)</f>
        <v>0</v>
      </c>
    </row>
    <row r="63" spans="1:37" x14ac:dyDescent="0.35">
      <c r="J63" s="39">
        <v>0</v>
      </c>
      <c r="K63" s="33">
        <f>SIN(D61)</f>
        <v>0</v>
      </c>
      <c r="L63" s="33">
        <f>COS(D61)</f>
        <v>1</v>
      </c>
      <c r="M63" s="40">
        <f>F61</f>
        <v>0</v>
      </c>
      <c r="N63" s="41">
        <v>0</v>
      </c>
      <c r="O63" s="42">
        <v>0</v>
      </c>
      <c r="P63" s="42">
        <v>1</v>
      </c>
      <c r="Q63" s="43">
        <v>70</v>
      </c>
      <c r="R63" s="109">
        <f>$L$33*N63+$L$34*O63+$L$35*P63+$L$36*Q63</f>
        <v>70</v>
      </c>
      <c r="S63" s="111">
        <f>AF17</f>
        <v>0</v>
      </c>
      <c r="T63" s="102">
        <v>0</v>
      </c>
      <c r="U63" s="103">
        <v>0</v>
      </c>
      <c r="V63" s="103">
        <v>1</v>
      </c>
      <c r="W63" s="105">
        <v>-70</v>
      </c>
      <c r="X63" s="76">
        <f>$S$61*T63+$S$62*U63+$S$63*V63+$S$64*W63</f>
        <v>-70</v>
      </c>
      <c r="Y63" s="4">
        <f>$X$61*N63+$X$62*O63+$X$63*P63+$X$64*Q63</f>
        <v>0</v>
      </c>
      <c r="Z63" s="102">
        <f>F36</f>
        <v>0</v>
      </c>
      <c r="AA63" s="102">
        <f t="shared" si="3"/>
        <v>0</v>
      </c>
      <c r="AB63" s="102">
        <f>COS(AA61)*SIN(AA62)*COS(AA63) + SIN(AA61)*SIN(AA63)</f>
        <v>0</v>
      </c>
      <c r="AC63" s="103">
        <f>-COS(AA61)*SIN(AA62)*SIN(AA63)+SIN(AA61)*COS(AA63)</f>
        <v>0</v>
      </c>
      <c r="AD63" s="103">
        <f>COS(AA61)*COS(AA62)</f>
        <v>1</v>
      </c>
      <c r="AE63" s="105">
        <v>0</v>
      </c>
      <c r="AF63">
        <v>0</v>
      </c>
      <c r="AG63">
        <v>0</v>
      </c>
      <c r="AH63">
        <v>1</v>
      </c>
      <c r="AI63">
        <v>70</v>
      </c>
      <c r="AJ63" s="18">
        <f>IF(ABS(AJ62)=PI()/2,0,ATAN2(AF61,AF62))</f>
        <v>-2.6179938779914944</v>
      </c>
      <c r="AK63" s="17">
        <f>DEGREES(AJ63)</f>
        <v>-150</v>
      </c>
    </row>
    <row r="64" spans="1:37" x14ac:dyDescent="0.35">
      <c r="J64" s="39">
        <v>0</v>
      </c>
      <c r="K64" s="33">
        <v>0</v>
      </c>
      <c r="L64" s="33">
        <v>0</v>
      </c>
      <c r="M64" s="40">
        <v>1</v>
      </c>
      <c r="N64" s="41">
        <v>0</v>
      </c>
      <c r="O64" s="42">
        <v>0</v>
      </c>
      <c r="P64" s="42">
        <v>0</v>
      </c>
      <c r="Q64" s="43">
        <v>1</v>
      </c>
      <c r="R64" s="109">
        <f>$L$33*N64+$L$34*O64+$L$35*P64+$L$36*Q64</f>
        <v>1</v>
      </c>
      <c r="S64" s="108">
        <v>1</v>
      </c>
      <c r="T64" s="102">
        <v>0</v>
      </c>
      <c r="U64" s="103">
        <v>0</v>
      </c>
      <c r="V64" s="103">
        <v>0</v>
      </c>
      <c r="W64" s="105">
        <v>1</v>
      </c>
      <c r="X64" s="76">
        <f>$S$61*T64+$S$62*U64+$S$63*V64+$S$64*W64</f>
        <v>1</v>
      </c>
      <c r="Y64" s="4">
        <f>$X$61*N64+$X$62*O64+$X$63*P64+$X$64*Q64</f>
        <v>1</v>
      </c>
      <c r="Z64" s="102"/>
      <c r="AA64" s="102"/>
      <c r="AB64" s="102">
        <v>0</v>
      </c>
      <c r="AC64" s="103">
        <v>0</v>
      </c>
      <c r="AD64" s="103">
        <v>0</v>
      </c>
      <c r="AE64" s="105">
        <v>1</v>
      </c>
      <c r="AF64">
        <v>0</v>
      </c>
      <c r="AG64">
        <v>0</v>
      </c>
      <c r="AH64">
        <v>0</v>
      </c>
      <c r="AI64">
        <v>1</v>
      </c>
    </row>
    <row r="65" spans="1:37" x14ac:dyDescent="0.35">
      <c r="J65" s="102"/>
      <c r="K65" s="103"/>
      <c r="L65" s="103"/>
      <c r="M65" s="105"/>
      <c r="N65" s="102"/>
      <c r="O65" s="103"/>
      <c r="P65" s="103"/>
      <c r="Q65" s="105"/>
      <c r="R65" s="108"/>
      <c r="S65" s="108"/>
      <c r="T65" s="102"/>
      <c r="U65" s="103"/>
      <c r="V65" s="103"/>
      <c r="W65" s="105"/>
      <c r="X65" s="12"/>
      <c r="Z65" s="102"/>
      <c r="AA65" s="102"/>
      <c r="AB65" s="102"/>
      <c r="AC65" s="103"/>
      <c r="AD65" s="103"/>
      <c r="AE65" s="105"/>
    </row>
    <row r="66" spans="1:37" x14ac:dyDescent="0.35">
      <c r="A66" t="s">
        <v>76</v>
      </c>
      <c r="C66">
        <v>0</v>
      </c>
      <c r="D66" s="3">
        <f>RADIANS(C66)</f>
        <v>0</v>
      </c>
      <c r="E66">
        <f>G33</f>
        <v>80</v>
      </c>
      <c r="F66">
        <v>0</v>
      </c>
      <c r="G66" s="49">
        <f>G32</f>
        <v>-90</v>
      </c>
      <c r="H66" s="6">
        <f>RADIANS(G66)</f>
        <v>-1.5707963267948966</v>
      </c>
      <c r="J66" s="39">
        <f>COS(H66)</f>
        <v>6.1257422745431001E-17</v>
      </c>
      <c r="K66" s="33">
        <f>-SIN(H66)*COS(D66)</f>
        <v>1</v>
      </c>
      <c r="L66" s="33">
        <f>SIN(H66)*SIN(D66)</f>
        <v>0</v>
      </c>
      <c r="M66" s="40">
        <f>E66*COS(H66)</f>
        <v>4.90059381963448E-15</v>
      </c>
      <c r="N66" s="41">
        <f t="array" ref="N66:Q69">MMULT($N$33:$Q$36,J66:M69)</f>
        <v>6.1257422745431001E-17</v>
      </c>
      <c r="O66" s="42">
        <v>1</v>
      </c>
      <c r="P66" s="42">
        <v>0</v>
      </c>
      <c r="Q66" s="43">
        <v>4.90059381963448E-15</v>
      </c>
      <c r="R66" s="109">
        <f>$L$33*N66+$L$34*O66+$L$35*P66+$L$36*Q66</f>
        <v>4.90059381963448E-15</v>
      </c>
      <c r="S66" s="111">
        <f>AD15</f>
        <v>0</v>
      </c>
      <c r="T66" s="39">
        <f t="array" ref="T66:W69">MINVERSE(N66:Q69)</f>
        <v>6.1257422745431001E-17</v>
      </c>
      <c r="U66" s="33">
        <v>-1</v>
      </c>
      <c r="V66" s="33">
        <v>0</v>
      </c>
      <c r="W66" s="40">
        <v>-80</v>
      </c>
      <c r="X66" s="76">
        <f>$S$66*T66+$S$67*U66+$S$68*V66+$S$69*W66</f>
        <v>30</v>
      </c>
      <c r="Y66" s="4">
        <f>$X$66*N66+$X$67*O66+$X$68*P66+$X$69*Q66</f>
        <v>0</v>
      </c>
      <c r="Z66" s="102">
        <f>G34</f>
        <v>0</v>
      </c>
      <c r="AA66" s="102">
        <f t="shared" ref="AA66:AA68" si="4">RADIANS(Z66)</f>
        <v>0</v>
      </c>
      <c r="AB66" s="102">
        <f>COS(AA67)*COS(AA68)</f>
        <v>1</v>
      </c>
      <c r="AC66" s="103">
        <f>-COS(AA67)*SIN(AA68)</f>
        <v>0</v>
      </c>
      <c r="AD66" s="103">
        <f>-SIN(AA67)</f>
        <v>0</v>
      </c>
      <c r="AE66" s="105">
        <v>0</v>
      </c>
      <c r="AF66">
        <f t="array" ref="AF66:AI69">MMULT(AB66:AE69,N66:Q69)</f>
        <v>6.1257422745431001E-17</v>
      </c>
      <c r="AG66">
        <v>1</v>
      </c>
      <c r="AH66">
        <v>0</v>
      </c>
      <c r="AI66">
        <v>4.90059381963448E-15</v>
      </c>
      <c r="AJ66" s="18">
        <f>IF(AJ67=PI()/2,ATAN2(AG67,AG66),IF(-AJ67=PI()/2,-ATAN2(AG67,AG66),ATAN2(AH68,AG68)))</f>
        <v>0</v>
      </c>
      <c r="AK66" s="17">
        <f>DEGREES(AJ66)</f>
        <v>0</v>
      </c>
    </row>
    <row r="67" spans="1:37" x14ac:dyDescent="0.35">
      <c r="J67" s="39">
        <f>SIN(H66)</f>
        <v>-1</v>
      </c>
      <c r="K67" s="33">
        <f>COS(H66)*COS(D66)</f>
        <v>6.1257422745431001E-17</v>
      </c>
      <c r="L67" s="33">
        <f>-COS(H66)*SIN(D66)</f>
        <v>0</v>
      </c>
      <c r="M67" s="40">
        <f>E66*SIN(H66)</f>
        <v>-80</v>
      </c>
      <c r="N67" s="41">
        <v>-1</v>
      </c>
      <c r="O67" s="42">
        <v>6.1257422745431001E-17</v>
      </c>
      <c r="P67" s="42">
        <v>0</v>
      </c>
      <c r="Q67" s="43">
        <v>-80</v>
      </c>
      <c r="R67" s="109">
        <f>$L$33*N67+$L$34*O67+$L$35*P67+$L$36*Q67</f>
        <v>-80</v>
      </c>
      <c r="S67" s="111">
        <f>AD16</f>
        <v>-110</v>
      </c>
      <c r="T67" s="39">
        <v>1</v>
      </c>
      <c r="U67" s="33">
        <v>6.1257422745431001E-17</v>
      </c>
      <c r="V67" s="33">
        <v>0</v>
      </c>
      <c r="W67" s="40">
        <v>0</v>
      </c>
      <c r="X67" s="76">
        <f>$S$66*T67+$S$67*U67+$S$68*V67+$S$69*W67</f>
        <v>-6.7383165019974101E-15</v>
      </c>
      <c r="Y67" s="4">
        <f>$X$66*N67+$X$67*O67+$X$68*P67+$X$69*Q67</f>
        <v>-110</v>
      </c>
      <c r="Z67" s="102">
        <f>G35</f>
        <v>0</v>
      </c>
      <c r="AA67" s="102">
        <f t="shared" si="4"/>
        <v>0</v>
      </c>
      <c r="AB67" s="102">
        <f>-SIN(AA66)*SIN(AA67)*COS(AA68)+COS(AA66)*SIN(AA68)</f>
        <v>0</v>
      </c>
      <c r="AC67" s="103">
        <f>SIN(AA66)*SIN(AA67)*SIN(AA68)+COS(AA66)*COS(AA68)</f>
        <v>1</v>
      </c>
      <c r="AD67" s="103">
        <f>-SIN(AA66)*COS(AA67)</f>
        <v>0</v>
      </c>
      <c r="AE67" s="105">
        <v>0</v>
      </c>
      <c r="AF67">
        <v>-1</v>
      </c>
      <c r="AG67">
        <v>6.1257422745431001E-17</v>
      </c>
      <c r="AH67">
        <v>0</v>
      </c>
      <c r="AI67">
        <v>-80</v>
      </c>
      <c r="AJ67" s="18">
        <f>ATAN2(SQRT(AF66^2+AF67^2),-AF68)</f>
        <v>0</v>
      </c>
      <c r="AK67" s="17">
        <f>DEGREES(AJ67)</f>
        <v>0</v>
      </c>
    </row>
    <row r="68" spans="1:37" x14ac:dyDescent="0.35">
      <c r="J68" s="39">
        <v>0</v>
      </c>
      <c r="K68" s="33">
        <f>SIN(D66)</f>
        <v>0</v>
      </c>
      <c r="L68" s="33">
        <f>COS(D66)</f>
        <v>1</v>
      </c>
      <c r="M68" s="40">
        <f>F66</f>
        <v>0</v>
      </c>
      <c r="N68" s="41">
        <v>0</v>
      </c>
      <c r="O68" s="42">
        <v>0</v>
      </c>
      <c r="P68" s="42">
        <v>1</v>
      </c>
      <c r="Q68" s="43">
        <v>70</v>
      </c>
      <c r="R68" s="109">
        <f>$L$33*N68+$L$34*O68+$L$35*P68+$L$36*Q68</f>
        <v>70</v>
      </c>
      <c r="S68" s="111">
        <f>AD17</f>
        <v>0</v>
      </c>
      <c r="T68" s="39">
        <v>0</v>
      </c>
      <c r="U68" s="33">
        <v>0</v>
      </c>
      <c r="V68" s="33">
        <v>1</v>
      </c>
      <c r="W68" s="40">
        <v>-70</v>
      </c>
      <c r="X68" s="76">
        <f>$S$66*T68+$S$67*U68+$S$68*V68+$S$69*W68</f>
        <v>-70</v>
      </c>
      <c r="Y68" s="4">
        <f>$X$66*N68+$X$67*O68+$X$68*P68+$X$69*Q68</f>
        <v>0</v>
      </c>
      <c r="Z68" s="102">
        <f>G36</f>
        <v>0</v>
      </c>
      <c r="AA68" s="102">
        <f t="shared" si="4"/>
        <v>0</v>
      </c>
      <c r="AB68" s="102">
        <f>COS(AA66)*SIN(AA67)*COS(AA68) + SIN(AA66)*SIN(AA68)</f>
        <v>0</v>
      </c>
      <c r="AC68" s="103">
        <f>-COS(AA66)*SIN(AA67)*SIN(AA68)+SIN(AA66)*COS(AA68)</f>
        <v>0</v>
      </c>
      <c r="AD68" s="103">
        <f>COS(AA66)*COS(AA67)</f>
        <v>1</v>
      </c>
      <c r="AE68" s="105">
        <v>0</v>
      </c>
      <c r="AF68">
        <v>0</v>
      </c>
      <c r="AG68">
        <v>0</v>
      </c>
      <c r="AH68">
        <v>1</v>
      </c>
      <c r="AI68">
        <v>70</v>
      </c>
      <c r="AJ68" s="18">
        <f>IF(ABS(AJ67)=PI()/2,0,ATAN2(AF66,AF67))</f>
        <v>-1.5707963267948966</v>
      </c>
      <c r="AK68" s="17">
        <f>DEGREES(AJ68)</f>
        <v>-90</v>
      </c>
    </row>
    <row r="69" spans="1:37" x14ac:dyDescent="0.35">
      <c r="J69" s="39">
        <v>0</v>
      </c>
      <c r="K69" s="33">
        <v>0</v>
      </c>
      <c r="L69" s="33">
        <v>0</v>
      </c>
      <c r="M69" s="40">
        <v>1</v>
      </c>
      <c r="N69" s="41">
        <v>0</v>
      </c>
      <c r="O69" s="42">
        <v>0</v>
      </c>
      <c r="P69" s="42">
        <v>0</v>
      </c>
      <c r="Q69" s="43">
        <v>1</v>
      </c>
      <c r="R69" s="109">
        <f>$L$33*N69+$L$34*O69+$L$35*P69+$L$36*Q69</f>
        <v>1</v>
      </c>
      <c r="S69" s="108">
        <v>1</v>
      </c>
      <c r="T69" s="39">
        <v>0</v>
      </c>
      <c r="U69" s="33">
        <v>0</v>
      </c>
      <c r="V69" s="33">
        <v>0</v>
      </c>
      <c r="W69" s="40">
        <v>1</v>
      </c>
      <c r="X69" s="76">
        <f>$S$66*T69+$S$67*U69+$S$68*V69+$S$69*W69</f>
        <v>1</v>
      </c>
      <c r="Y69" s="4">
        <f>$X$66*N69+$X$67*O69+$X$68*P69+$X$69*Q69</f>
        <v>1</v>
      </c>
      <c r="Z69" s="102"/>
      <c r="AA69" s="102"/>
      <c r="AB69" s="102">
        <v>0</v>
      </c>
      <c r="AC69" s="103">
        <v>0</v>
      </c>
      <c r="AD69" s="103">
        <v>0</v>
      </c>
      <c r="AE69" s="105">
        <v>1</v>
      </c>
      <c r="AF69">
        <v>0</v>
      </c>
      <c r="AG69">
        <v>0</v>
      </c>
      <c r="AH69">
        <v>0</v>
      </c>
      <c r="AI69">
        <v>1</v>
      </c>
    </row>
    <row r="70" spans="1:37" x14ac:dyDescent="0.35">
      <c r="J70" s="102"/>
      <c r="K70" s="103"/>
      <c r="L70" s="103"/>
      <c r="M70" s="105"/>
      <c r="N70" s="102"/>
      <c r="O70" s="103"/>
      <c r="P70" s="103"/>
      <c r="Q70" s="105"/>
      <c r="R70" s="108"/>
      <c r="S70" s="108"/>
      <c r="T70" s="102"/>
      <c r="U70" s="103"/>
      <c r="V70" s="103"/>
      <c r="W70" s="105"/>
      <c r="X70" s="12"/>
      <c r="Z70" s="102"/>
      <c r="AA70" s="102"/>
      <c r="AB70" s="102"/>
      <c r="AC70" s="103"/>
      <c r="AD70" s="103"/>
      <c r="AE70" s="105"/>
    </row>
    <row r="71" spans="1:37" x14ac:dyDescent="0.35">
      <c r="A71" t="s">
        <v>77</v>
      </c>
      <c r="C71">
        <v>0</v>
      </c>
      <c r="D71" s="3">
        <f>RADIANS(C71)</f>
        <v>0</v>
      </c>
      <c r="E71">
        <f>H33</f>
        <v>100</v>
      </c>
      <c r="F71">
        <v>0</v>
      </c>
      <c r="G71" s="49">
        <f>H32</f>
        <v>-30</v>
      </c>
      <c r="H71" s="6">
        <f>RADIANS(G71)</f>
        <v>-0.52359877559829882</v>
      </c>
      <c r="J71" s="39">
        <f>COS(H71)</f>
        <v>0.86602540378443871</v>
      </c>
      <c r="K71" s="33">
        <f>-SIN(H71)*COS(D71)</f>
        <v>0.49999999999999994</v>
      </c>
      <c r="L71" s="33">
        <f>SIN(H71)*SIN(D71)</f>
        <v>0</v>
      </c>
      <c r="M71" s="40">
        <f>E71*COS(H71)</f>
        <v>86.602540378443877</v>
      </c>
      <c r="N71" s="41">
        <f t="array" ref="N71:Q74">MMULT($N$33:$Q$36,J71:M74)</f>
        <v>0.86602540378443871</v>
      </c>
      <c r="O71" s="42">
        <v>0.49999999999999994</v>
      </c>
      <c r="P71" s="42">
        <v>0</v>
      </c>
      <c r="Q71" s="43">
        <v>86.602540378443877</v>
      </c>
      <c r="R71" s="109">
        <f>$L$33*N71+$L$34*O71+$L$35*P71+$L$36*Q71</f>
        <v>86.602540378443877</v>
      </c>
      <c r="S71" s="111">
        <f>AB15</f>
        <v>116.60254037844388</v>
      </c>
      <c r="T71" s="102">
        <f t="array" ref="T71:W74">MINVERSE(N71:Q74)</f>
        <v>0.86602540378443871</v>
      </c>
      <c r="U71" s="103">
        <v>-0.49999999999999994</v>
      </c>
      <c r="V71" s="103">
        <v>0</v>
      </c>
      <c r="W71" s="105">
        <v>-100</v>
      </c>
      <c r="X71" s="76">
        <f>$S$71*T71+$S$72*U71+$S$73*V71+$S$74*W71</f>
        <v>40.98076211353316</v>
      </c>
      <c r="Y71" s="4">
        <f>$X$71*N71+$X$72*O71+$X$73*P71+$X$74*Q71</f>
        <v>116.60254037844388</v>
      </c>
      <c r="Z71" s="102">
        <f>H34</f>
        <v>0</v>
      </c>
      <c r="AA71" s="102">
        <f t="shared" ref="AA71:AA73" si="5">RADIANS(Z71)</f>
        <v>0</v>
      </c>
      <c r="AB71" s="102">
        <f>COS(AA72)*COS(AA73)</f>
        <v>1</v>
      </c>
      <c r="AC71" s="103">
        <f>-COS(AA72)*SIN(AA73)</f>
        <v>0</v>
      </c>
      <c r="AD71" s="103">
        <f>-SIN(AA72)</f>
        <v>0</v>
      </c>
      <c r="AE71" s="105">
        <v>0</v>
      </c>
      <c r="AF71">
        <f t="array" ref="AF71:AI74">MMULT(AB71:AE74,N71:Q74)</f>
        <v>0.86602540378443871</v>
      </c>
      <c r="AG71">
        <v>0.49999999999999994</v>
      </c>
      <c r="AH71">
        <v>0</v>
      </c>
      <c r="AI71">
        <v>86.602540378443877</v>
      </c>
      <c r="AJ71" s="18">
        <f>IF(AJ72=PI()/2,ATAN2(AG72,AG71),IF(-AJ72=PI()/2,-ATAN2(AG72,AG71),ATAN2(AH73,AG73)))</f>
        <v>0</v>
      </c>
      <c r="AK71" s="17">
        <f>DEGREES(AJ71)</f>
        <v>0</v>
      </c>
    </row>
    <row r="72" spans="1:37" x14ac:dyDescent="0.35">
      <c r="J72" s="39">
        <f>SIN(H71)</f>
        <v>-0.49999999999999994</v>
      </c>
      <c r="K72" s="33">
        <f>COS(H71)*COS(D71)</f>
        <v>0.86602540378443871</v>
      </c>
      <c r="L72" s="33">
        <f>-COS(H71)*SIN(D71)</f>
        <v>0</v>
      </c>
      <c r="M72" s="40">
        <f>E71*SIN(H71)</f>
        <v>-49.999999999999993</v>
      </c>
      <c r="N72" s="41">
        <v>-0.49999999999999994</v>
      </c>
      <c r="O72" s="42">
        <v>0.86602540378443871</v>
      </c>
      <c r="P72" s="42">
        <v>0</v>
      </c>
      <c r="Q72" s="43">
        <v>-49.999999999999993</v>
      </c>
      <c r="R72" s="109">
        <f>$L$33*N72+$L$34*O72+$L$35*P72+$L$36*Q72</f>
        <v>-49.999999999999993</v>
      </c>
      <c r="S72" s="111">
        <f>AB16</f>
        <v>-80</v>
      </c>
      <c r="T72" s="102">
        <v>0.49999999999999989</v>
      </c>
      <c r="U72" s="103">
        <v>0.86602540378443871</v>
      </c>
      <c r="V72" s="103">
        <v>0</v>
      </c>
      <c r="W72" s="105">
        <v>0</v>
      </c>
      <c r="X72" s="76">
        <f>$S$71*T72+$S$72*U72+$S$73*V72+$S$74*W72</f>
        <v>-10.980762113533174</v>
      </c>
      <c r="Y72" s="4">
        <f>$X$71*N72+$X$72*O72+$X$73*P72+$X$74*Q72</f>
        <v>-80</v>
      </c>
      <c r="Z72" s="102">
        <f>H35</f>
        <v>0</v>
      </c>
      <c r="AA72" s="102">
        <f t="shared" si="5"/>
        <v>0</v>
      </c>
      <c r="AB72" s="102">
        <f>-SIN(AA71)*SIN(AA72)*COS(AA73)+COS(AA71)*SIN(AA73)</f>
        <v>0</v>
      </c>
      <c r="AC72" s="103">
        <f>SIN(AA71)*SIN(AA72)*SIN(AA73)+COS(AA71)*COS(AA73)</f>
        <v>1</v>
      </c>
      <c r="AD72" s="103">
        <f>-SIN(AA71)*COS(AA72)</f>
        <v>0</v>
      </c>
      <c r="AE72" s="105">
        <v>0</v>
      </c>
      <c r="AF72">
        <v>-0.49999999999999994</v>
      </c>
      <c r="AG72">
        <v>0.86602540378443871</v>
      </c>
      <c r="AH72">
        <v>0</v>
      </c>
      <c r="AI72">
        <v>-49.999999999999993</v>
      </c>
      <c r="AJ72" s="18">
        <f>ATAN2(SQRT(AF71^2+AF72^2),-AF73)</f>
        <v>0</v>
      </c>
      <c r="AK72" s="17">
        <f>DEGREES(AJ72)</f>
        <v>0</v>
      </c>
    </row>
    <row r="73" spans="1:37" x14ac:dyDescent="0.35">
      <c r="J73" s="39">
        <v>0</v>
      </c>
      <c r="K73" s="33">
        <f>SIN(D71)</f>
        <v>0</v>
      </c>
      <c r="L73" s="33">
        <f>COS(D71)</f>
        <v>1</v>
      </c>
      <c r="M73" s="40">
        <f>F71</f>
        <v>0</v>
      </c>
      <c r="N73" s="41">
        <v>0</v>
      </c>
      <c r="O73" s="42">
        <v>0</v>
      </c>
      <c r="P73" s="42">
        <v>1</v>
      </c>
      <c r="Q73" s="43">
        <v>70</v>
      </c>
      <c r="R73" s="109">
        <f>$L$33*N73+$L$34*O73+$L$35*P73+$L$36*Q73</f>
        <v>70</v>
      </c>
      <c r="S73" s="111">
        <f>AB17</f>
        <v>0</v>
      </c>
      <c r="T73" s="102">
        <v>0</v>
      </c>
      <c r="U73" s="103">
        <v>0</v>
      </c>
      <c r="V73" s="103">
        <v>1</v>
      </c>
      <c r="W73" s="105">
        <v>-70</v>
      </c>
      <c r="X73" s="76">
        <f>$S$71*T73+$S$72*U73+$S$73*V73+$S$74*W73</f>
        <v>-70</v>
      </c>
      <c r="Y73" s="4">
        <f>$X$71*N73+$X$72*O73+$X$73*P73+$X$74*Q73</f>
        <v>0</v>
      </c>
      <c r="Z73" s="102">
        <f>H36</f>
        <v>0</v>
      </c>
      <c r="AA73" s="102">
        <f t="shared" si="5"/>
        <v>0</v>
      </c>
      <c r="AB73" s="102">
        <f>COS(AA71)*SIN(AA72)*COS(AA73) + SIN(AA71)*SIN(AA73)</f>
        <v>0</v>
      </c>
      <c r="AC73" s="103">
        <f>-COS(AA71)*SIN(AA72)*SIN(AA73)+SIN(AA71)*COS(AA73)</f>
        <v>0</v>
      </c>
      <c r="AD73" s="103">
        <f>COS(AA71)*COS(AA72)</f>
        <v>1</v>
      </c>
      <c r="AE73" s="105">
        <v>0</v>
      </c>
      <c r="AF73">
        <v>0</v>
      </c>
      <c r="AG73">
        <v>0</v>
      </c>
      <c r="AH73">
        <v>1</v>
      </c>
      <c r="AI73">
        <v>70</v>
      </c>
      <c r="AJ73" s="18">
        <f>IF(ABS(AJ72)=PI()/2,0,ATAN2(AF71,AF72))</f>
        <v>-0.52359877559829882</v>
      </c>
      <c r="AK73" s="17">
        <f>DEGREES(AJ73)</f>
        <v>-29.999999999999996</v>
      </c>
    </row>
    <row r="74" spans="1:37" x14ac:dyDescent="0.35">
      <c r="J74" s="39">
        <v>0</v>
      </c>
      <c r="K74" s="33">
        <v>0</v>
      </c>
      <c r="L74" s="33">
        <v>0</v>
      </c>
      <c r="M74" s="40">
        <v>1</v>
      </c>
      <c r="N74" s="41">
        <v>0</v>
      </c>
      <c r="O74" s="42">
        <v>0</v>
      </c>
      <c r="P74" s="42">
        <v>0</v>
      </c>
      <c r="Q74" s="43">
        <v>1</v>
      </c>
      <c r="R74" s="109">
        <f>$L$33*N74+$L$34*O74+$L$35*P74+$L$36*Q74</f>
        <v>1</v>
      </c>
      <c r="S74">
        <v>1</v>
      </c>
      <c r="T74" s="102">
        <v>0</v>
      </c>
      <c r="U74" s="103">
        <v>0</v>
      </c>
      <c r="V74" s="103">
        <v>0</v>
      </c>
      <c r="W74" s="105">
        <v>1</v>
      </c>
      <c r="X74" s="76">
        <f>$S$71*T74+$S$72*U74+$S$73*V74+$S$74*W74</f>
        <v>1</v>
      </c>
      <c r="Y74" s="4">
        <f>$X$71*N74+$X$72*O74+$X$73*P74+$X$74*Q74</f>
        <v>1</v>
      </c>
      <c r="Z74" s="102"/>
      <c r="AA74" s="102"/>
      <c r="AB74" s="102">
        <v>0</v>
      </c>
      <c r="AC74" s="103">
        <v>0</v>
      </c>
      <c r="AD74" s="103">
        <v>0</v>
      </c>
      <c r="AE74" s="105">
        <v>1</v>
      </c>
      <c r="AF74">
        <v>0</v>
      </c>
      <c r="AG74">
        <v>0</v>
      </c>
      <c r="AH74">
        <v>0</v>
      </c>
      <c r="AI74">
        <v>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topLeftCell="A7" workbookViewId="0">
      <selection activeCell="B21" sqref="B21"/>
    </sheetView>
  </sheetViews>
  <sheetFormatPr baseColWidth="10" defaultColWidth="8.90625" defaultRowHeight="14.5" x14ac:dyDescent="0.35"/>
  <cols>
    <col min="2" max="2" width="10" bestFit="1" customWidth="1"/>
  </cols>
  <sheetData>
    <row r="1" spans="1:3" x14ac:dyDescent="0.35">
      <c r="A1" s="12" t="s">
        <v>129</v>
      </c>
    </row>
    <row r="9" spans="1:3" x14ac:dyDescent="0.35">
      <c r="A9" t="s">
        <v>130</v>
      </c>
      <c r="B9">
        <v>5</v>
      </c>
    </row>
    <row r="10" spans="1:3" x14ac:dyDescent="0.35">
      <c r="A10" t="s">
        <v>131</v>
      </c>
      <c r="B10">
        <v>3</v>
      </c>
    </row>
    <row r="11" spans="1:3" ht="16.5" x14ac:dyDescent="0.45">
      <c r="A11" t="s">
        <v>132</v>
      </c>
      <c r="B11">
        <v>500</v>
      </c>
      <c r="C11" t="s">
        <v>133</v>
      </c>
    </row>
    <row r="12" spans="1:3" ht="16.5" x14ac:dyDescent="0.45">
      <c r="A12" t="s">
        <v>134</v>
      </c>
      <c r="B12">
        <v>50</v>
      </c>
      <c r="C12" t="s">
        <v>133</v>
      </c>
    </row>
    <row r="13" spans="1:3" ht="16.5" x14ac:dyDescent="0.45">
      <c r="A13" t="s">
        <v>135</v>
      </c>
      <c r="B13">
        <v>60</v>
      </c>
      <c r="C13" t="s">
        <v>133</v>
      </c>
    </row>
    <row r="14" spans="1:3" ht="16.5" x14ac:dyDescent="0.45">
      <c r="A14" t="s">
        <v>136</v>
      </c>
      <c r="B14">
        <f>2*60</f>
        <v>120</v>
      </c>
      <c r="C14" t="s">
        <v>133</v>
      </c>
    </row>
    <row r="16" spans="1:3" ht="16.5" x14ac:dyDescent="0.45">
      <c r="A16" t="s">
        <v>137</v>
      </c>
      <c r="B16">
        <f>B13+50</f>
        <v>110</v>
      </c>
      <c r="C16" t="s">
        <v>133</v>
      </c>
    </row>
    <row r="17" spans="1:6" ht="16.5" x14ac:dyDescent="0.45">
      <c r="A17" t="s">
        <v>138</v>
      </c>
      <c r="B17">
        <f>B14+50</f>
        <v>170</v>
      </c>
      <c r="C17" t="s">
        <v>133</v>
      </c>
    </row>
    <row r="18" spans="1:6" ht="16.5" x14ac:dyDescent="0.45">
      <c r="A18" t="s">
        <v>139</v>
      </c>
      <c r="B18">
        <v>40</v>
      </c>
      <c r="C18" t="s">
        <v>133</v>
      </c>
    </row>
    <row r="19" spans="1:6" ht="16.5" x14ac:dyDescent="0.45">
      <c r="A19" t="s">
        <v>140</v>
      </c>
      <c r="B19">
        <v>120</v>
      </c>
      <c r="C19" t="s">
        <v>141</v>
      </c>
    </row>
    <row r="20" spans="1:6" ht="16.5" x14ac:dyDescent="0.45">
      <c r="A20" t="s">
        <v>142</v>
      </c>
      <c r="B20">
        <f>(45.3+95.7+0.5)*COS(RADIANS(10))</f>
        <v>139.35029705122744</v>
      </c>
      <c r="C20" t="s">
        <v>141</v>
      </c>
    </row>
    <row r="21" spans="1:6" ht="16.5" x14ac:dyDescent="0.45">
      <c r="A21" t="s">
        <v>143</v>
      </c>
      <c r="B21">
        <f>144.384*COS(RADIANS(10))</f>
        <v>142.19048261091464</v>
      </c>
      <c r="C21" t="s">
        <v>141</v>
      </c>
    </row>
    <row r="22" spans="1:6" ht="16.5" x14ac:dyDescent="0.45">
      <c r="A22" t="s">
        <v>144</v>
      </c>
      <c r="B22" s="118">
        <f>B21*(B11+B9*(B12+B16)+(B9-B10)*(B17+B18))/B10</f>
        <v>81522.543363591059</v>
      </c>
      <c r="C22" t="s">
        <v>145</v>
      </c>
      <c r="D22" s="59">
        <f>B22/1000/10</f>
        <v>8.1522543363591051</v>
      </c>
      <c r="E22" t="s">
        <v>146</v>
      </c>
      <c r="F22" s="119">
        <f>D22/12</f>
        <v>0.67935452802992546</v>
      </c>
    </row>
    <row r="23" spans="1:6" ht="16.5" x14ac:dyDescent="0.45">
      <c r="A23" t="s">
        <v>147</v>
      </c>
      <c r="B23" s="118">
        <f>(B20+B21)*(B11+B9*(B12) +(B9-B10)*(B16+B17+B18))/B10</f>
        <v>130447.22791012585</v>
      </c>
      <c r="C23" t="s">
        <v>145</v>
      </c>
      <c r="D23" s="59">
        <f>B23/1000/10</f>
        <v>13.044722791012584</v>
      </c>
      <c r="E23" t="s">
        <v>146</v>
      </c>
      <c r="F23" s="119">
        <f>D23/24</f>
        <v>0.54353011629219095</v>
      </c>
    </row>
    <row r="24" spans="1:6" x14ac:dyDescent="0.35">
      <c r="A24" t="s">
        <v>148</v>
      </c>
      <c r="B24">
        <f>B9*(B16+B17+B18)+B11</f>
        <v>2100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topLeftCell="F13" zoomScale="83" zoomScaleNormal="83" workbookViewId="0">
      <selection activeCell="L17" sqref="L17"/>
    </sheetView>
  </sheetViews>
  <sheetFormatPr baseColWidth="10" defaultColWidth="8.90625" defaultRowHeight="14.5" x14ac:dyDescent="0.35"/>
  <sheetData>
    <row r="1" spans="1:12" x14ac:dyDescent="0.35">
      <c r="A1" t="s">
        <v>0</v>
      </c>
      <c r="L1" t="s">
        <v>1</v>
      </c>
    </row>
    <row r="17" spans="1:12" x14ac:dyDescent="0.35">
      <c r="L17" t="s">
        <v>14</v>
      </c>
    </row>
    <row r="31" spans="1:12" x14ac:dyDescent="0.35">
      <c r="A31" t="s">
        <v>93</v>
      </c>
      <c r="B31">
        <f>RADIANS(90)</f>
        <v>1.5707963267948966</v>
      </c>
      <c r="E31">
        <v>1</v>
      </c>
      <c r="F31">
        <v>0</v>
      </c>
      <c r="G31">
        <v>0</v>
      </c>
      <c r="H31">
        <v>0</v>
      </c>
    </row>
    <row r="32" spans="1:12" x14ac:dyDescent="0.35">
      <c r="E32">
        <v>0</v>
      </c>
      <c r="F32">
        <f>COS(B31)</f>
        <v>6.1257422745431001E-17</v>
      </c>
      <c r="G32">
        <f>-SIN(B31)</f>
        <v>-1</v>
      </c>
      <c r="H32">
        <f>0</f>
        <v>0</v>
      </c>
    </row>
    <row r="33" spans="1:13" x14ac:dyDescent="0.35">
      <c r="E33">
        <v>0</v>
      </c>
      <c r="F33">
        <f>SIN(B31)</f>
        <v>1</v>
      </c>
      <c r="G33">
        <f>COS(B31)</f>
        <v>6.1257422745431001E-17</v>
      </c>
      <c r="H33">
        <v>0</v>
      </c>
    </row>
    <row r="34" spans="1:13" x14ac:dyDescent="0.35">
      <c r="E34">
        <v>0</v>
      </c>
      <c r="F34">
        <v>0</v>
      </c>
      <c r="G34">
        <v>0</v>
      </c>
      <c r="H34">
        <v>1</v>
      </c>
    </row>
    <row r="36" spans="1:13" x14ac:dyDescent="0.35">
      <c r="A36" t="s">
        <v>92</v>
      </c>
      <c r="B36">
        <v>0.3</v>
      </c>
      <c r="E36">
        <f>COS(B36)</f>
        <v>0.95533648912560598</v>
      </c>
      <c r="F36">
        <v>0</v>
      </c>
      <c r="G36">
        <f>SIN(B36)</f>
        <v>0.29552020666133955</v>
      </c>
      <c r="H36">
        <v>0</v>
      </c>
    </row>
    <row r="37" spans="1:13" x14ac:dyDescent="0.35">
      <c r="E37">
        <v>0</v>
      </c>
      <c r="F37">
        <v>1</v>
      </c>
      <c r="G37">
        <v>0</v>
      </c>
      <c r="H37">
        <f>0</f>
        <v>0</v>
      </c>
    </row>
    <row r="38" spans="1:13" x14ac:dyDescent="0.35">
      <c r="E38">
        <f>-SIN(B36)</f>
        <v>-0.29552020666133955</v>
      </c>
      <c r="F38">
        <v>0</v>
      </c>
      <c r="G38">
        <f>COS(B36)</f>
        <v>0.95533648912560598</v>
      </c>
      <c r="H38">
        <v>0</v>
      </c>
    </row>
    <row r="39" spans="1:13" x14ac:dyDescent="0.35">
      <c r="E39">
        <v>0</v>
      </c>
      <c r="F39">
        <v>0</v>
      </c>
      <c r="G39">
        <v>0</v>
      </c>
      <c r="H39">
        <v>1</v>
      </c>
    </row>
    <row r="41" spans="1:13" x14ac:dyDescent="0.35">
      <c r="A41" t="s">
        <v>94</v>
      </c>
      <c r="B41">
        <v>0.4</v>
      </c>
      <c r="E41">
        <f>COS(B41)</f>
        <v>0.9210609940028851</v>
      </c>
      <c r="F41">
        <f>-SIN(B41)</f>
        <v>-0.38941834230865052</v>
      </c>
      <c r="G41">
        <v>0</v>
      </c>
      <c r="H41">
        <v>0</v>
      </c>
    </row>
    <row r="42" spans="1:13" x14ac:dyDescent="0.35">
      <c r="E42">
        <f>SIN(B41)</f>
        <v>0.38941834230865052</v>
      </c>
      <c r="F42">
        <f>COS(B41)</f>
        <v>0.9210609940028851</v>
      </c>
      <c r="G42">
        <v>0</v>
      </c>
      <c r="H42">
        <f>0</f>
        <v>0</v>
      </c>
    </row>
    <row r="43" spans="1:13" x14ac:dyDescent="0.35">
      <c r="E43">
        <v>0</v>
      </c>
      <c r="F43">
        <v>0</v>
      </c>
      <c r="G43">
        <v>1</v>
      </c>
      <c r="H43">
        <v>0</v>
      </c>
    </row>
    <row r="44" spans="1:13" x14ac:dyDescent="0.35">
      <c r="E44">
        <v>0</v>
      </c>
      <c r="F44">
        <v>0</v>
      </c>
      <c r="G44">
        <v>0</v>
      </c>
      <c r="H44">
        <v>1</v>
      </c>
    </row>
    <row r="45" spans="1:13" x14ac:dyDescent="0.35">
      <c r="A45" t="s">
        <v>29</v>
      </c>
      <c r="B45">
        <f>RADIANS(90)</f>
        <v>1.5707963267948966</v>
      </c>
      <c r="E45">
        <f>COS(B46)*COS(B47)</f>
        <v>1</v>
      </c>
      <c r="F45">
        <f>-COS(B46)*SIN(B47)</f>
        <v>0</v>
      </c>
      <c r="G45">
        <f>-SIN(B46)</f>
        <v>0</v>
      </c>
      <c r="H45">
        <v>0</v>
      </c>
      <c r="L45" s="1" t="s">
        <v>21</v>
      </c>
      <c r="M45" t="s">
        <v>22</v>
      </c>
    </row>
    <row r="46" spans="1:13" x14ac:dyDescent="0.35">
      <c r="A46" t="s">
        <v>30</v>
      </c>
      <c r="B46">
        <v>0</v>
      </c>
      <c r="E46">
        <f>-SIN(B45)*SIN(B46)*COS(B47)+COS(B45)*SIN(B47)</f>
        <v>0</v>
      </c>
      <c r="F46">
        <f>SIN(B45)*SIN(B46)*SIN(B47)+COS(B45)*COS(B47)</f>
        <v>6.1257422745431001E-17</v>
      </c>
      <c r="G46">
        <f>-SIN(B45)*COS(B46)</f>
        <v>-1</v>
      </c>
      <c r="H46">
        <v>0</v>
      </c>
      <c r="L46" s="1" t="s">
        <v>23</v>
      </c>
      <c r="M46" t="s">
        <v>24</v>
      </c>
    </row>
    <row r="47" spans="1:13" x14ac:dyDescent="0.35">
      <c r="A47" t="s">
        <v>32</v>
      </c>
      <c r="B47">
        <v>0</v>
      </c>
      <c r="E47">
        <f>COS(B45)*SIN(B46)*COS(B47) + SIN(B45)*SIN(B47)</f>
        <v>0</v>
      </c>
      <c r="F47">
        <f>-COS(B45)*SIN(B46)*SIN(B47)+SIN(B45)*COS(B47)</f>
        <v>1</v>
      </c>
      <c r="G47">
        <f>COS(B45)*COS(B46)</f>
        <v>6.1257422745431001E-17</v>
      </c>
      <c r="H47">
        <v>0</v>
      </c>
      <c r="L47" s="1" t="s">
        <v>26</v>
      </c>
      <c r="M47" t="s">
        <v>25</v>
      </c>
    </row>
    <row r="48" spans="1:13" x14ac:dyDescent="0.35">
      <c r="E48">
        <v>0</v>
      </c>
      <c r="F48">
        <v>0</v>
      </c>
      <c r="G48">
        <v>0</v>
      </c>
      <c r="H48">
        <v>1</v>
      </c>
    </row>
    <row r="81" spans="1:3" x14ac:dyDescent="0.35">
      <c r="A81" t="s">
        <v>20</v>
      </c>
    </row>
    <row r="84" spans="1:3" x14ac:dyDescent="0.35">
      <c r="A84" t="s">
        <v>34</v>
      </c>
      <c r="C84" t="s">
        <v>35</v>
      </c>
    </row>
    <row r="86" spans="1:3" x14ac:dyDescent="0.35">
      <c r="A86" t="s">
        <v>47</v>
      </c>
      <c r="C86" t="s">
        <v>46</v>
      </c>
    </row>
    <row r="87" spans="1:3" x14ac:dyDescent="0.35">
      <c r="C87" t="s">
        <v>48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"/>
  <sheetViews>
    <sheetView workbookViewId="0">
      <selection activeCell="C3" sqref="C3"/>
    </sheetView>
  </sheetViews>
  <sheetFormatPr baseColWidth="10" defaultRowHeight="14.5" x14ac:dyDescent="0.35"/>
  <sheetData>
    <row r="2" spans="1:3" x14ac:dyDescent="0.35">
      <c r="A2" t="s">
        <v>68</v>
      </c>
      <c r="C2" t="s">
        <v>69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Leg Kinematic 2</vt:lpstr>
      <vt:lpstr>Leg Kinematic 3</vt:lpstr>
      <vt:lpstr>Body Kinematic</vt:lpstr>
      <vt:lpstr>Torque</vt:lpstr>
      <vt:lpstr>Theory Sources</vt:lpstr>
      <vt:lpstr>Gait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2017-09-22T22:37:53Z</dcterms:modified>
</cp:coreProperties>
</file>