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\Documents\Meta-analysis\Technical_report\Adjusting_for_dropout\"/>
    </mc:Choice>
  </mc:AlternateContent>
  <bookViews>
    <workbookView xWindow="0" yWindow="0" windowWidth="19200" windowHeight="12045" activeTab="1"/>
  </bookViews>
  <sheets>
    <sheet name="Fixed and random" sheetId="1" r:id="rId1"/>
    <sheet name="Mixed effect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3" l="1"/>
  <c r="B34" i="3"/>
  <c r="B32" i="3"/>
  <c r="B33" i="3"/>
  <c r="L31" i="3"/>
  <c r="B31" i="3"/>
  <c r="B28" i="1"/>
  <c r="K28" i="1"/>
  <c r="I23" i="1"/>
  <c r="J27" i="1" l="1"/>
  <c r="J29" i="1"/>
  <c r="J30" i="1"/>
  <c r="G23" i="3" l="1"/>
  <c r="I23" i="3"/>
  <c r="P36" i="3"/>
  <c r="P35" i="3"/>
  <c r="Q35" i="3"/>
  <c r="P33" i="3"/>
  <c r="P34" i="3"/>
  <c r="P32" i="3"/>
  <c r="Q32" i="3"/>
  <c r="Q31" i="3"/>
  <c r="P31" i="3"/>
  <c r="Q30" i="3"/>
  <c r="P30" i="3"/>
  <c r="O30" i="3"/>
  <c r="L14" i="3"/>
  <c r="K33" i="3"/>
  <c r="K31" i="3"/>
  <c r="K30" i="3"/>
  <c r="G30" i="3"/>
  <c r="H32" i="3"/>
  <c r="H31" i="3"/>
  <c r="H30" i="3"/>
  <c r="B30" i="3"/>
  <c r="K21" i="3"/>
  <c r="F21" i="3"/>
  <c r="G21" i="3" s="1"/>
  <c r="J21" i="3" s="1"/>
  <c r="K20" i="3"/>
  <c r="F20" i="3"/>
  <c r="G20" i="3" s="1"/>
  <c r="I20" i="3" s="1"/>
  <c r="K19" i="3"/>
  <c r="F19" i="3"/>
  <c r="G19" i="3" s="1"/>
  <c r="H19" i="3" s="1"/>
  <c r="K18" i="3"/>
  <c r="F18" i="3"/>
  <c r="G18" i="3" s="1"/>
  <c r="I18" i="3" s="1"/>
  <c r="K17" i="3"/>
  <c r="F17" i="3"/>
  <c r="G17" i="3" s="1"/>
  <c r="J17" i="3" s="1"/>
  <c r="K16" i="3"/>
  <c r="F16" i="3"/>
  <c r="G16" i="3" s="1"/>
  <c r="I16" i="3" s="1"/>
  <c r="K15" i="3"/>
  <c r="F15" i="3"/>
  <c r="G15" i="3" s="1"/>
  <c r="H15" i="3" s="1"/>
  <c r="K14" i="3"/>
  <c r="F14" i="3"/>
  <c r="G14" i="3" s="1"/>
  <c r="K13" i="3"/>
  <c r="F13" i="3"/>
  <c r="G13" i="3" s="1"/>
  <c r="J13" i="3" s="1"/>
  <c r="K12" i="3"/>
  <c r="F12" i="3"/>
  <c r="G12" i="3" s="1"/>
  <c r="I12" i="3" s="1"/>
  <c r="K11" i="3"/>
  <c r="F11" i="3"/>
  <c r="G11" i="3" s="1"/>
  <c r="H11" i="3" s="1"/>
  <c r="K10" i="3"/>
  <c r="F10" i="3"/>
  <c r="G10" i="3" s="1"/>
  <c r="J10" i="3" s="1"/>
  <c r="K9" i="3"/>
  <c r="F9" i="3"/>
  <c r="G9" i="3" s="1"/>
  <c r="J9" i="3" s="1"/>
  <c r="K8" i="3"/>
  <c r="F8" i="3"/>
  <c r="G8" i="3" s="1"/>
  <c r="I8" i="3" s="1"/>
  <c r="K7" i="3"/>
  <c r="F7" i="3"/>
  <c r="G7" i="3" s="1"/>
  <c r="K6" i="3"/>
  <c r="F6" i="3"/>
  <c r="G6" i="3" s="1"/>
  <c r="K5" i="3"/>
  <c r="F5" i="3"/>
  <c r="G5" i="3" s="1"/>
  <c r="J5" i="3" s="1"/>
  <c r="K4" i="3"/>
  <c r="F4" i="3"/>
  <c r="G4" i="3" s="1"/>
  <c r="I4" i="3" s="1"/>
  <c r="G40" i="3" l="1"/>
  <c r="G41" i="3" s="1"/>
  <c r="G22" i="3"/>
  <c r="G31" i="3" s="1"/>
  <c r="G32" i="3" s="1"/>
  <c r="I9" i="3"/>
  <c r="G24" i="3"/>
  <c r="H4" i="3"/>
  <c r="I13" i="3"/>
  <c r="I5" i="3"/>
  <c r="I17" i="3"/>
  <c r="J6" i="3"/>
  <c r="H20" i="3"/>
  <c r="H7" i="3"/>
  <c r="J7" i="3"/>
  <c r="I7" i="3"/>
  <c r="H12" i="3"/>
  <c r="J14" i="3"/>
  <c r="H16" i="3"/>
  <c r="J4" i="3"/>
  <c r="H6" i="3"/>
  <c r="J8" i="3"/>
  <c r="H10" i="3"/>
  <c r="I11" i="3"/>
  <c r="J12" i="3"/>
  <c r="H14" i="3"/>
  <c r="I15" i="3"/>
  <c r="J16" i="3"/>
  <c r="H18" i="3"/>
  <c r="I19" i="3"/>
  <c r="J20" i="3"/>
  <c r="G25" i="3"/>
  <c r="H40" i="3" s="1"/>
  <c r="H41" i="3" s="1"/>
  <c r="J18" i="3"/>
  <c r="H5" i="3"/>
  <c r="I6" i="3"/>
  <c r="H9" i="3"/>
  <c r="I10" i="3"/>
  <c r="J11" i="3"/>
  <c r="H13" i="3"/>
  <c r="I14" i="3"/>
  <c r="J15" i="3"/>
  <c r="H17" i="3"/>
  <c r="J19" i="3"/>
  <c r="H21" i="3"/>
  <c r="H8" i="3"/>
  <c r="I21" i="3"/>
  <c r="I25" i="3" l="1"/>
  <c r="J23" i="3"/>
  <c r="J22" i="3"/>
  <c r="H25" i="3"/>
  <c r="H39" i="3" s="1"/>
  <c r="J25" i="3"/>
  <c r="H23" i="3"/>
  <c r="G39" i="3" l="1"/>
  <c r="L30" i="3"/>
  <c r="L33" i="3"/>
  <c r="H43" i="3"/>
  <c r="H42" i="3"/>
  <c r="H44" i="3"/>
  <c r="G44" i="3" l="1"/>
  <c r="G43" i="3"/>
  <c r="G42" i="3"/>
  <c r="J28" i="1" l="1"/>
  <c r="B27" i="1" l="1"/>
  <c r="J21" i="1"/>
  <c r="E21" i="1"/>
  <c r="F21" i="1" s="1"/>
  <c r="I21" i="1" s="1"/>
  <c r="J20" i="1"/>
  <c r="E20" i="1"/>
  <c r="F20" i="1" s="1"/>
  <c r="J19" i="1"/>
  <c r="E19" i="1"/>
  <c r="F19" i="1" s="1"/>
  <c r="J18" i="1"/>
  <c r="E18" i="1"/>
  <c r="F18" i="1" s="1"/>
  <c r="J17" i="1"/>
  <c r="E17" i="1"/>
  <c r="F17" i="1" s="1"/>
  <c r="J16" i="1"/>
  <c r="E16" i="1"/>
  <c r="F16" i="1" s="1"/>
  <c r="J15" i="1"/>
  <c r="E15" i="1"/>
  <c r="F15" i="1" s="1"/>
  <c r="J14" i="1"/>
  <c r="E14" i="1"/>
  <c r="F14" i="1" s="1"/>
  <c r="J13" i="1"/>
  <c r="E13" i="1"/>
  <c r="F13" i="1" s="1"/>
  <c r="I13" i="1" s="1"/>
  <c r="J12" i="1"/>
  <c r="E12" i="1"/>
  <c r="F12" i="1" s="1"/>
  <c r="J11" i="1"/>
  <c r="E11" i="1"/>
  <c r="F11" i="1" s="1"/>
  <c r="J10" i="1"/>
  <c r="E10" i="1"/>
  <c r="F10" i="1" s="1"/>
  <c r="J9" i="1"/>
  <c r="E9" i="1"/>
  <c r="F9" i="1" s="1"/>
  <c r="J8" i="1"/>
  <c r="E8" i="1"/>
  <c r="F8" i="1" s="1"/>
  <c r="I8" i="1" s="1"/>
  <c r="J7" i="1"/>
  <c r="E7" i="1"/>
  <c r="F7" i="1" s="1"/>
  <c r="J6" i="1"/>
  <c r="E6" i="1"/>
  <c r="F6" i="1" s="1"/>
  <c r="F23" i="1" s="1"/>
  <c r="J5" i="1"/>
  <c r="E5" i="1"/>
  <c r="F5" i="1" s="1"/>
  <c r="I5" i="1" s="1"/>
  <c r="J4" i="1"/>
  <c r="E4" i="1"/>
  <c r="F4" i="1" s="1"/>
  <c r="G28" i="1" l="1"/>
  <c r="G29" i="1" s="1"/>
  <c r="I11" i="1"/>
  <c r="H11" i="1"/>
  <c r="G11" i="1"/>
  <c r="I7" i="1"/>
  <c r="H7" i="1"/>
  <c r="G7" i="1"/>
  <c r="I9" i="1"/>
  <c r="G9" i="1"/>
  <c r="H9" i="1"/>
  <c r="I15" i="1"/>
  <c r="H15" i="1"/>
  <c r="G15" i="1"/>
  <c r="I17" i="1"/>
  <c r="G17" i="1"/>
  <c r="H17" i="1"/>
  <c r="I19" i="1"/>
  <c r="H19" i="1"/>
  <c r="G19" i="1"/>
  <c r="G5" i="1"/>
  <c r="G13" i="1"/>
  <c r="G21" i="1"/>
  <c r="H5" i="1"/>
  <c r="H13" i="1"/>
  <c r="H21" i="1"/>
  <c r="H12" i="1"/>
  <c r="G12" i="1"/>
  <c r="I12" i="1"/>
  <c r="H4" i="1"/>
  <c r="F22" i="1"/>
  <c r="G4" i="1"/>
  <c r="H10" i="1"/>
  <c r="G10" i="1"/>
  <c r="I10" i="1"/>
  <c r="H18" i="1"/>
  <c r="G18" i="1"/>
  <c r="I18" i="1"/>
  <c r="I4" i="1"/>
  <c r="H16" i="1"/>
  <c r="G16" i="1"/>
  <c r="I16" i="1"/>
  <c r="H14" i="1"/>
  <c r="G14" i="1"/>
  <c r="I14" i="1"/>
  <c r="H6" i="1"/>
  <c r="G6" i="1"/>
  <c r="I6" i="1"/>
  <c r="H20" i="1"/>
  <c r="G20" i="1"/>
  <c r="I20" i="1"/>
  <c r="H8" i="1"/>
  <c r="G8" i="1"/>
  <c r="K30" i="1" l="1"/>
  <c r="G23" i="1"/>
  <c r="G27" i="1" s="1"/>
  <c r="F28" i="1"/>
  <c r="F29" i="1" s="1"/>
  <c r="H23" i="1"/>
  <c r="H22" i="1"/>
  <c r="I22" i="1"/>
  <c r="G22" i="1"/>
  <c r="F27" i="1" s="1"/>
  <c r="K27" i="1" l="1"/>
  <c r="K29" i="1" s="1"/>
  <c r="K31" i="1" s="1"/>
  <c r="J31" i="1"/>
  <c r="G32" i="1"/>
  <c r="G30" i="1"/>
  <c r="G31" i="1"/>
  <c r="F30" i="1"/>
  <c r="F31" i="1"/>
  <c r="F32" i="1"/>
  <c r="O11" i="1" l="1"/>
  <c r="O20" i="1"/>
  <c r="P20" i="1" s="1"/>
  <c r="Q20" i="1" s="1"/>
  <c r="R20" i="1" s="1"/>
  <c r="O17" i="1"/>
  <c r="P17" i="1" s="1"/>
  <c r="Q17" i="1" s="1"/>
  <c r="R17" i="1" s="1"/>
  <c r="O12" i="1"/>
  <c r="P12" i="1" s="1"/>
  <c r="Q12" i="1" s="1"/>
  <c r="R12" i="1" s="1"/>
  <c r="O10" i="1"/>
  <c r="P10" i="1" s="1"/>
  <c r="Q10" i="1" s="1"/>
  <c r="R10" i="1" s="1"/>
  <c r="O21" i="1"/>
  <c r="P21" i="1" s="1"/>
  <c r="Q21" i="1" s="1"/>
  <c r="R21" i="1" s="1"/>
  <c r="O8" i="1"/>
  <c r="P8" i="1" s="1"/>
  <c r="Q8" i="1" s="1"/>
  <c r="R8" i="1" s="1"/>
  <c r="O15" i="1"/>
  <c r="P15" i="1" s="1"/>
  <c r="Q15" i="1" s="1"/>
  <c r="R15" i="1" s="1"/>
  <c r="O9" i="1"/>
  <c r="P9" i="1" s="1"/>
  <c r="Q9" i="1" s="1"/>
  <c r="R9" i="1" s="1"/>
  <c r="O13" i="1"/>
  <c r="P13" i="1" s="1"/>
  <c r="Q13" i="1" s="1"/>
  <c r="R13" i="1" s="1"/>
  <c r="O5" i="1"/>
  <c r="P5" i="1" s="1"/>
  <c r="Q5" i="1" s="1"/>
  <c r="R5" i="1" s="1"/>
  <c r="O4" i="1"/>
  <c r="P4" i="1" s="1"/>
  <c r="Q4" i="1" s="1"/>
  <c r="R4" i="1" s="1"/>
  <c r="O7" i="1"/>
  <c r="P7" i="1" s="1"/>
  <c r="Q7" i="1" s="1"/>
  <c r="R7" i="1" s="1"/>
  <c r="O19" i="1"/>
  <c r="P19" i="1" s="1"/>
  <c r="Q19" i="1" s="1"/>
  <c r="R19" i="1" s="1"/>
  <c r="O14" i="1"/>
  <c r="P14" i="1" s="1"/>
  <c r="Q14" i="1" s="1"/>
  <c r="R14" i="1" s="1"/>
  <c r="O18" i="1"/>
  <c r="P18" i="1" s="1"/>
  <c r="Q18" i="1" s="1"/>
  <c r="R18" i="1" s="1"/>
  <c r="O6" i="1"/>
  <c r="P6" i="1" s="1"/>
  <c r="Q6" i="1" s="1"/>
  <c r="O16" i="1"/>
  <c r="P16" i="1" s="1"/>
  <c r="Q16" i="1" s="1"/>
  <c r="R16" i="1" s="1"/>
  <c r="K20" i="1"/>
  <c r="L20" i="1" s="1"/>
  <c r="M20" i="1" s="1"/>
  <c r="N20" i="1" s="1"/>
  <c r="K16" i="1"/>
  <c r="K12" i="1"/>
  <c r="K8" i="1"/>
  <c r="L8" i="1" s="1"/>
  <c r="M8" i="1" s="1"/>
  <c r="N8" i="1" s="1"/>
  <c r="K4" i="1"/>
  <c r="L4" i="1" s="1"/>
  <c r="M4" i="1" s="1"/>
  <c r="K19" i="1"/>
  <c r="K11" i="1"/>
  <c r="L11" i="1" s="1"/>
  <c r="M11" i="1" s="1"/>
  <c r="N11" i="1" s="1"/>
  <c r="K18" i="1"/>
  <c r="L18" i="1" s="1"/>
  <c r="M18" i="1" s="1"/>
  <c r="N18" i="1" s="1"/>
  <c r="K14" i="1"/>
  <c r="L14" i="1" s="1"/>
  <c r="M14" i="1" s="1"/>
  <c r="N14" i="1" s="1"/>
  <c r="K6" i="1"/>
  <c r="K21" i="1"/>
  <c r="L21" i="1" s="1"/>
  <c r="M21" i="1" s="1"/>
  <c r="N21" i="1" s="1"/>
  <c r="K17" i="1"/>
  <c r="L17" i="1" s="1"/>
  <c r="M17" i="1" s="1"/>
  <c r="N17" i="1" s="1"/>
  <c r="K13" i="1"/>
  <c r="K9" i="1"/>
  <c r="K5" i="1"/>
  <c r="L5" i="1" s="1"/>
  <c r="M5" i="1" s="1"/>
  <c r="N5" i="1" s="1"/>
  <c r="K15" i="1"/>
  <c r="L15" i="1" s="1"/>
  <c r="M15" i="1" s="1"/>
  <c r="N15" i="1" s="1"/>
  <c r="K7" i="1"/>
  <c r="L7" i="1" s="1"/>
  <c r="M7" i="1" s="1"/>
  <c r="N7" i="1" s="1"/>
  <c r="K10" i="1"/>
  <c r="P11" i="1"/>
  <c r="Q11" i="1" s="1"/>
  <c r="R11" i="1" s="1"/>
  <c r="L16" i="1"/>
  <c r="M16" i="1" s="1"/>
  <c r="N16" i="1" s="1"/>
  <c r="L12" i="1"/>
  <c r="M12" i="1" s="1"/>
  <c r="N12" i="1" s="1"/>
  <c r="L10" i="1"/>
  <c r="M10" i="1" s="1"/>
  <c r="N10" i="1" s="1"/>
  <c r="L6" i="1"/>
  <c r="M6" i="1" s="1"/>
  <c r="N6" i="1" s="1"/>
  <c r="L9" i="1"/>
  <c r="M9" i="1" s="1"/>
  <c r="N9" i="1" s="1"/>
  <c r="L19" i="1"/>
  <c r="M19" i="1" s="1"/>
  <c r="N19" i="1" s="1"/>
  <c r="L13" i="1"/>
  <c r="M13" i="1" s="1"/>
  <c r="N13" i="1" s="1"/>
  <c r="Q22" i="1" l="1"/>
  <c r="R28" i="1" s="1"/>
  <c r="R6" i="1"/>
  <c r="R22" i="1" s="1"/>
  <c r="M22" i="1"/>
  <c r="N28" i="1" s="1"/>
  <c r="N29" i="1" s="1"/>
  <c r="N4" i="1"/>
  <c r="N22" i="1" s="1"/>
  <c r="R29" i="1" l="1"/>
  <c r="N27" i="1"/>
  <c r="N31" i="1" s="1"/>
  <c r="R27" i="1"/>
  <c r="R32" i="1" l="1"/>
  <c r="R33" i="1" s="1"/>
  <c r="N30" i="1"/>
  <c r="N32" i="1"/>
  <c r="N33" i="1" s="1"/>
  <c r="R31" i="1"/>
  <c r="R30" i="1"/>
  <c r="I24" i="3"/>
  <c r="H24" i="3"/>
  <c r="H33" i="3"/>
  <c r="H22" i="3"/>
  <c r="J24" i="3"/>
  <c r="L32" i="3"/>
  <c r="I22" i="3"/>
  <c r="K32" i="3" s="1"/>
  <c r="K34" i="3" l="1"/>
  <c r="L12" i="3" s="1"/>
  <c r="M12" i="3" s="1"/>
  <c r="N12" i="3" s="1"/>
  <c r="O12" i="3" s="1"/>
  <c r="L34" i="3"/>
  <c r="L19" i="3"/>
  <c r="M19" i="3" s="1"/>
  <c r="N19" i="3" s="1"/>
  <c r="O19" i="3" s="1"/>
  <c r="L4" i="3"/>
  <c r="M4" i="3" s="1"/>
  <c r="N4" i="3" s="1"/>
  <c r="L9" i="3"/>
  <c r="M9" i="3" s="1"/>
  <c r="N9" i="3" s="1"/>
  <c r="O9" i="3" s="1"/>
  <c r="G35" i="3"/>
  <c r="G33" i="3"/>
  <c r="G34" i="3"/>
  <c r="H35" i="3"/>
  <c r="H34" i="3"/>
  <c r="P9" i="3" l="1"/>
  <c r="Q9" i="3" s="1"/>
  <c r="R9" i="3" s="1"/>
  <c r="S9" i="3" s="1"/>
  <c r="P10" i="3"/>
  <c r="P16" i="3"/>
  <c r="Q16" i="3" s="1"/>
  <c r="R16" i="3" s="1"/>
  <c r="S16" i="3" s="1"/>
  <c r="P11" i="3"/>
  <c r="Q11" i="3" s="1"/>
  <c r="R11" i="3" s="1"/>
  <c r="S11" i="3" s="1"/>
  <c r="L18" i="3"/>
  <c r="M18" i="3" s="1"/>
  <c r="N18" i="3" s="1"/>
  <c r="O18" i="3" s="1"/>
  <c r="L7" i="3"/>
  <c r="M7" i="3" s="1"/>
  <c r="N7" i="3" s="1"/>
  <c r="O7" i="3" s="1"/>
  <c r="L15" i="3"/>
  <c r="M15" i="3" s="1"/>
  <c r="N15" i="3" s="1"/>
  <c r="O15" i="3" s="1"/>
  <c r="L20" i="3"/>
  <c r="M20" i="3" s="1"/>
  <c r="N20" i="3" s="1"/>
  <c r="O20" i="3" s="1"/>
  <c r="L21" i="3"/>
  <c r="M21" i="3" s="1"/>
  <c r="N21" i="3" s="1"/>
  <c r="O21" i="3" s="1"/>
  <c r="L6" i="3"/>
  <c r="M6" i="3" s="1"/>
  <c r="N6" i="3" s="1"/>
  <c r="O6" i="3" s="1"/>
  <c r="L17" i="3"/>
  <c r="M17" i="3" s="1"/>
  <c r="N17" i="3" s="1"/>
  <c r="O17" i="3" s="1"/>
  <c r="L13" i="3"/>
  <c r="M13" i="3" s="1"/>
  <c r="N13" i="3" s="1"/>
  <c r="L5" i="3"/>
  <c r="M5" i="3" s="1"/>
  <c r="N5" i="3" s="1"/>
  <c r="O5" i="3" s="1"/>
  <c r="L10" i="3"/>
  <c r="M10" i="3" s="1"/>
  <c r="N10" i="3" s="1"/>
  <c r="O10" i="3" s="1"/>
  <c r="L16" i="3"/>
  <c r="M16" i="3" s="1"/>
  <c r="N16" i="3" s="1"/>
  <c r="O16" i="3" s="1"/>
  <c r="L11" i="3"/>
  <c r="M11" i="3" s="1"/>
  <c r="N11" i="3" s="1"/>
  <c r="O11" i="3" s="1"/>
  <c r="L8" i="3"/>
  <c r="M8" i="3" s="1"/>
  <c r="N8" i="3" s="1"/>
  <c r="O8" i="3" s="1"/>
  <c r="M14" i="3"/>
  <c r="N14" i="3" s="1"/>
  <c r="O14" i="3" s="1"/>
  <c r="O13" i="3"/>
  <c r="N22" i="3"/>
  <c r="P6" i="3"/>
  <c r="Q6" i="3" s="1"/>
  <c r="R6" i="3" s="1"/>
  <c r="P21" i="3"/>
  <c r="Q21" i="3" s="1"/>
  <c r="R21" i="3" s="1"/>
  <c r="S21" i="3" s="1"/>
  <c r="P20" i="3"/>
  <c r="Q20" i="3" s="1"/>
  <c r="R20" i="3" s="1"/>
  <c r="S20" i="3" s="1"/>
  <c r="Q10" i="3"/>
  <c r="R10" i="3" s="1"/>
  <c r="S10" i="3" s="1"/>
  <c r="P12" i="3"/>
  <c r="Q12" i="3" s="1"/>
  <c r="R12" i="3" s="1"/>
  <c r="S12" i="3" s="1"/>
  <c r="P4" i="3"/>
  <c r="Q4" i="3" s="1"/>
  <c r="R4" i="3" s="1"/>
  <c r="P7" i="3"/>
  <c r="Q7" i="3" s="1"/>
  <c r="R7" i="3" s="1"/>
  <c r="S7" i="3" s="1"/>
  <c r="P19" i="3"/>
  <c r="Q19" i="3" s="1"/>
  <c r="R19" i="3" s="1"/>
  <c r="S19" i="3" s="1"/>
  <c r="P14" i="3"/>
  <c r="Q14" i="3" s="1"/>
  <c r="R14" i="3" s="1"/>
  <c r="P18" i="3"/>
  <c r="Q18" i="3" s="1"/>
  <c r="R18" i="3" s="1"/>
  <c r="S18" i="3" s="1"/>
  <c r="P5" i="3"/>
  <c r="Q5" i="3" s="1"/>
  <c r="R5" i="3" s="1"/>
  <c r="S5" i="3" s="1"/>
  <c r="P15" i="3"/>
  <c r="Q15" i="3" s="1"/>
  <c r="R15" i="3" s="1"/>
  <c r="S15" i="3" s="1"/>
  <c r="P8" i="3"/>
  <c r="Q8" i="3" s="1"/>
  <c r="R8" i="3" s="1"/>
  <c r="S8" i="3" s="1"/>
  <c r="P17" i="3"/>
  <c r="Q17" i="3" s="1"/>
  <c r="R17" i="3" s="1"/>
  <c r="S17" i="3" s="1"/>
  <c r="P13" i="3"/>
  <c r="Q13" i="3" s="1"/>
  <c r="R13" i="3" s="1"/>
  <c r="S13" i="3" s="1"/>
  <c r="O4" i="3"/>
  <c r="S14" i="3" l="1"/>
  <c r="R24" i="3"/>
  <c r="S24" i="3"/>
  <c r="S4" i="3"/>
  <c r="S6" i="3"/>
  <c r="S22" i="3" s="1"/>
  <c r="R22" i="3"/>
  <c r="O22" i="3"/>
  <c r="N24" i="3"/>
  <c r="O24" i="3"/>
  <c r="O31" i="3"/>
  <c r="O32" i="3" s="1"/>
  <c r="S30" i="3" l="1"/>
  <c r="S31" i="3"/>
  <c r="R30" i="3"/>
  <c r="S32" i="3"/>
  <c r="R31" i="3"/>
  <c r="R32" i="3" s="1"/>
  <c r="O35" i="3"/>
  <c r="O36" i="3" s="1"/>
  <c r="O33" i="3"/>
  <c r="O34" i="3"/>
  <c r="T31" i="3" l="1"/>
  <c r="T32" i="3" s="1"/>
  <c r="R35" i="3"/>
  <c r="R34" i="3"/>
  <c r="R33" i="3"/>
  <c r="S34" i="3"/>
  <c r="S33" i="3" l="1"/>
  <c r="T30" i="3"/>
  <c r="T35" i="3" s="1"/>
  <c r="S35" i="3"/>
  <c r="S36" i="3" s="1"/>
</calcChain>
</file>

<file path=xl/sharedStrings.xml><?xml version="1.0" encoding="utf-8"?>
<sst xmlns="http://schemas.openxmlformats.org/spreadsheetml/2006/main" count="184" uniqueCount="82">
  <si>
    <t>Estimate</t>
  </si>
  <si>
    <t>Variance</t>
  </si>
  <si>
    <t>Effect size</t>
  </si>
  <si>
    <t>Q</t>
  </si>
  <si>
    <t>ES</t>
  </si>
  <si>
    <t>Df</t>
  </si>
  <si>
    <t>S.E</t>
  </si>
  <si>
    <t>Numerator</t>
  </si>
  <si>
    <t>95% lower</t>
  </si>
  <si>
    <t>C</t>
  </si>
  <si>
    <t>95% upper</t>
  </si>
  <si>
    <t>Tau-sq</t>
  </si>
  <si>
    <t>Z</t>
  </si>
  <si>
    <t>p 1 tailed</t>
  </si>
  <si>
    <t>Park_2017</t>
  </si>
  <si>
    <t>Chang_2011</t>
  </si>
  <si>
    <t>Bang_2018</t>
  </si>
  <si>
    <t>Fleming_2018</t>
  </si>
  <si>
    <t>Gonzalez_Alam_2018</t>
  </si>
  <si>
    <t>Tom_2007</t>
  </si>
  <si>
    <t>Waskom_2016</t>
  </si>
  <si>
    <t>Op_de_Macks_2018</t>
  </si>
  <si>
    <t>Suzuki_2015</t>
  </si>
  <si>
    <t>Rahnev_2016</t>
  </si>
  <si>
    <t>Li_2017</t>
  </si>
  <si>
    <t>Aridan_PP</t>
  </si>
  <si>
    <t>Cho_2016</t>
  </si>
  <si>
    <t>Kameda_2016</t>
  </si>
  <si>
    <t>Van_der_Laan_2014</t>
  </si>
  <si>
    <t>Hunt_2014</t>
  </si>
  <si>
    <t>Korn_2018</t>
  </si>
  <si>
    <t>Fujiwara_2018</t>
  </si>
  <si>
    <t>Number non-zero</t>
  </si>
  <si>
    <t>All</t>
  </si>
  <si>
    <t>Adjusted</t>
  </si>
  <si>
    <t>Fixed effects statistics</t>
  </si>
  <si>
    <t>Calculating between-study variance</t>
  </si>
  <si>
    <t>Within Var</t>
  </si>
  <si>
    <t>Fixed effects statistics - All</t>
  </si>
  <si>
    <t>Random effects statistics</t>
  </si>
  <si>
    <t>Study name</t>
  </si>
  <si>
    <t>** Edit values in these columns. To change the number of</t>
  </si>
  <si>
    <t>studies, select rows in the middle of the table &amp; insert / delete</t>
  </si>
  <si>
    <t>Fixed effects (FE)</t>
  </si>
  <si>
    <t>Random effects (FE)</t>
  </si>
  <si>
    <t>Map? 1:map, 0:peaks</t>
  </si>
  <si>
    <t>ES*FE Wt</t>
  </si>
  <si>
    <t>ES^2*FE Wt</t>
  </si>
  <si>
    <t>FE Wt^2</t>
  </si>
  <si>
    <t>RE All Wt</t>
  </si>
  <si>
    <t>ES*RE All Wt</t>
  </si>
  <si>
    <t>RE All Between Var</t>
  </si>
  <si>
    <t>RE All Total Var</t>
  </si>
  <si>
    <t>RE Adj Between Var</t>
  </si>
  <si>
    <t>RE Adj Total Var</t>
  </si>
  <si>
    <t>RE Adj Wt</t>
  </si>
  <si>
    <t>ES*RE Adj Wt</t>
  </si>
  <si>
    <t>Adjusted (Adj)</t>
  </si>
  <si>
    <t>FE Weighting (Wt , 1/Var)</t>
  </si>
  <si>
    <t>Within-study variance (Var)</t>
  </si>
  <si>
    <t>Group (0 &amp; 1)</t>
  </si>
  <si>
    <t>Sum:</t>
  </si>
  <si>
    <t>All:</t>
  </si>
  <si>
    <t>Adjusted:</t>
  </si>
  <si>
    <t>Aridan_PrePrint</t>
  </si>
  <si>
    <t>Group 1 sum all</t>
  </si>
  <si>
    <t>Group 1 sum adjusted</t>
  </si>
  <si>
    <t>Group 0 sum all</t>
  </si>
  <si>
    <t>Group 0 sum adjusted</t>
  </si>
  <si>
    <t>Total number of studies</t>
  </si>
  <si>
    <t>Total group 0 studies</t>
  </si>
  <si>
    <t>Total group 1 studies</t>
  </si>
  <si>
    <t>Non-zero group 0 studies</t>
  </si>
  <si>
    <t>Non-zero group 1 studies</t>
  </si>
  <si>
    <t>Group 0</t>
  </si>
  <si>
    <t>Group 1</t>
  </si>
  <si>
    <t>Fixed effects statistics - Adjusted</t>
  </si>
  <si>
    <t>G1 - G0</t>
  </si>
  <si>
    <t>No. studies for original (all)</t>
  </si>
  <si>
    <t>No. studies for adjusted</t>
  </si>
  <si>
    <t>Note: adjusted analysis includes maps with non-zero</t>
  </si>
  <si>
    <t>estimates and studies with coordinates, including if zero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</si>
</sst>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7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9" xfId="0" applyBorder="1"/>
    <xf numFmtId="0" fontId="0" fillId="0" borderId="11" xfId="0" applyBorder="1"/>
    <xf numFmtId="0" fontId="1" fillId="0" borderId="6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" fontId="0" fillId="0" borderId="0" xfId="0" applyNumberFormat="1"/>
    <xf numFmtId="164" fontId="0" fillId="0" borderId="7" xfId="0" applyNumberFormat="1" applyBorder="1"/>
    <xf numFmtId="164" fontId="0" fillId="0" borderId="12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164" fontId="0" fillId="0" borderId="9" xfId="0" applyNumberFormat="1" applyBorder="1"/>
    <xf numFmtId="164" fontId="0" fillId="0" borderId="13" xfId="0" applyNumberFormat="1" applyBorder="1"/>
    <xf numFmtId="164" fontId="0" fillId="0" borderId="5" xfId="0" applyNumberFormat="1" applyBorder="1"/>
    <xf numFmtId="164" fontId="0" fillId="0" borderId="14" xfId="0" applyNumberFormat="1" applyBorder="1"/>
    <xf numFmtId="164" fontId="0" fillId="0" borderId="1" xfId="0" applyNumberFormat="1" applyBorder="1"/>
    <xf numFmtId="164" fontId="0" fillId="0" borderId="11" xfId="0" applyNumberFormat="1" applyBorder="1"/>
    <xf numFmtId="164" fontId="0" fillId="0" borderId="2" xfId="0" applyNumberFormat="1" applyBorder="1"/>
    <xf numFmtId="0" fontId="1" fillId="0" borderId="2" xfId="0" applyFont="1" applyBorder="1"/>
    <xf numFmtId="0" fontId="1" fillId="0" borderId="1" xfId="0" applyFont="1" applyBorder="1"/>
    <xf numFmtId="0" fontId="0" fillId="0" borderId="6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0" xfId="0" applyAlignment="1">
      <alignment horizontal="center" wrapText="1"/>
    </xf>
    <xf numFmtId="0" fontId="1" fillId="0" borderId="0" xfId="0" applyFont="1" applyBorder="1"/>
    <xf numFmtId="0" fontId="0" fillId="0" borderId="7" xfId="0" applyBorder="1"/>
    <xf numFmtId="0" fontId="0" fillId="0" borderId="5" xfId="0" applyBorder="1"/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1" fillId="0" borderId="4" xfId="0" applyFont="1" applyBorder="1" applyAlignment="1">
      <alignment horizontal="center" vertical="center"/>
    </xf>
    <xf numFmtId="0" fontId="0" fillId="0" borderId="15" xfId="0" applyBorder="1"/>
    <xf numFmtId="1" fontId="0" fillId="0" borderId="9" xfId="0" applyNumberFormat="1" applyBorder="1"/>
    <xf numFmtId="1" fontId="0" fillId="0" borderId="12" xfId="0" applyNumberFormat="1" applyBorder="1"/>
    <xf numFmtId="1" fontId="0" fillId="0" borderId="13" xfId="0" applyNumberFormat="1" applyBorder="1"/>
    <xf numFmtId="1" fontId="0" fillId="0" borderId="11" xfId="0" applyNumberFormat="1" applyBorder="1"/>
    <xf numFmtId="165" fontId="0" fillId="0" borderId="13" xfId="0" applyNumberFormat="1" applyBorder="1"/>
    <xf numFmtId="165" fontId="0" fillId="0" borderId="14" xfId="0" applyNumberFormat="1" applyBorder="1"/>
    <xf numFmtId="0" fontId="1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1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1" fontId="0" fillId="0" borderId="1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3"/>
  <sheetViews>
    <sheetView topLeftCell="A13" workbookViewId="0">
      <selection activeCell="B29" sqref="B29"/>
    </sheetView>
  </sheetViews>
  <sheetFormatPr defaultRowHeight="15" x14ac:dyDescent="0.25"/>
  <cols>
    <col min="1" max="1" width="24.42578125" customWidth="1"/>
    <col min="3" max="3" width="13.140625" customWidth="1"/>
    <col min="4" max="4" width="12" customWidth="1"/>
    <col min="5" max="5" width="10.85546875" customWidth="1"/>
    <col min="6" max="6" width="14" customWidth="1"/>
    <col min="7" max="7" width="11.28515625" customWidth="1"/>
    <col min="8" max="9" width="12" customWidth="1"/>
    <col min="10" max="10" width="10.28515625" customWidth="1"/>
    <col min="11" max="11" width="12.5703125" customWidth="1"/>
    <col min="12" max="12" width="11.42578125" customWidth="1"/>
    <col min="13" max="13" width="10.5703125" customWidth="1"/>
    <col min="14" max="15" width="12.140625" customWidth="1"/>
    <col min="16" max="16" width="10.28515625" customWidth="1"/>
    <col min="17" max="17" width="10.5703125" customWidth="1"/>
    <col min="18" max="18" width="13.42578125" customWidth="1"/>
  </cols>
  <sheetData>
    <row r="1" spans="1:18" x14ac:dyDescent="0.25">
      <c r="A1" s="63" t="s">
        <v>41</v>
      </c>
      <c r="B1" s="63"/>
      <c r="C1" s="63"/>
      <c r="D1" s="64"/>
      <c r="E1" s="65" t="s">
        <v>43</v>
      </c>
      <c r="F1" s="66"/>
      <c r="G1" s="66"/>
      <c r="H1" s="66"/>
      <c r="I1" s="66"/>
      <c r="J1" s="65" t="s">
        <v>44</v>
      </c>
      <c r="K1" s="65"/>
      <c r="L1" s="65"/>
      <c r="M1" s="65"/>
      <c r="N1" s="65"/>
      <c r="O1" s="65"/>
      <c r="P1" s="65"/>
      <c r="Q1" s="65"/>
      <c r="R1" s="65"/>
    </row>
    <row r="2" spans="1:18" x14ac:dyDescent="0.25">
      <c r="A2" s="63" t="s">
        <v>42</v>
      </c>
      <c r="B2" s="63"/>
      <c r="C2" s="63"/>
      <c r="D2" s="64"/>
      <c r="E2" s="5"/>
      <c r="F2" s="6"/>
      <c r="G2" s="6"/>
      <c r="H2" s="6"/>
      <c r="I2" s="6"/>
      <c r="J2" s="7"/>
      <c r="K2" s="61" t="s">
        <v>33</v>
      </c>
      <c r="L2" s="61"/>
      <c r="M2" s="58"/>
      <c r="N2" s="62"/>
      <c r="O2" s="60" t="s">
        <v>57</v>
      </c>
      <c r="P2" s="61"/>
      <c r="Q2" s="61"/>
      <c r="R2" s="62"/>
    </row>
    <row r="3" spans="1:18" s="33" customFormat="1" ht="30" customHeight="1" x14ac:dyDescent="0.25">
      <c r="A3" s="28" t="s">
        <v>40</v>
      </c>
      <c r="B3" s="28" t="s">
        <v>0</v>
      </c>
      <c r="C3" s="28" t="s">
        <v>59</v>
      </c>
      <c r="D3" s="28" t="s">
        <v>45</v>
      </c>
      <c r="E3" s="29" t="s">
        <v>37</v>
      </c>
      <c r="F3" s="28" t="s">
        <v>58</v>
      </c>
      <c r="G3" s="28" t="s">
        <v>46</v>
      </c>
      <c r="H3" s="28" t="s">
        <v>47</v>
      </c>
      <c r="I3" s="28" t="s">
        <v>48</v>
      </c>
      <c r="J3" s="30" t="s">
        <v>37</v>
      </c>
      <c r="K3" s="28" t="s">
        <v>51</v>
      </c>
      <c r="L3" s="28" t="s">
        <v>52</v>
      </c>
      <c r="M3" s="28" t="s">
        <v>49</v>
      </c>
      <c r="N3" s="31" t="s">
        <v>50</v>
      </c>
      <c r="O3" s="28" t="s">
        <v>53</v>
      </c>
      <c r="P3" s="28" t="s">
        <v>54</v>
      </c>
      <c r="Q3" s="28" t="s">
        <v>55</v>
      </c>
      <c r="R3" s="32" t="s">
        <v>56</v>
      </c>
    </row>
    <row r="4" spans="1:18" x14ac:dyDescent="0.25">
      <c r="A4" t="s">
        <v>14</v>
      </c>
      <c r="B4" s="11">
        <v>0</v>
      </c>
      <c r="C4" s="11">
        <v>4.3478000000000003E-2</v>
      </c>
      <c r="D4">
        <v>1</v>
      </c>
      <c r="E4" s="13">
        <f t="shared" ref="E4:E21" si="0">C4</f>
        <v>4.3478000000000003E-2</v>
      </c>
      <c r="F4" s="11">
        <f>1/E4</f>
        <v>23.000138000828002</v>
      </c>
      <c r="G4" s="11">
        <f t="shared" ref="G4:G21" si="1">F4*B4</f>
        <v>0</v>
      </c>
      <c r="H4" s="11">
        <f t="shared" ref="H4:H21" si="2">(B4^2)*F4</f>
        <v>0</v>
      </c>
      <c r="I4" s="11">
        <f>F4^2</f>
        <v>529.0063480571323</v>
      </c>
      <c r="J4" s="14">
        <f t="shared" ref="J4:J21" si="3">C4</f>
        <v>4.3478000000000003E-2</v>
      </c>
      <c r="K4" s="11">
        <f>J31</f>
        <v>1.8063181575368795E-2</v>
      </c>
      <c r="L4" s="15">
        <f>J4+K4</f>
        <v>6.1541181575368795E-2</v>
      </c>
      <c r="M4" s="15">
        <f>1/L4</f>
        <v>16.249281772000288</v>
      </c>
      <c r="N4" s="16">
        <f t="shared" ref="N4:N21" si="4">B4*M4</f>
        <v>0</v>
      </c>
      <c r="O4" s="15">
        <f>K31</f>
        <v>4.2536671268532333E-2</v>
      </c>
      <c r="P4" s="15">
        <f>J4+O4</f>
        <v>8.6014671268532336E-2</v>
      </c>
      <c r="Q4" s="11">
        <f>1/P4</f>
        <v>11.625923638980884</v>
      </c>
      <c r="R4" s="17">
        <f>B4*Q4</f>
        <v>0</v>
      </c>
    </row>
    <row r="5" spans="1:18" x14ac:dyDescent="0.25">
      <c r="A5" t="s">
        <v>15</v>
      </c>
      <c r="B5" s="11">
        <v>0</v>
      </c>
      <c r="C5" s="11">
        <v>5.8824000000000001E-2</v>
      </c>
      <c r="D5">
        <v>1</v>
      </c>
      <c r="E5" s="13">
        <f t="shared" si="0"/>
        <v>5.8824000000000001E-2</v>
      </c>
      <c r="F5" s="11">
        <f t="shared" ref="F5:F21" si="5">1/E5</f>
        <v>16.999864001087992</v>
      </c>
      <c r="G5" s="11">
        <f t="shared" si="1"/>
        <v>0</v>
      </c>
      <c r="H5" s="11">
        <f t="shared" si="2"/>
        <v>0</v>
      </c>
      <c r="I5" s="11">
        <f t="shared" ref="I5:I21" si="6">F5^2</f>
        <v>288.99537605548744</v>
      </c>
      <c r="J5" s="18">
        <f t="shared" si="3"/>
        <v>5.8824000000000001E-2</v>
      </c>
      <c r="K5" s="11">
        <f>J31</f>
        <v>1.8063181575368795E-2</v>
      </c>
      <c r="L5" s="15">
        <f t="shared" ref="L5:L21" si="7">J5+K5</f>
        <v>7.6887181575368793E-2</v>
      </c>
      <c r="M5" s="15">
        <f t="shared" ref="M5:M21" si="8">1/L5</f>
        <v>13.00606914586599</v>
      </c>
      <c r="N5" s="16">
        <f t="shared" si="4"/>
        <v>0</v>
      </c>
      <c r="O5" s="15">
        <f>K31</f>
        <v>4.2536671268532333E-2</v>
      </c>
      <c r="P5" s="15">
        <f t="shared" ref="P5:P21" si="9">J5+O5</f>
        <v>0.10136067126853233</v>
      </c>
      <c r="Q5" s="11">
        <f t="shared" ref="Q5:Q21" si="10">1/P5</f>
        <v>9.8657594457985045</v>
      </c>
      <c r="R5" s="16">
        <f t="shared" ref="R5:R21" si="11">B5*Q5</f>
        <v>0</v>
      </c>
    </row>
    <row r="6" spans="1:18" x14ac:dyDescent="0.25">
      <c r="A6" t="s">
        <v>16</v>
      </c>
      <c r="B6" s="11">
        <v>0.318718</v>
      </c>
      <c r="C6" s="11">
        <v>3.2986000000000001E-2</v>
      </c>
      <c r="D6">
        <v>1</v>
      </c>
      <c r="E6" s="13">
        <f t="shared" si="0"/>
        <v>3.2986000000000001E-2</v>
      </c>
      <c r="F6" s="11">
        <f t="shared" si="5"/>
        <v>30.31589159037167</v>
      </c>
      <c r="G6" s="11">
        <f t="shared" si="1"/>
        <v>9.6622203359000789</v>
      </c>
      <c r="H6" s="11">
        <f t="shared" si="2"/>
        <v>3.0795235410174011</v>
      </c>
      <c r="I6" s="11">
        <f t="shared" si="6"/>
        <v>919.05328291916771</v>
      </c>
      <c r="J6" s="18">
        <f t="shared" si="3"/>
        <v>3.2986000000000001E-2</v>
      </c>
      <c r="K6" s="11">
        <f>J31</f>
        <v>1.8063181575368795E-2</v>
      </c>
      <c r="L6" s="15">
        <f t="shared" si="7"/>
        <v>5.1049181575368793E-2</v>
      </c>
      <c r="M6" s="15">
        <f t="shared" si="8"/>
        <v>19.588952636265173</v>
      </c>
      <c r="N6" s="16">
        <f t="shared" si="4"/>
        <v>6.2433518063251636</v>
      </c>
      <c r="O6" s="15">
        <f>K31</f>
        <v>4.2536671268532333E-2</v>
      </c>
      <c r="P6" s="15">
        <f t="shared" si="9"/>
        <v>7.5522671268532335E-2</v>
      </c>
      <c r="Q6" s="11">
        <f t="shared" si="10"/>
        <v>13.241057065425402</v>
      </c>
      <c r="R6" s="16">
        <f t="shared" si="11"/>
        <v>4.2201632257782533</v>
      </c>
    </row>
    <row r="7" spans="1:18" x14ac:dyDescent="0.25">
      <c r="A7" t="s">
        <v>17</v>
      </c>
      <c r="B7" s="11">
        <v>1.3027059999999999</v>
      </c>
      <c r="C7" s="11">
        <v>8.9510999999999993E-2</v>
      </c>
      <c r="D7">
        <v>1</v>
      </c>
      <c r="E7" s="13">
        <f t="shared" si="0"/>
        <v>8.9510999999999993E-2</v>
      </c>
      <c r="F7" s="11">
        <f t="shared" si="5"/>
        <v>11.171811285763761</v>
      </c>
      <c r="G7" s="11">
        <f t="shared" si="1"/>
        <v>14.553585592832166</v>
      </c>
      <c r="H7" s="11">
        <f t="shared" si="2"/>
        <v>18.959043273296018</v>
      </c>
      <c r="I7" s="11">
        <f t="shared" si="6"/>
        <v>124.80936740471854</v>
      </c>
      <c r="J7" s="18">
        <f t="shared" si="3"/>
        <v>8.9510999999999993E-2</v>
      </c>
      <c r="K7" s="11">
        <f>J31</f>
        <v>1.8063181575368795E-2</v>
      </c>
      <c r="L7" s="15">
        <f t="shared" si="7"/>
        <v>0.10757418157536879</v>
      </c>
      <c r="M7" s="15">
        <f t="shared" si="8"/>
        <v>9.2959108343239265</v>
      </c>
      <c r="N7" s="16">
        <f t="shared" si="4"/>
        <v>12.109838819338785</v>
      </c>
      <c r="O7" s="15">
        <f>K31</f>
        <v>4.2536671268532333E-2</v>
      </c>
      <c r="P7" s="15">
        <f t="shared" si="9"/>
        <v>0.13204767126853234</v>
      </c>
      <c r="Q7" s="11">
        <f t="shared" si="10"/>
        <v>7.5730226091333224</v>
      </c>
      <c r="R7" s="16">
        <f t="shared" si="11"/>
        <v>9.8654219910536334</v>
      </c>
    </row>
    <row r="8" spans="1:18" x14ac:dyDescent="0.25">
      <c r="A8" t="s">
        <v>18</v>
      </c>
      <c r="B8" s="11">
        <v>0</v>
      </c>
      <c r="C8" s="11">
        <v>3.7037E-2</v>
      </c>
      <c r="D8">
        <v>1</v>
      </c>
      <c r="E8" s="13">
        <f t="shared" si="0"/>
        <v>3.7037E-2</v>
      </c>
      <c r="F8" s="11">
        <f t="shared" si="5"/>
        <v>27.000027000027</v>
      </c>
      <c r="G8" s="11">
        <f t="shared" si="1"/>
        <v>0</v>
      </c>
      <c r="H8" s="11">
        <f t="shared" si="2"/>
        <v>0</v>
      </c>
      <c r="I8" s="11">
        <f t="shared" si="6"/>
        <v>729.00145800218695</v>
      </c>
      <c r="J8" s="18">
        <f t="shared" si="3"/>
        <v>3.7037E-2</v>
      </c>
      <c r="K8" s="11">
        <f>J31</f>
        <v>1.8063181575368795E-2</v>
      </c>
      <c r="L8" s="15">
        <f t="shared" si="7"/>
        <v>5.5100181575368792E-2</v>
      </c>
      <c r="M8" s="15">
        <f t="shared" si="8"/>
        <v>18.148760519639119</v>
      </c>
      <c r="N8" s="16">
        <f t="shared" si="4"/>
        <v>0</v>
      </c>
      <c r="O8" s="15">
        <f>K31</f>
        <v>4.2536671268532333E-2</v>
      </c>
      <c r="P8" s="15">
        <f t="shared" si="9"/>
        <v>7.9573671268532334E-2</v>
      </c>
      <c r="Q8" s="11">
        <f t="shared" si="10"/>
        <v>12.566970758774746</v>
      </c>
      <c r="R8" s="16">
        <f t="shared" si="11"/>
        <v>0</v>
      </c>
    </row>
    <row r="9" spans="1:18" x14ac:dyDescent="0.25">
      <c r="A9" t="s">
        <v>19</v>
      </c>
      <c r="B9" s="11">
        <v>0.12754799999999999</v>
      </c>
      <c r="C9" s="11">
        <v>6.3113000000000002E-2</v>
      </c>
      <c r="D9">
        <v>1</v>
      </c>
      <c r="E9" s="13">
        <f t="shared" si="0"/>
        <v>6.3113000000000002E-2</v>
      </c>
      <c r="F9" s="11">
        <f t="shared" si="5"/>
        <v>15.84459620046583</v>
      </c>
      <c r="G9" s="11">
        <f t="shared" si="1"/>
        <v>2.0209465561770155</v>
      </c>
      <c r="H9" s="11">
        <f t="shared" si="2"/>
        <v>0.25776769134726596</v>
      </c>
      <c r="I9" s="11">
        <f t="shared" si="6"/>
        <v>251.0512287558162</v>
      </c>
      <c r="J9" s="18">
        <f t="shared" si="3"/>
        <v>6.3113000000000002E-2</v>
      </c>
      <c r="K9" s="11">
        <f>J31</f>
        <v>1.8063181575368795E-2</v>
      </c>
      <c r="L9" s="15">
        <f t="shared" si="7"/>
        <v>8.1176181575368794E-2</v>
      </c>
      <c r="M9" s="15">
        <f t="shared" si="8"/>
        <v>12.318884438676641</v>
      </c>
      <c r="N9" s="16">
        <f t="shared" si="4"/>
        <v>1.571249072384328</v>
      </c>
      <c r="O9" s="15">
        <f>K31</f>
        <v>4.2536671268532333E-2</v>
      </c>
      <c r="P9" s="15">
        <f t="shared" si="9"/>
        <v>0.10564967126853234</v>
      </c>
      <c r="Q9" s="11">
        <f t="shared" si="10"/>
        <v>9.4652447848917181</v>
      </c>
      <c r="R9" s="16">
        <f t="shared" si="11"/>
        <v>1.2072730418233688</v>
      </c>
    </row>
    <row r="10" spans="1:18" x14ac:dyDescent="0.25">
      <c r="A10" t="s">
        <v>20</v>
      </c>
      <c r="B10" s="11">
        <v>0</v>
      </c>
      <c r="C10" s="11">
        <v>6.6667000000000004E-2</v>
      </c>
      <c r="D10">
        <v>1</v>
      </c>
      <c r="E10" s="13">
        <f t="shared" si="0"/>
        <v>6.6667000000000004E-2</v>
      </c>
      <c r="F10" s="11">
        <f t="shared" si="5"/>
        <v>14.999925000374997</v>
      </c>
      <c r="G10" s="11">
        <f t="shared" si="1"/>
        <v>0</v>
      </c>
      <c r="H10" s="11">
        <f t="shared" si="2"/>
        <v>0</v>
      </c>
      <c r="I10" s="11">
        <f t="shared" si="6"/>
        <v>224.99775001687485</v>
      </c>
      <c r="J10" s="18">
        <f t="shared" si="3"/>
        <v>6.6667000000000004E-2</v>
      </c>
      <c r="K10" s="11">
        <f>J31</f>
        <v>1.8063181575368795E-2</v>
      </c>
      <c r="L10" s="15">
        <f t="shared" si="7"/>
        <v>8.4730181575368796E-2</v>
      </c>
      <c r="M10" s="15">
        <f t="shared" si="8"/>
        <v>11.80216991640086</v>
      </c>
      <c r="N10" s="16">
        <f t="shared" si="4"/>
        <v>0</v>
      </c>
      <c r="O10" s="15">
        <f>K31</f>
        <v>4.2536671268532333E-2</v>
      </c>
      <c r="P10" s="15">
        <f t="shared" si="9"/>
        <v>0.10920367126853234</v>
      </c>
      <c r="Q10" s="11">
        <f t="shared" si="10"/>
        <v>9.1572012953758239</v>
      </c>
      <c r="R10" s="16">
        <f t="shared" si="11"/>
        <v>0</v>
      </c>
    </row>
    <row r="11" spans="1:18" x14ac:dyDescent="0.25">
      <c r="A11" t="s">
        <v>21</v>
      </c>
      <c r="B11" s="11">
        <v>0.28117799999999998</v>
      </c>
      <c r="C11" s="11">
        <v>1.3346E-2</v>
      </c>
      <c r="D11">
        <v>1</v>
      </c>
      <c r="E11" s="13">
        <f t="shared" si="0"/>
        <v>1.3346E-2</v>
      </c>
      <c r="F11" s="11">
        <f t="shared" si="5"/>
        <v>74.928817623257899</v>
      </c>
      <c r="G11" s="11">
        <f t="shared" si="1"/>
        <v>21.068335081672409</v>
      </c>
      <c r="H11" s="11">
        <f t="shared" si="2"/>
        <v>5.9239523215944843</v>
      </c>
      <c r="I11" s="11">
        <f t="shared" si="6"/>
        <v>5614.3277104194431</v>
      </c>
      <c r="J11" s="18">
        <f t="shared" si="3"/>
        <v>1.3346E-2</v>
      </c>
      <c r="K11" s="11">
        <f>J31</f>
        <v>1.8063181575368795E-2</v>
      </c>
      <c r="L11" s="15">
        <f t="shared" si="7"/>
        <v>3.1409181575368796E-2</v>
      </c>
      <c r="M11" s="15">
        <f t="shared" si="8"/>
        <v>31.837824159805677</v>
      </c>
      <c r="N11" s="16">
        <f t="shared" si="4"/>
        <v>8.9520957216058399</v>
      </c>
      <c r="O11" s="15">
        <f>K31</f>
        <v>4.2536671268532333E-2</v>
      </c>
      <c r="P11" s="15">
        <f t="shared" si="9"/>
        <v>5.588267126853233E-2</v>
      </c>
      <c r="Q11" s="11">
        <f t="shared" si="10"/>
        <v>17.894634907388589</v>
      </c>
      <c r="R11" s="16">
        <f t="shared" si="11"/>
        <v>5.0315776539897081</v>
      </c>
    </row>
    <row r="12" spans="1:18" x14ac:dyDescent="0.25">
      <c r="A12" t="s">
        <v>22</v>
      </c>
      <c r="B12" s="11">
        <v>0</v>
      </c>
      <c r="C12" s="11">
        <v>0.05</v>
      </c>
      <c r="D12">
        <v>1</v>
      </c>
      <c r="E12" s="13">
        <f t="shared" si="0"/>
        <v>0.05</v>
      </c>
      <c r="F12" s="11">
        <f t="shared" si="5"/>
        <v>20</v>
      </c>
      <c r="G12" s="11">
        <f t="shared" si="1"/>
        <v>0</v>
      </c>
      <c r="H12" s="11">
        <f t="shared" si="2"/>
        <v>0</v>
      </c>
      <c r="I12" s="11">
        <f t="shared" si="6"/>
        <v>400</v>
      </c>
      <c r="J12" s="18">
        <f t="shared" si="3"/>
        <v>0.05</v>
      </c>
      <c r="K12" s="11">
        <f>J31</f>
        <v>1.8063181575368795E-2</v>
      </c>
      <c r="L12" s="15">
        <f t="shared" si="7"/>
        <v>6.8063181575368795E-2</v>
      </c>
      <c r="M12" s="15">
        <f t="shared" si="8"/>
        <v>14.692231201279714</v>
      </c>
      <c r="N12" s="16">
        <f t="shared" si="4"/>
        <v>0</v>
      </c>
      <c r="O12" s="15">
        <f>K31</f>
        <v>4.2536671268532333E-2</v>
      </c>
      <c r="P12" s="15">
        <f t="shared" si="9"/>
        <v>9.2536671268532336E-2</v>
      </c>
      <c r="Q12" s="11">
        <f t="shared" si="10"/>
        <v>10.806526604983425</v>
      </c>
      <c r="R12" s="16">
        <f t="shared" si="11"/>
        <v>0</v>
      </c>
    </row>
    <row r="13" spans="1:18" x14ac:dyDescent="0.25">
      <c r="A13" t="s">
        <v>23</v>
      </c>
      <c r="B13" s="11">
        <v>0</v>
      </c>
      <c r="C13" s="11">
        <v>5.8824000000000001E-2</v>
      </c>
      <c r="D13">
        <v>1</v>
      </c>
      <c r="E13" s="13">
        <f t="shared" si="0"/>
        <v>5.8824000000000001E-2</v>
      </c>
      <c r="F13" s="11">
        <f t="shared" si="5"/>
        <v>16.999864001087992</v>
      </c>
      <c r="G13" s="11">
        <f t="shared" si="1"/>
        <v>0</v>
      </c>
      <c r="H13" s="11">
        <f t="shared" si="2"/>
        <v>0</v>
      </c>
      <c r="I13" s="11">
        <f t="shared" si="6"/>
        <v>288.99537605548744</v>
      </c>
      <c r="J13" s="18">
        <f t="shared" si="3"/>
        <v>5.8824000000000001E-2</v>
      </c>
      <c r="K13" s="11">
        <f>J31</f>
        <v>1.8063181575368795E-2</v>
      </c>
      <c r="L13" s="15">
        <f t="shared" si="7"/>
        <v>7.6887181575368793E-2</v>
      </c>
      <c r="M13" s="15">
        <f t="shared" si="8"/>
        <v>13.00606914586599</v>
      </c>
      <c r="N13" s="16">
        <f t="shared" si="4"/>
        <v>0</v>
      </c>
      <c r="O13" s="15">
        <f>K31</f>
        <v>4.2536671268532333E-2</v>
      </c>
      <c r="P13" s="15">
        <f t="shared" si="9"/>
        <v>0.10136067126853233</v>
      </c>
      <c r="Q13" s="11">
        <f t="shared" si="10"/>
        <v>9.8657594457985045</v>
      </c>
      <c r="R13" s="16">
        <f t="shared" si="11"/>
        <v>0</v>
      </c>
    </row>
    <row r="14" spans="1:18" x14ac:dyDescent="0.25">
      <c r="A14" t="s">
        <v>24</v>
      </c>
      <c r="B14" s="11">
        <v>-1.7840000000000002E-2</v>
      </c>
      <c r="C14" s="11">
        <v>6.9940000000000002E-3</v>
      </c>
      <c r="D14">
        <v>1</v>
      </c>
      <c r="E14" s="13">
        <f t="shared" si="0"/>
        <v>6.9940000000000002E-3</v>
      </c>
      <c r="F14" s="11">
        <f t="shared" si="5"/>
        <v>142.97969688304261</v>
      </c>
      <c r="G14" s="11">
        <f t="shared" si="1"/>
        <v>-2.5507577923934805</v>
      </c>
      <c r="H14" s="11">
        <f t="shared" si="2"/>
        <v>4.5505519016299692E-2</v>
      </c>
      <c r="I14" s="11">
        <f t="shared" si="6"/>
        <v>20443.193720766743</v>
      </c>
      <c r="J14" s="18">
        <f t="shared" si="3"/>
        <v>6.9940000000000002E-3</v>
      </c>
      <c r="K14" s="11">
        <f>J31</f>
        <v>1.8063181575368795E-2</v>
      </c>
      <c r="L14" s="15">
        <f t="shared" si="7"/>
        <v>2.5057181575368796E-2</v>
      </c>
      <c r="M14" s="15">
        <f t="shared" si="8"/>
        <v>39.908718264746895</v>
      </c>
      <c r="N14" s="16">
        <f t="shared" si="4"/>
        <v>-0.71197153384308465</v>
      </c>
      <c r="O14" s="15">
        <f>K31</f>
        <v>4.2536671268532333E-2</v>
      </c>
      <c r="P14" s="15">
        <f t="shared" si="9"/>
        <v>4.9530671268532334E-2</v>
      </c>
      <c r="Q14" s="11">
        <f t="shared" si="10"/>
        <v>20.189510345588971</v>
      </c>
      <c r="R14" s="16">
        <f t="shared" si="11"/>
        <v>-0.36018086456530729</v>
      </c>
    </row>
    <row r="15" spans="1:18" x14ac:dyDescent="0.25">
      <c r="A15" t="s">
        <v>64</v>
      </c>
      <c r="B15" s="11">
        <v>0.14366799999999999</v>
      </c>
      <c r="C15" s="11">
        <v>2.5277000000000001E-2</v>
      </c>
      <c r="D15">
        <v>1</v>
      </c>
      <c r="E15" s="13">
        <f t="shared" si="0"/>
        <v>2.5277000000000001E-2</v>
      </c>
      <c r="F15" s="11">
        <f t="shared" si="5"/>
        <v>39.561656842188548</v>
      </c>
      <c r="G15" s="11">
        <f t="shared" si="1"/>
        <v>5.6837441152035435</v>
      </c>
      <c r="H15" s="11">
        <f t="shared" si="2"/>
        <v>0.81657214954306268</v>
      </c>
      <c r="I15" s="11">
        <f t="shared" si="6"/>
        <v>1565.1246920990839</v>
      </c>
      <c r="J15" s="18">
        <f t="shared" si="3"/>
        <v>2.5277000000000001E-2</v>
      </c>
      <c r="K15" s="11">
        <f>J31</f>
        <v>1.8063181575368795E-2</v>
      </c>
      <c r="L15" s="15">
        <f t="shared" si="7"/>
        <v>4.33401815753688E-2</v>
      </c>
      <c r="M15" s="15">
        <f t="shared" si="8"/>
        <v>23.073276660389499</v>
      </c>
      <c r="N15" s="16">
        <f t="shared" si="4"/>
        <v>3.3148915112448383</v>
      </c>
      <c r="O15" s="15">
        <f>K31</f>
        <v>4.2536671268532333E-2</v>
      </c>
      <c r="P15" s="15">
        <f t="shared" si="9"/>
        <v>6.7813671268532327E-2</v>
      </c>
      <c r="Q15" s="11">
        <f t="shared" si="10"/>
        <v>14.746289078497824</v>
      </c>
      <c r="R15" s="16">
        <f t="shared" si="11"/>
        <v>2.1185698593296252</v>
      </c>
    </row>
    <row r="16" spans="1:18" x14ac:dyDescent="0.25">
      <c r="A16" t="s">
        <v>26</v>
      </c>
      <c r="B16" s="11">
        <v>-8.1759999999999992E-3</v>
      </c>
      <c r="C16" s="11">
        <v>3.0304000000000001E-2</v>
      </c>
      <c r="D16">
        <v>1</v>
      </c>
      <c r="E16" s="13">
        <f t="shared" si="0"/>
        <v>3.0304000000000001E-2</v>
      </c>
      <c r="F16" s="11">
        <f t="shared" si="5"/>
        <v>32.99894403379092</v>
      </c>
      <c r="G16" s="11">
        <f t="shared" si="1"/>
        <v>-0.26979936642027452</v>
      </c>
      <c r="H16" s="11">
        <f t="shared" si="2"/>
        <v>2.2058796198521644E-3</v>
      </c>
      <c r="I16" s="11">
        <f t="shared" si="6"/>
        <v>1088.9303073452654</v>
      </c>
      <c r="J16" s="18">
        <f t="shared" si="3"/>
        <v>3.0304000000000001E-2</v>
      </c>
      <c r="K16" s="11">
        <f>J31</f>
        <v>1.8063181575368795E-2</v>
      </c>
      <c r="L16" s="15">
        <f t="shared" si="7"/>
        <v>4.8367181575368796E-2</v>
      </c>
      <c r="M16" s="15">
        <f t="shared" si="8"/>
        <v>20.675176171713392</v>
      </c>
      <c r="N16" s="16">
        <f t="shared" si="4"/>
        <v>-0.16904024037992868</v>
      </c>
      <c r="O16" s="15">
        <f>K31</f>
        <v>4.2536671268532333E-2</v>
      </c>
      <c r="P16" s="15">
        <f t="shared" si="9"/>
        <v>7.2840671268532331E-2</v>
      </c>
      <c r="Q16" s="11">
        <f t="shared" si="10"/>
        <v>13.728593965223476</v>
      </c>
      <c r="R16" s="16">
        <f t="shared" si="11"/>
        <v>-0.11224498425966713</v>
      </c>
    </row>
    <row r="17" spans="1:26" x14ac:dyDescent="0.25">
      <c r="A17" t="s">
        <v>27</v>
      </c>
      <c r="B17" s="11">
        <v>0.16692000000000001</v>
      </c>
      <c r="C17" s="11">
        <v>3.3843999999999999E-2</v>
      </c>
      <c r="D17">
        <v>1</v>
      </c>
      <c r="E17" s="13">
        <f t="shared" si="0"/>
        <v>3.3843999999999999E-2</v>
      </c>
      <c r="F17" s="11">
        <f t="shared" si="5"/>
        <v>29.547334830398299</v>
      </c>
      <c r="G17" s="11">
        <f t="shared" si="1"/>
        <v>4.9320411298900844</v>
      </c>
      <c r="H17" s="11">
        <f t="shared" si="2"/>
        <v>0.82325630540125294</v>
      </c>
      <c r="I17" s="11">
        <f t="shared" si="6"/>
        <v>873.04499557966847</v>
      </c>
      <c r="J17" s="18">
        <f t="shared" si="3"/>
        <v>3.3843999999999999E-2</v>
      </c>
      <c r="K17" s="11">
        <f>J31</f>
        <v>1.8063181575368795E-2</v>
      </c>
      <c r="L17" s="15">
        <f t="shared" si="7"/>
        <v>5.1907181575368791E-2</v>
      </c>
      <c r="M17" s="15">
        <f t="shared" si="8"/>
        <v>19.265156952280456</v>
      </c>
      <c r="N17" s="16">
        <f t="shared" si="4"/>
        <v>3.2157399984746542</v>
      </c>
      <c r="O17" s="15">
        <f>K31</f>
        <v>4.2536671268532333E-2</v>
      </c>
      <c r="P17" s="15">
        <f t="shared" si="9"/>
        <v>7.6380671268532332E-2</v>
      </c>
      <c r="Q17" s="11">
        <f t="shared" si="10"/>
        <v>13.092317511642303</v>
      </c>
      <c r="R17" s="16">
        <f t="shared" si="11"/>
        <v>2.1853696390433335</v>
      </c>
    </row>
    <row r="18" spans="1:26" x14ac:dyDescent="0.25">
      <c r="A18" t="s">
        <v>28</v>
      </c>
      <c r="B18" s="11">
        <v>0</v>
      </c>
      <c r="C18" s="11">
        <v>0.05</v>
      </c>
      <c r="D18">
        <v>1</v>
      </c>
      <c r="E18" s="13">
        <f t="shared" si="0"/>
        <v>0.05</v>
      </c>
      <c r="F18" s="11">
        <f t="shared" si="5"/>
        <v>20</v>
      </c>
      <c r="G18" s="11">
        <f t="shared" si="1"/>
        <v>0</v>
      </c>
      <c r="H18" s="11">
        <f t="shared" si="2"/>
        <v>0</v>
      </c>
      <c r="I18" s="11">
        <f t="shared" si="6"/>
        <v>400</v>
      </c>
      <c r="J18" s="18">
        <f t="shared" si="3"/>
        <v>0.05</v>
      </c>
      <c r="K18" s="11">
        <f>J31</f>
        <v>1.8063181575368795E-2</v>
      </c>
      <c r="L18" s="15">
        <f t="shared" si="7"/>
        <v>6.8063181575368795E-2</v>
      </c>
      <c r="M18" s="15">
        <f t="shared" si="8"/>
        <v>14.692231201279714</v>
      </c>
      <c r="N18" s="16">
        <f t="shared" si="4"/>
        <v>0</v>
      </c>
      <c r="O18" s="15">
        <f>K31</f>
        <v>4.2536671268532333E-2</v>
      </c>
      <c r="P18" s="15">
        <f t="shared" si="9"/>
        <v>9.2536671268532336E-2</v>
      </c>
      <c r="Q18" s="11">
        <f t="shared" si="10"/>
        <v>10.806526604983425</v>
      </c>
      <c r="R18" s="16">
        <f t="shared" si="11"/>
        <v>0</v>
      </c>
    </row>
    <row r="19" spans="1:26" x14ac:dyDescent="0.25">
      <c r="A19" t="s">
        <v>29</v>
      </c>
      <c r="B19" s="11">
        <v>0.23039399999999999</v>
      </c>
      <c r="C19" s="11">
        <v>5.4264E-2</v>
      </c>
      <c r="D19">
        <v>1</v>
      </c>
      <c r="E19" s="13">
        <f t="shared" si="0"/>
        <v>5.4264E-2</v>
      </c>
      <c r="F19" s="11">
        <f t="shared" si="5"/>
        <v>18.428424001179419</v>
      </c>
      <c r="G19" s="11">
        <f t="shared" si="1"/>
        <v>4.2457983193277311</v>
      </c>
      <c r="H19" s="11">
        <f t="shared" si="2"/>
        <v>0.97820645798319317</v>
      </c>
      <c r="I19" s="11">
        <f t="shared" si="6"/>
        <v>339.60681116724567</v>
      </c>
      <c r="J19" s="18">
        <f t="shared" si="3"/>
        <v>5.4264E-2</v>
      </c>
      <c r="K19" s="11">
        <f>J31</f>
        <v>1.8063181575368795E-2</v>
      </c>
      <c r="L19" s="15">
        <f t="shared" si="7"/>
        <v>7.2327181575368799E-2</v>
      </c>
      <c r="M19" s="15">
        <f t="shared" si="8"/>
        <v>13.826060662379694</v>
      </c>
      <c r="N19" s="16">
        <f t="shared" si="4"/>
        <v>3.1854414202483072</v>
      </c>
      <c r="O19" s="15">
        <f>K31</f>
        <v>4.2536671268532333E-2</v>
      </c>
      <c r="P19" s="15">
        <f t="shared" si="9"/>
        <v>9.680067126853234E-2</v>
      </c>
      <c r="Q19" s="11">
        <f t="shared" si="10"/>
        <v>10.330506874543513</v>
      </c>
      <c r="R19" s="16">
        <f t="shared" si="11"/>
        <v>2.380086800853578</v>
      </c>
    </row>
    <row r="20" spans="1:26" x14ac:dyDescent="0.25">
      <c r="A20" t="s">
        <v>30</v>
      </c>
      <c r="B20" s="11">
        <v>0</v>
      </c>
      <c r="C20" s="11">
        <v>3.5714000000000003E-2</v>
      </c>
      <c r="D20">
        <v>1</v>
      </c>
      <c r="E20" s="13">
        <f t="shared" si="0"/>
        <v>3.5714000000000003E-2</v>
      </c>
      <c r="F20" s="11">
        <f t="shared" si="5"/>
        <v>28.000224001792013</v>
      </c>
      <c r="G20" s="11">
        <f t="shared" si="1"/>
        <v>0</v>
      </c>
      <c r="H20" s="11">
        <f t="shared" si="2"/>
        <v>0</v>
      </c>
      <c r="I20" s="11">
        <f t="shared" si="6"/>
        <v>784.01254415052949</v>
      </c>
      <c r="J20" s="18">
        <f t="shared" si="3"/>
        <v>3.5714000000000003E-2</v>
      </c>
      <c r="K20" s="11">
        <f>J31</f>
        <v>1.8063181575368795E-2</v>
      </c>
      <c r="L20" s="15">
        <f t="shared" si="7"/>
        <v>5.3777181575368802E-2</v>
      </c>
      <c r="M20" s="15">
        <f t="shared" si="8"/>
        <v>18.595247476822461</v>
      </c>
      <c r="N20" s="16">
        <f t="shared" si="4"/>
        <v>0</v>
      </c>
      <c r="O20" s="15">
        <f>K31</f>
        <v>4.2536671268532333E-2</v>
      </c>
      <c r="P20" s="15">
        <f t="shared" si="9"/>
        <v>7.8250671268532329E-2</v>
      </c>
      <c r="Q20" s="11">
        <f t="shared" si="10"/>
        <v>12.779443087054249</v>
      </c>
      <c r="R20" s="16">
        <f t="shared" si="11"/>
        <v>0</v>
      </c>
    </row>
    <row r="21" spans="1:26" x14ac:dyDescent="0.25">
      <c r="A21" t="s">
        <v>31</v>
      </c>
      <c r="B21" s="11">
        <v>0.43754399999999999</v>
      </c>
      <c r="C21" s="11">
        <v>6.1827E-2</v>
      </c>
      <c r="D21">
        <v>1</v>
      </c>
      <c r="E21" s="19">
        <f t="shared" si="0"/>
        <v>6.1827E-2</v>
      </c>
      <c r="F21" s="11">
        <f t="shared" si="5"/>
        <v>16.174163391398579</v>
      </c>
      <c r="G21" s="11">
        <f t="shared" si="1"/>
        <v>7.0769081469261002</v>
      </c>
      <c r="H21" s="11">
        <f t="shared" si="2"/>
        <v>3.0964586982386333</v>
      </c>
      <c r="I21" s="11">
        <f t="shared" si="6"/>
        <v>261.60356141165801</v>
      </c>
      <c r="J21" s="20">
        <f t="shared" si="3"/>
        <v>6.1827E-2</v>
      </c>
      <c r="K21" s="11">
        <f>J31</f>
        <v>1.8063181575368795E-2</v>
      </c>
      <c r="L21" s="21">
        <f t="shared" si="7"/>
        <v>7.9890181575368799E-2</v>
      </c>
      <c r="M21" s="15">
        <f t="shared" si="8"/>
        <v>12.517182716083765</v>
      </c>
      <c r="N21" s="22">
        <f t="shared" si="4"/>
        <v>5.4768181943261549</v>
      </c>
      <c r="O21" s="15">
        <f>K31</f>
        <v>4.2536671268532333E-2</v>
      </c>
      <c r="P21" s="15">
        <f t="shared" si="9"/>
        <v>0.10436367126853233</v>
      </c>
      <c r="Q21" s="11">
        <f t="shared" si="10"/>
        <v>9.5818783283979716</v>
      </c>
      <c r="R21" s="16">
        <f t="shared" si="11"/>
        <v>4.1924933713205617</v>
      </c>
    </row>
    <row r="22" spans="1:26" x14ac:dyDescent="0.25">
      <c r="A22" s="24" t="s">
        <v>61</v>
      </c>
      <c r="B22" s="2"/>
      <c r="C22" s="2"/>
      <c r="D22" s="3"/>
      <c r="E22" s="24" t="s">
        <v>62</v>
      </c>
      <c r="F22" s="23">
        <f>SUM(F4:F21)</f>
        <v>578.95137868705558</v>
      </c>
      <c r="G22" s="23">
        <f>SUM(G4:G21)</f>
        <v>66.423022119115373</v>
      </c>
      <c r="H22" s="23">
        <f>SUM(H4:H21)</f>
        <v>33.982491837057459</v>
      </c>
      <c r="I22" s="17">
        <f>SUM(I4:I21)</f>
        <v>35125.754530206505</v>
      </c>
      <c r="J22" s="24" t="s">
        <v>62</v>
      </c>
      <c r="K22" s="23"/>
      <c r="L22" s="23"/>
      <c r="M22" s="23">
        <f>SUM(M4:M21)</f>
        <v>322.49920387581921</v>
      </c>
      <c r="N22" s="17">
        <f>SUM(N4:N21)</f>
        <v>43.188414769725064</v>
      </c>
      <c r="O22" s="24" t="s">
        <v>63</v>
      </c>
      <c r="P22" s="23"/>
      <c r="Q22" s="23">
        <f>(SUMIF(B4:B21, "&lt;&gt; 0", Q4:Q21))+(SUMIFS(Q4:Q21, B4:B21, "= 0", D4:D21,"=0"))</f>
        <v>129.84305547073311</v>
      </c>
      <c r="R22" s="17">
        <f>(SUMIF(B4:B21, "&lt;&gt; 0", R4:R21))+(SUMIFS(R4:R21, B4:B21, "= 0", D4:D21,"=0"))</f>
        <v>30.72852973436709</v>
      </c>
    </row>
    <row r="23" spans="1:26" x14ac:dyDescent="0.25">
      <c r="A23" s="25" t="s">
        <v>61</v>
      </c>
      <c r="B23" s="1"/>
      <c r="C23" s="1"/>
      <c r="D23" s="4"/>
      <c r="E23" s="25" t="s">
        <v>63</v>
      </c>
      <c r="F23" s="21">
        <f>(SUMIF(B4:B21, "&lt;&gt; 0", F4:F21))+(SUMIFS(F4:F21, B4:B21, "= 0", D4:D21,"=0"))</f>
        <v>411.95133668185747</v>
      </c>
      <c r="G23" s="21">
        <f>(SUMIF(B4:B21, "&lt;&gt; 0", G4:G21))+(SUMIFS(G4:G21, B4:B21, "= 0", D4:D21,"=0"))</f>
        <v>66.423022119115373</v>
      </c>
      <c r="H23" s="21">
        <f>(SUMIF(B4:B21, "&lt;&gt; 0", H4:H21))+(SUMIFS(H4:H21, B4:B21, "= 0", D4:D21,"=0"))</f>
        <v>33.982491837057459</v>
      </c>
      <c r="I23" s="22">
        <f>(SUMIF(B4:B21, "&lt;&gt; 0", I4:I21))+(SUMIFS(I4:I21, B4:B21, "= 0", D4:D21,"=0"))</f>
        <v>31480.745677868814</v>
      </c>
      <c r="J23" s="21"/>
      <c r="K23" s="21"/>
      <c r="L23" s="21"/>
      <c r="M23" s="21"/>
      <c r="N23" s="22"/>
      <c r="O23" s="21"/>
      <c r="P23" s="21"/>
      <c r="Q23" s="21"/>
      <c r="R23" s="22"/>
    </row>
    <row r="24" spans="1:26" x14ac:dyDescent="0.25">
      <c r="A24" s="8"/>
      <c r="B24" s="8"/>
      <c r="C24" s="8"/>
      <c r="D24" s="8"/>
      <c r="E24" s="8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</row>
    <row r="25" spans="1:26" x14ac:dyDescent="0.25">
      <c r="A25" s="8"/>
      <c r="B25" s="8"/>
      <c r="C25" s="8"/>
      <c r="D25" s="8"/>
      <c r="E25" s="57" t="s">
        <v>35</v>
      </c>
      <c r="F25" s="58"/>
      <c r="G25" s="59"/>
      <c r="H25" s="8"/>
      <c r="I25" s="54" t="s">
        <v>36</v>
      </c>
      <c r="J25" s="55"/>
      <c r="K25" s="56"/>
      <c r="L25" s="8"/>
      <c r="M25" s="57" t="s">
        <v>39</v>
      </c>
      <c r="N25" s="59"/>
      <c r="O25" s="8"/>
      <c r="P25" s="8"/>
      <c r="Q25" s="60" t="s">
        <v>39</v>
      </c>
      <c r="R25" s="62"/>
    </row>
    <row r="26" spans="1:26" s="9" customFormat="1" ht="15" customHeight="1" x14ac:dyDescent="0.25">
      <c r="E26" s="27"/>
      <c r="F26" s="43" t="s">
        <v>33</v>
      </c>
      <c r="G26" s="43" t="s">
        <v>34</v>
      </c>
      <c r="H26" s="10"/>
      <c r="I26" s="26"/>
      <c r="J26" s="43" t="s">
        <v>33</v>
      </c>
      <c r="K26" s="43" t="s">
        <v>34</v>
      </c>
      <c r="M26" s="27"/>
      <c r="N26" s="52" t="s">
        <v>33</v>
      </c>
      <c r="Q26" s="51"/>
      <c r="R26" s="53" t="s">
        <v>34</v>
      </c>
    </row>
    <row r="27" spans="1:26" x14ac:dyDescent="0.25">
      <c r="A27" s="44" t="s">
        <v>78</v>
      </c>
      <c r="B27" s="45">
        <f>COUNTA(B4:B21)</f>
        <v>18</v>
      </c>
      <c r="E27" s="41" t="s">
        <v>2</v>
      </c>
      <c r="F27" s="49">
        <f>G22/F22</f>
        <v>0.11472987985579951</v>
      </c>
      <c r="G27" s="49">
        <f>G23/F23</f>
        <v>0.16123997230870177</v>
      </c>
      <c r="H27" s="11"/>
      <c r="I27" s="35" t="s">
        <v>3</v>
      </c>
      <c r="J27" s="18">
        <f>H22-G22^2/F22</f>
        <v>26.361786489672241</v>
      </c>
      <c r="K27" s="18">
        <f>H23-G23^2/F23</f>
        <v>23.272445589911015</v>
      </c>
      <c r="M27" s="35" t="s">
        <v>4</v>
      </c>
      <c r="N27" s="14">
        <f>N22/M22</f>
        <v>0.13391789576744226</v>
      </c>
      <c r="Q27" s="35" t="s">
        <v>4</v>
      </c>
      <c r="R27" s="14">
        <f>R22/Q22</f>
        <v>0.23665901594015834</v>
      </c>
    </row>
    <row r="28" spans="1:26" x14ac:dyDescent="0.25">
      <c r="A28" s="36" t="s">
        <v>79</v>
      </c>
      <c r="B28" s="48">
        <f>COUNTIF(B4:B21, "&lt;&gt; 0")+(COUNTIFS(B4:B21, "= 0", D4:D21,"=0"))</f>
        <v>10</v>
      </c>
      <c r="E28" s="41" t="s">
        <v>1</v>
      </c>
      <c r="F28" s="49">
        <f>1/F22</f>
        <v>1.7272607628429824E-3</v>
      </c>
      <c r="G28" s="49">
        <f>1/F23</f>
        <v>2.4274711864141416E-3</v>
      </c>
      <c r="H28" s="12"/>
      <c r="I28" s="35" t="s">
        <v>5</v>
      </c>
      <c r="J28" s="47">
        <f>COUNT(B4:B21)-1</f>
        <v>17</v>
      </c>
      <c r="K28" s="47">
        <f>COUNTIF(B4:B21, "&lt;&gt; 0")+(COUNTIFS(B4:B21, "= 0", D4:D21,"=0"))-1</f>
        <v>9</v>
      </c>
      <c r="M28" s="35" t="s">
        <v>1</v>
      </c>
      <c r="N28" s="18">
        <f>1/M22</f>
        <v>3.1007828483975348E-3</v>
      </c>
      <c r="Q28" s="35" t="s">
        <v>1</v>
      </c>
      <c r="R28" s="18">
        <f>1/Q22</f>
        <v>7.7016055758592503E-3</v>
      </c>
    </row>
    <row r="29" spans="1:26" x14ac:dyDescent="0.25">
      <c r="E29" s="41" t="s">
        <v>6</v>
      </c>
      <c r="F29" s="49">
        <f>SQRT(F28)</f>
        <v>4.1560326789415195E-2</v>
      </c>
      <c r="G29" s="49">
        <f>SQRT(G28)</f>
        <v>4.9269373716479707E-2</v>
      </c>
      <c r="H29" s="11"/>
      <c r="I29" s="35" t="s">
        <v>7</v>
      </c>
      <c r="J29" s="18">
        <f>MAX(J27-J28,0)</f>
        <v>9.3617864896722409</v>
      </c>
      <c r="K29" s="18">
        <f>MAX(K27-K28,0)</f>
        <v>14.272445589911015</v>
      </c>
      <c r="M29" s="35" t="s">
        <v>6</v>
      </c>
      <c r="N29" s="18">
        <f>SQRT(N28)</f>
        <v>5.5684673370663983E-2</v>
      </c>
      <c r="Q29" s="35" t="s">
        <v>6</v>
      </c>
      <c r="R29" s="18">
        <f>SQRT(R28)</f>
        <v>8.7758792014585349E-2</v>
      </c>
      <c r="Z29" s="11"/>
    </row>
    <row r="30" spans="1:26" x14ac:dyDescent="0.25">
      <c r="A30" s="70" t="s">
        <v>80</v>
      </c>
      <c r="B30" s="70"/>
      <c r="C30" s="70"/>
      <c r="D30" s="71"/>
      <c r="E30" s="41" t="s">
        <v>8</v>
      </c>
      <c r="F30" s="49">
        <f>F27-1.96*F29</f>
        <v>3.3271639348545726E-2</v>
      </c>
      <c r="G30" s="49">
        <f>G27-1.96*G29</f>
        <v>6.4671999824401541E-2</v>
      </c>
      <c r="H30" s="11"/>
      <c r="I30" s="35" t="s">
        <v>9</v>
      </c>
      <c r="J30" s="18">
        <f>F22-I22/F22</f>
        <v>518.28004112177575</v>
      </c>
      <c r="K30" s="18">
        <f>F23-I23/F23</f>
        <v>335.5327336219994</v>
      </c>
      <c r="M30" s="35" t="s">
        <v>8</v>
      </c>
      <c r="N30" s="18">
        <f>N27-1.96*N29</f>
        <v>2.4775935960940854E-2</v>
      </c>
      <c r="Q30" s="35" t="s">
        <v>8</v>
      </c>
      <c r="R30" s="18">
        <f>R27-1.96*R29</f>
        <v>6.465178359157106E-2</v>
      </c>
      <c r="Z30" s="11"/>
    </row>
    <row r="31" spans="1:26" x14ac:dyDescent="0.25">
      <c r="A31" s="70" t="s">
        <v>81</v>
      </c>
      <c r="B31" s="70"/>
      <c r="C31" s="70"/>
      <c r="D31" s="71"/>
      <c r="E31" s="41" t="s">
        <v>10</v>
      </c>
      <c r="F31" s="49">
        <f>F27+1.96*F29</f>
        <v>0.19618812036305328</v>
      </c>
      <c r="G31" s="49">
        <f>G27+1.96*G29</f>
        <v>0.25780794479300201</v>
      </c>
      <c r="H31" s="11"/>
      <c r="I31" s="36" t="s">
        <v>11</v>
      </c>
      <c r="J31" s="20">
        <f>J29/J30</f>
        <v>1.8063181575368795E-2</v>
      </c>
      <c r="K31" s="20">
        <f>K29/K30</f>
        <v>4.2536671268532333E-2</v>
      </c>
      <c r="M31" s="35" t="s">
        <v>10</v>
      </c>
      <c r="N31" s="18">
        <f>N27+1.96*N29</f>
        <v>0.24305985557394366</v>
      </c>
      <c r="Q31" s="35" t="s">
        <v>10</v>
      </c>
      <c r="R31" s="18">
        <f>R27+1.96*R29</f>
        <v>0.40866624828874565</v>
      </c>
      <c r="Z31" s="11"/>
    </row>
    <row r="32" spans="1:26" x14ac:dyDescent="0.25">
      <c r="E32" s="42" t="s">
        <v>12</v>
      </c>
      <c r="F32" s="50">
        <f>F27/F29</f>
        <v>2.7605625056109888</v>
      </c>
      <c r="G32" s="50">
        <f>G27/G29</f>
        <v>3.2726207001646936</v>
      </c>
      <c r="M32" s="35" t="s">
        <v>12</v>
      </c>
      <c r="N32" s="18">
        <f>N27/N29</f>
        <v>2.4049327698489007</v>
      </c>
      <c r="Q32" s="35" t="s">
        <v>12</v>
      </c>
      <c r="R32" s="18">
        <f>R27/R29</f>
        <v>2.6966986498723235</v>
      </c>
    </row>
    <row r="33" spans="13:18" x14ac:dyDescent="0.25">
      <c r="M33" s="36" t="s">
        <v>13</v>
      </c>
      <c r="N33" s="20">
        <f>(1-(NORMDIST((N32),0,1,TRUE)))</f>
        <v>8.0877206223504139E-3</v>
      </c>
      <c r="Q33" s="36" t="s">
        <v>13</v>
      </c>
      <c r="R33" s="20">
        <f>(1-(NORMDIST((R32),0,1,TRUE)))</f>
        <v>3.5015306799573986E-3</v>
      </c>
    </row>
  </sheetData>
  <mergeCells count="12">
    <mergeCell ref="A30:D30"/>
    <mergeCell ref="A31:D31"/>
    <mergeCell ref="A1:D1"/>
    <mergeCell ref="A2:D2"/>
    <mergeCell ref="E1:I1"/>
    <mergeCell ref="J1:R1"/>
    <mergeCell ref="K2:N2"/>
    <mergeCell ref="I25:K25"/>
    <mergeCell ref="E25:G25"/>
    <mergeCell ref="O2:R2"/>
    <mergeCell ref="M25:N25"/>
    <mergeCell ref="Q25:R2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15" zoomScale="70" zoomScaleNormal="70" workbookViewId="0">
      <selection activeCell="K34" sqref="K34"/>
    </sheetView>
  </sheetViews>
  <sheetFormatPr defaultRowHeight="15" x14ac:dyDescent="0.25"/>
  <cols>
    <col min="1" max="1" width="24.42578125" customWidth="1"/>
    <col min="3" max="4" width="13.140625" customWidth="1"/>
    <col min="5" max="5" width="12" customWidth="1"/>
    <col min="6" max="6" width="10.85546875" customWidth="1"/>
    <col min="7" max="7" width="14" customWidth="1"/>
    <col min="8" max="8" width="11.28515625" customWidth="1"/>
    <col min="9" max="9" width="13.42578125" customWidth="1"/>
    <col min="10" max="10" width="12.7109375" customWidth="1"/>
    <col min="11" max="11" width="10.28515625" customWidth="1"/>
    <col min="12" max="12" width="12.5703125" customWidth="1"/>
    <col min="13" max="13" width="11.42578125" customWidth="1"/>
    <col min="14" max="14" width="10.5703125" customWidth="1"/>
    <col min="15" max="16" width="12.140625" customWidth="1"/>
    <col min="17" max="17" width="10.28515625" customWidth="1"/>
    <col min="18" max="18" width="10.5703125" customWidth="1"/>
    <col min="19" max="19" width="13.42578125" customWidth="1"/>
    <col min="20" max="20" width="10.7109375" customWidth="1"/>
  </cols>
  <sheetData>
    <row r="1" spans="1:27" x14ac:dyDescent="0.25">
      <c r="A1" s="63" t="s">
        <v>41</v>
      </c>
      <c r="B1" s="63"/>
      <c r="C1" s="63"/>
      <c r="D1" s="63"/>
      <c r="E1" s="64"/>
      <c r="F1" s="65" t="s">
        <v>43</v>
      </c>
      <c r="G1" s="66"/>
      <c r="H1" s="66"/>
      <c r="I1" s="66"/>
      <c r="J1" s="66"/>
      <c r="K1" s="65" t="s">
        <v>44</v>
      </c>
      <c r="L1" s="65"/>
      <c r="M1" s="65"/>
      <c r="N1" s="65"/>
      <c r="O1" s="65"/>
      <c r="P1" s="65"/>
      <c r="Q1" s="65"/>
      <c r="R1" s="65"/>
      <c r="S1" s="65"/>
    </row>
    <row r="2" spans="1:27" x14ac:dyDescent="0.25">
      <c r="A2" s="63" t="s">
        <v>42</v>
      </c>
      <c r="B2" s="63"/>
      <c r="C2" s="63"/>
      <c r="D2" s="63"/>
      <c r="E2" s="64"/>
      <c r="F2" s="5"/>
      <c r="G2" s="6"/>
      <c r="H2" s="6"/>
      <c r="I2" s="6"/>
      <c r="J2" s="6"/>
      <c r="K2" s="7"/>
      <c r="L2" s="61" t="s">
        <v>33</v>
      </c>
      <c r="M2" s="61"/>
      <c r="N2" s="58"/>
      <c r="O2" s="62"/>
      <c r="P2" s="60" t="s">
        <v>57</v>
      </c>
      <c r="Q2" s="61"/>
      <c r="R2" s="61"/>
      <c r="S2" s="62"/>
    </row>
    <row r="3" spans="1:27" s="33" customFormat="1" ht="30" customHeight="1" x14ac:dyDescent="0.25">
      <c r="A3" s="28" t="s">
        <v>40</v>
      </c>
      <c r="B3" s="28" t="s">
        <v>0</v>
      </c>
      <c r="C3" s="28" t="s">
        <v>59</v>
      </c>
      <c r="D3" s="28" t="s">
        <v>60</v>
      </c>
      <c r="E3" s="28" t="s">
        <v>45</v>
      </c>
      <c r="F3" s="29" t="s">
        <v>37</v>
      </c>
      <c r="G3" s="28" t="s">
        <v>58</v>
      </c>
      <c r="H3" s="28" t="s">
        <v>46</v>
      </c>
      <c r="I3" s="28" t="s">
        <v>47</v>
      </c>
      <c r="J3" s="28" t="s">
        <v>48</v>
      </c>
      <c r="K3" s="30" t="s">
        <v>37</v>
      </c>
      <c r="L3" s="28" t="s">
        <v>51</v>
      </c>
      <c r="M3" s="28" t="s">
        <v>52</v>
      </c>
      <c r="N3" s="28" t="s">
        <v>49</v>
      </c>
      <c r="O3" s="31" t="s">
        <v>50</v>
      </c>
      <c r="P3" s="28" t="s">
        <v>53</v>
      </c>
      <c r="Q3" s="28" t="s">
        <v>54</v>
      </c>
      <c r="R3" s="28" t="s">
        <v>55</v>
      </c>
      <c r="S3" s="32" t="s">
        <v>56</v>
      </c>
    </row>
    <row r="4" spans="1:27" x14ac:dyDescent="0.25">
      <c r="A4" t="s">
        <v>14</v>
      </c>
      <c r="B4" s="11">
        <v>0</v>
      </c>
      <c r="C4" s="11">
        <v>4.3478000000000003E-2</v>
      </c>
      <c r="D4" s="11">
        <v>0</v>
      </c>
      <c r="E4">
        <v>1</v>
      </c>
      <c r="F4" s="13">
        <f t="shared" ref="F4:F21" si="0">C4</f>
        <v>4.3478000000000003E-2</v>
      </c>
      <c r="G4" s="11">
        <f>1/F4</f>
        <v>23.000138000828002</v>
      </c>
      <c r="H4" s="11">
        <f t="shared" ref="H4:H21" si="1">G4*B4</f>
        <v>0</v>
      </c>
      <c r="I4" s="11">
        <f t="shared" ref="I4:I21" si="2">(B4^2)*G4</f>
        <v>0</v>
      </c>
      <c r="J4" s="11">
        <f>G4^2</f>
        <v>529.0063480571323</v>
      </c>
      <c r="K4" s="14">
        <f t="shared" ref="K4:K21" si="3">C4</f>
        <v>4.3478000000000003E-2</v>
      </c>
      <c r="L4" s="11">
        <f>K34</f>
        <v>1.586147489061647E-2</v>
      </c>
      <c r="M4" s="15">
        <f>K4+L4</f>
        <v>5.9339474890616473E-2</v>
      </c>
      <c r="N4" s="15">
        <f>1/M4</f>
        <v>16.852188224505724</v>
      </c>
      <c r="O4" s="16">
        <f t="shared" ref="O4:O21" si="4">B4*N4</f>
        <v>0</v>
      </c>
      <c r="P4" s="15">
        <f>L34</f>
        <v>2.853078604947085E-2</v>
      </c>
      <c r="Q4" s="15">
        <f>K4+P4</f>
        <v>7.2008786049470849E-2</v>
      </c>
      <c r="R4" s="11">
        <f>1/Q4</f>
        <v>13.887194255892451</v>
      </c>
      <c r="S4" s="17">
        <f>B4*R4</f>
        <v>0</v>
      </c>
    </row>
    <row r="5" spans="1:27" x14ac:dyDescent="0.25">
      <c r="A5" t="s">
        <v>15</v>
      </c>
      <c r="B5" s="11">
        <v>0</v>
      </c>
      <c r="C5" s="11">
        <v>5.8824000000000001E-2</v>
      </c>
      <c r="D5" s="11">
        <v>0</v>
      </c>
      <c r="E5">
        <v>1</v>
      </c>
      <c r="F5" s="13">
        <f t="shared" si="0"/>
        <v>5.8824000000000001E-2</v>
      </c>
      <c r="G5" s="11">
        <f t="shared" ref="G5:G21" si="5">1/F5</f>
        <v>16.999864001087992</v>
      </c>
      <c r="H5" s="11">
        <f t="shared" si="1"/>
        <v>0</v>
      </c>
      <c r="I5" s="11">
        <f t="shared" si="2"/>
        <v>0</v>
      </c>
      <c r="J5" s="11">
        <f t="shared" ref="J5:J21" si="6">G5^2</f>
        <v>288.99537605548744</v>
      </c>
      <c r="K5" s="18">
        <f t="shared" si="3"/>
        <v>5.8824000000000001E-2</v>
      </c>
      <c r="L5" s="11">
        <f>K34</f>
        <v>1.586147489061647E-2</v>
      </c>
      <c r="M5" s="15">
        <f t="shared" ref="M5:M21" si="7">K5+L5</f>
        <v>7.4685474890616471E-2</v>
      </c>
      <c r="N5" s="15">
        <f t="shared" ref="N5:N21" si="8">1/M5</f>
        <v>13.389484387219724</v>
      </c>
      <c r="O5" s="16">
        <f t="shared" si="4"/>
        <v>0</v>
      </c>
      <c r="P5" s="15">
        <f>L34</f>
        <v>2.853078604947085E-2</v>
      </c>
      <c r="Q5" s="15">
        <f t="shared" ref="Q5:Q21" si="9">K5+P5</f>
        <v>8.7354786049470848E-2</v>
      </c>
      <c r="R5" s="11">
        <f t="shared" ref="R5:R21" si="10">1/Q5</f>
        <v>11.447569677907277</v>
      </c>
      <c r="S5" s="16">
        <f t="shared" ref="S5:S21" si="11">B5*R5</f>
        <v>0</v>
      </c>
    </row>
    <row r="6" spans="1:27" x14ac:dyDescent="0.25">
      <c r="A6" t="s">
        <v>16</v>
      </c>
      <c r="B6" s="11">
        <v>0.318718</v>
      </c>
      <c r="C6" s="11">
        <v>3.2986000000000001E-2</v>
      </c>
      <c r="D6" s="11">
        <v>0</v>
      </c>
      <c r="E6">
        <v>1</v>
      </c>
      <c r="F6" s="13">
        <f t="shared" si="0"/>
        <v>3.2986000000000001E-2</v>
      </c>
      <c r="G6" s="11">
        <f t="shared" si="5"/>
        <v>30.31589159037167</v>
      </c>
      <c r="H6" s="11">
        <f t="shared" si="1"/>
        <v>9.6622203359000789</v>
      </c>
      <c r="I6" s="11">
        <f t="shared" si="2"/>
        <v>3.0795235410174011</v>
      </c>
      <c r="J6" s="11">
        <f t="shared" si="6"/>
        <v>919.05328291916771</v>
      </c>
      <c r="K6" s="18">
        <f t="shared" si="3"/>
        <v>3.2986000000000001E-2</v>
      </c>
      <c r="L6" s="11">
        <f>K34</f>
        <v>1.586147489061647E-2</v>
      </c>
      <c r="M6" s="15">
        <f t="shared" si="7"/>
        <v>4.8847474890616471E-2</v>
      </c>
      <c r="N6" s="15">
        <f t="shared" si="8"/>
        <v>20.471887282593158</v>
      </c>
      <c r="O6" s="16">
        <f t="shared" si="4"/>
        <v>6.5247589709335259</v>
      </c>
      <c r="P6" s="15">
        <f>L34</f>
        <v>2.853078604947085E-2</v>
      </c>
      <c r="Q6" s="15">
        <f t="shared" si="9"/>
        <v>6.1516786049470848E-2</v>
      </c>
      <c r="R6" s="11">
        <f t="shared" si="10"/>
        <v>16.255725700556194</v>
      </c>
      <c r="S6" s="16">
        <f t="shared" si="11"/>
        <v>5.180992383829869</v>
      </c>
    </row>
    <row r="7" spans="1:27" x14ac:dyDescent="0.25">
      <c r="A7" t="s">
        <v>17</v>
      </c>
      <c r="B7" s="11">
        <v>1.3027059999999999</v>
      </c>
      <c r="C7" s="11">
        <v>8.9510999999999993E-2</v>
      </c>
      <c r="D7" s="11">
        <v>0</v>
      </c>
      <c r="E7">
        <v>1</v>
      </c>
      <c r="F7" s="13">
        <f t="shared" si="0"/>
        <v>8.9510999999999993E-2</v>
      </c>
      <c r="G7" s="11">
        <f t="shared" si="5"/>
        <v>11.171811285763761</v>
      </c>
      <c r="H7" s="11">
        <f t="shared" si="1"/>
        <v>14.553585592832166</v>
      </c>
      <c r="I7" s="11">
        <f t="shared" si="2"/>
        <v>18.959043273296018</v>
      </c>
      <c r="J7" s="11">
        <f t="shared" si="6"/>
        <v>124.80936740471854</v>
      </c>
      <c r="K7" s="18">
        <f t="shared" si="3"/>
        <v>8.9510999999999993E-2</v>
      </c>
      <c r="L7" s="11">
        <f>K34</f>
        <v>1.586147489061647E-2</v>
      </c>
      <c r="M7" s="15">
        <f t="shared" si="7"/>
        <v>0.10537247489061646</v>
      </c>
      <c r="N7" s="15">
        <f t="shared" si="8"/>
        <v>9.4901443763000302</v>
      </c>
      <c r="O7" s="16">
        <f t="shared" si="4"/>
        <v>12.362868019872307</v>
      </c>
      <c r="P7" s="15">
        <f>L34</f>
        <v>2.853078604947085E-2</v>
      </c>
      <c r="Q7" s="15">
        <f t="shared" si="9"/>
        <v>0.11804178604947084</v>
      </c>
      <c r="R7" s="11">
        <f t="shared" si="10"/>
        <v>8.4715763245136255</v>
      </c>
      <c r="S7" s="16">
        <f t="shared" si="11"/>
        <v>11.035973307401846</v>
      </c>
    </row>
    <row r="8" spans="1:27" x14ac:dyDescent="0.25">
      <c r="A8" t="s">
        <v>18</v>
      </c>
      <c r="B8" s="11">
        <v>0</v>
      </c>
      <c r="C8" s="11">
        <v>3.7037E-2</v>
      </c>
      <c r="D8" s="11">
        <v>0</v>
      </c>
      <c r="E8">
        <v>1</v>
      </c>
      <c r="F8" s="13">
        <f t="shared" si="0"/>
        <v>3.7037E-2</v>
      </c>
      <c r="G8" s="11">
        <f t="shared" si="5"/>
        <v>27.000027000027</v>
      </c>
      <c r="H8" s="11">
        <f t="shared" si="1"/>
        <v>0</v>
      </c>
      <c r="I8" s="11">
        <f t="shared" si="2"/>
        <v>0</v>
      </c>
      <c r="J8" s="11">
        <f t="shared" si="6"/>
        <v>729.00145800218695</v>
      </c>
      <c r="K8" s="18">
        <f t="shared" si="3"/>
        <v>3.7037E-2</v>
      </c>
      <c r="L8" s="11">
        <f>K34</f>
        <v>1.586147489061647E-2</v>
      </c>
      <c r="M8" s="15">
        <f t="shared" si="7"/>
        <v>5.289847489061647E-2</v>
      </c>
      <c r="N8" s="15">
        <f t="shared" si="8"/>
        <v>18.904136689532187</v>
      </c>
      <c r="O8" s="16">
        <f t="shared" si="4"/>
        <v>0</v>
      </c>
      <c r="P8" s="15">
        <f>L34</f>
        <v>2.853078604947085E-2</v>
      </c>
      <c r="Q8" s="15">
        <f t="shared" si="9"/>
        <v>6.5567786049470847E-2</v>
      </c>
      <c r="R8" s="11">
        <f t="shared" si="10"/>
        <v>15.251391883897082</v>
      </c>
      <c r="S8" s="16">
        <f t="shared" si="11"/>
        <v>0</v>
      </c>
    </row>
    <row r="9" spans="1:27" x14ac:dyDescent="0.25">
      <c r="A9" t="s">
        <v>19</v>
      </c>
      <c r="B9" s="11">
        <v>0.12754799999999999</v>
      </c>
      <c r="C9" s="11">
        <v>6.3113000000000002E-2</v>
      </c>
      <c r="D9" s="11">
        <v>0</v>
      </c>
      <c r="E9">
        <v>1</v>
      </c>
      <c r="F9" s="13">
        <f t="shared" si="0"/>
        <v>6.3113000000000002E-2</v>
      </c>
      <c r="G9" s="11">
        <f t="shared" si="5"/>
        <v>15.84459620046583</v>
      </c>
      <c r="H9" s="11">
        <f t="shared" si="1"/>
        <v>2.0209465561770155</v>
      </c>
      <c r="I9" s="11">
        <f t="shared" si="2"/>
        <v>0.25776769134726596</v>
      </c>
      <c r="J9" s="11">
        <f t="shared" si="6"/>
        <v>251.0512287558162</v>
      </c>
      <c r="K9" s="18">
        <f t="shared" si="3"/>
        <v>6.3113000000000002E-2</v>
      </c>
      <c r="L9" s="11">
        <f>K34</f>
        <v>1.586147489061647E-2</v>
      </c>
      <c r="M9" s="15">
        <f t="shared" si="7"/>
        <v>7.8974474890616472E-2</v>
      </c>
      <c r="N9" s="15">
        <f t="shared" si="8"/>
        <v>12.66231907695555</v>
      </c>
      <c r="O9" s="16">
        <f t="shared" si="4"/>
        <v>1.6150534736275264</v>
      </c>
      <c r="P9" s="15">
        <f>L34</f>
        <v>2.853078604947085E-2</v>
      </c>
      <c r="Q9" s="15">
        <f t="shared" si="9"/>
        <v>9.1643786049470849E-2</v>
      </c>
      <c r="R9" s="11">
        <f t="shared" si="10"/>
        <v>10.911814571477692</v>
      </c>
      <c r="S9" s="16">
        <f t="shared" si="11"/>
        <v>1.3917801249628365</v>
      </c>
    </row>
    <row r="10" spans="1:27" x14ac:dyDescent="0.25">
      <c r="A10" t="s">
        <v>20</v>
      </c>
      <c r="B10" s="11">
        <v>0</v>
      </c>
      <c r="C10" s="11">
        <v>6.6667000000000004E-2</v>
      </c>
      <c r="D10" s="11">
        <v>0</v>
      </c>
      <c r="E10">
        <v>1</v>
      </c>
      <c r="F10" s="13">
        <f t="shared" si="0"/>
        <v>6.6667000000000004E-2</v>
      </c>
      <c r="G10" s="11">
        <f t="shared" si="5"/>
        <v>14.999925000374997</v>
      </c>
      <c r="H10" s="11">
        <f t="shared" si="1"/>
        <v>0</v>
      </c>
      <c r="I10" s="11">
        <f t="shared" si="2"/>
        <v>0</v>
      </c>
      <c r="J10" s="11">
        <f t="shared" si="6"/>
        <v>224.99775001687485</v>
      </c>
      <c r="K10" s="18">
        <f t="shared" si="3"/>
        <v>6.6667000000000004E-2</v>
      </c>
      <c r="L10" s="11">
        <f>K34</f>
        <v>1.586147489061647E-2</v>
      </c>
      <c r="M10" s="15">
        <f t="shared" si="7"/>
        <v>8.2528474890616474E-2</v>
      </c>
      <c r="N10" s="15">
        <f t="shared" si="8"/>
        <v>12.117029926039509</v>
      </c>
      <c r="O10" s="16">
        <f t="shared" si="4"/>
        <v>0</v>
      </c>
      <c r="P10" s="15">
        <f>L34</f>
        <v>2.853078604947085E-2</v>
      </c>
      <c r="Q10" s="15">
        <f t="shared" si="9"/>
        <v>9.5197786049470851E-2</v>
      </c>
      <c r="R10" s="11">
        <f t="shared" si="10"/>
        <v>10.504445969786904</v>
      </c>
      <c r="S10" s="16">
        <f t="shared" si="11"/>
        <v>0</v>
      </c>
    </row>
    <row r="11" spans="1:27" x14ac:dyDescent="0.25">
      <c r="A11" t="s">
        <v>21</v>
      </c>
      <c r="B11" s="11">
        <v>0.28117799999999998</v>
      </c>
      <c r="C11" s="11">
        <v>1.3346E-2</v>
      </c>
      <c r="D11" s="11">
        <v>0</v>
      </c>
      <c r="E11">
        <v>1</v>
      </c>
      <c r="F11" s="13">
        <f t="shared" si="0"/>
        <v>1.3346E-2</v>
      </c>
      <c r="G11" s="11">
        <f t="shared" si="5"/>
        <v>74.928817623257899</v>
      </c>
      <c r="H11" s="11">
        <f t="shared" si="1"/>
        <v>21.068335081672409</v>
      </c>
      <c r="I11" s="11">
        <f t="shared" si="2"/>
        <v>5.9239523215944843</v>
      </c>
      <c r="J11" s="11">
        <f t="shared" si="6"/>
        <v>5614.3277104194431</v>
      </c>
      <c r="K11" s="18">
        <f t="shared" si="3"/>
        <v>1.3346E-2</v>
      </c>
      <c r="L11" s="11">
        <f>K34</f>
        <v>1.586147489061647E-2</v>
      </c>
      <c r="M11" s="15">
        <f t="shared" si="7"/>
        <v>2.920747489061647E-2</v>
      </c>
      <c r="N11" s="15">
        <f t="shared" si="8"/>
        <v>34.237810825655167</v>
      </c>
      <c r="O11" s="16">
        <f t="shared" si="4"/>
        <v>9.6269191723360681</v>
      </c>
      <c r="P11" s="15">
        <f>L34</f>
        <v>2.853078604947085E-2</v>
      </c>
      <c r="Q11" s="15">
        <f t="shared" si="9"/>
        <v>4.187678604947085E-2</v>
      </c>
      <c r="R11" s="11">
        <f t="shared" si="10"/>
        <v>23.879578504870381</v>
      </c>
      <c r="S11" s="16">
        <f t="shared" si="11"/>
        <v>6.7144121248424433</v>
      </c>
    </row>
    <row r="12" spans="1:27" x14ac:dyDescent="0.25">
      <c r="A12" t="s">
        <v>22</v>
      </c>
      <c r="B12" s="11">
        <v>0</v>
      </c>
      <c r="C12" s="11">
        <v>0.05</v>
      </c>
      <c r="D12" s="11">
        <v>0</v>
      </c>
      <c r="E12">
        <v>1</v>
      </c>
      <c r="F12" s="13">
        <f t="shared" si="0"/>
        <v>0.05</v>
      </c>
      <c r="G12" s="11">
        <f t="shared" si="5"/>
        <v>20</v>
      </c>
      <c r="H12" s="11">
        <f t="shared" si="1"/>
        <v>0</v>
      </c>
      <c r="I12" s="11">
        <f t="shared" si="2"/>
        <v>0</v>
      </c>
      <c r="J12" s="11">
        <f t="shared" si="6"/>
        <v>400</v>
      </c>
      <c r="K12" s="18">
        <f t="shared" si="3"/>
        <v>0.05</v>
      </c>
      <c r="L12" s="11">
        <f>K34</f>
        <v>1.586147489061647E-2</v>
      </c>
      <c r="M12" s="15">
        <f t="shared" si="7"/>
        <v>6.5861474890616473E-2</v>
      </c>
      <c r="N12" s="15">
        <f t="shared" si="8"/>
        <v>15.183383027191724</v>
      </c>
      <c r="O12" s="16">
        <f t="shared" si="4"/>
        <v>0</v>
      </c>
      <c r="P12" s="15">
        <f>L34</f>
        <v>2.853078604947085E-2</v>
      </c>
      <c r="Q12" s="15">
        <f t="shared" si="9"/>
        <v>7.8530786049470849E-2</v>
      </c>
      <c r="R12" s="11">
        <f t="shared" si="10"/>
        <v>12.733859551208939</v>
      </c>
      <c r="S12" s="16">
        <f t="shared" si="11"/>
        <v>0</v>
      </c>
    </row>
    <row r="13" spans="1:27" x14ac:dyDescent="0.25">
      <c r="A13" t="s">
        <v>23</v>
      </c>
      <c r="B13" s="11">
        <v>0</v>
      </c>
      <c r="C13" s="11">
        <v>5.8824000000000001E-2</v>
      </c>
      <c r="D13" s="11">
        <v>1</v>
      </c>
      <c r="E13">
        <v>1</v>
      </c>
      <c r="F13" s="13">
        <f t="shared" si="0"/>
        <v>5.8824000000000001E-2</v>
      </c>
      <c r="G13" s="11">
        <f t="shared" si="5"/>
        <v>16.999864001087992</v>
      </c>
      <c r="H13" s="11">
        <f t="shared" si="1"/>
        <v>0</v>
      </c>
      <c r="I13" s="11">
        <f t="shared" si="2"/>
        <v>0</v>
      </c>
      <c r="J13" s="11">
        <f t="shared" si="6"/>
        <v>288.99537605548744</v>
      </c>
      <c r="K13" s="18">
        <f t="shared" si="3"/>
        <v>5.8824000000000001E-2</v>
      </c>
      <c r="L13" s="11">
        <f>K34</f>
        <v>1.586147489061647E-2</v>
      </c>
      <c r="M13" s="15">
        <f t="shared" si="7"/>
        <v>7.4685474890616471E-2</v>
      </c>
      <c r="N13" s="15">
        <f t="shared" si="8"/>
        <v>13.389484387219724</v>
      </c>
      <c r="O13" s="16">
        <f t="shared" si="4"/>
        <v>0</v>
      </c>
      <c r="P13" s="15">
        <f>L34</f>
        <v>2.853078604947085E-2</v>
      </c>
      <c r="Q13" s="15">
        <f t="shared" si="9"/>
        <v>8.7354786049470848E-2</v>
      </c>
      <c r="R13" s="11">
        <f t="shared" si="10"/>
        <v>11.447569677907277</v>
      </c>
      <c r="S13" s="16">
        <f t="shared" si="11"/>
        <v>0</v>
      </c>
      <c r="V13" s="11"/>
      <c r="W13" s="11"/>
      <c r="X13" s="11"/>
      <c r="Y13" s="11"/>
      <c r="Z13" s="11"/>
      <c r="AA13" s="11"/>
    </row>
    <row r="14" spans="1:27" x14ac:dyDescent="0.25">
      <c r="A14" t="s">
        <v>24</v>
      </c>
      <c r="B14" s="11">
        <v>-1.7840000000000002E-2</v>
      </c>
      <c r="C14" s="11">
        <v>6.9940000000000002E-3</v>
      </c>
      <c r="D14" s="11">
        <v>1</v>
      </c>
      <c r="E14">
        <v>1</v>
      </c>
      <c r="F14" s="13">
        <f t="shared" si="0"/>
        <v>6.9940000000000002E-3</v>
      </c>
      <c r="G14" s="11">
        <f t="shared" si="5"/>
        <v>142.97969688304261</v>
      </c>
      <c r="H14" s="11">
        <f t="shared" si="1"/>
        <v>-2.5507577923934805</v>
      </c>
      <c r="I14" s="11">
        <f t="shared" si="2"/>
        <v>4.5505519016299692E-2</v>
      </c>
      <c r="J14" s="11">
        <f t="shared" si="6"/>
        <v>20443.193720766743</v>
      </c>
      <c r="K14" s="18">
        <f t="shared" si="3"/>
        <v>6.9940000000000002E-3</v>
      </c>
      <c r="L14" s="11">
        <f>K34</f>
        <v>1.586147489061647E-2</v>
      </c>
      <c r="M14" s="15">
        <f t="shared" si="7"/>
        <v>2.285547489061647E-2</v>
      </c>
      <c r="N14" s="15">
        <f t="shared" si="8"/>
        <v>43.753192825171155</v>
      </c>
      <c r="O14" s="16">
        <f t="shared" si="4"/>
        <v>-0.78055696000105346</v>
      </c>
      <c r="P14" s="15">
        <f>L34</f>
        <v>2.853078604947085E-2</v>
      </c>
      <c r="Q14" s="15">
        <f t="shared" si="9"/>
        <v>3.5524786049470847E-2</v>
      </c>
      <c r="R14" s="11">
        <f t="shared" si="10"/>
        <v>28.149360241253174</v>
      </c>
      <c r="S14" s="16">
        <f t="shared" si="11"/>
        <v>-0.50218458670395671</v>
      </c>
    </row>
    <row r="15" spans="1:27" x14ac:dyDescent="0.25">
      <c r="A15" t="s">
        <v>25</v>
      </c>
      <c r="B15" s="11">
        <v>0.14366799999999999</v>
      </c>
      <c r="C15" s="11">
        <v>2.5277000000000001E-2</v>
      </c>
      <c r="D15" s="11">
        <v>1</v>
      </c>
      <c r="E15">
        <v>1</v>
      </c>
      <c r="F15" s="13">
        <f t="shared" si="0"/>
        <v>2.5277000000000001E-2</v>
      </c>
      <c r="G15" s="11">
        <f t="shared" si="5"/>
        <v>39.561656842188548</v>
      </c>
      <c r="H15" s="11">
        <f t="shared" si="1"/>
        <v>5.6837441152035435</v>
      </c>
      <c r="I15" s="11">
        <f t="shared" si="2"/>
        <v>0.81657214954306268</v>
      </c>
      <c r="J15" s="11">
        <f t="shared" si="6"/>
        <v>1565.1246920990839</v>
      </c>
      <c r="K15" s="18">
        <f t="shared" si="3"/>
        <v>2.5277000000000001E-2</v>
      </c>
      <c r="L15" s="11">
        <f>K34</f>
        <v>1.586147489061647E-2</v>
      </c>
      <c r="M15" s="15">
        <f t="shared" si="7"/>
        <v>4.1138474890616471E-2</v>
      </c>
      <c r="N15" s="15">
        <f t="shared" si="8"/>
        <v>24.308144690801267</v>
      </c>
      <c r="O15" s="16">
        <f t="shared" si="4"/>
        <v>3.4923025314380363</v>
      </c>
      <c r="P15" s="15">
        <f>L34</f>
        <v>2.853078604947085E-2</v>
      </c>
      <c r="Q15" s="15">
        <f t="shared" si="9"/>
        <v>5.3807786049470854E-2</v>
      </c>
      <c r="R15" s="11">
        <f t="shared" si="10"/>
        <v>18.584670982013652</v>
      </c>
      <c r="S15" s="16">
        <f t="shared" si="11"/>
        <v>2.6700225106439373</v>
      </c>
    </row>
    <row r="16" spans="1:27" x14ac:dyDescent="0.25">
      <c r="A16" t="s">
        <v>26</v>
      </c>
      <c r="B16" s="11">
        <v>-8.1759999999999992E-3</v>
      </c>
      <c r="C16" s="11">
        <v>3.0304000000000001E-2</v>
      </c>
      <c r="D16" s="11">
        <v>1</v>
      </c>
      <c r="E16">
        <v>1</v>
      </c>
      <c r="F16" s="13">
        <f t="shared" si="0"/>
        <v>3.0304000000000001E-2</v>
      </c>
      <c r="G16" s="11">
        <f t="shared" si="5"/>
        <v>32.99894403379092</v>
      </c>
      <c r="H16" s="11">
        <f t="shared" si="1"/>
        <v>-0.26979936642027452</v>
      </c>
      <c r="I16" s="11">
        <f t="shared" si="2"/>
        <v>2.2058796198521644E-3</v>
      </c>
      <c r="J16" s="11">
        <f t="shared" si="6"/>
        <v>1088.9303073452654</v>
      </c>
      <c r="K16" s="18">
        <f t="shared" si="3"/>
        <v>3.0304000000000001E-2</v>
      </c>
      <c r="L16" s="11">
        <f>K34</f>
        <v>1.586147489061647E-2</v>
      </c>
      <c r="M16" s="15">
        <f t="shared" si="7"/>
        <v>4.6165474890616467E-2</v>
      </c>
      <c r="N16" s="15">
        <f t="shared" si="8"/>
        <v>21.661208995886636</v>
      </c>
      <c r="O16" s="16">
        <f t="shared" si="4"/>
        <v>-0.17710204475036911</v>
      </c>
      <c r="P16" s="15">
        <f>L34</f>
        <v>2.853078604947085E-2</v>
      </c>
      <c r="Q16" s="15">
        <f t="shared" si="9"/>
        <v>5.8834786049470851E-2</v>
      </c>
      <c r="R16" s="11">
        <f t="shared" si="10"/>
        <v>16.996747454119344</v>
      </c>
      <c r="S16" s="16">
        <f t="shared" si="11"/>
        <v>-0.13896540718487974</v>
      </c>
    </row>
    <row r="17" spans="1:20" x14ac:dyDescent="0.25">
      <c r="A17" t="s">
        <v>27</v>
      </c>
      <c r="B17" s="11">
        <v>0.16692000000000001</v>
      </c>
      <c r="C17" s="11">
        <v>3.3843999999999999E-2</v>
      </c>
      <c r="D17" s="11">
        <v>1</v>
      </c>
      <c r="E17">
        <v>1</v>
      </c>
      <c r="F17" s="13">
        <f t="shared" si="0"/>
        <v>3.3843999999999999E-2</v>
      </c>
      <c r="G17" s="11">
        <f t="shared" si="5"/>
        <v>29.547334830398299</v>
      </c>
      <c r="H17" s="11">
        <f t="shared" si="1"/>
        <v>4.9320411298900844</v>
      </c>
      <c r="I17" s="11">
        <f t="shared" si="2"/>
        <v>0.82325630540125294</v>
      </c>
      <c r="J17" s="11">
        <f t="shared" si="6"/>
        <v>873.04499557966847</v>
      </c>
      <c r="K17" s="18">
        <f t="shared" si="3"/>
        <v>3.3843999999999999E-2</v>
      </c>
      <c r="L17" s="11">
        <f>K34</f>
        <v>1.586147489061647E-2</v>
      </c>
      <c r="M17" s="15">
        <f t="shared" si="7"/>
        <v>4.9705474890616469E-2</v>
      </c>
      <c r="N17" s="15">
        <f t="shared" si="8"/>
        <v>20.11850811607038</v>
      </c>
      <c r="O17" s="16">
        <f t="shared" si="4"/>
        <v>3.358181374734468</v>
      </c>
      <c r="P17" s="15">
        <f>L34</f>
        <v>2.853078604947085E-2</v>
      </c>
      <c r="Q17" s="15">
        <f t="shared" si="9"/>
        <v>6.2374786049470846E-2</v>
      </c>
      <c r="R17" s="11">
        <f t="shared" si="10"/>
        <v>16.032119119524957</v>
      </c>
      <c r="S17" s="16">
        <f t="shared" si="11"/>
        <v>2.6760813234311058</v>
      </c>
    </row>
    <row r="18" spans="1:20" x14ac:dyDescent="0.25">
      <c r="A18" t="s">
        <v>28</v>
      </c>
      <c r="B18" s="11">
        <v>0</v>
      </c>
      <c r="C18" s="11">
        <v>0.05</v>
      </c>
      <c r="D18" s="11">
        <v>1</v>
      </c>
      <c r="E18">
        <v>1</v>
      </c>
      <c r="F18" s="13">
        <f t="shared" si="0"/>
        <v>0.05</v>
      </c>
      <c r="G18" s="11">
        <f t="shared" si="5"/>
        <v>20</v>
      </c>
      <c r="H18" s="11">
        <f t="shared" si="1"/>
        <v>0</v>
      </c>
      <c r="I18" s="11">
        <f t="shared" si="2"/>
        <v>0</v>
      </c>
      <c r="J18" s="11">
        <f t="shared" si="6"/>
        <v>400</v>
      </c>
      <c r="K18" s="18">
        <f t="shared" si="3"/>
        <v>0.05</v>
      </c>
      <c r="L18" s="11">
        <f>K34</f>
        <v>1.586147489061647E-2</v>
      </c>
      <c r="M18" s="15">
        <f t="shared" si="7"/>
        <v>6.5861474890616473E-2</v>
      </c>
      <c r="N18" s="15">
        <f t="shared" si="8"/>
        <v>15.183383027191724</v>
      </c>
      <c r="O18" s="16">
        <f t="shared" si="4"/>
        <v>0</v>
      </c>
      <c r="P18" s="15">
        <f>L34</f>
        <v>2.853078604947085E-2</v>
      </c>
      <c r="Q18" s="15">
        <f t="shared" si="9"/>
        <v>7.8530786049470849E-2</v>
      </c>
      <c r="R18" s="11">
        <f t="shared" si="10"/>
        <v>12.733859551208939</v>
      </c>
      <c r="S18" s="16">
        <f t="shared" si="11"/>
        <v>0</v>
      </c>
    </row>
    <row r="19" spans="1:20" x14ac:dyDescent="0.25">
      <c r="A19" t="s">
        <v>29</v>
      </c>
      <c r="B19" s="11">
        <v>0.23039399999999999</v>
      </c>
      <c r="C19" s="11">
        <v>5.4264E-2</v>
      </c>
      <c r="D19" s="11">
        <v>1</v>
      </c>
      <c r="E19">
        <v>1</v>
      </c>
      <c r="F19" s="13">
        <f t="shared" si="0"/>
        <v>5.4264E-2</v>
      </c>
      <c r="G19" s="11">
        <f t="shared" si="5"/>
        <v>18.428424001179419</v>
      </c>
      <c r="H19" s="11">
        <f t="shared" si="1"/>
        <v>4.2457983193277311</v>
      </c>
      <c r="I19" s="11">
        <f t="shared" si="2"/>
        <v>0.97820645798319317</v>
      </c>
      <c r="J19" s="11">
        <f t="shared" si="6"/>
        <v>339.60681116724567</v>
      </c>
      <c r="K19" s="18">
        <f t="shared" si="3"/>
        <v>5.4264E-2</v>
      </c>
      <c r="L19" s="11">
        <f>K34</f>
        <v>1.586147489061647E-2</v>
      </c>
      <c r="M19" s="15">
        <f t="shared" si="7"/>
        <v>7.0125474890616463E-2</v>
      </c>
      <c r="N19" s="15">
        <f t="shared" si="8"/>
        <v>14.260152983774098</v>
      </c>
      <c r="O19" s="16">
        <f t="shared" si="4"/>
        <v>3.2854536865436494</v>
      </c>
      <c r="P19" s="15">
        <f>L34</f>
        <v>2.853078604947085E-2</v>
      </c>
      <c r="Q19" s="15">
        <f t="shared" si="9"/>
        <v>8.2794786049470853E-2</v>
      </c>
      <c r="R19" s="11">
        <f t="shared" si="10"/>
        <v>12.078055246165963</v>
      </c>
      <c r="S19" s="16">
        <f t="shared" si="11"/>
        <v>2.7827114603851606</v>
      </c>
    </row>
    <row r="20" spans="1:20" x14ac:dyDescent="0.25">
      <c r="A20" t="s">
        <v>30</v>
      </c>
      <c r="B20" s="11">
        <v>0</v>
      </c>
      <c r="C20" s="11">
        <v>3.5714000000000003E-2</v>
      </c>
      <c r="D20" s="11">
        <v>1</v>
      </c>
      <c r="E20">
        <v>1</v>
      </c>
      <c r="F20" s="13">
        <f t="shared" si="0"/>
        <v>3.5714000000000003E-2</v>
      </c>
      <c r="G20" s="11">
        <f t="shared" si="5"/>
        <v>28.000224001792013</v>
      </c>
      <c r="H20" s="11">
        <f t="shared" si="1"/>
        <v>0</v>
      </c>
      <c r="I20" s="11">
        <f t="shared" si="2"/>
        <v>0</v>
      </c>
      <c r="J20" s="11">
        <f t="shared" si="6"/>
        <v>784.01254415052949</v>
      </c>
      <c r="K20" s="18">
        <f t="shared" si="3"/>
        <v>3.5714000000000003E-2</v>
      </c>
      <c r="L20" s="11">
        <f>K34</f>
        <v>1.586147489061647E-2</v>
      </c>
      <c r="M20" s="15">
        <f t="shared" si="7"/>
        <v>5.1575474890616473E-2</v>
      </c>
      <c r="N20" s="15">
        <f t="shared" si="8"/>
        <v>19.389060442406858</v>
      </c>
      <c r="O20" s="16">
        <f t="shared" si="4"/>
        <v>0</v>
      </c>
      <c r="P20" s="15">
        <f>L34</f>
        <v>2.853078604947085E-2</v>
      </c>
      <c r="Q20" s="15">
        <f t="shared" si="9"/>
        <v>6.4244786049470856E-2</v>
      </c>
      <c r="R20" s="11">
        <f t="shared" si="10"/>
        <v>15.565465487424351</v>
      </c>
      <c r="S20" s="16">
        <f t="shared" si="11"/>
        <v>0</v>
      </c>
    </row>
    <row r="21" spans="1:20" x14ac:dyDescent="0.25">
      <c r="A21" t="s">
        <v>31</v>
      </c>
      <c r="B21" s="11">
        <v>0.43754399999999999</v>
      </c>
      <c r="C21" s="11">
        <v>6.1827E-2</v>
      </c>
      <c r="D21" s="11">
        <v>1</v>
      </c>
      <c r="E21">
        <v>1</v>
      </c>
      <c r="F21" s="19">
        <f t="shared" si="0"/>
        <v>6.1827E-2</v>
      </c>
      <c r="G21" s="11">
        <f t="shared" si="5"/>
        <v>16.174163391398579</v>
      </c>
      <c r="H21" s="11">
        <f t="shared" si="1"/>
        <v>7.0769081469261002</v>
      </c>
      <c r="I21" s="11">
        <f t="shared" si="2"/>
        <v>3.0964586982386333</v>
      </c>
      <c r="J21" s="11">
        <f t="shared" si="6"/>
        <v>261.60356141165801</v>
      </c>
      <c r="K21" s="20">
        <f t="shared" si="3"/>
        <v>6.1827E-2</v>
      </c>
      <c r="L21" s="11">
        <f>K34</f>
        <v>1.586147489061647E-2</v>
      </c>
      <c r="M21" s="21">
        <f t="shared" si="7"/>
        <v>7.7688474890616477E-2</v>
      </c>
      <c r="N21" s="15">
        <f t="shared" si="8"/>
        <v>12.871922140420136</v>
      </c>
      <c r="O21" s="22">
        <f t="shared" si="4"/>
        <v>5.632032301007988</v>
      </c>
      <c r="P21" s="15">
        <f>L34</f>
        <v>2.853078604947085E-2</v>
      </c>
      <c r="Q21" s="15">
        <f t="shared" si="9"/>
        <v>9.0357786049470853E-2</v>
      </c>
      <c r="R21" s="11">
        <f t="shared" si="10"/>
        <v>11.067114896468361</v>
      </c>
      <c r="S21" s="16">
        <f t="shared" si="11"/>
        <v>4.8423497202603523</v>
      </c>
    </row>
    <row r="22" spans="1:20" x14ac:dyDescent="0.25">
      <c r="A22" s="24" t="s">
        <v>67</v>
      </c>
      <c r="B22" s="2"/>
      <c r="C22" s="2"/>
      <c r="D22" s="2"/>
      <c r="E22" s="3"/>
      <c r="F22" s="2"/>
      <c r="G22" s="23">
        <f>SUMIF(D4:D21,"=0",G4:G21)</f>
        <v>234.26107070217716</v>
      </c>
      <c r="H22" s="23">
        <f>SUMIF(D4:D21,"=0",H4:H21)</f>
        <v>47.305087566581669</v>
      </c>
      <c r="I22" s="23">
        <f>SUMIF(D4:D21,"=0",I4:I21)</f>
        <v>28.220286827255169</v>
      </c>
      <c r="J22" s="17">
        <f>SUMIF(D4:D21,"=0",J4:J21)</f>
        <v>9081.2425216308275</v>
      </c>
      <c r="K22" s="23"/>
      <c r="L22" s="23"/>
      <c r="M22" s="23"/>
      <c r="N22" s="23">
        <f>SUMIF(D4:D21,"=0",N4:N21)</f>
        <v>153.30838381599278</v>
      </c>
      <c r="O22" s="17">
        <f>SUMIF(D4:D21,"=0",O4:O21)</f>
        <v>30.129599636769427</v>
      </c>
      <c r="P22" s="23"/>
      <c r="Q22" s="23"/>
      <c r="R22" s="23">
        <f>(SUMIFS(R4:R21,B4:B21, "&lt;&gt; 0", D4:D21, "=0"))+(SUMIFS(R4:R21, B4:B21, "= 0", E4:E21,"=0", D4:D21, "=0"))</f>
        <v>59.51869510141789</v>
      </c>
      <c r="S22" s="17">
        <f>(SUMIFS(S4:S21,B4:B21, "&lt;&gt; 0", D4:D21, "=0"))+(SUMIFS(S4:S21, B4:B21, "= 0", E4:E21,"=0", D4:D21, "=0"))</f>
        <v>24.323157941036992</v>
      </c>
    </row>
    <row r="23" spans="1:20" x14ac:dyDescent="0.25">
      <c r="A23" s="25" t="s">
        <v>68</v>
      </c>
      <c r="B23" s="1"/>
      <c r="C23" s="1"/>
      <c r="D23" s="1"/>
      <c r="E23" s="4"/>
      <c r="F23" s="1"/>
      <c r="G23" s="21">
        <f>(SUMIFS(G4:G21,B4:B21, "&lt;&gt; 0", D4:D21, "=0"))+(SUMIFS(G4:G21, B4:B21, "=0", E4:E21,"=0", D4:D21, "=0"))</f>
        <v>132.26111669985914</v>
      </c>
      <c r="H23" s="21">
        <f>(SUMIFS(H4:H21,B4:B21, "&lt;&gt; 0", D4:D21, "=0"))+(SUMIFS(H4:H21, B4:B21, "= 0", E4:E21,"=0", D4:D21, "=0"))</f>
        <v>47.305087566581669</v>
      </c>
      <c r="I23" s="21">
        <f>(SUMIFS(I4:I21,B4:B21, "&lt;&gt; 0", D4:D21, "=0"))+(SUMIFS(I4:I21, B4:B21, "= 0", E4:E21,"=0", D4:D21, "=0"))</f>
        <v>28.220286827255169</v>
      </c>
      <c r="J23" s="22">
        <f>(SUMIFS(J4:J21,B4:B21, "&lt;&gt; 0", D4:D21, "=0"))+(SUMIFS(J4:J21, B4:B21, "= 0", E4:E21,"=0", D4:D21, "=0"))</f>
        <v>6909.2415894991454</v>
      </c>
      <c r="K23" s="21"/>
      <c r="L23" s="21"/>
      <c r="M23" s="21"/>
      <c r="N23" s="21"/>
      <c r="O23" s="22"/>
      <c r="P23" s="21"/>
      <c r="Q23" s="21"/>
      <c r="R23" s="21"/>
      <c r="S23" s="22"/>
    </row>
    <row r="24" spans="1:20" x14ac:dyDescent="0.25">
      <c r="A24" s="24" t="s">
        <v>65</v>
      </c>
      <c r="B24" s="2"/>
      <c r="C24" s="2"/>
      <c r="D24" s="2"/>
      <c r="E24" s="3"/>
      <c r="F24" s="2"/>
      <c r="G24" s="23">
        <f>SUMIF(D4:D21,"=1",G4:G21)</f>
        <v>344.6903079848783</v>
      </c>
      <c r="H24" s="23">
        <f>SUMIF(D4:D21,"=1",H4:H21)</f>
        <v>19.117934552533704</v>
      </c>
      <c r="I24" s="23">
        <f>SUMIF(D4:D21,"=1",I4:I21)</f>
        <v>5.7622050098022939</v>
      </c>
      <c r="J24" s="17">
        <f>SUMIF(D4:D21,"=1",J4:J21)</f>
        <v>26044.512008575686</v>
      </c>
      <c r="K24" s="23"/>
      <c r="L24" s="23"/>
      <c r="M24" s="23"/>
      <c r="N24" s="23">
        <f>SUMIF(D4:D21,"=1",N4:N21)</f>
        <v>184.935057608942</v>
      </c>
      <c r="O24" s="17">
        <f>SUMIF(D4:D21,"=1",O4:O21)</f>
        <v>14.810310888972719</v>
      </c>
      <c r="P24" s="23"/>
      <c r="Q24" s="23"/>
      <c r="R24" s="23">
        <f>(SUMIFS(R4:R21,B4:B21, "&lt;&gt; 0", D4:D21, "=1"))+(SUMIFS(R4:R21, B4:B21, "= 0", E4:E21,"=0", D4:D21, "=1"))</f>
        <v>102.90806793954545</v>
      </c>
      <c r="S24" s="17">
        <f>(SUMIFS(S4:S21,B4:B21, "&lt;&gt; 0", D4:D21, "=1"))+(SUMIFS(S4:S21, B4:B21, "= 0", E4:E21,"=0", D4:D21, "=1"))</f>
        <v>12.33001502083172</v>
      </c>
    </row>
    <row r="25" spans="1:20" x14ac:dyDescent="0.25">
      <c r="A25" s="25" t="s">
        <v>66</v>
      </c>
      <c r="B25" s="1"/>
      <c r="C25" s="1"/>
      <c r="D25" s="1"/>
      <c r="E25" s="4"/>
      <c r="F25" s="1"/>
      <c r="G25" s="21">
        <f>(SUMIFS(G4:G21,B4:B21, "&lt;&gt; 0", D4:D21, "=1"))+(SUMIFS(G4:G21, B4:B21, "= 0", E4:E21,"=0", D4:D21, "=1"))</f>
        <v>279.69021998199833</v>
      </c>
      <c r="H25" s="21">
        <f>(SUMIFS(H4:H21,B4:B21, "&lt;&gt; 0", D4:D21, "=1"))+(SUMIFS(H4:H21, B4:B21, "= 0", E4:E21,"=0", D4:D21, "=1"))</f>
        <v>19.117934552533704</v>
      </c>
      <c r="I25" s="21">
        <f>(SUMIFS(I4:I21,B4:B21, "&lt;&gt; 0", D4:D21, "=1"))+(SUMIFS(I4:I21, B4:B21, "= 0", E4:E21,"=0", D4:D21, "=1"))</f>
        <v>5.7622050098022939</v>
      </c>
      <c r="J25" s="22">
        <f>(SUMIFS(J4:J21,B4:B21, "&lt;&gt; 0", D4:D21, "=1"))+(SUMIFS(J4:J21, B4:B21, "= 0", E4:E21,"=0", D4:D21, "=1"))</f>
        <v>24571.504088369667</v>
      </c>
      <c r="K25" s="21"/>
      <c r="L25" s="21"/>
      <c r="M25" s="21"/>
      <c r="N25" s="21"/>
      <c r="O25" s="22"/>
      <c r="P25" s="21"/>
      <c r="Q25" s="21"/>
      <c r="R25" s="21"/>
      <c r="S25" s="22"/>
    </row>
    <row r="26" spans="1:20" x14ac:dyDescent="0.25">
      <c r="A26" s="34"/>
      <c r="B26" s="8"/>
      <c r="C26" s="8"/>
      <c r="D26" s="8"/>
      <c r="E26" s="8"/>
      <c r="F26" s="8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</row>
    <row r="27" spans="1:20" x14ac:dyDescent="0.25">
      <c r="A27" s="8"/>
      <c r="B27" s="8"/>
      <c r="C27" s="8"/>
      <c r="D27" s="8"/>
      <c r="E27" s="8"/>
      <c r="F27" s="8"/>
      <c r="G27" s="15"/>
      <c r="H27" s="15"/>
      <c r="I27" s="15"/>
      <c r="J27" s="15"/>
      <c r="K27" s="15"/>
      <c r="L27" s="15"/>
      <c r="M27" s="15"/>
      <c r="N27" s="60" t="s">
        <v>39</v>
      </c>
      <c r="O27" s="61"/>
      <c r="P27" s="61"/>
      <c r="Q27" s="61"/>
      <c r="R27" s="61"/>
      <c r="S27" s="61"/>
      <c r="T27" s="62"/>
    </row>
    <row r="28" spans="1:20" x14ac:dyDescent="0.25">
      <c r="A28" s="8"/>
      <c r="B28" s="8"/>
      <c r="C28" s="8"/>
      <c r="D28" s="15"/>
      <c r="E28" s="8"/>
      <c r="F28" s="60" t="s">
        <v>38</v>
      </c>
      <c r="G28" s="61"/>
      <c r="H28" s="62"/>
      <c r="I28" s="8"/>
      <c r="J28" s="67" t="s">
        <v>36</v>
      </c>
      <c r="K28" s="68"/>
      <c r="L28" s="69"/>
      <c r="M28" s="8"/>
      <c r="N28" s="35"/>
      <c r="O28" s="54" t="s">
        <v>33</v>
      </c>
      <c r="P28" s="55"/>
      <c r="Q28" s="56"/>
      <c r="R28" s="54" t="s">
        <v>34</v>
      </c>
      <c r="S28" s="55"/>
      <c r="T28" s="56"/>
    </row>
    <row r="29" spans="1:20" s="9" customFormat="1" ht="15" customHeight="1" x14ac:dyDescent="0.25">
      <c r="F29" s="26"/>
      <c r="G29" s="43" t="s">
        <v>74</v>
      </c>
      <c r="H29" s="43" t="s">
        <v>75</v>
      </c>
      <c r="I29" s="10"/>
      <c r="J29" s="26"/>
      <c r="K29" s="43" t="s">
        <v>33</v>
      </c>
      <c r="L29" s="39" t="s">
        <v>34</v>
      </c>
      <c r="N29" s="27"/>
      <c r="O29" s="37" t="s">
        <v>74</v>
      </c>
      <c r="P29" s="38" t="s">
        <v>75</v>
      </c>
      <c r="Q29" s="39" t="s">
        <v>77</v>
      </c>
      <c r="R29" s="37" t="s">
        <v>74</v>
      </c>
      <c r="S29" s="38" t="s">
        <v>75</v>
      </c>
      <c r="T29" s="39" t="s">
        <v>77</v>
      </c>
    </row>
    <row r="30" spans="1:20" x14ac:dyDescent="0.25">
      <c r="A30" s="44" t="s">
        <v>69</v>
      </c>
      <c r="B30" s="46">
        <f>COUNTA(B4:B21)</f>
        <v>18</v>
      </c>
      <c r="F30" s="40" t="s">
        <v>2</v>
      </c>
      <c r="G30" s="15">
        <f>H22/G22</f>
        <v>0.20193319967670595</v>
      </c>
      <c r="H30" s="14">
        <f>H24/G24</f>
        <v>5.546409083649783E-2</v>
      </c>
      <c r="I30" s="11"/>
      <c r="J30" s="40" t="s">
        <v>3</v>
      </c>
      <c r="K30" s="15">
        <f>(I22-H22^2/G22) + (I24-H24^2/G24)</f>
        <v>23.369665285122917</v>
      </c>
      <c r="L30" s="14">
        <f>(I23-H23^2/G23) + (I25-H25^2/G25)</f>
        <v>15.75636143627224</v>
      </c>
      <c r="N30" s="35" t="s">
        <v>4</v>
      </c>
      <c r="O30" s="13">
        <f>O22/N22</f>
        <v>0.1965293670627449</v>
      </c>
      <c r="P30" s="15">
        <f>O24/N24</f>
        <v>8.0083847164825542E-2</v>
      </c>
      <c r="Q30" s="16">
        <f>P30-O30</f>
        <v>-0.11644551989791936</v>
      </c>
      <c r="R30" s="13">
        <f>S22/R22</f>
        <v>0.40866416677299688</v>
      </c>
      <c r="S30" s="15">
        <f>S24/R24</f>
        <v>0.11981582462587027</v>
      </c>
      <c r="T30" s="16">
        <f>S30-R30</f>
        <v>-0.28884834214712662</v>
      </c>
    </row>
    <row r="31" spans="1:20" x14ac:dyDescent="0.25">
      <c r="A31" s="35" t="s">
        <v>32</v>
      </c>
      <c r="B31" s="47">
        <f>COUNTIF(B4:B21, "&lt;&gt; 0")+(COUNTIFS(B4:B21, "= 0", E4:E21,"=0"))</f>
        <v>10</v>
      </c>
      <c r="F31" s="41" t="s">
        <v>1</v>
      </c>
      <c r="G31" s="15">
        <f>1/G22</f>
        <v>4.2687416949072545E-3</v>
      </c>
      <c r="H31" s="18">
        <f>1/G24</f>
        <v>2.9011549696484952E-3</v>
      </c>
      <c r="I31" s="12"/>
      <c r="J31" s="41" t="s">
        <v>5</v>
      </c>
      <c r="K31" s="15">
        <f>COUNT(B4:B21)-2</f>
        <v>16</v>
      </c>
      <c r="L31" s="18">
        <f>COUNTIF(B4:B21, "&lt;&gt; 0")+(COUNTIFS(B4:B21, "= 0", E4:E21,"=0"))-2</f>
        <v>8</v>
      </c>
      <c r="N31" s="35" t="s">
        <v>1</v>
      </c>
      <c r="O31" s="13">
        <f>1/N22</f>
        <v>6.5228004829810376E-3</v>
      </c>
      <c r="P31" s="15">
        <f>1/N24</f>
        <v>5.4073035849945194E-3</v>
      </c>
      <c r="Q31" s="16">
        <f>P31+O31</f>
        <v>1.1930104067975556E-2</v>
      </c>
      <c r="R31" s="13">
        <f>1/R22</f>
        <v>1.6801443618614839E-2</v>
      </c>
      <c r="S31" s="15">
        <f>1/R24</f>
        <v>9.7174110837204893E-3</v>
      </c>
      <c r="T31" s="16">
        <f>S31+R31</f>
        <v>2.651885470233533E-2</v>
      </c>
    </row>
    <row r="32" spans="1:20" x14ac:dyDescent="0.25">
      <c r="A32" s="35" t="s">
        <v>70</v>
      </c>
      <c r="B32" s="41">
        <f>COUNTIF(D4:D21, "=0")</f>
        <v>9</v>
      </c>
      <c r="F32" s="41" t="s">
        <v>6</v>
      </c>
      <c r="G32" s="15">
        <f>SQRT(G31)</f>
        <v>6.5335608169720547E-2</v>
      </c>
      <c r="H32" s="18">
        <f>SQRT(H31)</f>
        <v>5.3862370627818595E-2</v>
      </c>
      <c r="I32" s="11"/>
      <c r="J32" s="41" t="s">
        <v>7</v>
      </c>
      <c r="K32" s="15">
        <f>MAX(K30-K31,0)</f>
        <v>7.3696652851229167</v>
      </c>
      <c r="L32" s="18">
        <f>MAX(L30-L31,0)</f>
        <v>7.7563614362722397</v>
      </c>
      <c r="N32" s="35" t="s">
        <v>6</v>
      </c>
      <c r="O32" s="13">
        <f>SQRT(O31)</f>
        <v>8.0763856290924085E-2</v>
      </c>
      <c r="P32" s="15">
        <f t="shared" ref="P32:Q32" si="12">SQRT(P31)</f>
        <v>7.3534370093137527E-2</v>
      </c>
      <c r="Q32" s="16">
        <f t="shared" si="12"/>
        <v>0.10922501576093069</v>
      </c>
      <c r="R32" s="13">
        <f>SQRT(R31)</f>
        <v>0.12962038272823775</v>
      </c>
      <c r="S32" s="15">
        <f>SQRT(S31)</f>
        <v>9.857692977426559E-2</v>
      </c>
      <c r="T32" s="16">
        <f>SQRT(T31)</f>
        <v>0.16284610742150188</v>
      </c>
    </row>
    <row r="33" spans="1:20" x14ac:dyDescent="0.25">
      <c r="A33" s="35" t="s">
        <v>71</v>
      </c>
      <c r="B33" s="41">
        <f>COUNTIF(D4:D21, "=1")</f>
        <v>9</v>
      </c>
      <c r="F33" s="41" t="s">
        <v>8</v>
      </c>
      <c r="G33" s="15">
        <f>G30-1.96*G32</f>
        <v>7.3875407664053677E-2</v>
      </c>
      <c r="H33" s="18">
        <f>H30-1.96*H32</f>
        <v>-5.0106155594026612E-2</v>
      </c>
      <c r="I33" s="11"/>
      <c r="J33" s="41" t="s">
        <v>9</v>
      </c>
      <c r="K33" s="15">
        <f>(G22-J22/G22) + (G24-J24/G24)</f>
        <v>464.62673464765601</v>
      </c>
      <c r="L33" s="18">
        <f>(G23-J23/G23) + (G25-J25/G25)</f>
        <v>271.85936702981564</v>
      </c>
      <c r="N33" s="35" t="s">
        <v>8</v>
      </c>
      <c r="O33" s="13">
        <f>O30-1.96*O32</f>
        <v>3.823220873253369E-2</v>
      </c>
      <c r="P33" s="15">
        <f>P30-1.96*P32</f>
        <v>-6.4043518217724013E-2</v>
      </c>
      <c r="Q33" s="16"/>
      <c r="R33" s="13">
        <f>R30-1.96*R32</f>
        <v>0.15460821662565088</v>
      </c>
      <c r="S33" s="15">
        <f>S30-1.96*S32</f>
        <v>-7.3394957731690288E-2</v>
      </c>
      <c r="T33" s="16"/>
    </row>
    <row r="34" spans="1:20" x14ac:dyDescent="0.25">
      <c r="A34" s="35" t="s">
        <v>72</v>
      </c>
      <c r="B34" s="47">
        <f>COUNTIFS(B4:B21, "&lt;&gt; 0", D4:D21, "=0")+(COUNTIFS(B4:B21, "= 0", E4:E21,"=0", D4:D21, "=0"))</f>
        <v>4</v>
      </c>
      <c r="F34" s="41" t="s">
        <v>10</v>
      </c>
      <c r="G34" s="15">
        <f>G30+1.96*G32</f>
        <v>0.32999099168935819</v>
      </c>
      <c r="H34" s="18">
        <f>H30+1.96*H32</f>
        <v>0.16103433726702227</v>
      </c>
      <c r="I34" s="11"/>
      <c r="J34" s="42" t="s">
        <v>11</v>
      </c>
      <c r="K34" s="21">
        <f>K32/K33</f>
        <v>1.586147489061647E-2</v>
      </c>
      <c r="L34" s="20">
        <f>L32/L33</f>
        <v>2.853078604947085E-2</v>
      </c>
      <c r="N34" s="35" t="s">
        <v>10</v>
      </c>
      <c r="O34" s="13">
        <f>O30+1.96*O32</f>
        <v>0.35482652539295612</v>
      </c>
      <c r="P34" s="15">
        <f>P30+1.96*P32</f>
        <v>0.22421121254737508</v>
      </c>
      <c r="Q34" s="16"/>
      <c r="R34" s="13">
        <f>R30+1.96*R32</f>
        <v>0.66272011692034294</v>
      </c>
      <c r="S34" s="15">
        <f>S30+1.96*S32</f>
        <v>0.31302660698343082</v>
      </c>
      <c r="T34" s="16"/>
    </row>
    <row r="35" spans="1:20" x14ac:dyDescent="0.25">
      <c r="A35" s="36" t="s">
        <v>73</v>
      </c>
      <c r="B35" s="73">
        <f>COUNTIFS(B4:B21, "&lt;&gt; 0", D4:D21, "=1")+(COUNTIFS(B4:B21, "= 0", E4:E21,"=0", D4:D21, "=1"))</f>
        <v>6</v>
      </c>
      <c r="F35" s="42" t="s">
        <v>12</v>
      </c>
      <c r="G35" s="21">
        <f>G30/G32</f>
        <v>3.0907066656844999</v>
      </c>
      <c r="H35" s="20">
        <f>H30/H32</f>
        <v>1.0297372765069495</v>
      </c>
      <c r="N35" s="35" t="s">
        <v>12</v>
      </c>
      <c r="O35" s="13">
        <f>O30/O32</f>
        <v>2.433382655167124</v>
      </c>
      <c r="P35" s="15">
        <f t="shared" ref="P35:Q35" si="13">P30/P32</f>
        <v>1.0890668821041445</v>
      </c>
      <c r="Q35" s="16">
        <f t="shared" si="13"/>
        <v>-1.0661066888998465</v>
      </c>
      <c r="R35" s="13">
        <f>R30/R32</f>
        <v>3.1527770414765914</v>
      </c>
      <c r="S35" s="15">
        <f>S30/S32</f>
        <v>1.2154550248241682</v>
      </c>
      <c r="T35" s="16">
        <f>T30/T32</f>
        <v>-1.7737503629699143</v>
      </c>
    </row>
    <row r="36" spans="1:20" x14ac:dyDescent="0.25">
      <c r="N36" s="36" t="s">
        <v>13</v>
      </c>
      <c r="O36" s="19">
        <f>(1-(NORMDIST((O35),0,1,TRUE)))</f>
        <v>7.4792415695529302E-3</v>
      </c>
      <c r="P36" s="21">
        <f>(1-(NORMDIST((P35),0,1,TRUE)))</f>
        <v>0.13806219648660756</v>
      </c>
      <c r="Q36" s="22"/>
      <c r="R36" s="19"/>
      <c r="S36" s="21">
        <f>(1-(NORMDIST((S35),0,1,TRUE)))</f>
        <v>0.11209629620495298</v>
      </c>
      <c r="T36" s="22"/>
    </row>
    <row r="37" spans="1:20" x14ac:dyDescent="0.25">
      <c r="F37" s="60" t="s">
        <v>76</v>
      </c>
      <c r="G37" s="61"/>
      <c r="H37" s="62"/>
    </row>
    <row r="38" spans="1:20" x14ac:dyDescent="0.25">
      <c r="A38" s="72" t="s">
        <v>80</v>
      </c>
      <c r="B38" s="72"/>
      <c r="C38" s="72"/>
      <c r="D38" s="72"/>
      <c r="F38" s="27"/>
      <c r="G38" s="38" t="s">
        <v>74</v>
      </c>
      <c r="H38" s="43" t="s">
        <v>75</v>
      </c>
    </row>
    <row r="39" spans="1:20" x14ac:dyDescent="0.25">
      <c r="A39" s="72" t="s">
        <v>81</v>
      </c>
      <c r="B39" s="72"/>
      <c r="C39" s="72"/>
      <c r="D39" s="72"/>
      <c r="F39" s="41" t="s">
        <v>2</v>
      </c>
      <c r="G39" s="15">
        <f>H23/G23</f>
        <v>0.35766435931379104</v>
      </c>
      <c r="H39" s="18">
        <f>H25/G25</f>
        <v>6.8353961585657833E-2</v>
      </c>
    </row>
    <row r="40" spans="1:20" x14ac:dyDescent="0.25">
      <c r="F40" s="41" t="s">
        <v>1</v>
      </c>
      <c r="G40" s="15">
        <f>1/G23</f>
        <v>7.560801125468382E-3</v>
      </c>
      <c r="H40" s="18">
        <f>1/G25</f>
        <v>3.575384223532603E-3</v>
      </c>
    </row>
    <row r="41" spans="1:20" x14ac:dyDescent="0.25">
      <c r="F41" s="41" t="s">
        <v>6</v>
      </c>
      <c r="G41" s="15">
        <f>SQRT(G40)</f>
        <v>8.6952867264216083E-2</v>
      </c>
      <c r="H41" s="18">
        <f>SQRT(H40)</f>
        <v>5.9794516667773169E-2</v>
      </c>
    </row>
    <row r="42" spans="1:20" x14ac:dyDescent="0.25">
      <c r="F42" s="41" t="s">
        <v>8</v>
      </c>
      <c r="G42" s="15">
        <f>G39-1.96*G41</f>
        <v>0.1872367394759275</v>
      </c>
      <c r="H42" s="18">
        <f>H39-1.96*H41</f>
        <v>-4.8843291083177573E-2</v>
      </c>
    </row>
    <row r="43" spans="1:20" x14ac:dyDescent="0.25">
      <c r="F43" s="41" t="s">
        <v>10</v>
      </c>
      <c r="G43" s="15">
        <f>G39+1.96*G41</f>
        <v>0.52809197915165451</v>
      </c>
      <c r="H43" s="18">
        <f>H39+1.96*H41</f>
        <v>0.18555121425449322</v>
      </c>
    </row>
    <row r="44" spans="1:20" x14ac:dyDescent="0.25">
      <c r="F44" s="42" t="s">
        <v>12</v>
      </c>
      <c r="G44" s="21">
        <f>G39/G41</f>
        <v>4.1133130000990947</v>
      </c>
      <c r="H44" s="20">
        <f>H39/H41</f>
        <v>1.143147656254873</v>
      </c>
    </row>
  </sheetData>
  <mergeCells count="14">
    <mergeCell ref="A38:D38"/>
    <mergeCell ref="A39:D39"/>
    <mergeCell ref="F37:H37"/>
    <mergeCell ref="O28:Q28"/>
    <mergeCell ref="R28:T28"/>
    <mergeCell ref="N27:T27"/>
    <mergeCell ref="F28:H28"/>
    <mergeCell ref="J28:L28"/>
    <mergeCell ref="A1:E1"/>
    <mergeCell ref="F1:J1"/>
    <mergeCell ref="K1:S1"/>
    <mergeCell ref="A2:E2"/>
    <mergeCell ref="L2:O2"/>
    <mergeCell ref="P2:S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Fixed and random</vt:lpstr>
      <vt:lpstr>Mixed effects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Cutler</dc:creator>
  <cp:lastModifiedBy>Jo Cutler</cp:lastModifiedBy>
  <dcterms:created xsi:type="dcterms:W3CDTF">2018-08-28T16:22:38Z</dcterms:created>
  <dcterms:modified xsi:type="dcterms:W3CDTF">2018-09-08T12:29:55Z</dcterms:modified>
</cp:coreProperties>
</file>