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465" windowWidth="20730" windowHeight="11760"/>
  </bookViews>
  <sheets>
    <sheet name="ICTV2019 Master Species List#35" sheetId="1" r:id="rId1"/>
    <sheet name="Version" sheetId="2" r:id="rId2"/>
    <sheet name="Column Definitions" sheetId="3" r:id="rId3"/>
  </sheets>
  <definedNames>
    <definedName name="_xlnm._FilterDatabase" localSheetId="0" hidden="1">'ICTV2019 Master Species List#35'!$R$1:$R$4852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0">'ICTV2019 Master Species List#35'!$1:$1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002" i="1"/>
  <c r="W3003" i="1"/>
  <c r="W3004" i="1"/>
  <c r="W3005" i="1"/>
  <c r="W3006" i="1"/>
  <c r="W3007" i="1"/>
  <c r="W3008" i="1"/>
  <c r="W3009" i="1"/>
  <c r="W3010" i="1"/>
  <c r="W3011" i="1"/>
  <c r="W3012" i="1"/>
  <c r="W3013" i="1"/>
  <c r="W3014" i="1"/>
  <c r="W3015" i="1"/>
  <c r="W3016" i="1"/>
  <c r="W3017" i="1"/>
  <c r="W3018" i="1"/>
  <c r="W3019" i="1"/>
  <c r="W3020" i="1"/>
  <c r="W3021" i="1"/>
  <c r="W3022" i="1"/>
  <c r="W3023" i="1"/>
  <c r="W3024" i="1"/>
  <c r="W3025" i="1"/>
  <c r="W3026" i="1"/>
  <c r="W3027" i="1"/>
  <c r="W3028" i="1"/>
  <c r="W3029" i="1"/>
  <c r="W3030" i="1"/>
  <c r="W3031" i="1"/>
  <c r="W3032" i="1"/>
  <c r="W3033" i="1"/>
  <c r="W3034" i="1"/>
  <c r="W3035" i="1"/>
  <c r="W3036" i="1"/>
  <c r="W3037" i="1"/>
  <c r="W3038" i="1"/>
  <c r="W3039" i="1"/>
  <c r="W3040" i="1"/>
  <c r="W3041" i="1"/>
  <c r="W3042" i="1"/>
  <c r="W3043" i="1"/>
  <c r="W3044" i="1"/>
  <c r="W3045" i="1"/>
  <c r="W3046" i="1"/>
  <c r="W3047" i="1"/>
  <c r="W3048" i="1"/>
  <c r="W3049" i="1"/>
  <c r="W3050" i="1"/>
  <c r="W3051" i="1"/>
  <c r="W3052" i="1"/>
  <c r="W3053" i="1"/>
  <c r="W3054" i="1"/>
  <c r="W3055" i="1"/>
  <c r="W3056" i="1"/>
  <c r="W3057" i="1"/>
  <c r="W3058" i="1"/>
  <c r="W3059" i="1"/>
  <c r="W3060" i="1"/>
  <c r="W3061" i="1"/>
  <c r="W3062" i="1"/>
  <c r="W3063" i="1"/>
  <c r="W3064" i="1"/>
  <c r="W3065" i="1"/>
  <c r="W3066" i="1"/>
  <c r="W3067" i="1"/>
  <c r="W3068" i="1"/>
  <c r="W3069" i="1"/>
  <c r="W3070" i="1"/>
  <c r="W3071" i="1"/>
  <c r="W3072" i="1"/>
  <c r="W3073" i="1"/>
  <c r="W3074" i="1"/>
  <c r="W3075" i="1"/>
  <c r="W3076" i="1"/>
  <c r="W3077" i="1"/>
  <c r="W3078" i="1"/>
  <c r="W3079" i="1"/>
  <c r="W3080" i="1"/>
  <c r="W3081" i="1"/>
  <c r="W3082" i="1"/>
  <c r="W3083" i="1"/>
  <c r="W3084" i="1"/>
  <c r="W3085" i="1"/>
  <c r="W3086" i="1"/>
  <c r="W3087" i="1"/>
  <c r="W3088" i="1"/>
  <c r="W3089" i="1"/>
  <c r="W3090" i="1"/>
  <c r="W3091" i="1"/>
  <c r="W3092" i="1"/>
  <c r="W3093" i="1"/>
  <c r="W3094" i="1"/>
  <c r="W3095" i="1"/>
  <c r="W3096" i="1"/>
  <c r="W3097" i="1"/>
  <c r="W3098" i="1"/>
  <c r="W3099" i="1"/>
  <c r="W3100" i="1"/>
  <c r="W3101" i="1"/>
  <c r="W3102" i="1"/>
  <c r="W3103" i="1"/>
  <c r="W3104" i="1"/>
  <c r="W3105" i="1"/>
  <c r="W3106" i="1"/>
  <c r="W3107" i="1"/>
  <c r="W3108" i="1"/>
  <c r="W3109" i="1"/>
  <c r="W3110" i="1"/>
  <c r="W3111" i="1"/>
  <c r="W3112" i="1"/>
  <c r="W3113" i="1"/>
  <c r="W3114" i="1"/>
  <c r="W3115" i="1"/>
  <c r="W3116" i="1"/>
  <c r="W3117" i="1"/>
  <c r="W3118" i="1"/>
  <c r="W3119" i="1"/>
  <c r="W3120" i="1"/>
  <c r="W3121" i="1"/>
  <c r="W3122" i="1"/>
  <c r="W3123" i="1"/>
  <c r="W3124" i="1"/>
  <c r="W3125" i="1"/>
  <c r="W3126" i="1"/>
  <c r="W3127" i="1"/>
  <c r="W3128" i="1"/>
  <c r="W3129" i="1"/>
  <c r="W3130" i="1"/>
  <c r="W3131" i="1"/>
  <c r="W3132" i="1"/>
  <c r="W3133" i="1"/>
  <c r="W3134" i="1"/>
  <c r="W3135" i="1"/>
  <c r="W3136" i="1"/>
  <c r="W3137" i="1"/>
  <c r="W3138" i="1"/>
  <c r="W3139" i="1"/>
  <c r="W3140" i="1"/>
  <c r="W3141" i="1"/>
  <c r="W3142" i="1"/>
  <c r="W3143" i="1"/>
  <c r="W3144" i="1"/>
  <c r="W3145" i="1"/>
  <c r="W3146" i="1"/>
  <c r="W3147" i="1"/>
  <c r="W3148" i="1"/>
  <c r="W3149" i="1"/>
  <c r="W3150" i="1"/>
  <c r="W3151" i="1"/>
  <c r="W3152" i="1"/>
  <c r="W3153" i="1"/>
  <c r="W3154" i="1"/>
  <c r="W3155" i="1"/>
  <c r="W3156" i="1"/>
  <c r="W3157" i="1"/>
  <c r="W3158" i="1"/>
  <c r="W3159" i="1"/>
  <c r="W3160" i="1"/>
  <c r="W3161" i="1"/>
  <c r="W3162" i="1"/>
  <c r="W3163" i="1"/>
  <c r="W3164" i="1"/>
  <c r="W3165" i="1"/>
  <c r="W3166" i="1"/>
  <c r="W3167" i="1"/>
  <c r="W3168" i="1"/>
  <c r="W3169" i="1"/>
  <c r="W3170" i="1"/>
  <c r="W3171" i="1"/>
  <c r="W3172" i="1"/>
  <c r="W3173" i="1"/>
  <c r="W3174" i="1"/>
  <c r="W3175" i="1"/>
  <c r="W3176" i="1"/>
  <c r="W3177" i="1"/>
  <c r="W3178" i="1"/>
  <c r="W3179" i="1"/>
  <c r="W3180" i="1"/>
  <c r="W3181" i="1"/>
  <c r="W3182" i="1"/>
  <c r="W3183" i="1"/>
  <c r="W3184" i="1"/>
  <c r="W3185" i="1"/>
  <c r="W3186" i="1"/>
  <c r="W3187" i="1"/>
  <c r="W3188" i="1"/>
  <c r="W3189" i="1"/>
  <c r="W3190" i="1"/>
  <c r="W3191" i="1"/>
  <c r="W3192" i="1"/>
  <c r="W3193" i="1"/>
  <c r="W3194" i="1"/>
  <c r="W3195" i="1"/>
  <c r="W3196" i="1"/>
  <c r="W3197" i="1"/>
  <c r="W3198" i="1"/>
  <c r="W3199" i="1"/>
  <c r="W3200" i="1"/>
  <c r="W3201" i="1"/>
  <c r="W3202" i="1"/>
  <c r="W3203" i="1"/>
  <c r="W3204" i="1"/>
  <c r="W3205" i="1"/>
  <c r="W3206" i="1"/>
  <c r="W3207" i="1"/>
  <c r="W3208" i="1"/>
  <c r="W3209" i="1"/>
  <c r="W3210" i="1"/>
  <c r="W3211" i="1"/>
  <c r="W3212" i="1"/>
  <c r="W3213" i="1"/>
  <c r="W3214" i="1"/>
  <c r="W3215" i="1"/>
  <c r="W3216" i="1"/>
  <c r="W3217" i="1"/>
  <c r="W3218" i="1"/>
  <c r="W3219" i="1"/>
  <c r="W3220" i="1"/>
  <c r="W3221" i="1"/>
  <c r="W3222" i="1"/>
  <c r="W3223" i="1"/>
  <c r="W3224" i="1"/>
  <c r="W3225" i="1"/>
  <c r="W3226" i="1"/>
  <c r="W3227" i="1"/>
  <c r="W3228" i="1"/>
  <c r="W3229" i="1"/>
  <c r="W3230" i="1"/>
  <c r="W3231" i="1"/>
  <c r="W3232" i="1"/>
  <c r="W3233" i="1"/>
  <c r="W3234" i="1"/>
  <c r="W3235" i="1"/>
  <c r="W3236" i="1"/>
  <c r="W3237" i="1"/>
  <c r="W3238" i="1"/>
  <c r="W3239" i="1"/>
  <c r="W3240" i="1"/>
  <c r="W3241" i="1"/>
  <c r="W3242" i="1"/>
  <c r="W3243" i="1"/>
  <c r="W3244" i="1"/>
  <c r="W3245" i="1"/>
  <c r="W3246" i="1"/>
  <c r="W3247" i="1"/>
  <c r="W3248" i="1"/>
  <c r="W3249" i="1"/>
  <c r="W3250" i="1"/>
  <c r="W3251" i="1"/>
  <c r="W3252" i="1"/>
  <c r="W3253" i="1"/>
  <c r="W3254" i="1"/>
  <c r="W3255" i="1"/>
  <c r="W3256" i="1"/>
  <c r="W3257" i="1"/>
  <c r="W3258" i="1"/>
  <c r="W3259" i="1"/>
  <c r="W3260" i="1"/>
  <c r="W3261" i="1"/>
  <c r="W3262" i="1"/>
  <c r="W3263" i="1"/>
  <c r="W3264" i="1"/>
  <c r="W3265" i="1"/>
  <c r="W3266" i="1"/>
  <c r="W3267" i="1"/>
  <c r="W3268" i="1"/>
  <c r="W3269" i="1"/>
  <c r="W3270" i="1"/>
  <c r="W3271" i="1"/>
  <c r="W3272" i="1"/>
  <c r="W3273" i="1"/>
  <c r="W3274" i="1"/>
  <c r="W3275" i="1"/>
  <c r="W3276" i="1"/>
  <c r="W3277" i="1"/>
  <c r="W3278" i="1"/>
  <c r="W3279" i="1"/>
  <c r="W3280" i="1"/>
  <c r="W3281" i="1"/>
  <c r="W3282" i="1"/>
  <c r="W3283" i="1"/>
  <c r="W3284" i="1"/>
  <c r="W3285" i="1"/>
  <c r="W3286" i="1"/>
  <c r="W3287" i="1"/>
  <c r="W3288" i="1"/>
  <c r="W3289" i="1"/>
  <c r="W3290" i="1"/>
  <c r="W3291" i="1"/>
  <c r="W3292" i="1"/>
  <c r="W3293" i="1"/>
  <c r="W3294" i="1"/>
  <c r="W3295" i="1"/>
  <c r="W3296" i="1"/>
  <c r="W3297" i="1"/>
  <c r="W3298" i="1"/>
  <c r="W3299" i="1"/>
  <c r="W3300" i="1"/>
  <c r="W3301" i="1"/>
  <c r="W3302" i="1"/>
  <c r="W3303" i="1"/>
  <c r="W3304" i="1"/>
  <c r="W3305" i="1"/>
  <c r="W3306" i="1"/>
  <c r="W3307" i="1"/>
  <c r="W3308" i="1"/>
  <c r="W3309" i="1"/>
  <c r="W3310" i="1"/>
  <c r="W3311" i="1"/>
  <c r="W3312" i="1"/>
  <c r="W3313" i="1"/>
  <c r="W3314" i="1"/>
  <c r="W3315" i="1"/>
  <c r="W3316" i="1"/>
  <c r="W3317" i="1"/>
  <c r="W3318" i="1"/>
  <c r="W3319" i="1"/>
  <c r="W3320" i="1"/>
  <c r="W3321" i="1"/>
  <c r="W3322" i="1"/>
  <c r="W3323" i="1"/>
  <c r="W3324" i="1"/>
  <c r="W3325" i="1"/>
  <c r="W3326" i="1"/>
  <c r="W3327" i="1"/>
  <c r="W3328" i="1"/>
  <c r="W3329" i="1"/>
  <c r="W3330" i="1"/>
  <c r="W3331" i="1"/>
  <c r="W3332" i="1"/>
  <c r="W3333" i="1"/>
  <c r="W3334" i="1"/>
  <c r="W3335" i="1"/>
  <c r="W3336" i="1"/>
  <c r="W3337" i="1"/>
  <c r="W3338" i="1"/>
  <c r="W3339" i="1"/>
  <c r="W3340" i="1"/>
  <c r="W3341" i="1"/>
  <c r="W3342" i="1"/>
  <c r="W3343" i="1"/>
  <c r="W3344" i="1"/>
  <c r="W3345" i="1"/>
  <c r="W3346" i="1"/>
  <c r="W3347" i="1"/>
  <c r="W3348" i="1"/>
  <c r="W3349" i="1"/>
  <c r="W3350" i="1"/>
  <c r="W3351" i="1"/>
  <c r="W3352" i="1"/>
  <c r="W3353" i="1"/>
  <c r="W3354" i="1"/>
  <c r="W3355" i="1"/>
  <c r="W3356" i="1"/>
  <c r="W3357" i="1"/>
  <c r="W3358" i="1"/>
  <c r="W3359" i="1"/>
  <c r="W3360" i="1"/>
  <c r="W3361" i="1"/>
  <c r="W3362" i="1"/>
  <c r="W3363" i="1"/>
  <c r="W3364" i="1"/>
  <c r="W3365" i="1"/>
  <c r="W3366" i="1"/>
  <c r="W3367" i="1"/>
  <c r="W3368" i="1"/>
  <c r="W3369" i="1"/>
  <c r="W3370" i="1"/>
  <c r="W3371" i="1"/>
  <c r="W3372" i="1"/>
  <c r="W3373" i="1"/>
  <c r="W3374" i="1"/>
  <c r="W3375" i="1"/>
  <c r="W3376" i="1"/>
  <c r="W3377" i="1"/>
  <c r="W3378" i="1"/>
  <c r="W3379" i="1"/>
  <c r="W3380" i="1"/>
  <c r="W3381" i="1"/>
  <c r="W3382" i="1"/>
  <c r="W3383" i="1"/>
  <c r="W3384" i="1"/>
  <c r="W3385" i="1"/>
  <c r="W3386" i="1"/>
  <c r="W3387" i="1"/>
  <c r="W3388" i="1"/>
  <c r="W3389" i="1"/>
  <c r="W3390" i="1"/>
  <c r="W3391" i="1"/>
  <c r="W3392" i="1"/>
  <c r="W3393" i="1"/>
  <c r="W3394" i="1"/>
  <c r="W3395" i="1"/>
  <c r="W3396" i="1"/>
  <c r="W3397" i="1"/>
  <c r="W3398" i="1"/>
  <c r="W3399" i="1"/>
  <c r="W3400" i="1"/>
  <c r="W3401" i="1"/>
  <c r="W3402" i="1"/>
  <c r="W3403" i="1"/>
  <c r="W3404" i="1"/>
  <c r="W3405" i="1"/>
  <c r="W3406" i="1"/>
  <c r="W3407" i="1"/>
  <c r="W3408" i="1"/>
  <c r="W3409" i="1"/>
  <c r="W3410" i="1"/>
  <c r="W3411" i="1"/>
  <c r="W3412" i="1"/>
  <c r="W3413" i="1"/>
  <c r="W3414" i="1"/>
  <c r="W3415" i="1"/>
  <c r="W3416" i="1"/>
  <c r="W3417" i="1"/>
  <c r="W3418" i="1"/>
  <c r="W3419" i="1"/>
  <c r="W3420" i="1"/>
  <c r="W3421" i="1"/>
  <c r="W3422" i="1"/>
  <c r="W3423" i="1"/>
  <c r="W3424" i="1"/>
  <c r="W3425" i="1"/>
  <c r="W3426" i="1"/>
  <c r="W3427" i="1"/>
  <c r="W3428" i="1"/>
  <c r="W3429" i="1"/>
  <c r="W3430" i="1"/>
  <c r="W3431" i="1"/>
  <c r="W3432" i="1"/>
  <c r="W3433" i="1"/>
  <c r="W3434" i="1"/>
  <c r="W3435" i="1"/>
  <c r="W3436" i="1"/>
  <c r="W3437" i="1"/>
  <c r="W3438" i="1"/>
  <c r="W3439" i="1"/>
  <c r="W3440" i="1"/>
  <c r="W3441" i="1"/>
  <c r="W3442" i="1"/>
  <c r="W3443" i="1"/>
  <c r="W3444" i="1"/>
  <c r="W3445" i="1"/>
  <c r="W3446" i="1"/>
  <c r="W3447" i="1"/>
  <c r="W3448" i="1"/>
  <c r="W3449" i="1"/>
  <c r="W3450" i="1"/>
  <c r="W3451" i="1"/>
  <c r="W3452" i="1"/>
  <c r="W3453" i="1"/>
  <c r="W3454" i="1"/>
  <c r="W3455" i="1"/>
  <c r="W3456" i="1"/>
  <c r="W3457" i="1"/>
  <c r="W3458" i="1"/>
  <c r="W3459" i="1"/>
  <c r="W3460" i="1"/>
  <c r="W3461" i="1"/>
  <c r="W3462" i="1"/>
  <c r="W3463" i="1"/>
  <c r="W3464" i="1"/>
  <c r="W3465" i="1"/>
  <c r="W3466" i="1"/>
  <c r="W3467" i="1"/>
  <c r="W3468" i="1"/>
  <c r="W3469" i="1"/>
  <c r="W3470" i="1"/>
  <c r="W3471" i="1"/>
  <c r="W3472" i="1"/>
  <c r="W3473" i="1"/>
  <c r="W3474" i="1"/>
  <c r="W3475" i="1"/>
  <c r="W3476" i="1"/>
  <c r="W3477" i="1"/>
  <c r="W3478" i="1"/>
  <c r="W3479" i="1"/>
  <c r="W3480" i="1"/>
  <c r="W3481" i="1"/>
  <c r="W3482" i="1"/>
  <c r="W3483" i="1"/>
  <c r="W3484" i="1"/>
  <c r="W3485" i="1"/>
  <c r="W3486" i="1"/>
  <c r="W3487" i="1"/>
  <c r="W3488" i="1"/>
  <c r="W3489" i="1"/>
  <c r="W3490" i="1"/>
  <c r="W3491" i="1"/>
  <c r="W3492" i="1"/>
  <c r="W3493" i="1"/>
  <c r="W3494" i="1"/>
  <c r="W3495" i="1"/>
  <c r="W3496" i="1"/>
  <c r="W3497" i="1"/>
  <c r="W3498" i="1"/>
  <c r="W3499" i="1"/>
  <c r="W3500" i="1"/>
  <c r="W3501" i="1"/>
  <c r="W3502" i="1"/>
  <c r="W3503" i="1"/>
  <c r="W3504" i="1"/>
  <c r="W3505" i="1"/>
  <c r="W3506" i="1"/>
  <c r="W3507" i="1"/>
  <c r="W3508" i="1"/>
  <c r="W3509" i="1"/>
  <c r="W3510" i="1"/>
  <c r="W3511" i="1"/>
  <c r="W3512" i="1"/>
  <c r="W3513" i="1"/>
  <c r="W3514" i="1"/>
  <c r="W3515" i="1"/>
  <c r="W3516" i="1"/>
  <c r="W3517" i="1"/>
  <c r="W3518" i="1"/>
  <c r="W3519" i="1"/>
  <c r="W3520" i="1"/>
  <c r="W3521" i="1"/>
  <c r="W3522" i="1"/>
  <c r="W3523" i="1"/>
  <c r="W3524" i="1"/>
  <c r="W3525" i="1"/>
  <c r="W3526" i="1"/>
  <c r="W3527" i="1"/>
  <c r="W3528" i="1"/>
  <c r="W3529" i="1"/>
  <c r="W3530" i="1"/>
  <c r="W3531" i="1"/>
  <c r="W3532" i="1"/>
  <c r="W3533" i="1"/>
  <c r="W3534" i="1"/>
  <c r="W3535" i="1"/>
  <c r="W3536" i="1"/>
  <c r="W3537" i="1"/>
  <c r="W3538" i="1"/>
  <c r="W3539" i="1"/>
  <c r="W3540" i="1"/>
  <c r="W3541" i="1"/>
  <c r="W3542" i="1"/>
  <c r="W3543" i="1"/>
  <c r="W3544" i="1"/>
  <c r="W3545" i="1"/>
  <c r="W3546" i="1"/>
  <c r="W3547" i="1"/>
  <c r="W3548" i="1"/>
  <c r="W3549" i="1"/>
  <c r="W3550" i="1"/>
  <c r="W3551" i="1"/>
  <c r="W3552" i="1"/>
  <c r="W3553" i="1"/>
  <c r="W3554" i="1"/>
  <c r="W3555" i="1"/>
  <c r="W3556" i="1"/>
  <c r="W3557" i="1"/>
  <c r="W3558" i="1"/>
  <c r="W3559" i="1"/>
  <c r="W3560" i="1"/>
  <c r="W3561" i="1"/>
  <c r="W3562" i="1"/>
  <c r="W3563" i="1"/>
  <c r="W3564" i="1"/>
  <c r="W3565" i="1"/>
  <c r="W3566" i="1"/>
  <c r="W3567" i="1"/>
  <c r="W3568" i="1"/>
  <c r="W3569" i="1"/>
  <c r="W3570" i="1"/>
  <c r="W3571" i="1"/>
  <c r="W3572" i="1"/>
  <c r="W3573" i="1"/>
  <c r="W3574" i="1"/>
  <c r="W3575" i="1"/>
  <c r="W3576" i="1"/>
  <c r="W3577" i="1"/>
  <c r="W3578" i="1"/>
  <c r="W3579" i="1"/>
  <c r="W3580" i="1"/>
  <c r="W3581" i="1"/>
  <c r="W3582" i="1"/>
  <c r="W3583" i="1"/>
  <c r="W3584" i="1"/>
  <c r="W3585" i="1"/>
  <c r="W3586" i="1"/>
  <c r="W3587" i="1"/>
  <c r="W3588" i="1"/>
  <c r="W3589" i="1"/>
  <c r="W3590" i="1"/>
  <c r="W3591" i="1"/>
  <c r="W3592" i="1"/>
  <c r="W3593" i="1"/>
  <c r="W3594" i="1"/>
  <c r="W3595" i="1"/>
  <c r="W3596" i="1"/>
  <c r="W3597" i="1"/>
  <c r="W3598" i="1"/>
  <c r="W3599" i="1"/>
  <c r="W3600" i="1"/>
  <c r="W3601" i="1"/>
  <c r="W3602" i="1"/>
  <c r="W3603" i="1"/>
  <c r="W3604" i="1"/>
  <c r="W3605" i="1"/>
  <c r="W3606" i="1"/>
  <c r="W3607" i="1"/>
  <c r="W3608" i="1"/>
  <c r="W3609" i="1"/>
  <c r="W3610" i="1"/>
  <c r="W3611" i="1"/>
  <c r="W3612" i="1"/>
  <c r="W3613" i="1"/>
  <c r="W3614" i="1"/>
  <c r="W3615" i="1"/>
  <c r="W3616" i="1"/>
  <c r="W3617" i="1"/>
  <c r="W3618" i="1"/>
  <c r="W3619" i="1"/>
  <c r="W3620" i="1"/>
  <c r="W3621" i="1"/>
  <c r="W3622" i="1"/>
  <c r="W3623" i="1"/>
  <c r="W3624" i="1"/>
  <c r="W3625" i="1"/>
  <c r="W3626" i="1"/>
  <c r="W3627" i="1"/>
  <c r="W3628" i="1"/>
  <c r="W3629" i="1"/>
  <c r="W3630" i="1"/>
  <c r="W3631" i="1"/>
  <c r="W3632" i="1"/>
  <c r="W3633" i="1"/>
  <c r="W3634" i="1"/>
  <c r="W3635" i="1"/>
  <c r="W3636" i="1"/>
  <c r="W3637" i="1"/>
  <c r="W3638" i="1"/>
  <c r="W3639" i="1"/>
  <c r="W3640" i="1"/>
  <c r="W3641" i="1"/>
  <c r="W3642" i="1"/>
  <c r="W3643" i="1"/>
  <c r="W3644" i="1"/>
  <c r="W3645" i="1"/>
  <c r="W3646" i="1"/>
  <c r="W3647" i="1"/>
  <c r="W3648" i="1"/>
  <c r="W3649" i="1"/>
  <c r="W3650" i="1"/>
  <c r="W3651" i="1"/>
  <c r="W3652" i="1"/>
  <c r="W3653" i="1"/>
  <c r="W3654" i="1"/>
  <c r="W3655" i="1"/>
  <c r="W3656" i="1"/>
  <c r="W3657" i="1"/>
  <c r="W3658" i="1"/>
  <c r="W3659" i="1"/>
  <c r="W3660" i="1"/>
  <c r="W3661" i="1"/>
  <c r="W3662" i="1"/>
  <c r="W3663" i="1"/>
  <c r="W3664" i="1"/>
  <c r="W3665" i="1"/>
  <c r="W3666" i="1"/>
  <c r="W3667" i="1"/>
  <c r="W3668" i="1"/>
  <c r="W3669" i="1"/>
  <c r="W3670" i="1"/>
  <c r="W3671" i="1"/>
  <c r="W3672" i="1"/>
  <c r="W3673" i="1"/>
  <c r="W3674" i="1"/>
  <c r="W3675" i="1"/>
  <c r="W3676" i="1"/>
  <c r="W3677" i="1"/>
  <c r="W3678" i="1"/>
  <c r="W3679" i="1"/>
  <c r="W3680" i="1"/>
  <c r="W3681" i="1"/>
  <c r="W3682" i="1"/>
  <c r="W3683" i="1"/>
  <c r="W3684" i="1"/>
  <c r="W3685" i="1"/>
  <c r="W3686" i="1"/>
  <c r="W3687" i="1"/>
  <c r="W3688" i="1"/>
  <c r="W3689" i="1"/>
  <c r="W3690" i="1"/>
  <c r="W3691" i="1"/>
  <c r="W3692" i="1"/>
  <c r="W3693" i="1"/>
  <c r="W3694" i="1"/>
  <c r="W3695" i="1"/>
  <c r="W3696" i="1"/>
  <c r="W3697" i="1"/>
  <c r="W3698" i="1"/>
  <c r="W3699" i="1"/>
  <c r="W3700" i="1"/>
  <c r="W3701" i="1"/>
  <c r="W3702" i="1"/>
  <c r="W3703" i="1"/>
  <c r="W3704" i="1"/>
  <c r="W3705" i="1"/>
  <c r="W3706" i="1"/>
  <c r="W3707" i="1"/>
  <c r="W3708" i="1"/>
  <c r="W3709" i="1"/>
  <c r="W3710" i="1"/>
  <c r="W3711" i="1"/>
  <c r="W3712" i="1"/>
  <c r="W3713" i="1"/>
  <c r="W3714" i="1"/>
  <c r="W3715" i="1"/>
  <c r="W3716" i="1"/>
  <c r="W3717" i="1"/>
  <c r="W3718" i="1"/>
  <c r="W3719" i="1"/>
  <c r="W3720" i="1"/>
  <c r="W3721" i="1"/>
  <c r="W3722" i="1"/>
  <c r="W3723" i="1"/>
  <c r="W3724" i="1"/>
  <c r="W3725" i="1"/>
  <c r="W3726" i="1"/>
  <c r="W3727" i="1"/>
  <c r="W3728" i="1"/>
  <c r="W3729" i="1"/>
  <c r="W3730" i="1"/>
  <c r="W3731" i="1"/>
  <c r="W3732" i="1"/>
  <c r="W3733" i="1"/>
  <c r="W3734" i="1"/>
  <c r="W3735" i="1"/>
  <c r="W3736" i="1"/>
  <c r="W3737" i="1"/>
  <c r="W3738" i="1"/>
  <c r="W3739" i="1"/>
  <c r="W3740" i="1"/>
  <c r="W3741" i="1"/>
  <c r="W3742" i="1"/>
  <c r="W3743" i="1"/>
  <c r="W3744" i="1"/>
  <c r="W3745" i="1"/>
  <c r="W3746" i="1"/>
  <c r="W3747" i="1"/>
  <c r="W3748" i="1"/>
  <c r="W3749" i="1"/>
  <c r="W3750" i="1"/>
  <c r="W3751" i="1"/>
  <c r="W3752" i="1"/>
  <c r="W3753" i="1"/>
  <c r="W3754" i="1"/>
  <c r="W3755" i="1"/>
  <c r="W3756" i="1"/>
  <c r="W3757" i="1"/>
  <c r="W3758" i="1"/>
  <c r="W3759" i="1"/>
  <c r="W3760" i="1"/>
  <c r="W3761" i="1"/>
  <c r="W3762" i="1"/>
  <c r="W3763" i="1"/>
  <c r="W3764" i="1"/>
  <c r="W3765" i="1"/>
  <c r="W3766" i="1"/>
  <c r="W3767" i="1"/>
  <c r="W3768" i="1"/>
  <c r="W3769" i="1"/>
  <c r="W3770" i="1"/>
  <c r="W3771" i="1"/>
  <c r="W3772" i="1"/>
  <c r="W3773" i="1"/>
  <c r="W3774" i="1"/>
  <c r="W3775" i="1"/>
  <c r="W3776" i="1"/>
  <c r="W3777" i="1"/>
  <c r="W3778" i="1"/>
  <c r="W3779" i="1"/>
  <c r="W3780" i="1"/>
  <c r="W3781" i="1"/>
  <c r="W3782" i="1"/>
  <c r="W3783" i="1"/>
  <c r="W3784" i="1"/>
  <c r="W3785" i="1"/>
  <c r="W3786" i="1"/>
  <c r="W3787" i="1"/>
  <c r="W3788" i="1"/>
  <c r="W3789" i="1"/>
  <c r="W3790" i="1"/>
  <c r="W3791" i="1"/>
  <c r="W3792" i="1"/>
  <c r="W3793" i="1"/>
  <c r="W3794" i="1"/>
  <c r="W3795" i="1"/>
  <c r="W3796" i="1"/>
  <c r="W3797" i="1"/>
  <c r="W3798" i="1"/>
  <c r="W3799" i="1"/>
  <c r="W3800" i="1"/>
  <c r="W3801" i="1"/>
  <c r="W3802" i="1"/>
  <c r="W3803" i="1"/>
  <c r="W3804" i="1"/>
  <c r="W3805" i="1"/>
  <c r="W3806" i="1"/>
  <c r="W3807" i="1"/>
  <c r="W3808" i="1"/>
  <c r="W3809" i="1"/>
  <c r="W3810" i="1"/>
  <c r="W3811" i="1"/>
  <c r="W3812" i="1"/>
  <c r="W3813" i="1"/>
  <c r="W3814" i="1"/>
  <c r="W3815" i="1"/>
  <c r="W3816" i="1"/>
  <c r="W3817" i="1"/>
  <c r="W3818" i="1"/>
  <c r="W3819" i="1"/>
  <c r="W3820" i="1"/>
  <c r="W3821" i="1"/>
  <c r="W3822" i="1"/>
  <c r="W3823" i="1"/>
  <c r="W3824" i="1"/>
  <c r="W3825" i="1"/>
  <c r="W3826" i="1"/>
  <c r="W3827" i="1"/>
  <c r="W3828" i="1"/>
  <c r="W3829" i="1"/>
  <c r="W3830" i="1"/>
  <c r="W3831" i="1"/>
  <c r="W3832" i="1"/>
  <c r="W3833" i="1"/>
  <c r="W3834" i="1"/>
  <c r="W3835" i="1"/>
  <c r="W3836" i="1"/>
  <c r="W3837" i="1"/>
  <c r="W3838" i="1"/>
  <c r="W3839" i="1"/>
  <c r="W3840" i="1"/>
  <c r="W3841" i="1"/>
  <c r="W3842" i="1"/>
  <c r="W3843" i="1"/>
  <c r="W3844" i="1"/>
  <c r="W3845" i="1"/>
  <c r="W3846" i="1"/>
  <c r="W3847" i="1"/>
  <c r="W3848" i="1"/>
  <c r="W3849" i="1"/>
  <c r="W3850" i="1"/>
  <c r="W3851" i="1"/>
  <c r="W3852" i="1"/>
  <c r="W3853" i="1"/>
  <c r="W3854" i="1"/>
  <c r="W3855" i="1"/>
  <c r="W3856" i="1"/>
  <c r="W3857" i="1"/>
  <c r="W3858" i="1"/>
  <c r="W3859" i="1"/>
  <c r="W3860" i="1"/>
  <c r="W3861" i="1"/>
  <c r="W3862" i="1"/>
  <c r="W3863" i="1"/>
  <c r="W3864" i="1"/>
  <c r="W3865" i="1"/>
  <c r="W3866" i="1"/>
  <c r="W3867" i="1"/>
  <c r="W3868" i="1"/>
  <c r="W3869" i="1"/>
  <c r="W3870" i="1"/>
  <c r="W3871" i="1"/>
  <c r="W3872" i="1"/>
  <c r="W3873" i="1"/>
  <c r="W3874" i="1"/>
  <c r="W3875" i="1"/>
  <c r="W3876" i="1"/>
  <c r="W3877" i="1"/>
  <c r="W3878" i="1"/>
  <c r="W3879" i="1"/>
  <c r="W3880" i="1"/>
  <c r="W3881" i="1"/>
  <c r="W3882" i="1"/>
  <c r="W3883" i="1"/>
  <c r="W3884" i="1"/>
  <c r="W3885" i="1"/>
  <c r="W3886" i="1"/>
  <c r="W3887" i="1"/>
  <c r="W3888" i="1"/>
  <c r="W3889" i="1"/>
  <c r="W3890" i="1"/>
  <c r="W3891" i="1"/>
  <c r="W3892" i="1"/>
  <c r="W3893" i="1"/>
  <c r="W3894" i="1"/>
  <c r="W3895" i="1"/>
  <c r="W3896" i="1"/>
  <c r="W3897" i="1"/>
  <c r="W3898" i="1"/>
  <c r="W3899" i="1"/>
  <c r="W3900" i="1"/>
  <c r="W3901" i="1"/>
  <c r="W3902" i="1"/>
  <c r="W3903" i="1"/>
  <c r="W3904" i="1"/>
  <c r="W3905" i="1"/>
  <c r="W3906" i="1"/>
  <c r="W3907" i="1"/>
  <c r="W3908" i="1"/>
  <c r="W3909" i="1"/>
  <c r="W3910" i="1"/>
  <c r="W3911" i="1"/>
  <c r="W3912" i="1"/>
  <c r="W3913" i="1"/>
  <c r="W3914" i="1"/>
  <c r="W3915" i="1"/>
  <c r="W3916" i="1"/>
  <c r="W3917" i="1"/>
  <c r="W3918" i="1"/>
  <c r="W3919" i="1"/>
  <c r="W3920" i="1"/>
  <c r="W3921" i="1"/>
  <c r="W3922" i="1"/>
  <c r="W3923" i="1"/>
  <c r="W3924" i="1"/>
  <c r="W3925" i="1"/>
  <c r="W3926" i="1"/>
  <c r="W3927" i="1"/>
  <c r="W3928" i="1"/>
  <c r="W3929" i="1"/>
  <c r="W3930" i="1"/>
  <c r="W3931" i="1"/>
  <c r="W3932" i="1"/>
  <c r="W3933" i="1"/>
  <c r="W3934" i="1"/>
  <c r="W3935" i="1"/>
  <c r="W3936" i="1"/>
  <c r="W3937" i="1"/>
  <c r="W3938" i="1"/>
  <c r="W3939" i="1"/>
  <c r="W3940" i="1"/>
  <c r="W3941" i="1"/>
  <c r="W3942" i="1"/>
  <c r="W3943" i="1"/>
  <c r="W3944" i="1"/>
  <c r="W3945" i="1"/>
  <c r="W3946" i="1"/>
  <c r="W3947" i="1"/>
  <c r="W3948" i="1"/>
  <c r="W3949" i="1"/>
  <c r="W3950" i="1"/>
  <c r="W3951" i="1"/>
  <c r="W3952" i="1"/>
  <c r="W3953" i="1"/>
  <c r="W3954" i="1"/>
  <c r="W3955" i="1"/>
  <c r="W3956" i="1"/>
  <c r="W3957" i="1"/>
  <c r="W3958" i="1"/>
  <c r="W3959" i="1"/>
  <c r="W3960" i="1"/>
  <c r="W3961" i="1"/>
  <c r="W3962" i="1"/>
  <c r="W3963" i="1"/>
  <c r="W3964" i="1"/>
  <c r="W3965" i="1"/>
  <c r="W3966" i="1"/>
  <c r="W3967" i="1"/>
  <c r="W3968" i="1"/>
  <c r="W3969" i="1"/>
  <c r="W3970" i="1"/>
  <c r="W3971" i="1"/>
  <c r="W3972" i="1"/>
  <c r="W3973" i="1"/>
  <c r="W3974" i="1"/>
  <c r="W3975" i="1"/>
  <c r="W3976" i="1"/>
  <c r="W3977" i="1"/>
  <c r="W3978" i="1"/>
  <c r="W3979" i="1"/>
  <c r="W3980" i="1"/>
  <c r="W3981" i="1"/>
  <c r="W3982" i="1"/>
  <c r="W3983" i="1"/>
  <c r="W3984" i="1"/>
  <c r="W3985" i="1"/>
  <c r="W3986" i="1"/>
  <c r="W3987" i="1"/>
  <c r="W3988" i="1"/>
  <c r="W3989" i="1"/>
  <c r="W3990" i="1"/>
  <c r="W3991" i="1"/>
  <c r="W3992" i="1"/>
  <c r="W3993" i="1"/>
  <c r="W3994" i="1"/>
  <c r="W3995" i="1"/>
  <c r="W3996" i="1"/>
  <c r="W3997" i="1"/>
  <c r="W3998" i="1"/>
  <c r="W3999" i="1"/>
  <c r="W4000" i="1"/>
  <c r="W4001" i="1"/>
  <c r="W4002" i="1"/>
  <c r="W4003" i="1"/>
  <c r="W4004" i="1"/>
  <c r="W4005" i="1"/>
  <c r="W4006" i="1"/>
  <c r="W4007" i="1"/>
  <c r="W4008" i="1"/>
  <c r="W4009" i="1"/>
  <c r="W4010" i="1"/>
  <c r="W4011" i="1"/>
  <c r="W4012" i="1"/>
  <c r="W4013" i="1"/>
  <c r="W4014" i="1"/>
  <c r="W4015" i="1"/>
  <c r="W4016" i="1"/>
  <c r="W4017" i="1"/>
  <c r="W4018" i="1"/>
  <c r="W4019" i="1"/>
  <c r="W4020" i="1"/>
  <c r="W4021" i="1"/>
  <c r="W4022" i="1"/>
  <c r="W4023" i="1"/>
  <c r="W4024" i="1"/>
  <c r="W4025" i="1"/>
  <c r="W4026" i="1"/>
  <c r="W4027" i="1"/>
  <c r="W4028" i="1"/>
  <c r="W4029" i="1"/>
  <c r="W4030" i="1"/>
  <c r="W4031" i="1"/>
  <c r="W4032" i="1"/>
  <c r="W4033" i="1"/>
  <c r="W4034" i="1"/>
  <c r="W4035" i="1"/>
  <c r="W4036" i="1"/>
  <c r="W4037" i="1"/>
  <c r="W4038" i="1"/>
  <c r="W4039" i="1"/>
  <c r="W4040" i="1"/>
  <c r="W4041" i="1"/>
  <c r="W4042" i="1"/>
  <c r="W4043" i="1"/>
  <c r="W4044" i="1"/>
  <c r="W4045" i="1"/>
  <c r="W4046" i="1"/>
  <c r="W4047" i="1"/>
  <c r="W4048" i="1"/>
  <c r="W4049" i="1"/>
  <c r="W4050" i="1"/>
  <c r="W4051" i="1"/>
  <c r="W4052" i="1"/>
  <c r="W4053" i="1"/>
  <c r="W4054" i="1"/>
  <c r="W4055" i="1"/>
  <c r="W4056" i="1"/>
  <c r="W4057" i="1"/>
  <c r="W4058" i="1"/>
  <c r="W4059" i="1"/>
  <c r="W4060" i="1"/>
  <c r="W4061" i="1"/>
  <c r="W4062" i="1"/>
  <c r="W4063" i="1"/>
  <c r="W4064" i="1"/>
  <c r="W4065" i="1"/>
  <c r="W4066" i="1"/>
  <c r="W4067" i="1"/>
  <c r="W4068" i="1"/>
  <c r="W4069" i="1"/>
  <c r="W4070" i="1"/>
  <c r="W4071" i="1"/>
  <c r="W4072" i="1"/>
  <c r="W4073" i="1"/>
  <c r="W4074" i="1"/>
  <c r="W4075" i="1"/>
  <c r="W4076" i="1"/>
  <c r="W4077" i="1"/>
  <c r="W4078" i="1"/>
  <c r="W4079" i="1"/>
  <c r="W4080" i="1"/>
  <c r="W4081" i="1"/>
  <c r="W4082" i="1"/>
  <c r="W4083" i="1"/>
  <c r="W4084" i="1"/>
  <c r="W4085" i="1"/>
  <c r="W4086" i="1"/>
  <c r="W4087" i="1"/>
  <c r="W4088" i="1"/>
  <c r="W4089" i="1"/>
  <c r="W4090" i="1"/>
  <c r="W4091" i="1"/>
  <c r="W4092" i="1"/>
  <c r="W4093" i="1"/>
  <c r="W4094" i="1"/>
  <c r="W4095" i="1"/>
  <c r="W4096" i="1"/>
  <c r="W4097" i="1"/>
  <c r="W4098" i="1"/>
  <c r="W4099" i="1"/>
  <c r="W4100" i="1"/>
  <c r="W4101" i="1"/>
  <c r="W4102" i="1"/>
  <c r="W4103" i="1"/>
  <c r="W4104" i="1"/>
  <c r="W4105" i="1"/>
  <c r="W4106" i="1"/>
  <c r="W4107" i="1"/>
  <c r="W4108" i="1"/>
  <c r="W4109" i="1"/>
  <c r="W4110" i="1"/>
  <c r="W4111" i="1"/>
  <c r="W4112" i="1"/>
  <c r="W4113" i="1"/>
  <c r="W4114" i="1"/>
  <c r="W4115" i="1"/>
  <c r="W4116" i="1"/>
  <c r="W4117" i="1"/>
  <c r="W4118" i="1"/>
  <c r="W4119" i="1"/>
  <c r="W4120" i="1"/>
  <c r="W4121" i="1"/>
  <c r="W4122" i="1"/>
  <c r="W4123" i="1"/>
  <c r="W4124" i="1"/>
  <c r="W4125" i="1"/>
  <c r="W4126" i="1"/>
  <c r="W4127" i="1"/>
  <c r="W4128" i="1"/>
  <c r="W4129" i="1"/>
  <c r="W4130" i="1"/>
  <c r="W4131" i="1"/>
  <c r="W4132" i="1"/>
  <c r="W4133" i="1"/>
  <c r="W4134" i="1"/>
  <c r="W4135" i="1"/>
  <c r="W4136" i="1"/>
  <c r="W4137" i="1"/>
  <c r="W4138" i="1"/>
  <c r="W4139" i="1"/>
  <c r="W4140" i="1"/>
  <c r="W4141" i="1"/>
  <c r="W4142" i="1"/>
  <c r="W4143" i="1"/>
  <c r="W4144" i="1"/>
  <c r="W4145" i="1"/>
  <c r="W4146" i="1"/>
  <c r="W4147" i="1"/>
  <c r="W4148" i="1"/>
  <c r="W4149" i="1"/>
  <c r="W4150" i="1"/>
  <c r="W4151" i="1"/>
  <c r="W4152" i="1"/>
  <c r="W4153" i="1"/>
  <c r="W4154" i="1"/>
  <c r="W4155" i="1"/>
  <c r="W4156" i="1"/>
  <c r="W4157" i="1"/>
  <c r="W4158" i="1"/>
  <c r="W4159" i="1"/>
  <c r="W4160" i="1"/>
  <c r="W4161" i="1"/>
  <c r="W4162" i="1"/>
  <c r="W4163" i="1"/>
  <c r="W4164" i="1"/>
  <c r="W4165" i="1"/>
  <c r="W4166" i="1"/>
  <c r="W4167" i="1"/>
  <c r="W4168" i="1"/>
  <c r="W4169" i="1"/>
  <c r="W4170" i="1"/>
  <c r="W4171" i="1"/>
  <c r="W4172" i="1"/>
  <c r="W4173" i="1"/>
  <c r="W4174" i="1"/>
  <c r="W4175" i="1"/>
  <c r="W4176" i="1"/>
  <c r="W4177" i="1"/>
  <c r="W4178" i="1"/>
  <c r="W4179" i="1"/>
  <c r="W4180" i="1"/>
  <c r="W4181" i="1"/>
  <c r="W4182" i="1"/>
  <c r="W4183" i="1"/>
  <c r="W4184" i="1"/>
  <c r="W4185" i="1"/>
  <c r="W4186" i="1"/>
  <c r="W4187" i="1"/>
  <c r="W4188" i="1"/>
  <c r="W4189" i="1"/>
  <c r="W4190" i="1"/>
  <c r="W4191" i="1"/>
  <c r="W4192" i="1"/>
  <c r="W4193" i="1"/>
  <c r="W4194" i="1"/>
  <c r="W4195" i="1"/>
  <c r="W4196" i="1"/>
  <c r="W4197" i="1"/>
  <c r="W4198" i="1"/>
  <c r="W4199" i="1"/>
  <c r="W4200" i="1"/>
  <c r="W4201" i="1"/>
  <c r="W4202" i="1"/>
  <c r="W4203" i="1"/>
  <c r="W4204" i="1"/>
  <c r="W4205" i="1"/>
  <c r="W4206" i="1"/>
  <c r="W4207" i="1"/>
  <c r="W4208" i="1"/>
  <c r="W4209" i="1"/>
  <c r="W4210" i="1"/>
  <c r="W4211" i="1"/>
  <c r="W4212" i="1"/>
  <c r="W4213" i="1"/>
  <c r="W4214" i="1"/>
  <c r="W4215" i="1"/>
  <c r="W4216" i="1"/>
  <c r="W4217" i="1"/>
  <c r="W4218" i="1"/>
  <c r="W4219" i="1"/>
  <c r="W4220" i="1"/>
  <c r="W4221" i="1"/>
  <c r="W4222" i="1"/>
  <c r="W4223" i="1"/>
  <c r="W4224" i="1"/>
  <c r="W4225" i="1"/>
  <c r="W4226" i="1"/>
  <c r="W4227" i="1"/>
  <c r="W4228" i="1"/>
  <c r="W4229" i="1"/>
  <c r="W4230" i="1"/>
  <c r="W4231" i="1"/>
  <c r="W4232" i="1"/>
  <c r="W4233" i="1"/>
  <c r="W4234" i="1"/>
  <c r="W4235" i="1"/>
  <c r="W4236" i="1"/>
  <c r="W4237" i="1"/>
  <c r="W4238" i="1"/>
  <c r="W4239" i="1"/>
  <c r="W4240" i="1"/>
  <c r="W4241" i="1"/>
  <c r="W4242" i="1"/>
  <c r="W4243" i="1"/>
  <c r="W4244" i="1"/>
  <c r="W4245" i="1"/>
  <c r="W4246" i="1"/>
  <c r="W4247" i="1"/>
  <c r="W4248" i="1"/>
  <c r="W4249" i="1"/>
  <c r="W4250" i="1"/>
  <c r="W4251" i="1"/>
  <c r="W4252" i="1"/>
  <c r="W4253" i="1"/>
  <c r="W4254" i="1"/>
  <c r="W4255" i="1"/>
  <c r="W4256" i="1"/>
  <c r="W4257" i="1"/>
  <c r="W4258" i="1"/>
  <c r="W4259" i="1"/>
  <c r="W4260" i="1"/>
  <c r="W4261" i="1"/>
  <c r="W4262" i="1"/>
  <c r="W4263" i="1"/>
  <c r="W4264" i="1"/>
  <c r="W4265" i="1"/>
  <c r="W4266" i="1"/>
  <c r="W4267" i="1"/>
  <c r="W4268" i="1"/>
  <c r="W4269" i="1"/>
  <c r="W4270" i="1"/>
  <c r="W4271" i="1"/>
  <c r="W4272" i="1"/>
  <c r="W4273" i="1"/>
  <c r="W4274" i="1"/>
  <c r="W4275" i="1"/>
  <c r="W4276" i="1"/>
  <c r="W4277" i="1"/>
  <c r="W4278" i="1"/>
  <c r="W4279" i="1"/>
  <c r="W4280" i="1"/>
  <c r="W4281" i="1"/>
  <c r="W4282" i="1"/>
  <c r="W4283" i="1"/>
  <c r="W4284" i="1"/>
  <c r="W4285" i="1"/>
  <c r="W4286" i="1"/>
  <c r="W4287" i="1"/>
  <c r="W4288" i="1"/>
  <c r="W4289" i="1"/>
  <c r="W4290" i="1"/>
  <c r="W4291" i="1"/>
  <c r="W4292" i="1"/>
  <c r="W4293" i="1"/>
  <c r="W4294" i="1"/>
  <c r="W4295" i="1"/>
  <c r="W4296" i="1"/>
  <c r="W4297" i="1"/>
  <c r="W4298" i="1"/>
  <c r="W4299" i="1"/>
  <c r="W4300" i="1"/>
  <c r="W4301" i="1"/>
  <c r="W4302" i="1"/>
  <c r="W4303" i="1"/>
  <c r="W4304" i="1"/>
  <c r="W4305" i="1"/>
  <c r="W4306" i="1"/>
  <c r="W4307" i="1"/>
  <c r="W4308" i="1"/>
  <c r="W4309" i="1"/>
  <c r="W4310" i="1"/>
  <c r="W4311" i="1"/>
  <c r="W4312" i="1"/>
  <c r="W4313" i="1"/>
  <c r="W4314" i="1"/>
  <c r="W4315" i="1"/>
  <c r="W4316" i="1"/>
  <c r="W4317" i="1"/>
  <c r="W4318" i="1"/>
  <c r="W4319" i="1"/>
  <c r="W4320" i="1"/>
  <c r="W4321" i="1"/>
  <c r="W4322" i="1"/>
  <c r="W4323" i="1"/>
  <c r="W4324" i="1"/>
  <c r="W4325" i="1"/>
  <c r="W4326" i="1"/>
  <c r="W4327" i="1"/>
  <c r="W4328" i="1"/>
  <c r="W4329" i="1"/>
  <c r="W4330" i="1"/>
  <c r="W4331" i="1"/>
  <c r="W4332" i="1"/>
  <c r="W4333" i="1"/>
  <c r="W4334" i="1"/>
  <c r="W4335" i="1"/>
  <c r="W4336" i="1"/>
  <c r="W4337" i="1"/>
  <c r="W4338" i="1"/>
  <c r="W4339" i="1"/>
  <c r="W4340" i="1"/>
  <c r="W4341" i="1"/>
  <c r="W4342" i="1"/>
  <c r="W4343" i="1"/>
  <c r="W4344" i="1"/>
  <c r="W4345" i="1"/>
  <c r="W4346" i="1"/>
  <c r="W4347" i="1"/>
  <c r="W4348" i="1"/>
  <c r="W4349" i="1"/>
  <c r="W4350" i="1"/>
  <c r="W4351" i="1"/>
  <c r="W4352" i="1"/>
  <c r="W4353" i="1"/>
  <c r="W4354" i="1"/>
  <c r="W4355" i="1"/>
  <c r="W4356" i="1"/>
  <c r="W4357" i="1"/>
  <c r="W4358" i="1"/>
  <c r="W4359" i="1"/>
  <c r="W4360" i="1"/>
  <c r="W4361" i="1"/>
  <c r="W4362" i="1"/>
  <c r="W4363" i="1"/>
  <c r="W4364" i="1"/>
  <c r="W4365" i="1"/>
  <c r="W4366" i="1"/>
  <c r="W4367" i="1"/>
  <c r="W4368" i="1"/>
  <c r="W4369" i="1"/>
  <c r="W4370" i="1"/>
  <c r="W4371" i="1"/>
  <c r="W4372" i="1"/>
  <c r="W4373" i="1"/>
  <c r="W4374" i="1"/>
  <c r="W4375" i="1"/>
  <c r="W4376" i="1"/>
  <c r="W4377" i="1"/>
  <c r="W4378" i="1"/>
  <c r="W4379" i="1"/>
  <c r="W4380" i="1"/>
  <c r="W4381" i="1"/>
  <c r="W4382" i="1"/>
  <c r="W4383" i="1"/>
  <c r="W4384" i="1"/>
  <c r="W4385" i="1"/>
  <c r="W4386" i="1"/>
  <c r="W4387" i="1"/>
  <c r="W4388" i="1"/>
  <c r="W4389" i="1"/>
  <c r="W4390" i="1"/>
  <c r="W4391" i="1"/>
  <c r="W4392" i="1"/>
  <c r="W4393" i="1"/>
  <c r="W4394" i="1"/>
  <c r="W4395" i="1"/>
  <c r="W4396" i="1"/>
  <c r="W4397" i="1"/>
  <c r="W4398" i="1"/>
  <c r="W4399" i="1"/>
  <c r="W4400" i="1"/>
  <c r="W4401" i="1"/>
  <c r="W4402" i="1"/>
  <c r="W4403" i="1"/>
  <c r="W4404" i="1"/>
  <c r="W4405" i="1"/>
  <c r="W4406" i="1"/>
  <c r="W4407" i="1"/>
  <c r="W4408" i="1"/>
  <c r="W4409" i="1"/>
  <c r="W4410" i="1"/>
  <c r="W4411" i="1"/>
  <c r="W4412" i="1"/>
  <c r="W4413" i="1"/>
  <c r="W4414" i="1"/>
  <c r="W4415" i="1"/>
  <c r="W4416" i="1"/>
  <c r="W4417" i="1"/>
  <c r="W4418" i="1"/>
  <c r="W4419" i="1"/>
  <c r="W4420" i="1"/>
  <c r="W4421" i="1"/>
  <c r="W4422" i="1"/>
  <c r="W4423" i="1"/>
  <c r="W4424" i="1"/>
  <c r="W4425" i="1"/>
  <c r="W4426" i="1"/>
  <c r="W4427" i="1"/>
  <c r="W4428" i="1"/>
  <c r="W4429" i="1"/>
  <c r="W4430" i="1"/>
  <c r="W4431" i="1"/>
  <c r="W4432" i="1"/>
  <c r="W4433" i="1"/>
  <c r="W4434" i="1"/>
  <c r="W4435" i="1"/>
  <c r="W4436" i="1"/>
  <c r="W4437" i="1"/>
  <c r="W4438" i="1"/>
  <c r="W4439" i="1"/>
  <c r="W4440" i="1"/>
  <c r="W4441" i="1"/>
  <c r="W4442" i="1"/>
  <c r="W4443" i="1"/>
  <c r="W4444" i="1"/>
  <c r="W4445" i="1"/>
  <c r="W4446" i="1"/>
  <c r="W4447" i="1"/>
  <c r="W4448" i="1"/>
  <c r="W4449" i="1"/>
  <c r="W4450" i="1"/>
  <c r="W4451" i="1"/>
  <c r="W4452" i="1"/>
  <c r="W4453" i="1"/>
  <c r="W4454" i="1"/>
  <c r="W4455" i="1"/>
  <c r="W4456" i="1"/>
  <c r="W4457" i="1"/>
  <c r="W4458" i="1"/>
  <c r="W4459" i="1"/>
  <c r="W4460" i="1"/>
  <c r="W4461" i="1"/>
  <c r="W4462" i="1"/>
  <c r="W4463" i="1"/>
  <c r="W4464" i="1"/>
  <c r="W4465" i="1"/>
  <c r="W4466" i="1"/>
  <c r="W4467" i="1"/>
  <c r="W4468" i="1"/>
  <c r="W4469" i="1"/>
  <c r="W4470" i="1"/>
  <c r="W4471" i="1"/>
  <c r="W4472" i="1"/>
  <c r="W4473" i="1"/>
  <c r="W4474" i="1"/>
  <c r="W4475" i="1"/>
  <c r="W4476" i="1"/>
  <c r="W4477" i="1"/>
  <c r="W4478" i="1"/>
  <c r="W4479" i="1"/>
  <c r="W4480" i="1"/>
  <c r="W4481" i="1"/>
  <c r="W4482" i="1"/>
  <c r="W4483" i="1"/>
  <c r="W4484" i="1"/>
  <c r="W4485" i="1"/>
  <c r="W4486" i="1"/>
  <c r="W4487" i="1"/>
  <c r="W4488" i="1"/>
  <c r="W4489" i="1"/>
  <c r="W4490" i="1"/>
  <c r="W4491" i="1"/>
  <c r="W4492" i="1"/>
  <c r="W4493" i="1"/>
  <c r="W4494" i="1"/>
  <c r="W4495" i="1"/>
  <c r="W4496" i="1"/>
  <c r="W4497" i="1"/>
  <c r="W4498" i="1"/>
  <c r="W4499" i="1"/>
  <c r="W4500" i="1"/>
  <c r="W4501" i="1"/>
  <c r="W4502" i="1"/>
  <c r="W4503" i="1"/>
  <c r="W4504" i="1"/>
  <c r="W4505" i="1"/>
  <c r="W4506" i="1"/>
  <c r="W4507" i="1"/>
  <c r="W4508" i="1"/>
  <c r="W4509" i="1"/>
  <c r="W4510" i="1"/>
  <c r="W4511" i="1"/>
  <c r="W4512" i="1"/>
  <c r="W4513" i="1"/>
  <c r="W4514" i="1"/>
  <c r="W4515" i="1"/>
  <c r="W4516" i="1"/>
  <c r="W4517" i="1"/>
  <c r="W4518" i="1"/>
  <c r="W4519" i="1"/>
  <c r="W4520" i="1"/>
  <c r="W4521" i="1"/>
  <c r="W4522" i="1"/>
  <c r="W4523" i="1"/>
  <c r="W4524" i="1"/>
  <c r="W4525" i="1"/>
  <c r="W4526" i="1"/>
  <c r="W4527" i="1"/>
  <c r="W4528" i="1"/>
  <c r="W4529" i="1"/>
  <c r="W4530" i="1"/>
  <c r="W4531" i="1"/>
  <c r="W4532" i="1"/>
  <c r="W4533" i="1"/>
  <c r="W4534" i="1"/>
  <c r="W4535" i="1"/>
  <c r="W4536" i="1"/>
  <c r="W4537" i="1"/>
  <c r="W4538" i="1"/>
  <c r="W4539" i="1"/>
  <c r="W4540" i="1"/>
  <c r="W4541" i="1"/>
  <c r="W4542" i="1"/>
  <c r="W4543" i="1"/>
  <c r="W4544" i="1"/>
  <c r="W4545" i="1"/>
  <c r="W4546" i="1"/>
  <c r="W4547" i="1"/>
  <c r="W4548" i="1"/>
  <c r="W4549" i="1"/>
  <c r="W4550" i="1"/>
  <c r="W4551" i="1"/>
  <c r="W4552" i="1"/>
  <c r="W4553" i="1"/>
  <c r="W4554" i="1"/>
  <c r="W4555" i="1"/>
  <c r="W4556" i="1"/>
  <c r="W4557" i="1"/>
  <c r="W4558" i="1"/>
  <c r="W4559" i="1"/>
  <c r="W4560" i="1"/>
  <c r="W4561" i="1"/>
  <c r="W4562" i="1"/>
  <c r="W4563" i="1"/>
  <c r="W4564" i="1"/>
  <c r="W4565" i="1"/>
  <c r="W4566" i="1"/>
  <c r="W4567" i="1"/>
  <c r="W4568" i="1"/>
  <c r="W4569" i="1"/>
  <c r="W4570" i="1"/>
  <c r="W4571" i="1"/>
  <c r="W4572" i="1"/>
  <c r="W4573" i="1"/>
  <c r="W4574" i="1"/>
  <c r="W4575" i="1"/>
  <c r="W4576" i="1"/>
  <c r="W4577" i="1"/>
  <c r="W4578" i="1"/>
  <c r="W4579" i="1"/>
  <c r="W4580" i="1"/>
  <c r="W4581" i="1"/>
  <c r="W4582" i="1"/>
  <c r="W4583" i="1"/>
  <c r="W4584" i="1"/>
  <c r="W4585" i="1"/>
  <c r="W4586" i="1"/>
  <c r="W4587" i="1"/>
  <c r="W4588" i="1"/>
  <c r="W4589" i="1"/>
  <c r="W4590" i="1"/>
  <c r="W4591" i="1"/>
  <c r="W4592" i="1"/>
  <c r="W4593" i="1"/>
  <c r="W4594" i="1"/>
  <c r="W4595" i="1"/>
  <c r="W4596" i="1"/>
  <c r="W4597" i="1"/>
  <c r="W4598" i="1"/>
  <c r="W4599" i="1"/>
  <c r="W4600" i="1"/>
  <c r="W4601" i="1"/>
  <c r="W4602" i="1"/>
  <c r="W4603" i="1"/>
  <c r="W4604" i="1"/>
  <c r="W4605" i="1"/>
  <c r="W4606" i="1"/>
  <c r="W4607" i="1"/>
  <c r="W4608" i="1"/>
  <c r="W4609" i="1"/>
  <c r="W4610" i="1"/>
  <c r="W4611" i="1"/>
  <c r="W4612" i="1"/>
  <c r="W4613" i="1"/>
  <c r="W4614" i="1"/>
  <c r="W4615" i="1"/>
  <c r="W4616" i="1"/>
  <c r="W4617" i="1"/>
  <c r="W4618" i="1"/>
  <c r="W4619" i="1"/>
  <c r="W4620" i="1"/>
  <c r="W4621" i="1"/>
  <c r="W4622" i="1"/>
  <c r="W4623" i="1"/>
  <c r="W4624" i="1"/>
  <c r="W4625" i="1"/>
  <c r="W4626" i="1"/>
  <c r="W4627" i="1"/>
  <c r="W4628" i="1"/>
  <c r="W4629" i="1"/>
  <c r="W4630" i="1"/>
  <c r="W4631" i="1"/>
  <c r="W4632" i="1"/>
  <c r="W4633" i="1"/>
  <c r="W4634" i="1"/>
  <c r="W4635" i="1"/>
  <c r="W4636" i="1"/>
  <c r="W4637" i="1"/>
  <c r="W4638" i="1"/>
  <c r="W4639" i="1"/>
  <c r="W4640" i="1"/>
  <c r="W4641" i="1"/>
  <c r="W4642" i="1"/>
  <c r="W4643" i="1"/>
  <c r="W4644" i="1"/>
  <c r="W4645" i="1"/>
  <c r="W4646" i="1"/>
  <c r="W4647" i="1"/>
  <c r="W4648" i="1"/>
  <c r="W4649" i="1"/>
  <c r="W4650" i="1"/>
  <c r="W4651" i="1"/>
  <c r="W4652" i="1"/>
  <c r="W4653" i="1"/>
  <c r="W4654" i="1"/>
  <c r="W4655" i="1"/>
  <c r="W4656" i="1"/>
  <c r="W4657" i="1"/>
  <c r="W4658" i="1"/>
  <c r="W4659" i="1"/>
  <c r="W4660" i="1"/>
  <c r="W4661" i="1"/>
  <c r="W4662" i="1"/>
  <c r="W4663" i="1"/>
  <c r="W4664" i="1"/>
  <c r="W4665" i="1"/>
  <c r="W4666" i="1"/>
  <c r="W4667" i="1"/>
  <c r="W4668" i="1"/>
  <c r="W4669" i="1"/>
  <c r="W4670" i="1"/>
  <c r="W4671" i="1"/>
  <c r="W4672" i="1"/>
  <c r="W4673" i="1"/>
  <c r="W4674" i="1"/>
  <c r="W4675" i="1"/>
  <c r="W4676" i="1"/>
  <c r="W4677" i="1"/>
  <c r="W4678" i="1"/>
  <c r="W4679" i="1"/>
  <c r="W4680" i="1"/>
  <c r="W4681" i="1"/>
  <c r="W4682" i="1"/>
  <c r="W4683" i="1"/>
  <c r="W4684" i="1"/>
  <c r="W4685" i="1"/>
  <c r="W4686" i="1"/>
  <c r="W4687" i="1"/>
  <c r="W4688" i="1"/>
  <c r="W4689" i="1"/>
  <c r="W4690" i="1"/>
  <c r="W4691" i="1"/>
  <c r="W4692" i="1"/>
  <c r="W4693" i="1"/>
  <c r="W4694" i="1"/>
  <c r="W4695" i="1"/>
  <c r="W4696" i="1"/>
  <c r="W4697" i="1"/>
  <c r="W4698" i="1"/>
  <c r="W4699" i="1"/>
  <c r="W4700" i="1"/>
  <c r="W4701" i="1"/>
  <c r="W4702" i="1"/>
  <c r="W4703" i="1"/>
  <c r="W4704" i="1"/>
  <c r="W4705" i="1"/>
  <c r="W4706" i="1"/>
  <c r="W4707" i="1"/>
  <c r="W4708" i="1"/>
  <c r="W4709" i="1"/>
  <c r="W4710" i="1"/>
  <c r="W4711" i="1"/>
  <c r="W4712" i="1"/>
  <c r="W4713" i="1"/>
  <c r="W4714" i="1"/>
  <c r="W4715" i="1"/>
  <c r="W4716" i="1"/>
  <c r="W4717" i="1"/>
  <c r="W4718" i="1"/>
  <c r="W4719" i="1"/>
  <c r="W4720" i="1"/>
  <c r="W4721" i="1"/>
  <c r="W4722" i="1"/>
  <c r="W4723" i="1"/>
  <c r="W4724" i="1"/>
  <c r="W4725" i="1"/>
  <c r="W4726" i="1"/>
  <c r="W4727" i="1"/>
  <c r="W4728" i="1"/>
  <c r="W4729" i="1"/>
  <c r="W4730" i="1"/>
  <c r="W4731" i="1"/>
  <c r="W4732" i="1"/>
  <c r="W4733" i="1"/>
  <c r="W4734" i="1"/>
  <c r="W4735" i="1"/>
  <c r="W4736" i="1"/>
  <c r="W4737" i="1"/>
  <c r="W4738" i="1"/>
  <c r="W4739" i="1"/>
  <c r="W4740" i="1"/>
  <c r="W4741" i="1"/>
  <c r="W4742" i="1"/>
  <c r="W4743" i="1"/>
  <c r="W4744" i="1"/>
  <c r="W4745" i="1"/>
  <c r="W4746" i="1"/>
  <c r="W4747" i="1"/>
  <c r="W4748" i="1"/>
  <c r="W4749" i="1"/>
  <c r="W4750" i="1"/>
  <c r="W4751" i="1"/>
  <c r="W4752" i="1"/>
  <c r="W4753" i="1"/>
  <c r="W4754" i="1"/>
  <c r="W4755" i="1"/>
  <c r="W4756" i="1"/>
  <c r="W4757" i="1"/>
  <c r="W4758" i="1"/>
  <c r="W4759" i="1"/>
  <c r="W4760" i="1"/>
  <c r="W4761" i="1"/>
  <c r="W4762" i="1"/>
  <c r="W4763" i="1"/>
  <c r="W4764" i="1"/>
  <c r="W4765" i="1"/>
  <c r="W4766" i="1"/>
  <c r="W4767" i="1"/>
  <c r="W4768" i="1"/>
  <c r="W4769" i="1"/>
  <c r="W4770" i="1"/>
  <c r="W4771" i="1"/>
  <c r="W4772" i="1"/>
  <c r="W4773" i="1"/>
  <c r="W4774" i="1"/>
  <c r="W4775" i="1"/>
  <c r="W4776" i="1"/>
  <c r="W4777" i="1"/>
  <c r="W4778" i="1"/>
  <c r="W4779" i="1"/>
  <c r="W4780" i="1"/>
  <c r="W4781" i="1"/>
  <c r="W4782" i="1"/>
  <c r="W4783" i="1"/>
  <c r="W4784" i="1"/>
  <c r="W4785" i="1"/>
  <c r="W4786" i="1"/>
  <c r="W4787" i="1"/>
  <c r="W4788" i="1"/>
  <c r="W4789" i="1"/>
  <c r="W4790" i="1"/>
  <c r="W4791" i="1"/>
  <c r="W4792" i="1"/>
  <c r="W4793" i="1"/>
  <c r="W4794" i="1"/>
  <c r="W4795" i="1"/>
  <c r="W4796" i="1"/>
  <c r="W4797" i="1"/>
  <c r="W4798" i="1"/>
  <c r="W4799" i="1"/>
  <c r="W4800" i="1"/>
  <c r="W4801" i="1"/>
  <c r="W4802" i="1"/>
  <c r="W4803" i="1"/>
  <c r="W4804" i="1"/>
  <c r="W4805" i="1"/>
  <c r="W4806" i="1"/>
  <c r="W4807" i="1"/>
  <c r="W4808" i="1"/>
  <c r="W4809" i="1"/>
  <c r="W4810" i="1"/>
  <c r="W4811" i="1"/>
  <c r="W4812" i="1"/>
  <c r="W4813" i="1"/>
  <c r="W4814" i="1"/>
  <c r="W4815" i="1"/>
  <c r="W4816" i="1"/>
  <c r="W4817" i="1"/>
  <c r="W4818" i="1"/>
  <c r="W4819" i="1"/>
  <c r="W4820" i="1"/>
  <c r="W4821" i="1"/>
  <c r="W4822" i="1"/>
  <c r="W4823" i="1"/>
  <c r="W4824" i="1"/>
  <c r="W4825" i="1"/>
  <c r="W4826" i="1"/>
  <c r="W4827" i="1"/>
  <c r="W4828" i="1"/>
  <c r="W4829" i="1"/>
  <c r="W4830" i="1"/>
  <c r="W4831" i="1"/>
  <c r="W4832" i="1"/>
  <c r="W4833" i="1"/>
  <c r="W4834" i="1"/>
  <c r="W4835" i="1"/>
  <c r="W4836" i="1"/>
  <c r="W4837" i="1"/>
  <c r="W4838" i="1"/>
  <c r="W4839" i="1"/>
  <c r="W4840" i="1"/>
  <c r="W4841" i="1"/>
  <c r="W4842" i="1"/>
  <c r="W4843" i="1"/>
  <c r="W4844" i="1"/>
  <c r="W4845" i="1"/>
  <c r="W4846" i="1"/>
  <c r="W4847" i="1"/>
  <c r="W4848" i="1"/>
  <c r="W4849" i="1"/>
  <c r="W4850" i="1"/>
  <c r="W4851" i="1"/>
  <c r="W4852" i="1"/>
  <c r="W4853" i="1"/>
  <c r="W4854" i="1"/>
  <c r="W4855" i="1"/>
  <c r="W4856" i="1"/>
  <c r="W4857" i="1"/>
  <c r="W4858" i="1"/>
  <c r="W4859" i="1"/>
  <c r="W4860" i="1"/>
  <c r="W4861" i="1"/>
  <c r="W4862" i="1"/>
  <c r="W4863" i="1"/>
  <c r="W4864" i="1"/>
  <c r="W4865" i="1"/>
  <c r="W4866" i="1"/>
  <c r="W4867" i="1"/>
  <c r="W4868" i="1"/>
  <c r="W4869" i="1"/>
  <c r="W4870" i="1"/>
  <c r="W4871" i="1"/>
  <c r="W4872" i="1"/>
  <c r="W4873" i="1"/>
  <c r="W4874" i="1"/>
  <c r="W4875" i="1"/>
  <c r="W4876" i="1"/>
  <c r="W4877" i="1"/>
  <c r="W4878" i="1"/>
  <c r="W4879" i="1"/>
  <c r="W4880" i="1"/>
  <c r="W4881" i="1"/>
  <c r="W4882" i="1"/>
  <c r="W4883" i="1"/>
  <c r="W4884" i="1"/>
  <c r="W4885" i="1"/>
  <c r="W4886" i="1"/>
  <c r="W4887" i="1"/>
  <c r="W4888" i="1"/>
  <c r="W4889" i="1"/>
  <c r="W4890" i="1"/>
  <c r="W4891" i="1"/>
  <c r="W4892" i="1"/>
  <c r="W4893" i="1"/>
  <c r="W4894" i="1"/>
  <c r="W4895" i="1"/>
  <c r="W4896" i="1"/>
  <c r="W4897" i="1"/>
  <c r="W4898" i="1"/>
  <c r="W4899" i="1"/>
  <c r="W4900" i="1"/>
  <c r="W4901" i="1"/>
  <c r="W4902" i="1"/>
  <c r="W4903" i="1"/>
  <c r="W4904" i="1"/>
  <c r="W4905" i="1"/>
  <c r="W4906" i="1"/>
  <c r="W4907" i="1"/>
  <c r="W4908" i="1"/>
  <c r="W4909" i="1"/>
  <c r="W4910" i="1"/>
  <c r="W4911" i="1"/>
  <c r="W4912" i="1"/>
  <c r="W4913" i="1"/>
  <c r="W4914" i="1"/>
  <c r="W4915" i="1"/>
  <c r="W4916" i="1"/>
  <c r="W4917" i="1"/>
  <c r="W4918" i="1"/>
  <c r="W4919" i="1"/>
  <c r="W4920" i="1"/>
  <c r="W4921" i="1"/>
  <c r="W4922" i="1"/>
  <c r="W4923" i="1"/>
  <c r="W4924" i="1"/>
  <c r="W4925" i="1"/>
  <c r="W4926" i="1"/>
  <c r="W4927" i="1"/>
  <c r="W4928" i="1"/>
  <c r="W4929" i="1"/>
  <c r="W4930" i="1"/>
  <c r="W4931" i="1"/>
  <c r="W4932" i="1"/>
  <c r="W4933" i="1"/>
  <c r="W4934" i="1"/>
  <c r="W4935" i="1"/>
  <c r="W4936" i="1"/>
  <c r="W4937" i="1"/>
  <c r="W4938" i="1"/>
  <c r="W4939" i="1"/>
  <c r="W4940" i="1"/>
  <c r="W4941" i="1"/>
  <c r="W4942" i="1"/>
  <c r="W4943" i="1"/>
  <c r="W4944" i="1"/>
  <c r="W4945" i="1"/>
  <c r="W4946" i="1"/>
  <c r="W4947" i="1"/>
  <c r="W4948" i="1"/>
  <c r="W4949" i="1"/>
  <c r="W4950" i="1"/>
  <c r="W4951" i="1"/>
  <c r="W4952" i="1"/>
  <c r="W4953" i="1"/>
  <c r="W4954" i="1"/>
  <c r="W4955" i="1"/>
  <c r="W4956" i="1"/>
  <c r="W4957" i="1"/>
  <c r="W4958" i="1"/>
  <c r="W4959" i="1"/>
  <c r="W4960" i="1"/>
  <c r="W4961" i="1"/>
  <c r="W4962" i="1"/>
  <c r="W4963" i="1"/>
  <c r="W4964" i="1"/>
  <c r="W4965" i="1"/>
  <c r="W4966" i="1"/>
  <c r="W4967" i="1"/>
  <c r="W4968" i="1"/>
  <c r="W4969" i="1"/>
  <c r="W4970" i="1"/>
  <c r="W4971" i="1"/>
  <c r="W4972" i="1"/>
  <c r="W4973" i="1"/>
  <c r="W4974" i="1"/>
  <c r="W4975" i="1"/>
  <c r="W4976" i="1"/>
  <c r="W4977" i="1"/>
  <c r="W4978" i="1"/>
  <c r="W4979" i="1"/>
  <c r="W4980" i="1"/>
  <c r="W4981" i="1"/>
  <c r="W4982" i="1"/>
  <c r="W4983" i="1"/>
  <c r="W4984" i="1"/>
  <c r="W4985" i="1"/>
  <c r="W4986" i="1"/>
  <c r="W4987" i="1"/>
  <c r="W4988" i="1"/>
  <c r="W4989" i="1"/>
  <c r="W4990" i="1"/>
  <c r="W4991" i="1"/>
  <c r="W4992" i="1"/>
  <c r="W4993" i="1"/>
  <c r="W4994" i="1"/>
  <c r="W4995" i="1"/>
  <c r="W4996" i="1"/>
  <c r="W4997" i="1"/>
  <c r="W4998" i="1"/>
  <c r="W4999" i="1"/>
  <c r="W5000" i="1"/>
  <c r="W5001" i="1"/>
  <c r="W5002" i="1"/>
  <c r="W5003" i="1"/>
  <c r="W5004" i="1"/>
  <c r="W5005" i="1"/>
  <c r="W5006" i="1"/>
  <c r="W5007" i="1"/>
  <c r="W5008" i="1"/>
  <c r="W5009" i="1"/>
  <c r="W5010" i="1"/>
  <c r="W5011" i="1"/>
  <c r="W5012" i="1"/>
  <c r="W5013" i="1"/>
  <c r="W5014" i="1"/>
  <c r="W5015" i="1"/>
  <c r="W5016" i="1"/>
  <c r="W5017" i="1"/>
  <c r="W5018" i="1"/>
  <c r="W5019" i="1"/>
  <c r="W5020" i="1"/>
  <c r="W5021" i="1"/>
  <c r="W5022" i="1"/>
  <c r="W5023" i="1"/>
  <c r="W5024" i="1"/>
  <c r="W5025" i="1"/>
  <c r="W5026" i="1"/>
  <c r="W5027" i="1"/>
  <c r="W5028" i="1"/>
  <c r="W5029" i="1"/>
  <c r="W5030" i="1"/>
  <c r="W5031" i="1"/>
  <c r="W5032" i="1"/>
  <c r="W5033" i="1"/>
  <c r="W5034" i="1"/>
  <c r="W5035" i="1"/>
  <c r="W5036" i="1"/>
  <c r="W5037" i="1"/>
  <c r="W5038" i="1"/>
  <c r="W5039" i="1"/>
  <c r="W5040" i="1"/>
  <c r="W5041" i="1"/>
  <c r="W5042" i="1"/>
  <c r="W5043" i="1"/>
  <c r="W5044" i="1"/>
  <c r="W5045" i="1"/>
  <c r="W5046" i="1"/>
  <c r="W5047" i="1"/>
  <c r="W5048" i="1"/>
  <c r="W5049" i="1"/>
  <c r="W5050" i="1"/>
  <c r="W5051" i="1"/>
  <c r="W5052" i="1"/>
  <c r="W5053" i="1"/>
  <c r="W5054" i="1"/>
  <c r="W5055" i="1"/>
  <c r="W5056" i="1"/>
  <c r="W5057" i="1"/>
  <c r="W5058" i="1"/>
  <c r="W5059" i="1"/>
  <c r="W5060" i="1"/>
  <c r="W5061" i="1"/>
  <c r="W5062" i="1"/>
  <c r="W5063" i="1"/>
  <c r="W5064" i="1"/>
  <c r="W5065" i="1"/>
  <c r="W5066" i="1"/>
  <c r="W5067" i="1"/>
  <c r="W5068" i="1"/>
  <c r="W5069" i="1"/>
  <c r="W5070" i="1"/>
  <c r="W5071" i="1"/>
  <c r="W5072" i="1"/>
  <c r="W5073" i="1"/>
  <c r="W5074" i="1"/>
  <c r="W5075" i="1"/>
  <c r="W5076" i="1"/>
  <c r="W5077" i="1"/>
  <c r="W5078" i="1"/>
  <c r="W5079" i="1"/>
  <c r="W5080" i="1"/>
  <c r="W5081" i="1"/>
  <c r="W5082" i="1"/>
  <c r="W5083" i="1"/>
  <c r="W5084" i="1"/>
  <c r="W5085" i="1"/>
  <c r="W5086" i="1"/>
  <c r="W5087" i="1"/>
  <c r="W5088" i="1"/>
  <c r="W5089" i="1"/>
  <c r="W5090" i="1"/>
  <c r="W5091" i="1"/>
  <c r="W5092" i="1"/>
  <c r="W5093" i="1"/>
  <c r="W5094" i="1"/>
  <c r="W5095" i="1"/>
  <c r="W5096" i="1"/>
  <c r="W5097" i="1"/>
  <c r="W5098" i="1"/>
  <c r="W5099" i="1"/>
  <c r="W5100" i="1"/>
  <c r="W5101" i="1"/>
  <c r="W5102" i="1"/>
  <c r="W5103" i="1"/>
  <c r="W5104" i="1"/>
  <c r="W5105" i="1"/>
  <c r="W5106" i="1"/>
  <c r="W5107" i="1"/>
  <c r="W5108" i="1"/>
  <c r="W5109" i="1"/>
  <c r="W5110" i="1"/>
  <c r="W5111" i="1"/>
  <c r="W5112" i="1"/>
  <c r="W5113" i="1"/>
  <c r="W5114" i="1"/>
  <c r="W5115" i="1"/>
  <c r="W5116" i="1"/>
  <c r="W5117" i="1"/>
  <c r="W5118" i="1"/>
  <c r="W5119" i="1"/>
  <c r="W5120" i="1"/>
  <c r="W5121" i="1"/>
  <c r="W5122" i="1"/>
  <c r="W5123" i="1"/>
  <c r="W5124" i="1"/>
  <c r="W5125" i="1"/>
  <c r="W5126" i="1"/>
  <c r="W5127" i="1"/>
  <c r="W5128" i="1"/>
  <c r="W5129" i="1"/>
  <c r="W5130" i="1"/>
  <c r="W5131" i="1"/>
  <c r="W5132" i="1"/>
  <c r="W5133" i="1"/>
  <c r="W5134" i="1"/>
  <c r="W5135" i="1"/>
  <c r="W5136" i="1"/>
  <c r="W5137" i="1"/>
  <c r="W5138" i="1"/>
  <c r="W5139" i="1"/>
  <c r="W5140" i="1"/>
  <c r="W5141" i="1"/>
  <c r="W5142" i="1"/>
  <c r="W5143" i="1"/>
  <c r="W5144" i="1"/>
  <c r="W5145" i="1"/>
  <c r="W5146" i="1"/>
  <c r="W5147" i="1"/>
  <c r="W5148" i="1"/>
  <c r="W5149" i="1"/>
  <c r="W5150" i="1"/>
  <c r="W5151" i="1"/>
  <c r="W5152" i="1"/>
  <c r="W5153" i="1"/>
  <c r="W5154" i="1"/>
  <c r="W5155" i="1"/>
  <c r="W5156" i="1"/>
  <c r="W5157" i="1"/>
  <c r="W5158" i="1"/>
  <c r="W5159" i="1"/>
  <c r="W5160" i="1"/>
  <c r="W5161" i="1"/>
  <c r="W5162" i="1"/>
  <c r="W5163" i="1"/>
  <c r="W5164" i="1"/>
  <c r="W5165" i="1"/>
  <c r="W5166" i="1"/>
  <c r="W5167" i="1"/>
  <c r="W5168" i="1"/>
  <c r="W5169" i="1"/>
  <c r="W5170" i="1"/>
  <c r="W5171" i="1"/>
  <c r="W5172" i="1"/>
  <c r="W5173" i="1"/>
  <c r="W5174" i="1"/>
  <c r="W5175" i="1"/>
  <c r="W5176" i="1"/>
  <c r="W5177" i="1"/>
  <c r="W5178" i="1"/>
  <c r="W5179" i="1"/>
  <c r="W5180" i="1"/>
  <c r="W5181" i="1"/>
  <c r="W5182" i="1"/>
  <c r="W5183" i="1"/>
  <c r="W5184" i="1"/>
  <c r="W5185" i="1"/>
  <c r="W5186" i="1"/>
  <c r="W5187" i="1"/>
  <c r="W5188" i="1"/>
  <c r="W5189" i="1"/>
  <c r="W5190" i="1"/>
  <c r="W5191" i="1"/>
  <c r="W5192" i="1"/>
  <c r="W5193" i="1"/>
  <c r="W5194" i="1"/>
  <c r="W5195" i="1"/>
  <c r="W5196" i="1"/>
  <c r="W5197" i="1"/>
  <c r="W5198" i="1"/>
  <c r="W5199" i="1"/>
  <c r="W5200" i="1"/>
  <c r="W5201" i="1"/>
  <c r="W5202" i="1"/>
  <c r="W5203" i="1"/>
  <c r="W5204" i="1"/>
  <c r="W5205" i="1"/>
  <c r="W5206" i="1"/>
  <c r="W5207" i="1"/>
  <c r="W5208" i="1"/>
  <c r="W5209" i="1"/>
  <c r="W5210" i="1"/>
  <c r="W5211" i="1"/>
  <c r="W5212" i="1"/>
  <c r="W5213" i="1"/>
  <c r="W5214" i="1"/>
  <c r="W5215" i="1"/>
  <c r="W5216" i="1"/>
  <c r="W5217" i="1"/>
  <c r="W5218" i="1"/>
  <c r="W5219" i="1"/>
  <c r="W5220" i="1"/>
  <c r="W5221" i="1"/>
  <c r="W5222" i="1"/>
  <c r="W5223" i="1"/>
  <c r="W5224" i="1"/>
  <c r="W5225" i="1"/>
  <c r="W5226" i="1"/>
  <c r="W5227" i="1"/>
  <c r="W5228" i="1"/>
  <c r="W5229" i="1"/>
  <c r="W5230" i="1"/>
  <c r="W5231" i="1"/>
  <c r="W5232" i="1"/>
  <c r="W5233" i="1"/>
  <c r="W5234" i="1"/>
  <c r="W5235" i="1"/>
  <c r="W5236" i="1"/>
  <c r="W5237" i="1"/>
  <c r="W5238" i="1"/>
  <c r="W5239" i="1"/>
  <c r="W5240" i="1"/>
  <c r="W5241" i="1"/>
  <c r="W5242" i="1"/>
  <c r="W5243" i="1"/>
  <c r="W5244" i="1"/>
  <c r="W5245" i="1"/>
  <c r="W5246" i="1"/>
  <c r="W5247" i="1"/>
  <c r="W5248" i="1"/>
  <c r="W5249" i="1"/>
  <c r="W5250" i="1"/>
  <c r="W5251" i="1"/>
  <c r="W5252" i="1"/>
  <c r="W5253" i="1"/>
  <c r="W5254" i="1"/>
  <c r="W5255" i="1"/>
  <c r="W5256" i="1"/>
  <c r="W5257" i="1"/>
  <c r="W5258" i="1"/>
  <c r="W5259" i="1"/>
  <c r="W5260" i="1"/>
  <c r="W5261" i="1"/>
  <c r="W5262" i="1"/>
  <c r="W5263" i="1"/>
  <c r="W5264" i="1"/>
  <c r="W5265" i="1"/>
  <c r="W5266" i="1"/>
  <c r="W5267" i="1"/>
  <c r="W5268" i="1"/>
  <c r="W5269" i="1"/>
  <c r="W5270" i="1"/>
  <c r="W5271" i="1"/>
  <c r="W5272" i="1"/>
  <c r="W5273" i="1"/>
  <c r="W5274" i="1"/>
  <c r="W5275" i="1"/>
  <c r="W5276" i="1"/>
  <c r="W5277" i="1"/>
  <c r="W5278" i="1"/>
  <c r="W5279" i="1"/>
  <c r="W5280" i="1"/>
  <c r="W5281" i="1"/>
  <c r="W5282" i="1"/>
  <c r="W5283" i="1"/>
  <c r="W5284" i="1"/>
  <c r="W5285" i="1"/>
  <c r="W5286" i="1"/>
  <c r="W5287" i="1"/>
  <c r="W5288" i="1"/>
  <c r="W5289" i="1"/>
  <c r="W5290" i="1"/>
  <c r="W5291" i="1"/>
  <c r="W5292" i="1"/>
  <c r="W5293" i="1"/>
  <c r="W5294" i="1"/>
  <c r="W5295" i="1"/>
  <c r="W5296" i="1"/>
  <c r="W5297" i="1"/>
  <c r="W5298" i="1"/>
  <c r="W5299" i="1"/>
  <c r="W5300" i="1"/>
  <c r="W5301" i="1"/>
  <c r="W5302" i="1"/>
  <c r="W5303" i="1"/>
  <c r="W5304" i="1"/>
  <c r="W5305" i="1"/>
  <c r="W5306" i="1"/>
  <c r="W5307" i="1"/>
  <c r="W5308" i="1"/>
  <c r="W5309" i="1"/>
  <c r="W5310" i="1"/>
  <c r="W5311" i="1"/>
  <c r="W5312" i="1"/>
  <c r="W5313" i="1"/>
  <c r="W5314" i="1"/>
  <c r="W5315" i="1"/>
  <c r="W5316" i="1"/>
  <c r="W5317" i="1"/>
  <c r="W5318" i="1"/>
  <c r="W5319" i="1"/>
  <c r="W5320" i="1"/>
  <c r="W5321" i="1"/>
  <c r="W5322" i="1"/>
  <c r="W5323" i="1"/>
  <c r="W5324" i="1"/>
  <c r="W5325" i="1"/>
  <c r="W5326" i="1"/>
  <c r="W5327" i="1"/>
  <c r="W5328" i="1"/>
  <c r="W5329" i="1"/>
  <c r="W5330" i="1"/>
  <c r="W5331" i="1"/>
  <c r="W5332" i="1"/>
  <c r="W5333" i="1"/>
  <c r="W5334" i="1"/>
  <c r="W5335" i="1"/>
  <c r="W5336" i="1"/>
  <c r="W5337" i="1"/>
  <c r="W5338" i="1"/>
  <c r="W5339" i="1"/>
  <c r="W5340" i="1"/>
  <c r="W5341" i="1"/>
  <c r="W5342" i="1"/>
  <c r="W5343" i="1"/>
  <c r="W5344" i="1"/>
  <c r="W5345" i="1"/>
  <c r="W5346" i="1"/>
  <c r="W5347" i="1"/>
  <c r="W5348" i="1"/>
  <c r="W5349" i="1"/>
  <c r="W5350" i="1"/>
  <c r="W5351" i="1"/>
  <c r="W5352" i="1"/>
  <c r="W5353" i="1"/>
  <c r="W5354" i="1"/>
  <c r="W5355" i="1"/>
  <c r="W5356" i="1"/>
  <c r="W5357" i="1"/>
  <c r="W5358" i="1"/>
  <c r="W5359" i="1"/>
  <c r="W5360" i="1"/>
  <c r="W5361" i="1"/>
  <c r="W5362" i="1"/>
  <c r="W5363" i="1"/>
  <c r="W5364" i="1"/>
  <c r="W5365" i="1"/>
  <c r="W5366" i="1"/>
  <c r="W5367" i="1"/>
  <c r="W5368" i="1"/>
  <c r="W5369" i="1"/>
  <c r="W5370" i="1"/>
  <c r="W5371" i="1"/>
  <c r="W5372" i="1"/>
  <c r="W5373" i="1"/>
  <c r="W5374" i="1"/>
  <c r="W5375" i="1"/>
  <c r="W5376" i="1"/>
  <c r="W5377" i="1"/>
  <c r="W5378" i="1"/>
  <c r="W5379" i="1"/>
  <c r="W5380" i="1"/>
  <c r="W5381" i="1"/>
  <c r="W5382" i="1"/>
  <c r="W5383" i="1"/>
  <c r="W5384" i="1"/>
  <c r="W5385" i="1"/>
  <c r="W5386" i="1"/>
  <c r="W5387" i="1"/>
  <c r="W5388" i="1"/>
  <c r="W5389" i="1"/>
  <c r="W5390" i="1"/>
  <c r="W5391" i="1"/>
  <c r="W5392" i="1"/>
  <c r="W5393" i="1"/>
  <c r="W5394" i="1"/>
  <c r="W5395" i="1"/>
  <c r="W5396" i="1"/>
  <c r="W5397" i="1"/>
  <c r="W5398" i="1"/>
  <c r="W5399" i="1"/>
  <c r="W5400" i="1"/>
  <c r="W5401" i="1"/>
  <c r="W5402" i="1"/>
  <c r="W5403" i="1"/>
  <c r="W5404" i="1"/>
  <c r="W5405" i="1"/>
  <c r="W5406" i="1"/>
  <c r="W5407" i="1"/>
  <c r="W5408" i="1"/>
  <c r="W5409" i="1"/>
  <c r="W5410" i="1"/>
  <c r="W5411" i="1"/>
  <c r="W5412" i="1"/>
  <c r="W5413" i="1"/>
  <c r="W5414" i="1"/>
  <c r="W5415" i="1"/>
  <c r="W5416" i="1"/>
  <c r="W5417" i="1"/>
  <c r="W5418" i="1"/>
  <c r="W5419" i="1"/>
  <c r="W5420" i="1"/>
  <c r="W5421" i="1"/>
  <c r="W5422" i="1"/>
  <c r="W5423" i="1"/>
  <c r="W5424" i="1"/>
  <c r="W5425" i="1"/>
  <c r="W5426" i="1"/>
  <c r="W5427" i="1"/>
  <c r="W5428" i="1"/>
  <c r="W5429" i="1"/>
  <c r="W5430" i="1"/>
  <c r="W5431" i="1"/>
  <c r="W5432" i="1"/>
  <c r="W5433" i="1"/>
  <c r="W5434" i="1"/>
  <c r="W5435" i="1"/>
  <c r="W5436" i="1"/>
  <c r="W5437" i="1"/>
  <c r="W5438" i="1"/>
  <c r="W5439" i="1"/>
  <c r="W5440" i="1"/>
  <c r="W5441" i="1"/>
  <c r="W5442" i="1"/>
  <c r="W5443" i="1"/>
  <c r="W5444" i="1"/>
  <c r="W5445" i="1"/>
  <c r="W5446" i="1"/>
  <c r="W5447" i="1"/>
  <c r="W5448" i="1"/>
  <c r="W5449" i="1"/>
  <c r="W5450" i="1"/>
  <c r="W5451" i="1"/>
  <c r="W5452" i="1"/>
  <c r="W5453" i="1"/>
  <c r="W5454" i="1"/>
  <c r="W5455" i="1"/>
  <c r="W5456" i="1"/>
  <c r="W5457" i="1"/>
  <c r="W5458" i="1"/>
  <c r="W5459" i="1"/>
  <c r="W5460" i="1"/>
  <c r="W5461" i="1"/>
  <c r="W5462" i="1"/>
  <c r="W5463" i="1"/>
  <c r="W5464" i="1"/>
  <c r="W5465" i="1"/>
  <c r="W5466" i="1"/>
  <c r="W5467" i="1"/>
  <c r="W5468" i="1"/>
  <c r="W5469" i="1"/>
  <c r="W5470" i="1"/>
  <c r="W5471" i="1"/>
  <c r="W5472" i="1"/>
  <c r="W5473" i="1"/>
  <c r="W5474" i="1"/>
  <c r="W5475" i="1"/>
  <c r="W5476" i="1"/>
  <c r="W5477" i="1"/>
  <c r="W5478" i="1"/>
  <c r="W5479" i="1"/>
  <c r="W5480" i="1"/>
  <c r="W5481" i="1"/>
  <c r="W5482" i="1"/>
  <c r="W5483" i="1"/>
  <c r="W5484" i="1"/>
  <c r="W5485" i="1"/>
  <c r="W5486" i="1"/>
  <c r="W5487" i="1"/>
  <c r="W5488" i="1"/>
  <c r="W5489" i="1"/>
  <c r="W5490" i="1"/>
  <c r="W5491" i="1"/>
  <c r="W5492" i="1"/>
  <c r="W5493" i="1"/>
  <c r="W5494" i="1"/>
  <c r="W5495" i="1"/>
  <c r="W5496" i="1"/>
  <c r="W5497" i="1"/>
  <c r="W5498" i="1"/>
  <c r="W5499" i="1"/>
  <c r="W5500" i="1"/>
  <c r="W5501" i="1"/>
  <c r="W5502" i="1"/>
  <c r="W5503" i="1"/>
  <c r="W5504" i="1"/>
  <c r="W5505" i="1"/>
  <c r="W5506" i="1"/>
  <c r="W5507" i="1"/>
  <c r="W5508" i="1"/>
  <c r="W5509" i="1"/>
  <c r="W5510" i="1"/>
  <c r="W5511" i="1"/>
  <c r="W5512" i="1"/>
  <c r="W5513" i="1"/>
  <c r="W5514" i="1"/>
  <c r="W5515" i="1"/>
  <c r="W5516" i="1"/>
  <c r="W5517" i="1"/>
  <c r="W5518" i="1"/>
  <c r="W5519" i="1"/>
  <c r="W5520" i="1"/>
  <c r="W5521" i="1"/>
  <c r="W5522" i="1"/>
  <c r="W5523" i="1"/>
  <c r="W5524" i="1"/>
  <c r="W5525" i="1"/>
  <c r="W5526" i="1"/>
  <c r="W5527" i="1"/>
  <c r="W5528" i="1"/>
  <c r="W5529" i="1"/>
  <c r="W5530" i="1"/>
  <c r="W5531" i="1"/>
  <c r="W5532" i="1"/>
  <c r="W5533" i="1"/>
  <c r="W5534" i="1"/>
  <c r="W5535" i="1"/>
  <c r="W5536" i="1"/>
  <c r="W5537" i="1"/>
  <c r="W5538" i="1"/>
  <c r="W5539" i="1"/>
  <c r="W5540" i="1"/>
  <c r="W5541" i="1"/>
  <c r="W5542" i="1"/>
  <c r="W5543" i="1"/>
  <c r="W5544" i="1"/>
  <c r="W5545" i="1"/>
  <c r="W5546" i="1"/>
  <c r="W5547" i="1"/>
  <c r="W5548" i="1"/>
  <c r="W5549" i="1"/>
  <c r="W5550" i="1"/>
  <c r="W5551" i="1"/>
  <c r="W5552" i="1"/>
  <c r="W5553" i="1"/>
  <c r="W5554" i="1"/>
  <c r="W5555" i="1"/>
  <c r="W5556" i="1"/>
  <c r="W5557" i="1"/>
  <c r="W5558" i="1"/>
  <c r="W5559" i="1"/>
  <c r="W5560" i="1"/>
  <c r="W5561" i="1"/>
  <c r="W5562" i="1"/>
  <c r="W5563" i="1"/>
  <c r="W5564" i="1"/>
  <c r="W5565" i="1"/>
  <c r="W5566" i="1"/>
  <c r="W5567" i="1"/>
  <c r="W5568" i="1"/>
  <c r="W5569" i="1"/>
  <c r="W5570" i="1"/>
  <c r="W5571" i="1"/>
  <c r="W5572" i="1"/>
  <c r="W5573" i="1"/>
  <c r="W5574" i="1"/>
  <c r="W5575" i="1"/>
  <c r="W5576" i="1"/>
  <c r="W5577" i="1"/>
  <c r="W5578" i="1"/>
  <c r="W5579" i="1"/>
  <c r="W5580" i="1"/>
  <c r="W5581" i="1"/>
  <c r="W5582" i="1"/>
  <c r="W5583" i="1"/>
  <c r="W5584" i="1"/>
  <c r="W5585" i="1"/>
  <c r="W5586" i="1"/>
  <c r="W5587" i="1"/>
  <c r="W5588" i="1"/>
  <c r="W5589" i="1"/>
  <c r="W5590" i="1"/>
  <c r="W5591" i="1"/>
  <c r="W5592" i="1"/>
  <c r="W5593" i="1"/>
  <c r="W5594" i="1"/>
  <c r="W5595" i="1"/>
  <c r="W5596" i="1"/>
  <c r="W5597" i="1"/>
  <c r="W5598" i="1"/>
  <c r="W5599" i="1"/>
  <c r="W5600" i="1"/>
  <c r="W5601" i="1"/>
  <c r="W5602" i="1"/>
  <c r="W5603" i="1"/>
  <c r="W5604" i="1"/>
  <c r="W5605" i="1"/>
  <c r="W5606" i="1"/>
  <c r="W5607" i="1"/>
  <c r="W5608" i="1"/>
  <c r="W5609" i="1"/>
  <c r="W5610" i="1"/>
  <c r="W5611" i="1"/>
  <c r="W5612" i="1"/>
  <c r="W5613" i="1"/>
  <c r="W5614" i="1"/>
  <c r="W5615" i="1"/>
  <c r="W5616" i="1"/>
  <c r="W5617" i="1"/>
  <c r="W5618" i="1"/>
  <c r="W5619" i="1"/>
  <c r="W5620" i="1"/>
  <c r="W5621" i="1"/>
  <c r="W5622" i="1"/>
  <c r="W5623" i="1"/>
  <c r="W5624" i="1"/>
  <c r="W5625" i="1"/>
  <c r="W5626" i="1"/>
  <c r="W5627" i="1"/>
  <c r="W5628" i="1"/>
  <c r="W5629" i="1"/>
  <c r="W5630" i="1"/>
  <c r="W5631" i="1"/>
  <c r="W5632" i="1"/>
  <c r="W5633" i="1"/>
  <c r="W5634" i="1"/>
  <c r="W5635" i="1"/>
  <c r="W5636" i="1"/>
  <c r="W5637" i="1"/>
  <c r="W5638" i="1"/>
  <c r="W5639" i="1"/>
  <c r="W5640" i="1"/>
  <c r="W5641" i="1"/>
  <c r="W5642" i="1"/>
  <c r="W5643" i="1"/>
  <c r="W5644" i="1"/>
  <c r="W5645" i="1"/>
  <c r="W5646" i="1"/>
  <c r="W5647" i="1"/>
  <c r="W5648" i="1"/>
  <c r="W5649" i="1"/>
  <c r="W5650" i="1"/>
  <c r="W5651" i="1"/>
  <c r="W5652" i="1"/>
  <c r="W5653" i="1"/>
  <c r="W5654" i="1"/>
  <c r="W5655" i="1"/>
  <c r="W5656" i="1"/>
  <c r="W5657" i="1"/>
  <c r="W5658" i="1"/>
  <c r="W5659" i="1"/>
  <c r="W5660" i="1"/>
  <c r="W5661" i="1"/>
  <c r="W5662" i="1"/>
  <c r="W5663" i="1"/>
  <c r="W5664" i="1"/>
  <c r="W5665" i="1"/>
  <c r="W5666" i="1"/>
  <c r="W5667" i="1"/>
  <c r="W5668" i="1"/>
  <c r="W5669" i="1"/>
  <c r="W5670" i="1"/>
  <c r="W5671" i="1"/>
  <c r="W5672" i="1"/>
  <c r="W5673" i="1"/>
  <c r="W5674" i="1"/>
  <c r="W5675" i="1"/>
  <c r="W5676" i="1"/>
  <c r="W5677" i="1"/>
  <c r="W5678" i="1"/>
  <c r="W5679" i="1"/>
  <c r="W5680" i="1"/>
  <c r="W5681" i="1"/>
  <c r="W5682" i="1"/>
  <c r="W5683" i="1"/>
  <c r="W5684" i="1"/>
  <c r="W5685" i="1"/>
  <c r="W5686" i="1"/>
  <c r="W5687" i="1"/>
  <c r="W5688" i="1"/>
  <c r="W5689" i="1"/>
  <c r="W5690" i="1"/>
  <c r="W5691" i="1"/>
  <c r="W5692" i="1"/>
  <c r="W5693" i="1"/>
  <c r="W5694" i="1"/>
  <c r="W5695" i="1"/>
  <c r="W5696" i="1"/>
  <c r="W5697" i="1"/>
  <c r="W5698" i="1"/>
  <c r="W5699" i="1"/>
  <c r="W5700" i="1"/>
  <c r="W5701" i="1"/>
  <c r="W5702" i="1"/>
  <c r="W5703" i="1"/>
  <c r="W5704" i="1"/>
  <c r="W5705" i="1"/>
  <c r="W5706" i="1"/>
  <c r="W5707" i="1"/>
  <c r="W5708" i="1"/>
  <c r="W5709" i="1"/>
  <c r="W5710" i="1"/>
  <c r="W5711" i="1"/>
  <c r="W5712" i="1"/>
  <c r="W5713" i="1"/>
  <c r="W5714" i="1"/>
  <c r="W5715" i="1"/>
  <c r="W5716" i="1"/>
  <c r="W5717" i="1"/>
  <c r="W5718" i="1"/>
  <c r="W5719" i="1"/>
  <c r="W5720" i="1"/>
  <c r="W5721" i="1"/>
  <c r="W5722" i="1"/>
  <c r="W5723" i="1"/>
  <c r="W5724" i="1"/>
  <c r="W5725" i="1"/>
  <c r="W5726" i="1"/>
  <c r="W5727" i="1"/>
  <c r="W5728" i="1"/>
  <c r="W5729" i="1"/>
  <c r="W5730" i="1"/>
  <c r="W5731" i="1"/>
  <c r="W5732" i="1"/>
  <c r="W5733" i="1"/>
  <c r="W5734" i="1"/>
  <c r="W5735" i="1"/>
  <c r="W5736" i="1"/>
  <c r="W5737" i="1"/>
  <c r="W5738" i="1"/>
  <c r="W5739" i="1"/>
  <c r="W5740" i="1"/>
  <c r="W5741" i="1"/>
  <c r="W5742" i="1"/>
  <c r="W5743" i="1"/>
  <c r="W5744" i="1"/>
  <c r="W5745" i="1"/>
  <c r="W5746" i="1"/>
  <c r="W5747" i="1"/>
  <c r="W5748" i="1"/>
  <c r="W5749" i="1"/>
  <c r="W5750" i="1"/>
  <c r="W5751" i="1"/>
  <c r="W5752" i="1"/>
  <c r="W5753" i="1"/>
  <c r="W5754" i="1"/>
  <c r="W5755" i="1"/>
  <c r="W5756" i="1"/>
  <c r="W5757" i="1"/>
  <c r="W5758" i="1"/>
  <c r="W5759" i="1"/>
  <c r="W5760" i="1"/>
  <c r="W5761" i="1"/>
  <c r="W5762" i="1"/>
  <c r="W5763" i="1"/>
  <c r="W5764" i="1"/>
  <c r="W5765" i="1"/>
  <c r="W5766" i="1"/>
  <c r="W5767" i="1"/>
  <c r="W5768" i="1"/>
  <c r="W5769" i="1"/>
  <c r="W5770" i="1"/>
  <c r="W5771" i="1"/>
  <c r="W5772" i="1"/>
  <c r="W5773" i="1"/>
  <c r="W5774" i="1"/>
  <c r="W5775" i="1"/>
  <c r="W5776" i="1"/>
  <c r="W5777" i="1"/>
  <c r="W5778" i="1"/>
  <c r="W5779" i="1"/>
  <c r="W5780" i="1"/>
  <c r="W5781" i="1"/>
  <c r="W5782" i="1"/>
  <c r="W5783" i="1"/>
  <c r="W5784" i="1"/>
  <c r="W5785" i="1"/>
  <c r="W5786" i="1"/>
  <c r="W5787" i="1"/>
  <c r="W5788" i="1"/>
  <c r="W5789" i="1"/>
  <c r="W5790" i="1"/>
  <c r="W5791" i="1"/>
  <c r="W5792" i="1"/>
  <c r="W5793" i="1"/>
  <c r="W5794" i="1"/>
  <c r="W5795" i="1"/>
  <c r="W5796" i="1"/>
  <c r="W5797" i="1"/>
  <c r="W5798" i="1"/>
  <c r="W5799" i="1"/>
  <c r="W5800" i="1"/>
  <c r="W5801" i="1"/>
  <c r="W5802" i="1"/>
  <c r="W5803" i="1"/>
  <c r="W5804" i="1"/>
  <c r="W5805" i="1"/>
  <c r="W5806" i="1"/>
  <c r="W5807" i="1"/>
  <c r="W5808" i="1"/>
  <c r="W5809" i="1"/>
  <c r="W5810" i="1"/>
  <c r="W5811" i="1"/>
  <c r="W5812" i="1"/>
  <c r="W5813" i="1"/>
  <c r="W5814" i="1"/>
  <c r="W5815" i="1"/>
  <c r="W5816" i="1"/>
  <c r="W5817" i="1"/>
  <c r="W5818" i="1"/>
  <c r="W5819" i="1"/>
  <c r="W5820" i="1"/>
  <c r="W5821" i="1"/>
  <c r="W5822" i="1"/>
  <c r="W5823" i="1"/>
  <c r="W5824" i="1"/>
  <c r="W5825" i="1"/>
  <c r="W5826" i="1"/>
  <c r="W5827" i="1"/>
  <c r="W5828" i="1"/>
  <c r="W5829" i="1"/>
  <c r="W5830" i="1"/>
  <c r="W5831" i="1"/>
  <c r="W5832" i="1"/>
  <c r="W5833" i="1"/>
  <c r="W5834" i="1"/>
  <c r="W5835" i="1"/>
  <c r="W5836" i="1"/>
  <c r="W5837" i="1"/>
  <c r="W5838" i="1"/>
  <c r="W5839" i="1"/>
  <c r="W5840" i="1"/>
  <c r="W5841" i="1"/>
  <c r="W5842" i="1"/>
  <c r="W5843" i="1"/>
  <c r="W5844" i="1"/>
  <c r="W5845" i="1"/>
  <c r="W5846" i="1"/>
  <c r="W5847" i="1"/>
  <c r="W5848" i="1"/>
  <c r="W5849" i="1"/>
  <c r="W5850" i="1"/>
  <c r="W5851" i="1"/>
  <c r="W5852" i="1"/>
  <c r="W5853" i="1"/>
  <c r="W5854" i="1"/>
  <c r="W5855" i="1"/>
  <c r="W5856" i="1"/>
  <c r="W5857" i="1"/>
  <c r="W5858" i="1"/>
  <c r="W5859" i="1"/>
  <c r="W5860" i="1"/>
  <c r="W5861" i="1"/>
  <c r="W5862" i="1"/>
  <c r="W5863" i="1"/>
  <c r="W5864" i="1"/>
  <c r="W5865" i="1"/>
  <c r="W5866" i="1"/>
  <c r="W5867" i="1"/>
  <c r="W5868" i="1"/>
  <c r="W5869" i="1"/>
  <c r="W5870" i="1"/>
  <c r="W5871" i="1"/>
  <c r="W5872" i="1"/>
  <c r="W5873" i="1"/>
  <c r="W5874" i="1"/>
  <c r="W5875" i="1"/>
  <c r="W5876" i="1"/>
  <c r="W5877" i="1"/>
  <c r="W5878" i="1"/>
  <c r="W5879" i="1"/>
  <c r="W5880" i="1"/>
  <c r="W5881" i="1"/>
  <c r="W5882" i="1"/>
  <c r="W5883" i="1"/>
  <c r="W5884" i="1"/>
  <c r="W5885" i="1"/>
  <c r="W5886" i="1"/>
  <c r="W5887" i="1"/>
  <c r="W5888" i="1"/>
  <c r="W5889" i="1"/>
  <c r="W5890" i="1"/>
  <c r="W5891" i="1"/>
  <c r="W5892" i="1"/>
  <c r="W5893" i="1"/>
  <c r="W5894" i="1"/>
  <c r="W5895" i="1"/>
  <c r="W5896" i="1"/>
  <c r="W5897" i="1"/>
  <c r="W5898" i="1"/>
  <c r="W5899" i="1"/>
  <c r="W5900" i="1"/>
  <c r="W5901" i="1"/>
  <c r="W5902" i="1"/>
  <c r="W5903" i="1"/>
  <c r="W5904" i="1"/>
  <c r="W5905" i="1"/>
  <c r="W5906" i="1"/>
  <c r="W5907" i="1"/>
  <c r="W5908" i="1"/>
  <c r="W5909" i="1"/>
  <c r="W5910" i="1"/>
  <c r="W5911" i="1"/>
  <c r="W5912" i="1"/>
  <c r="W5913" i="1"/>
  <c r="W5914" i="1"/>
  <c r="W5915" i="1"/>
  <c r="W5916" i="1"/>
  <c r="W5917" i="1"/>
  <c r="W5918" i="1"/>
  <c r="W5919" i="1"/>
  <c r="W5920" i="1"/>
  <c r="W5921" i="1"/>
  <c r="W5922" i="1"/>
  <c r="W5923" i="1"/>
  <c r="W5924" i="1"/>
  <c r="W5925" i="1"/>
  <c r="W5926" i="1"/>
  <c r="W5927" i="1"/>
  <c r="W5928" i="1"/>
  <c r="W5929" i="1"/>
  <c r="W5930" i="1"/>
  <c r="W5931" i="1"/>
  <c r="W5932" i="1"/>
  <c r="W5933" i="1"/>
  <c r="W5934" i="1"/>
  <c r="W5935" i="1"/>
  <c r="W5936" i="1"/>
  <c r="W5937" i="1"/>
  <c r="W5938" i="1"/>
  <c r="W5939" i="1"/>
  <c r="W5940" i="1"/>
  <c r="W5941" i="1"/>
  <c r="W5942" i="1"/>
  <c r="W5943" i="1"/>
  <c r="W5944" i="1"/>
  <c r="W5945" i="1"/>
  <c r="W5946" i="1"/>
  <c r="W5947" i="1"/>
  <c r="W5948" i="1"/>
  <c r="W5949" i="1"/>
  <c r="W5950" i="1"/>
  <c r="W5951" i="1"/>
  <c r="W5952" i="1"/>
  <c r="W5953" i="1"/>
  <c r="W5954" i="1"/>
  <c r="W5955" i="1"/>
  <c r="W5956" i="1"/>
  <c r="W5957" i="1"/>
  <c r="W5958" i="1"/>
  <c r="W5959" i="1"/>
  <c r="W5960" i="1"/>
  <c r="W5961" i="1"/>
  <c r="W5962" i="1"/>
  <c r="W5963" i="1"/>
  <c r="W5964" i="1"/>
  <c r="W5965" i="1"/>
  <c r="W5966" i="1"/>
  <c r="W5967" i="1"/>
  <c r="W5968" i="1"/>
  <c r="W5969" i="1"/>
  <c r="W5970" i="1"/>
  <c r="W5971" i="1"/>
  <c r="W5972" i="1"/>
  <c r="W5973" i="1"/>
  <c r="W5974" i="1"/>
  <c r="W5975" i="1"/>
  <c r="W5976" i="1"/>
  <c r="W5977" i="1"/>
  <c r="W5978" i="1"/>
  <c r="W5979" i="1"/>
  <c r="W5980" i="1"/>
  <c r="W5981" i="1"/>
  <c r="W5982" i="1"/>
  <c r="W5983" i="1"/>
  <c r="W5984" i="1"/>
  <c r="W5985" i="1"/>
  <c r="W5986" i="1"/>
  <c r="W5987" i="1"/>
  <c r="W5988" i="1"/>
  <c r="W5989" i="1"/>
  <c r="W5990" i="1"/>
  <c r="W5991" i="1"/>
  <c r="W5992" i="1"/>
  <c r="W5993" i="1"/>
  <c r="W5994" i="1"/>
  <c r="W5995" i="1"/>
  <c r="W5996" i="1"/>
  <c r="W5997" i="1"/>
  <c r="W5998" i="1"/>
  <c r="W5999" i="1"/>
  <c r="W6000" i="1"/>
  <c r="W6001" i="1"/>
  <c r="W6002" i="1"/>
  <c r="W6003" i="1"/>
  <c r="W6004" i="1"/>
  <c r="W6005" i="1"/>
  <c r="W6006" i="1"/>
  <c r="W6007" i="1"/>
  <c r="W6008" i="1"/>
  <c r="W6009" i="1"/>
  <c r="W6010" i="1"/>
  <c r="W6011" i="1"/>
  <c r="W6012" i="1"/>
  <c r="W6013" i="1"/>
  <c r="W6014" i="1"/>
  <c r="W6015" i="1"/>
  <c r="W6016" i="1"/>
  <c r="W6017" i="1"/>
  <c r="W6018" i="1"/>
  <c r="W6019" i="1"/>
  <c r="W6020" i="1"/>
  <c r="W6021" i="1"/>
  <c r="W6022" i="1"/>
  <c r="W6023" i="1"/>
  <c r="W6024" i="1"/>
  <c r="W6025" i="1"/>
  <c r="W6026" i="1"/>
  <c r="W6027" i="1"/>
  <c r="W6028" i="1"/>
  <c r="W6029" i="1"/>
  <c r="W6030" i="1"/>
  <c r="W6031" i="1"/>
  <c r="W6032" i="1"/>
  <c r="W6033" i="1"/>
  <c r="W6034" i="1"/>
  <c r="W6035" i="1"/>
  <c r="W6036" i="1"/>
  <c r="W6037" i="1"/>
  <c r="W6038" i="1"/>
  <c r="W6039" i="1"/>
  <c r="W6040" i="1"/>
  <c r="W6041" i="1"/>
  <c r="W6042" i="1"/>
  <c r="W6043" i="1"/>
  <c r="W6044" i="1"/>
  <c r="W6045" i="1"/>
  <c r="W6046" i="1"/>
  <c r="W6047" i="1"/>
  <c r="W6048" i="1"/>
  <c r="W6049" i="1"/>
  <c r="W6050" i="1"/>
  <c r="W6051" i="1"/>
  <c r="W6052" i="1"/>
  <c r="W6053" i="1"/>
  <c r="W6054" i="1"/>
  <c r="W6055" i="1"/>
  <c r="W6056" i="1"/>
  <c r="W6057" i="1"/>
  <c r="W6058" i="1"/>
  <c r="W6059" i="1"/>
  <c r="W6060" i="1"/>
  <c r="W6061" i="1"/>
  <c r="W6062" i="1"/>
  <c r="W6063" i="1"/>
  <c r="W6064" i="1"/>
  <c r="W6065" i="1"/>
  <c r="W6066" i="1"/>
  <c r="W6067" i="1"/>
  <c r="W6068" i="1"/>
  <c r="W6069" i="1"/>
  <c r="W6070" i="1"/>
  <c r="W6071" i="1"/>
  <c r="W6072" i="1"/>
  <c r="W6073" i="1"/>
  <c r="W6074" i="1"/>
  <c r="W6075" i="1"/>
  <c r="W6076" i="1"/>
  <c r="W6077" i="1"/>
  <c r="W6078" i="1"/>
  <c r="W6079" i="1"/>
  <c r="W6080" i="1"/>
  <c r="W6081" i="1"/>
  <c r="W6082" i="1"/>
  <c r="W6083" i="1"/>
  <c r="W6084" i="1"/>
  <c r="W6085" i="1"/>
  <c r="W6086" i="1"/>
  <c r="W6087" i="1"/>
  <c r="W6088" i="1"/>
  <c r="W6089" i="1"/>
  <c r="W6090" i="1"/>
  <c r="W6091" i="1"/>
  <c r="W6092" i="1"/>
  <c r="W6093" i="1"/>
  <c r="W6094" i="1"/>
  <c r="W6095" i="1"/>
  <c r="W6096" i="1"/>
  <c r="W6097" i="1"/>
  <c r="W6098" i="1"/>
  <c r="W6099" i="1"/>
  <c r="W6100" i="1"/>
  <c r="W6101" i="1"/>
  <c r="W6102" i="1"/>
  <c r="W6103" i="1"/>
  <c r="W6104" i="1"/>
  <c r="W6105" i="1"/>
  <c r="W6106" i="1"/>
  <c r="W6107" i="1"/>
  <c r="W6108" i="1"/>
  <c r="W6109" i="1"/>
  <c r="W6110" i="1"/>
  <c r="W6111" i="1"/>
  <c r="W6112" i="1"/>
  <c r="W6113" i="1"/>
  <c r="W6114" i="1"/>
  <c r="W6115" i="1"/>
  <c r="W6116" i="1"/>
  <c r="W6117" i="1"/>
  <c r="W6118" i="1"/>
  <c r="W6119" i="1"/>
  <c r="W6120" i="1"/>
  <c r="W6121" i="1"/>
  <c r="W6122" i="1"/>
  <c r="W6123" i="1"/>
  <c r="W6124" i="1"/>
  <c r="W6125" i="1"/>
  <c r="W6126" i="1"/>
  <c r="W6127" i="1"/>
  <c r="W6128" i="1"/>
  <c r="W6129" i="1"/>
  <c r="W6130" i="1"/>
  <c r="W6131" i="1"/>
  <c r="W6132" i="1"/>
  <c r="W6133" i="1"/>
  <c r="W6134" i="1"/>
  <c r="W6135" i="1"/>
  <c r="W6136" i="1"/>
  <c r="W6137" i="1"/>
  <c r="W6138" i="1"/>
  <c r="W6139" i="1"/>
  <c r="W6140" i="1"/>
  <c r="W6141" i="1"/>
  <c r="W6142" i="1"/>
  <c r="W6143" i="1"/>
  <c r="W6144" i="1"/>
  <c r="W6145" i="1"/>
  <c r="W6146" i="1"/>
  <c r="W6147" i="1"/>
  <c r="W6148" i="1"/>
  <c r="W6149" i="1"/>
  <c r="W6150" i="1"/>
  <c r="W6151" i="1"/>
  <c r="W6152" i="1"/>
  <c r="W6153" i="1"/>
  <c r="W6154" i="1"/>
  <c r="W6155" i="1"/>
  <c r="W6156" i="1"/>
  <c r="W6157" i="1"/>
  <c r="W6158" i="1"/>
  <c r="W6159" i="1"/>
  <c r="W6160" i="1"/>
  <c r="W6161" i="1"/>
  <c r="W6162" i="1"/>
  <c r="W6163" i="1"/>
  <c r="W6164" i="1"/>
  <c r="W6165" i="1"/>
  <c r="W6166" i="1"/>
  <c r="W6167" i="1"/>
  <c r="W6168" i="1"/>
  <c r="W6169" i="1"/>
  <c r="W6170" i="1"/>
  <c r="W6171" i="1"/>
  <c r="W6172" i="1"/>
  <c r="W6173" i="1"/>
  <c r="W6174" i="1"/>
  <c r="W6175" i="1"/>
  <c r="W6176" i="1"/>
  <c r="W6177" i="1"/>
  <c r="W6178" i="1"/>
  <c r="W6179" i="1"/>
  <c r="W6180" i="1"/>
  <c r="W6181" i="1"/>
  <c r="W6182" i="1"/>
  <c r="W6183" i="1"/>
  <c r="W6184" i="1"/>
  <c r="W6185" i="1"/>
  <c r="W6186" i="1"/>
  <c r="W6187" i="1"/>
  <c r="W6188" i="1"/>
  <c r="W6189" i="1"/>
  <c r="W6190" i="1"/>
  <c r="W6191" i="1"/>
  <c r="W6192" i="1"/>
  <c r="W6193" i="1"/>
  <c r="W6194" i="1"/>
  <c r="W6195" i="1"/>
  <c r="W6196" i="1"/>
  <c r="W6197" i="1"/>
  <c r="W6198" i="1"/>
  <c r="W6199" i="1"/>
  <c r="W6200" i="1"/>
  <c r="W6201" i="1"/>
  <c r="W6202" i="1"/>
  <c r="W6203" i="1"/>
  <c r="W6204" i="1"/>
  <c r="W6205" i="1"/>
  <c r="W6206" i="1"/>
  <c r="W6207" i="1"/>
  <c r="W6208" i="1"/>
  <c r="W6209" i="1"/>
  <c r="W6210" i="1"/>
  <c r="W6211" i="1"/>
  <c r="W6212" i="1"/>
  <c r="W6213" i="1"/>
  <c r="W6214" i="1"/>
  <c r="W6215" i="1"/>
  <c r="W6216" i="1"/>
  <c r="W6217" i="1"/>
  <c r="W6218" i="1"/>
  <c r="W6219" i="1"/>
  <c r="W6220" i="1"/>
  <c r="W6221" i="1"/>
  <c r="W6222" i="1"/>
  <c r="W6223" i="1"/>
  <c r="W6224" i="1"/>
  <c r="W6225" i="1"/>
  <c r="W6226" i="1"/>
  <c r="W6227" i="1"/>
  <c r="W6228" i="1"/>
  <c r="W6229" i="1"/>
  <c r="W6230" i="1"/>
  <c r="W6231" i="1"/>
  <c r="W6232" i="1"/>
  <c r="W6233" i="1"/>
  <c r="W6234" i="1"/>
  <c r="W6235" i="1"/>
  <c r="W6236" i="1"/>
  <c r="W6237" i="1"/>
  <c r="W6238" i="1"/>
  <c r="W6239" i="1"/>
  <c r="W6240" i="1"/>
  <c r="W6241" i="1"/>
  <c r="W6242" i="1"/>
  <c r="W6243" i="1"/>
  <c r="W6244" i="1"/>
  <c r="W6245" i="1"/>
  <c r="W6246" i="1"/>
  <c r="W6247" i="1"/>
  <c r="W6248" i="1"/>
  <c r="W6249" i="1"/>
  <c r="W6250" i="1"/>
  <c r="W6251" i="1"/>
  <c r="W6252" i="1"/>
  <c r="W6253" i="1"/>
  <c r="W6254" i="1"/>
  <c r="W6255" i="1"/>
  <c r="W6256" i="1"/>
  <c r="W6257" i="1"/>
  <c r="W6258" i="1"/>
  <c r="W6259" i="1"/>
  <c r="W6260" i="1"/>
  <c r="W6261" i="1"/>
  <c r="W6262" i="1"/>
  <c r="W6263" i="1"/>
  <c r="W6264" i="1"/>
  <c r="W6265" i="1"/>
  <c r="W6266" i="1"/>
  <c r="W6267" i="1"/>
  <c r="W6268" i="1"/>
  <c r="W6269" i="1"/>
  <c r="W6270" i="1"/>
  <c r="W6271" i="1"/>
  <c r="W6272" i="1"/>
  <c r="W6273" i="1"/>
  <c r="W6274" i="1"/>
  <c r="W6275" i="1"/>
  <c r="W6276" i="1"/>
  <c r="W6277" i="1"/>
  <c r="W6278" i="1"/>
  <c r="W6279" i="1"/>
  <c r="W6280" i="1"/>
  <c r="W6281" i="1"/>
  <c r="W6282" i="1"/>
  <c r="W6283" i="1"/>
  <c r="W6284" i="1"/>
  <c r="W6285" i="1"/>
  <c r="W6286" i="1"/>
  <c r="W6287" i="1"/>
  <c r="W6288" i="1"/>
  <c r="W6289" i="1"/>
  <c r="W6290" i="1"/>
  <c r="W6291" i="1"/>
  <c r="W6292" i="1"/>
  <c r="W6293" i="1"/>
  <c r="W6294" i="1"/>
  <c r="W6295" i="1"/>
  <c r="W6296" i="1"/>
  <c r="W6297" i="1"/>
  <c r="W6298" i="1"/>
  <c r="W6299" i="1"/>
  <c r="W6300" i="1"/>
  <c r="W6301" i="1"/>
  <c r="W6302" i="1"/>
  <c r="W6303" i="1"/>
  <c r="W6304" i="1"/>
  <c r="W6305" i="1"/>
  <c r="W6306" i="1"/>
  <c r="W6307" i="1"/>
  <c r="W6308" i="1"/>
  <c r="W6309" i="1"/>
  <c r="W6310" i="1"/>
  <c r="W6311" i="1"/>
  <c r="W6312" i="1"/>
  <c r="W6313" i="1"/>
  <c r="W6314" i="1"/>
  <c r="W6315" i="1"/>
  <c r="W6316" i="1"/>
  <c r="W6317" i="1"/>
  <c r="W6318" i="1"/>
  <c r="W6319" i="1"/>
  <c r="W6320" i="1"/>
  <c r="W6321" i="1"/>
  <c r="W6322" i="1"/>
  <c r="W6323" i="1"/>
  <c r="W6324" i="1"/>
  <c r="W6325" i="1"/>
  <c r="W6326" i="1"/>
  <c r="W6327" i="1"/>
  <c r="W6328" i="1"/>
  <c r="W6329" i="1"/>
  <c r="W6330" i="1"/>
  <c r="W6331" i="1"/>
  <c r="W6332" i="1"/>
  <c r="W6333" i="1"/>
  <c r="W6334" i="1"/>
  <c r="W6335" i="1"/>
  <c r="W6336" i="1"/>
  <c r="W6337" i="1"/>
  <c r="W6338" i="1"/>
  <c r="W6339" i="1"/>
  <c r="W6340" i="1"/>
  <c r="W6341" i="1"/>
  <c r="W6342" i="1"/>
  <c r="W6343" i="1"/>
  <c r="W6344" i="1"/>
  <c r="W6345" i="1"/>
  <c r="W6346" i="1"/>
  <c r="W6347" i="1"/>
  <c r="W6348" i="1"/>
  <c r="W6349" i="1"/>
  <c r="W6350" i="1"/>
  <c r="W6351" i="1"/>
  <c r="W6352" i="1"/>
  <c r="W6353" i="1"/>
  <c r="W6354" i="1"/>
  <c r="W6355" i="1"/>
  <c r="W6356" i="1"/>
  <c r="W6357" i="1"/>
  <c r="W6358" i="1"/>
  <c r="W6359" i="1"/>
  <c r="W6360" i="1"/>
  <c r="W6361" i="1"/>
  <c r="W6362" i="1"/>
  <c r="W6363" i="1"/>
  <c r="W6364" i="1"/>
  <c r="W6365" i="1"/>
  <c r="W6366" i="1"/>
  <c r="W6367" i="1"/>
  <c r="W6368" i="1"/>
  <c r="W6369" i="1"/>
  <c r="W6370" i="1"/>
  <c r="W6371" i="1"/>
  <c r="W6372" i="1"/>
  <c r="W6373" i="1"/>
  <c r="W6374" i="1"/>
  <c r="W6375" i="1"/>
  <c r="W6376" i="1"/>
  <c r="W6377" i="1"/>
  <c r="W6378" i="1"/>
  <c r="W6379" i="1"/>
  <c r="W6380" i="1"/>
  <c r="W6381" i="1"/>
  <c r="W6382" i="1"/>
  <c r="W6383" i="1"/>
  <c r="W6384" i="1"/>
  <c r="W6385" i="1"/>
  <c r="W6386" i="1"/>
  <c r="W6387" i="1"/>
  <c r="W6388" i="1"/>
  <c r="W6389" i="1"/>
  <c r="W6390" i="1"/>
  <c r="W6391" i="1"/>
  <c r="W6392" i="1"/>
  <c r="W6393" i="1"/>
  <c r="W6394" i="1"/>
  <c r="W6395" i="1"/>
  <c r="W6396" i="1"/>
  <c r="W6397" i="1"/>
  <c r="W6398" i="1"/>
  <c r="W6399" i="1"/>
  <c r="W6400" i="1"/>
  <c r="W6401" i="1"/>
  <c r="W6402" i="1"/>
  <c r="W6403" i="1"/>
  <c r="W6404" i="1"/>
  <c r="W6405" i="1"/>
  <c r="W6406" i="1"/>
  <c r="W6407" i="1"/>
  <c r="W6408" i="1"/>
  <c r="W6409" i="1"/>
  <c r="W6410" i="1"/>
  <c r="W6411" i="1"/>
  <c r="W6412" i="1"/>
  <c r="W6413" i="1"/>
  <c r="W6414" i="1"/>
  <c r="W6415" i="1"/>
  <c r="W6416" i="1"/>
  <c r="W6417" i="1"/>
  <c r="W6418" i="1"/>
  <c r="W6419" i="1"/>
  <c r="W6420" i="1"/>
  <c r="W6421" i="1"/>
  <c r="W6422" i="1"/>
  <c r="W6423" i="1"/>
  <c r="W6424" i="1"/>
  <c r="W6425" i="1"/>
  <c r="W6426" i="1"/>
  <c r="W6427" i="1"/>
  <c r="W6428" i="1"/>
  <c r="W6429" i="1"/>
  <c r="W6430" i="1"/>
  <c r="W6431" i="1"/>
  <c r="W6432" i="1"/>
  <c r="W6433" i="1"/>
  <c r="W6434" i="1"/>
  <c r="W6435" i="1"/>
  <c r="W6436" i="1"/>
  <c r="W6437" i="1"/>
  <c r="W6438" i="1"/>
  <c r="W6439" i="1"/>
  <c r="W6440" i="1"/>
  <c r="W6441" i="1"/>
  <c r="W6442" i="1"/>
  <c r="W6443" i="1"/>
  <c r="W6444" i="1"/>
  <c r="W6445" i="1"/>
  <c r="W6446" i="1"/>
  <c r="W6447" i="1"/>
  <c r="W6448" i="1"/>
  <c r="W6449" i="1"/>
  <c r="W6450" i="1"/>
  <c r="W6451" i="1"/>
  <c r="W6452" i="1"/>
  <c r="W6453" i="1"/>
  <c r="W6454" i="1"/>
  <c r="W6455" i="1"/>
  <c r="W6456" i="1"/>
  <c r="W6457" i="1"/>
  <c r="W6458" i="1"/>
  <c r="W6459" i="1"/>
  <c r="W6460" i="1"/>
  <c r="W6461" i="1"/>
  <c r="W6462" i="1"/>
  <c r="W6463" i="1"/>
  <c r="W6464" i="1"/>
  <c r="W6465" i="1"/>
  <c r="W6466" i="1"/>
  <c r="W6467" i="1"/>
  <c r="W6468" i="1"/>
  <c r="W6469" i="1"/>
  <c r="W6470" i="1"/>
  <c r="W6471" i="1"/>
  <c r="W6472" i="1"/>
  <c r="W6473" i="1"/>
  <c r="W6474" i="1"/>
  <c r="W6475" i="1"/>
  <c r="W6476" i="1"/>
  <c r="W6477" i="1"/>
  <c r="W6478" i="1"/>
  <c r="W6479" i="1"/>
  <c r="W6480" i="1"/>
  <c r="W6481" i="1"/>
  <c r="W6482" i="1"/>
  <c r="W6483" i="1"/>
  <c r="W6484" i="1"/>
  <c r="W6485" i="1"/>
  <c r="W6486" i="1"/>
  <c r="W6487" i="1"/>
  <c r="W6488" i="1"/>
  <c r="W6489" i="1"/>
  <c r="W6490" i="1"/>
  <c r="W6491" i="1"/>
  <c r="W6492" i="1"/>
  <c r="W6493" i="1"/>
  <c r="W6494" i="1"/>
  <c r="W6495" i="1"/>
  <c r="W6496" i="1"/>
  <c r="W6497" i="1"/>
  <c r="W6498" i="1"/>
  <c r="W6499" i="1"/>
  <c r="W6500" i="1"/>
  <c r="W6501" i="1"/>
  <c r="W6502" i="1"/>
  <c r="W6503" i="1"/>
  <c r="W6504" i="1"/>
  <c r="W6505" i="1"/>
  <c r="W6506" i="1"/>
  <c r="W6507" i="1"/>
  <c r="W6508" i="1"/>
  <c r="W6509" i="1"/>
  <c r="W6510" i="1"/>
  <c r="W6511" i="1"/>
  <c r="W6512" i="1"/>
  <c r="W6513" i="1"/>
  <c r="W6514" i="1"/>
  <c r="W6515" i="1"/>
  <c r="W6516" i="1"/>
  <c r="W6517" i="1"/>
  <c r="W6518" i="1"/>
  <c r="W6519" i="1"/>
  <c r="W6520" i="1"/>
  <c r="W6521" i="1"/>
  <c r="W6522" i="1"/>
  <c r="W6523" i="1"/>
  <c r="W6524" i="1"/>
  <c r="W6525" i="1"/>
  <c r="W6526" i="1"/>
  <c r="W6527" i="1"/>
  <c r="W6528" i="1"/>
  <c r="W6529" i="1"/>
  <c r="W6530" i="1"/>
  <c r="W6531" i="1"/>
  <c r="W6532" i="1"/>
  <c r="W6533" i="1"/>
  <c r="W6534" i="1"/>
  <c r="W6535" i="1"/>
  <c r="W6536" i="1"/>
  <c r="W6537" i="1"/>
  <c r="W6538" i="1"/>
  <c r="W6539" i="1"/>
  <c r="W6540" i="1"/>
  <c r="W6541" i="1"/>
  <c r="W6542" i="1"/>
  <c r="W6543" i="1"/>
  <c r="W6544" i="1"/>
  <c r="W6545" i="1"/>
  <c r="W6546" i="1"/>
  <c r="W6547" i="1"/>
  <c r="W6548" i="1"/>
  <c r="W6549" i="1"/>
  <c r="W6550" i="1"/>
  <c r="W6551" i="1"/>
  <c r="W6552" i="1"/>
  <c r="W6553" i="1"/>
  <c r="W6554" i="1"/>
  <c r="W6555" i="1"/>
  <c r="W6556" i="1"/>
  <c r="W6557" i="1"/>
  <c r="W6558" i="1"/>
  <c r="W6559" i="1"/>
  <c r="W6560" i="1"/>
  <c r="W6561" i="1"/>
  <c r="W6562" i="1"/>
  <c r="W6563" i="1"/>
  <c r="W6564" i="1"/>
  <c r="W6565" i="1"/>
  <c r="W6566" i="1"/>
  <c r="W6567" i="1"/>
  <c r="W6568" i="1"/>
  <c r="W6569" i="1"/>
  <c r="W6570" i="1"/>
  <c r="W6571" i="1"/>
  <c r="W6572" i="1"/>
  <c r="W6573" i="1"/>
  <c r="W6574" i="1"/>
  <c r="W6575" i="1"/>
  <c r="W6576" i="1"/>
  <c r="W6577" i="1"/>
  <c r="W6578" i="1"/>
  <c r="W6579" i="1"/>
  <c r="W6580" i="1"/>
  <c r="W6581" i="1"/>
  <c r="W6582" i="1"/>
  <c r="W6583" i="1"/>
  <c r="W6584" i="1"/>
  <c r="W6585" i="1"/>
  <c r="W6586" i="1"/>
  <c r="W6587" i="1"/>
  <c r="W6588" i="1"/>
  <c r="W6589" i="1"/>
  <c r="W6590" i="1"/>
  <c r="W6591" i="1"/>
  <c r="E4" i="2" l="1"/>
</calcChain>
</file>

<file path=xl/sharedStrings.xml><?xml version="1.0" encoding="utf-8"?>
<sst xmlns="http://schemas.openxmlformats.org/spreadsheetml/2006/main" count="78323" uniqueCount="8815">
  <si>
    <t>Deltacoronavirus</t>
  </si>
  <si>
    <t>Bulbul coronavirus HKU11</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</si>
  <si>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</si>
  <si>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</si>
  <si>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</si>
  <si>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</si>
  <si>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</si>
  <si>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</si>
  <si>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</si>
  <si>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</si>
  <si>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</si>
  <si>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</si>
  <si>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</si>
  <si>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</si>
  <si>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</si>
  <si>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</si>
  <si>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</si>
  <si>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</si>
  <si>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</si>
  <si>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</si>
  <si>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</si>
  <si>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</si>
  <si>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</si>
  <si>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</si>
  <si>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</si>
  <si>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</si>
  <si>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</si>
  <si>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</si>
  <si>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</si>
  <si>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</si>
  <si>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</si>
  <si>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</si>
  <si>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</si>
  <si>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</si>
  <si>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</si>
  <si>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</si>
  <si>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</si>
  <si>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</si>
  <si>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</si>
  <si>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</si>
  <si>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</si>
  <si>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</si>
  <si>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</si>
  <si>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</si>
  <si>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</si>
  <si>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</si>
  <si>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</si>
  <si>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</si>
  <si>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</si>
  <si>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</si>
  <si>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</si>
  <si>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</si>
  <si>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</si>
  <si>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</si>
  <si>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</si>
  <si>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</si>
  <si>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</si>
  <si>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</si>
  <si>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</si>
  <si>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</si>
  <si>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</si>
  <si>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</si>
  <si>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</si>
  <si>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</si>
  <si>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</si>
  <si>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</si>
  <si>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</si>
  <si>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</si>
  <si>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</si>
  <si>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</si>
  <si>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</si>
  <si>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</si>
  <si>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</si>
  <si>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</si>
  <si>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</si>
  <si>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</si>
  <si>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</si>
  <si>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</si>
  <si>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</si>
  <si>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</si>
  <si>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</si>
  <si>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</si>
  <si>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</si>
  <si>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</si>
  <si>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</si>
  <si>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</si>
  <si>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</si>
  <si>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</si>
  <si>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</si>
  <si>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</si>
  <si>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</si>
  <si>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</si>
  <si>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</si>
  <si>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</si>
  <si>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</si>
  <si>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</si>
  <si>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</si>
  <si>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</si>
  <si>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Muscavirus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</si>
  <si>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</si>
  <si>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</si>
  <si>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</si>
  <si>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</si>
  <si>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</si>
  <si>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</si>
  <si>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</si>
  <si>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</si>
  <si>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</si>
  <si>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</si>
  <si>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</si>
  <si>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</si>
  <si>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</si>
  <si>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</si>
  <si>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</si>
  <si>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</si>
  <si>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</si>
  <si>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</si>
  <si>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</si>
  <si>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</si>
  <si>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</si>
  <si>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</si>
  <si>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</si>
  <si>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</si>
  <si>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</si>
  <si>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</si>
  <si>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</si>
  <si>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</si>
  <si>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</si>
  <si>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</si>
  <si>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</si>
  <si>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</si>
  <si>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</si>
  <si>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</si>
  <si>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</si>
  <si>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</si>
  <si>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</si>
  <si>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</si>
  <si>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</si>
  <si>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</si>
  <si>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</si>
  <si>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</si>
  <si>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</si>
  <si>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</si>
  <si>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</si>
  <si>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</si>
  <si>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</si>
  <si>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</si>
  <si>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</si>
  <si>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</si>
  <si>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</si>
  <si>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</si>
  <si>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</si>
  <si>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</si>
  <si>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</si>
  <si>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</si>
  <si>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</si>
  <si>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</si>
  <si>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</si>
  <si>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</si>
  <si>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</si>
  <si>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</si>
  <si>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</si>
  <si>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</si>
  <si>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</si>
  <si>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</si>
  <si>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</si>
  <si>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</si>
  <si>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</si>
  <si>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</si>
  <si>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</si>
  <si>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</si>
  <si>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</si>
  <si>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</si>
  <si>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</si>
  <si>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</si>
  <si>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</si>
  <si>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</si>
  <si>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</si>
  <si>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</si>
  <si>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</si>
  <si>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</si>
  <si>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</si>
  <si>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</si>
  <si>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</si>
  <si>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</si>
  <si>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</si>
  <si>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</si>
  <si>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</si>
  <si>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</si>
  <si>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</si>
  <si>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</si>
  <si>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</si>
  <si>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</si>
  <si>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</si>
  <si>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</si>
  <si>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</si>
  <si>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</si>
  <si>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</si>
  <si>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</si>
  <si>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</si>
  <si>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</si>
  <si>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</si>
  <si>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</si>
  <si>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</si>
  <si>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</si>
  <si>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</si>
  <si>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</si>
  <si>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</si>
  <si>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</si>
  <si>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</si>
  <si>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</si>
  <si>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</si>
  <si>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</si>
  <si>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</si>
  <si>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</si>
  <si>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</si>
  <si>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</si>
  <si>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</si>
  <si>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</si>
  <si>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</si>
  <si>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</si>
  <si>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</si>
  <si>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</si>
  <si>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</si>
  <si>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</si>
  <si>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</si>
  <si>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</si>
  <si>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</si>
  <si>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</si>
  <si>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</si>
  <si>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</si>
  <si>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</si>
  <si>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</si>
  <si>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</si>
  <si>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</si>
  <si>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</si>
  <si>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</si>
  <si>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</si>
  <si>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</si>
  <si>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</si>
  <si>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</si>
  <si>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</si>
  <si>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</si>
  <si>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</si>
  <si>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</si>
  <si>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</si>
  <si>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</si>
  <si>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</si>
  <si>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</si>
  <si>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</si>
  <si>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</si>
  <si>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</si>
  <si>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</si>
  <si>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</si>
  <si>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</si>
  <si>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</si>
  <si>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</si>
  <si>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</si>
  <si>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</si>
  <si>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</si>
  <si>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</si>
  <si>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</si>
  <si>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</si>
  <si>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</si>
  <si>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</si>
  <si>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</si>
  <si>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</si>
  <si>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</si>
  <si>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</si>
  <si>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</si>
  <si>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</si>
  <si>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</si>
  <si>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</si>
  <si>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</si>
  <si>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</si>
  <si>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</si>
  <si>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</si>
  <si>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</si>
  <si>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</si>
  <si>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</si>
  <si>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</si>
  <si>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</si>
  <si>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</si>
  <si>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</si>
  <si>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</si>
  <si>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</si>
  <si>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</si>
  <si>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</si>
  <si>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</si>
  <si>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</si>
  <si>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</si>
  <si>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Cryptosporidium parvum 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</si>
  <si>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</si>
  <si>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</si>
  <si>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</si>
  <si>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</si>
  <si>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</si>
  <si>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</si>
  <si>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</si>
  <si>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</si>
  <si>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</si>
  <si>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</si>
  <si>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</si>
  <si>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</si>
  <si>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</si>
  <si>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</si>
  <si>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</si>
  <si>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</si>
  <si>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</si>
  <si>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</si>
  <si>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</si>
  <si>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</si>
  <si>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</si>
  <si>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</si>
  <si>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</si>
  <si>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</si>
  <si>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</si>
  <si>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</si>
  <si>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</si>
  <si>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</si>
  <si>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</si>
  <si>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</si>
  <si>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</si>
  <si>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</si>
  <si>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</si>
  <si>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</si>
  <si>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</si>
  <si>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</si>
  <si>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</si>
  <si>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</si>
  <si>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</si>
  <si>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</si>
  <si>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</si>
  <si>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</si>
  <si>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</si>
  <si>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</si>
  <si>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</si>
  <si>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</si>
  <si>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</si>
  <si>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</si>
  <si>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</si>
  <si>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</si>
  <si>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</si>
  <si>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</si>
  <si>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</si>
  <si>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</si>
  <si>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</si>
  <si>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</si>
  <si>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</si>
  <si>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</si>
  <si>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</si>
  <si>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</si>
  <si>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</si>
  <si>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</si>
  <si>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</si>
  <si>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</si>
  <si>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</si>
  <si>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</si>
  <si>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</si>
  <si>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</si>
  <si>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</si>
  <si>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</si>
  <si>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</si>
  <si>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</si>
  <si>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</si>
  <si>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</si>
  <si>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</si>
  <si>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</si>
  <si>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</si>
  <si>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</si>
  <si>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</si>
  <si>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</si>
  <si>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</si>
  <si>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</si>
  <si>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</si>
  <si>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</si>
  <si>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</si>
  <si>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</si>
  <si>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</si>
  <si>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</si>
  <si>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</si>
  <si>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</si>
  <si>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</si>
  <si>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</si>
  <si>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</si>
  <si>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</si>
  <si>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</si>
  <si>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</si>
  <si>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</si>
  <si>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</si>
  <si>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</si>
  <si>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</si>
  <si>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</si>
  <si>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</si>
  <si>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</si>
  <si>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</si>
  <si>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</si>
  <si>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</si>
  <si>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</si>
  <si>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</si>
  <si>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</si>
  <si>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</si>
  <si>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</si>
  <si>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</si>
  <si>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</si>
  <si>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</si>
  <si>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</si>
  <si>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</si>
  <si>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</si>
  <si>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</si>
  <si>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</si>
  <si>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</si>
  <si>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</si>
  <si>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</si>
  <si>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</si>
  <si>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</si>
  <si>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</si>
  <si>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</si>
  <si>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</si>
  <si>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</si>
  <si>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</si>
  <si>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</si>
  <si>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</si>
  <si>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</si>
  <si>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</si>
  <si>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</si>
  <si>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</si>
  <si>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</si>
  <si>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</si>
  <si>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</si>
  <si>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</si>
  <si>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</si>
  <si>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</si>
  <si>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</si>
  <si>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</si>
  <si>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</si>
  <si>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</si>
  <si>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</si>
  <si>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</si>
  <si>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</si>
  <si>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</si>
  <si>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</si>
  <si>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</si>
  <si>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</si>
  <si>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</si>
  <si>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</si>
  <si>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</si>
  <si>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</si>
  <si>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</si>
  <si>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</si>
  <si>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</si>
  <si>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</si>
  <si>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</si>
  <si>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</si>
  <si>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</si>
  <si>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</si>
  <si>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</si>
  <si>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</si>
  <si>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</si>
  <si>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</si>
  <si>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</si>
  <si>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</si>
  <si>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</si>
  <si>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</si>
  <si>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</si>
  <si>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</si>
  <si>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</si>
  <si>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</si>
  <si>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</si>
  <si>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</si>
  <si>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</si>
  <si>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</si>
  <si>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</si>
  <si>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</si>
  <si>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</si>
  <si>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</si>
  <si>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</si>
  <si>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</si>
  <si>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</si>
  <si>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</si>
  <si>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</si>
  <si>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</si>
  <si>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</si>
  <si>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</si>
  <si>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</si>
  <si>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</si>
  <si>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</si>
  <si>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</si>
  <si>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</si>
  <si>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</si>
  <si>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</si>
  <si>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</si>
  <si>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</si>
  <si>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</si>
  <si>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</si>
  <si>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</si>
  <si>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</si>
  <si>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</si>
  <si>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</si>
  <si>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</si>
  <si>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</si>
  <si>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</si>
  <si>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</si>
  <si>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</si>
  <si>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</si>
  <si>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</si>
  <si>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</si>
  <si>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</si>
  <si>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</si>
  <si>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</si>
  <si>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</si>
  <si>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</si>
  <si>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</si>
  <si>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</si>
  <si>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</si>
  <si>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</si>
  <si>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</si>
  <si>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</si>
  <si>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</si>
  <si>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</si>
  <si>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</si>
  <si>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</si>
  <si>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</si>
  <si>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</si>
  <si>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</si>
  <si>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</si>
  <si>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</si>
  <si>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</si>
  <si>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</si>
  <si>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</si>
  <si>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</si>
  <si>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</si>
  <si>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</si>
  <si>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</si>
  <si>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</si>
  <si>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</si>
  <si>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</si>
  <si>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</si>
  <si>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</si>
  <si>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</si>
  <si>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</si>
  <si>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</si>
  <si>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</si>
  <si>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</si>
  <si>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</si>
  <si>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</si>
  <si>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</si>
  <si>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</si>
  <si>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</si>
  <si>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</si>
  <si>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</si>
  <si>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</si>
  <si>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</si>
  <si>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</si>
  <si>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</si>
  <si>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</si>
  <si>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</si>
  <si>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</si>
  <si>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</si>
  <si>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</si>
  <si>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</si>
  <si>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</si>
  <si>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</si>
  <si>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</si>
  <si>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</si>
  <si>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</si>
  <si>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</si>
  <si>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</si>
  <si>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</si>
  <si>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</si>
  <si>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</si>
  <si>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</si>
  <si>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</si>
  <si>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</si>
  <si>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</si>
  <si>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</si>
  <si>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</si>
  <si>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</si>
  <si>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</si>
  <si>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</si>
  <si>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</si>
  <si>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</si>
  <si>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</si>
  <si>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</si>
  <si>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</si>
  <si>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</si>
  <si>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</si>
  <si>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</si>
  <si>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</si>
  <si>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</si>
  <si>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</si>
  <si>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</si>
  <si>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</si>
  <si>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</si>
  <si>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</si>
  <si>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</si>
  <si>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</si>
  <si>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</si>
  <si>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</si>
  <si>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</si>
  <si>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</si>
  <si>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</si>
  <si>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</si>
  <si>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</si>
  <si>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</si>
  <si>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</si>
  <si>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</si>
  <si>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</si>
  <si>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</si>
  <si>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</si>
  <si>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</si>
  <si>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</si>
  <si>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</si>
  <si>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</si>
  <si>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</si>
  <si>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</si>
  <si>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</si>
  <si>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</si>
  <si>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</si>
  <si>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</si>
  <si>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</si>
  <si>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</si>
  <si>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</si>
  <si>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</si>
  <si>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</si>
  <si>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</si>
  <si>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</si>
  <si>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</si>
  <si>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</si>
  <si>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</si>
  <si>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</si>
  <si>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</si>
  <si>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</si>
  <si>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</si>
  <si>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</si>
  <si>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</si>
  <si>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</si>
  <si>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</si>
  <si>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</si>
  <si>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</si>
  <si>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</si>
  <si>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</si>
  <si>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</si>
  <si>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</si>
  <si>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</si>
  <si>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</si>
  <si>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</si>
  <si>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</si>
  <si>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</si>
  <si>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</si>
  <si>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</si>
  <si>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</si>
  <si>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</si>
  <si>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</si>
  <si>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</si>
  <si>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</si>
  <si>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</si>
  <si>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</si>
  <si>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</si>
  <si>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</si>
  <si>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</si>
  <si>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</si>
  <si>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</si>
  <si>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</si>
  <si>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</si>
  <si>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</si>
  <si>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</si>
  <si>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</si>
  <si>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</si>
  <si>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</si>
  <si>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</si>
  <si>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</si>
  <si>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</si>
  <si>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</si>
  <si>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</si>
  <si>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</si>
  <si>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</si>
  <si>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</si>
  <si>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</si>
  <si>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</si>
  <si>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</si>
  <si>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</si>
  <si>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</si>
  <si>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</si>
  <si>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</si>
  <si>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</si>
  <si>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</si>
  <si>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</si>
  <si>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</si>
  <si>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</si>
  <si>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</si>
  <si>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</si>
  <si>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</si>
  <si>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</si>
  <si>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</si>
  <si>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</si>
  <si>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</si>
  <si>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</si>
  <si>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</si>
  <si>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</si>
  <si>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</si>
  <si>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</si>
  <si>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</si>
  <si>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</si>
  <si>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</si>
  <si>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</si>
  <si>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</si>
  <si>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</si>
  <si>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</si>
  <si>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</si>
  <si>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</si>
  <si>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</si>
  <si>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</si>
  <si>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</si>
  <si>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</si>
  <si>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</si>
  <si>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</si>
  <si>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</si>
  <si>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</si>
  <si>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</si>
  <si>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</si>
  <si>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</si>
  <si>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</si>
  <si>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</si>
  <si>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</si>
  <si>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</si>
  <si>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</si>
  <si>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</si>
  <si>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</si>
  <si>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</si>
  <si>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</si>
  <si>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</si>
  <si>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</si>
  <si>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</si>
  <si>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</si>
  <si>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</si>
  <si>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</si>
  <si>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</si>
  <si>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</si>
  <si>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</si>
  <si>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</si>
  <si>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</si>
  <si>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</si>
  <si>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</si>
  <si>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</si>
  <si>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</si>
  <si>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</si>
  <si>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</si>
  <si>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</si>
  <si>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</si>
  <si>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</si>
  <si>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</si>
  <si>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</si>
  <si>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Penicillium brevicompactum virus</t>
  </si>
  <si>
    <t>Penicillium chrysogenum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</si>
  <si>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</si>
  <si>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</si>
  <si>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</si>
  <si>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</si>
  <si>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</si>
  <si>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</si>
  <si>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</si>
  <si>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</si>
  <si>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</si>
  <si>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</si>
  <si>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</si>
  <si>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</si>
  <si>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</si>
  <si>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</si>
  <si>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</si>
  <si>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</si>
  <si>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</si>
  <si>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</si>
  <si>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</si>
  <si>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</si>
  <si>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</si>
  <si>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</si>
  <si>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</si>
  <si>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</si>
  <si>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</si>
  <si>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</si>
  <si>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</si>
  <si>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</si>
  <si>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</si>
  <si>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</si>
  <si>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</si>
  <si>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</si>
  <si>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</si>
  <si>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</si>
  <si>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</si>
  <si>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</si>
  <si>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</si>
  <si>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</si>
  <si>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</si>
  <si>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</si>
  <si>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</si>
  <si>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</si>
  <si>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</si>
  <si>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</si>
  <si>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</si>
  <si>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</si>
  <si>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</si>
  <si>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</si>
  <si>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</si>
  <si>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</si>
  <si>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</si>
  <si>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</si>
  <si>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</si>
  <si>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</si>
  <si>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</si>
  <si>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</si>
  <si>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</si>
  <si>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</si>
  <si>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</si>
  <si>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</si>
  <si>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</si>
  <si>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</si>
  <si>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</si>
  <si>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</si>
  <si>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</si>
  <si>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</si>
  <si>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 B virus</t>
  </si>
  <si>
    <t>Influenza C virus</t>
  </si>
  <si>
    <t>Isavirus</t>
  </si>
  <si>
    <t>Thogotovirus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</si>
  <si>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</si>
  <si>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</si>
  <si>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</si>
  <si>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</si>
  <si>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</si>
  <si>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</si>
  <si>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</si>
  <si>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</si>
  <si>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</si>
  <si>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</si>
  <si>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</si>
  <si>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</si>
  <si>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</si>
  <si>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</si>
  <si>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</si>
  <si>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</si>
  <si>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</si>
  <si>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</si>
  <si>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</si>
  <si>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</si>
  <si>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</si>
  <si>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</si>
  <si>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</si>
  <si>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</si>
  <si>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</si>
  <si>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</si>
  <si>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</si>
  <si>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</si>
  <si>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</si>
  <si>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</si>
  <si>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</si>
  <si>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</si>
  <si>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</si>
  <si>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</si>
  <si>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</si>
  <si>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</si>
  <si>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</si>
  <si>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</si>
  <si>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</si>
  <si>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</si>
  <si>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</si>
  <si>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</si>
  <si>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</si>
  <si>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</si>
  <si>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</si>
  <si>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</si>
  <si>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</si>
  <si>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</si>
  <si>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</si>
  <si>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</si>
  <si>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</si>
  <si>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</si>
  <si>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</si>
  <si>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</si>
  <si>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</si>
  <si>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</si>
  <si>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</si>
  <si>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</si>
  <si>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</si>
  <si>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</si>
  <si>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</si>
  <si>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</si>
  <si>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</si>
  <si>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</si>
  <si>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</si>
  <si>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</si>
  <si>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</si>
  <si>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</si>
  <si>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</si>
  <si>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</si>
  <si>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</si>
  <si>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Herpesvirales</t>
  </si>
  <si>
    <t>Alloherpesviridae</t>
  </si>
  <si>
    <t>Ictalurid herpesvirus 1</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</si>
  <si>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</si>
  <si>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</si>
  <si>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</si>
  <si>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</si>
  <si>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</si>
  <si>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</si>
  <si>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</si>
  <si>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</si>
  <si>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</si>
  <si>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</si>
  <si>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</si>
  <si>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</si>
  <si>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</si>
  <si>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</si>
  <si>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</si>
  <si>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</si>
  <si>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</si>
  <si>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</si>
  <si>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</si>
  <si>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</si>
  <si>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</si>
  <si>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</si>
  <si>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</si>
  <si>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</si>
  <si>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</si>
  <si>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</si>
  <si>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</si>
  <si>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</si>
  <si>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</si>
  <si>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</si>
  <si>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</si>
  <si>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</si>
  <si>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</si>
  <si>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</si>
  <si>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</si>
  <si>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</si>
  <si>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</si>
  <si>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</si>
  <si>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</si>
  <si>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</si>
  <si>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</si>
  <si>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</si>
  <si>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</si>
  <si>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</si>
  <si>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</si>
  <si>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</si>
  <si>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</si>
  <si>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</si>
  <si>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</si>
  <si>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</si>
  <si>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</si>
  <si>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</si>
  <si>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</si>
  <si>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</si>
  <si>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</si>
  <si>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</si>
  <si>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</si>
  <si>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</si>
  <si>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</si>
  <si>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</si>
  <si>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</si>
  <si>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</si>
  <si>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</si>
  <si>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</si>
  <si>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</si>
  <si>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</si>
  <si>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</si>
  <si>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</si>
  <si>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</si>
  <si>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</si>
  <si>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</si>
  <si>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</si>
  <si>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</si>
  <si>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</si>
  <si>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</si>
  <si>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</si>
  <si>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</si>
  <si>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</si>
  <si>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</si>
  <si>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</si>
  <si>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</si>
  <si>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</si>
  <si>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</si>
  <si>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</si>
  <si>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</si>
  <si>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</si>
  <si>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</si>
  <si>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</si>
  <si>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</si>
  <si>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</si>
  <si>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</si>
  <si>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</si>
  <si>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</si>
  <si>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</si>
  <si>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</si>
  <si>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</si>
  <si>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</si>
  <si>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</si>
  <si>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</si>
  <si>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</si>
  <si>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</si>
  <si>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</si>
  <si>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</si>
  <si>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Sobemovirus</t>
  </si>
  <si>
    <t>Blueberry shoestring virus</t>
  </si>
  <si>
    <t>Cocksfoot mottle virus</t>
  </si>
  <si>
    <t>Lucerne transient streak virus</t>
  </si>
  <si>
    <t>Rice yellow mottle virus</t>
  </si>
  <si>
    <t>Ryegrass mottle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</si>
  <si>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</si>
  <si>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</si>
  <si>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</si>
  <si>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</si>
  <si>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</si>
  <si>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</si>
  <si>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</si>
  <si>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</si>
  <si>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</si>
  <si>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</si>
  <si>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</si>
  <si>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</si>
  <si>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</si>
  <si>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</si>
  <si>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</si>
  <si>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Iridovirus</t>
  </si>
  <si>
    <t>Triatoma virus</t>
  </si>
  <si>
    <t>Acute bee paralysis virus</t>
  </si>
  <si>
    <t>Kashmir bee virus</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</si>
  <si>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</si>
  <si>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</si>
  <si>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</si>
  <si>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</si>
  <si>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</si>
  <si>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</si>
  <si>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</si>
  <si>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</si>
  <si>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</si>
  <si>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</si>
  <si>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</si>
  <si>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</si>
  <si>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</si>
  <si>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</si>
  <si>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</si>
  <si>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</si>
  <si>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</si>
  <si>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</si>
  <si>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</si>
  <si>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</si>
  <si>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</si>
  <si>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</si>
  <si>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</si>
  <si>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</si>
  <si>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</si>
  <si>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</si>
  <si>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</si>
  <si>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</si>
  <si>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</si>
  <si>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</si>
  <si>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</si>
  <si>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</si>
  <si>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</si>
  <si>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</si>
  <si>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</si>
  <si>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</si>
  <si>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Porcine torovirus</t>
  </si>
  <si>
    <t>Roniviridae</t>
  </si>
  <si>
    <t>Okavirus</t>
  </si>
  <si>
    <t>Gill-associated virus</t>
  </si>
  <si>
    <t>Picornavirales</t>
  </si>
  <si>
    <t>Broad bean true mosaic virus</t>
  </si>
  <si>
    <t>Cowpea mosaic virus</t>
  </si>
  <si>
    <t>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</si>
  <si>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</si>
  <si>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</si>
  <si>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</si>
  <si>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</si>
  <si>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</si>
  <si>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</si>
  <si>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</si>
  <si>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</si>
  <si>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</si>
  <si>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</si>
  <si>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</si>
  <si>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</si>
  <si>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</si>
  <si>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</si>
  <si>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</si>
  <si>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</si>
  <si>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</si>
  <si>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</si>
  <si>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</si>
  <si>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</si>
  <si>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</si>
  <si>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</si>
  <si>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</si>
  <si>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</si>
  <si>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</si>
  <si>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</si>
  <si>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</si>
  <si>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</si>
  <si>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</si>
  <si>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</si>
  <si>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</si>
  <si>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</si>
  <si>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</si>
  <si>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</si>
  <si>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</si>
  <si>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</si>
  <si>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</si>
  <si>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</si>
  <si>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</si>
  <si>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</si>
  <si>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</si>
  <si>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</si>
  <si>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</si>
  <si>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</si>
  <si>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</si>
  <si>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</si>
  <si>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</si>
  <si>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</si>
  <si>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</si>
  <si>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</si>
  <si>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</si>
  <si>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</si>
  <si>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</si>
  <si>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</si>
  <si>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</si>
  <si>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</si>
  <si>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</si>
  <si>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</si>
  <si>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</si>
  <si>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</si>
  <si>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</si>
  <si>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</si>
  <si>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</si>
  <si>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</si>
  <si>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</si>
  <si>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</si>
  <si>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</si>
  <si>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</si>
  <si>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</si>
  <si>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</si>
  <si>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</si>
  <si>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</si>
  <si>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</si>
  <si>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</si>
  <si>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</si>
  <si>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</si>
  <si>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</si>
  <si>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</si>
  <si>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</si>
  <si>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</si>
  <si>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</si>
  <si>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</si>
  <si>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</si>
  <si>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</si>
  <si>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</si>
  <si>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</si>
  <si>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</si>
  <si>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</si>
  <si>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</si>
  <si>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</si>
  <si>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</si>
  <si>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</si>
  <si>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</si>
  <si>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</si>
  <si>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</si>
  <si>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</si>
  <si>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</si>
  <si>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</si>
  <si>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</si>
  <si>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</si>
  <si>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</si>
  <si>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</si>
  <si>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</si>
  <si>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</si>
  <si>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</si>
  <si>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</si>
  <si>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</si>
  <si>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</si>
  <si>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</si>
  <si>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</si>
  <si>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</si>
  <si>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</si>
  <si>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</si>
  <si>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</si>
  <si>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</si>
  <si>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</si>
  <si>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</si>
  <si>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</si>
  <si>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</si>
  <si>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</si>
  <si>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</si>
  <si>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</si>
  <si>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</si>
  <si>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</si>
  <si>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</si>
  <si>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</si>
  <si>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</si>
  <si>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</si>
  <si>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</si>
  <si>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</si>
  <si>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</si>
  <si>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</si>
  <si>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</si>
  <si>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</si>
  <si>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</si>
  <si>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Spumaretrovirinae</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</si>
  <si>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</si>
  <si>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</si>
  <si>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</si>
  <si>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</si>
  <si>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</si>
  <si>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</si>
  <si>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</si>
  <si>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</si>
  <si>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</si>
  <si>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</si>
  <si>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</si>
  <si>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</si>
  <si>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</si>
  <si>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</si>
  <si>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</si>
  <si>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</si>
  <si>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</si>
  <si>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</si>
  <si>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</si>
  <si>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</si>
  <si>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</si>
  <si>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</si>
  <si>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</si>
  <si>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</si>
  <si>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</si>
  <si>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</si>
  <si>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</si>
  <si>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</si>
  <si>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</si>
  <si>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</si>
  <si>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</si>
  <si>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</si>
  <si>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</si>
  <si>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</si>
  <si>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</si>
  <si>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</si>
  <si>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</si>
  <si>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</si>
  <si>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</si>
  <si>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</si>
  <si>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</si>
  <si>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</si>
  <si>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</si>
  <si>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</si>
  <si>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</si>
  <si>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</si>
  <si>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</si>
  <si>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</si>
  <si>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</si>
  <si>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</si>
  <si>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</si>
  <si>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</si>
  <si>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</si>
  <si>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</si>
  <si>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</si>
  <si>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</si>
  <si>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</si>
  <si>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</si>
  <si>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</si>
  <si>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</si>
  <si>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</si>
  <si>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</si>
  <si>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</si>
  <si>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</si>
  <si>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</si>
  <si>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</si>
  <si>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</si>
  <si>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</si>
  <si>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</si>
  <si>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</si>
  <si>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</si>
  <si>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</si>
  <si>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</si>
  <si>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</si>
  <si>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</si>
  <si>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</si>
  <si>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</si>
  <si>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</si>
  <si>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</si>
  <si>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</si>
  <si>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</si>
  <si>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Rudiviridae</t>
  </si>
  <si>
    <t>Rudivirus</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</si>
  <si>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</si>
  <si>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</si>
  <si>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</si>
  <si>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</si>
  <si>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</si>
  <si>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</si>
  <si>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</si>
  <si>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</si>
  <si>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</si>
  <si>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</si>
  <si>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</si>
  <si>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</si>
  <si>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</si>
  <si>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</si>
  <si>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</si>
  <si>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</si>
  <si>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</si>
  <si>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</si>
  <si>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</si>
  <si>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</si>
  <si>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</si>
  <si>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</si>
  <si>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</si>
  <si>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</si>
  <si>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</si>
  <si>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</si>
  <si>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</si>
  <si>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</si>
  <si>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</si>
  <si>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</si>
  <si>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</si>
  <si>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</si>
  <si>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</si>
  <si>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</si>
  <si>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Caudovirales</t>
  </si>
  <si>
    <t>Myoviridae</t>
  </si>
  <si>
    <t>Totivirus</t>
  </si>
  <si>
    <t>Saccharomyces cerevisiae virus L-A</t>
  </si>
  <si>
    <t>Ustilago maydis virus H1</t>
  </si>
  <si>
    <t>Tymoviridae</t>
  </si>
  <si>
    <t>Maculavirus</t>
  </si>
  <si>
    <t>Grapevine fleck virus</t>
  </si>
  <si>
    <t>Marafivirus</t>
  </si>
  <si>
    <t>Peduovirinae</t>
  </si>
  <si>
    <t>Spounavirinae</t>
  </si>
  <si>
    <t>Tevenvirinae</t>
  </si>
  <si>
    <t>Scutavirus</t>
  </si>
  <si>
    <t>Bundibugyo ebolavirus</t>
  </si>
  <si>
    <t>Marburg marburgvirus</t>
  </si>
  <si>
    <t>Aquaparamyxovirus</t>
  </si>
  <si>
    <t>Ferlavirus</t>
  </si>
  <si>
    <t>Ictalurivirus</t>
  </si>
  <si>
    <t>Phycodnaviridae</t>
  </si>
  <si>
    <t>Chlorovirus</t>
  </si>
  <si>
    <t>Hydra viridis Chlorella virus 1</t>
  </si>
  <si>
    <t>Paramecium bursaria Chlorella virus 1</t>
  </si>
  <si>
    <t>Paramecium bursaria Chlorella virus A1</t>
  </si>
  <si>
    <t>Paramecium bursaria Chlorella virus AL1A</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</si>
  <si>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</si>
  <si>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</si>
  <si>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</si>
  <si>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</si>
  <si>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</si>
  <si>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</si>
  <si>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</si>
  <si>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</si>
  <si>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</si>
  <si>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</si>
  <si>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</si>
  <si>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</si>
  <si>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</si>
  <si>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</si>
  <si>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</si>
  <si>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</si>
  <si>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</si>
  <si>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</si>
  <si>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</si>
  <si>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</si>
  <si>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</si>
  <si>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</si>
  <si>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</si>
  <si>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Australian bat lyssavirus</t>
  </si>
  <si>
    <t>Mardivirus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</si>
  <si>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</si>
  <si>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</si>
  <si>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</si>
  <si>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</si>
  <si>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</si>
  <si>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</si>
  <si>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</si>
  <si>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</si>
  <si>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</si>
  <si>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</si>
  <si>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</si>
  <si>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</si>
  <si>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</si>
  <si>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</si>
  <si>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</si>
  <si>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</si>
  <si>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</si>
  <si>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</si>
  <si>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</si>
  <si>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</si>
  <si>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</si>
  <si>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</si>
  <si>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Filoviridae</t>
  </si>
  <si>
    <t>Ebolavirus</t>
  </si>
  <si>
    <t>Reston ebolavirus</t>
  </si>
  <si>
    <t>Sudan ebolavirus</t>
  </si>
  <si>
    <t>Zaire ebolavirus</t>
  </si>
  <si>
    <t>Marburgvirus</t>
  </si>
  <si>
    <t>Paramyxoviridae</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</si>
  <si>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</si>
  <si>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</si>
  <si>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</si>
  <si>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</si>
  <si>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</si>
  <si>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</si>
  <si>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</si>
  <si>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</si>
  <si>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</si>
  <si>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</si>
  <si>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</si>
  <si>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</si>
  <si>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</si>
  <si>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</si>
  <si>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</si>
  <si>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</si>
  <si>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</si>
  <si>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</si>
  <si>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</si>
  <si>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</si>
  <si>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</si>
  <si>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Avian metapneumovirus</t>
  </si>
  <si>
    <t>Human metapneumovirus</t>
  </si>
  <si>
    <t>Rhabdoviridae</t>
  </si>
  <si>
    <t>Cytorhabdovirus</t>
  </si>
  <si>
    <t>Vesiculovirus</t>
  </si>
  <si>
    <t>Nidovirales</t>
  </si>
  <si>
    <t>Arteriviridae</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</si>
  <si>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</si>
  <si>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</si>
  <si>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</si>
  <si>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</si>
  <si>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</si>
  <si>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</si>
  <si>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</si>
  <si>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</si>
  <si>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</si>
  <si>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</si>
  <si>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</si>
  <si>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</si>
  <si>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</si>
  <si>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</si>
  <si>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</si>
  <si>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</si>
  <si>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</si>
  <si>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</si>
  <si>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</si>
  <si>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</si>
  <si>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</si>
  <si>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</si>
  <si>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</si>
  <si>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</si>
  <si>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</si>
  <si>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</si>
  <si>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</si>
  <si>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</si>
  <si>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</si>
  <si>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</si>
  <si>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</si>
  <si>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</si>
  <si>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</si>
  <si>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</si>
  <si>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</si>
  <si>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</si>
  <si>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</si>
  <si>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</si>
  <si>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</si>
  <si>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</si>
  <si>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</si>
  <si>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</si>
  <si>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</si>
  <si>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</si>
  <si>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</si>
  <si>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</si>
  <si>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</si>
  <si>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</si>
  <si>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</si>
  <si>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</si>
  <si>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</si>
  <si>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</si>
  <si>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</si>
  <si>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</si>
  <si>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</si>
  <si>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</si>
  <si>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</si>
  <si>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</si>
  <si>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</si>
  <si>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</si>
  <si>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</si>
  <si>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</si>
  <si>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</si>
  <si>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</si>
  <si>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</si>
  <si>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</si>
  <si>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</si>
  <si>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</si>
  <si>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</si>
  <si>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</si>
  <si>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</si>
  <si>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</si>
  <si>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</si>
  <si>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</si>
  <si>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</si>
  <si>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</si>
  <si>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</si>
  <si>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</si>
  <si>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</si>
  <si>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</si>
  <si>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</si>
  <si>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</si>
  <si>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</si>
  <si>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</si>
  <si>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</si>
  <si>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</si>
  <si>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</si>
  <si>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</si>
  <si>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</si>
  <si>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</si>
  <si>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</si>
  <si>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</si>
  <si>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</si>
  <si>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</si>
  <si>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</si>
  <si>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</si>
  <si>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</si>
  <si>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</si>
  <si>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</si>
  <si>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</si>
  <si>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</si>
  <si>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</si>
  <si>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</si>
  <si>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</si>
  <si>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</si>
  <si>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</si>
  <si>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</si>
  <si>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</si>
  <si>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</si>
  <si>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</si>
  <si>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</si>
  <si>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</si>
  <si>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</si>
  <si>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</si>
  <si>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</si>
  <si>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</si>
  <si>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</si>
  <si>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</si>
  <si>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</si>
  <si>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</si>
  <si>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</si>
  <si>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</si>
  <si>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</si>
  <si>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</si>
  <si>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</si>
  <si>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</si>
  <si>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</si>
  <si>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</si>
  <si>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</si>
  <si>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</si>
  <si>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</si>
  <si>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</si>
  <si>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</si>
  <si>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</si>
  <si>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</si>
  <si>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</si>
  <si>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</si>
  <si>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</si>
  <si>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</si>
  <si>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</si>
  <si>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</si>
  <si>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</si>
  <si>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</si>
  <si>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</si>
  <si>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</si>
  <si>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</si>
  <si>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</si>
  <si>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</si>
  <si>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</si>
  <si>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</si>
  <si>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</si>
  <si>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</si>
  <si>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</si>
  <si>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</si>
  <si>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</si>
  <si>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</si>
  <si>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</si>
  <si>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</si>
  <si>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</si>
  <si>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</si>
  <si>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</si>
  <si>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</si>
  <si>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</si>
  <si>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</si>
  <si>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</si>
  <si>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</si>
  <si>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</si>
  <si>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Rice black streaked dwarf virus</t>
  </si>
  <si>
    <t>Idnoreovirus</t>
  </si>
  <si>
    <t>Tobacco leaf curl Cuba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</si>
  <si>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</si>
  <si>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</si>
  <si>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</si>
  <si>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</si>
  <si>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</si>
  <si>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</si>
  <si>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</si>
  <si>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</si>
  <si>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</si>
  <si>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</si>
  <si>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</si>
  <si>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</si>
  <si>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</si>
  <si>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</si>
  <si>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</si>
  <si>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</si>
  <si>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</si>
  <si>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</si>
  <si>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</si>
  <si>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</si>
  <si>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</si>
  <si>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</si>
  <si>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</si>
  <si>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</si>
  <si>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</si>
  <si>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</si>
  <si>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</si>
  <si>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</si>
  <si>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</si>
  <si>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</si>
  <si>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</si>
  <si>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</si>
  <si>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</si>
  <si>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</si>
  <si>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</si>
  <si>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</si>
  <si>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</si>
  <si>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</si>
  <si>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</si>
  <si>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</si>
  <si>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</si>
  <si>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</si>
  <si>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</si>
  <si>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</si>
  <si>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</si>
  <si>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</si>
  <si>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</si>
  <si>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</si>
  <si>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</si>
  <si>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</si>
  <si>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</si>
  <si>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</si>
  <si>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</si>
  <si>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</si>
  <si>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</si>
  <si>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</si>
  <si>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</si>
  <si>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</si>
  <si>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</si>
  <si>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</si>
  <si>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</si>
  <si>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</si>
  <si>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</si>
  <si>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</si>
  <si>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</si>
  <si>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</si>
  <si>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</si>
  <si>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</si>
  <si>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</si>
  <si>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</si>
  <si>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</si>
  <si>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</si>
  <si>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</si>
  <si>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</si>
  <si>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</si>
  <si>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</si>
  <si>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</si>
  <si>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</si>
  <si>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</si>
  <si>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</si>
  <si>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</si>
  <si>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</si>
  <si>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</si>
  <si>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</si>
  <si>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</si>
  <si>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</si>
  <si>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</si>
  <si>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</si>
  <si>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</si>
  <si>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</si>
  <si>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</si>
  <si>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</si>
  <si>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</si>
  <si>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</si>
  <si>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</si>
  <si>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</si>
  <si>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</si>
  <si>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</si>
  <si>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</si>
  <si>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</si>
  <si>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</si>
  <si>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</si>
  <si>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</si>
  <si>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</si>
  <si>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</si>
  <si>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</si>
  <si>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</si>
  <si>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</si>
  <si>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</si>
  <si>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</si>
  <si>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</si>
  <si>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</si>
  <si>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</si>
  <si>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</si>
  <si>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</si>
  <si>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</si>
  <si>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</si>
  <si>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</si>
  <si>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</si>
  <si>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</si>
  <si>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</si>
  <si>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</si>
  <si>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</si>
  <si>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</si>
  <si>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</si>
  <si>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</si>
  <si>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</si>
  <si>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</si>
  <si>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</si>
  <si>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</si>
  <si>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</si>
  <si>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</si>
  <si>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</si>
  <si>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</si>
  <si>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</si>
  <si>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</si>
  <si>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</si>
  <si>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</si>
  <si>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</si>
  <si>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</si>
  <si>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</si>
  <si>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</si>
  <si>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</si>
  <si>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</si>
  <si>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</si>
  <si>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</si>
  <si>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</si>
  <si>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Zea mays Hopscotch virus</t>
  </si>
  <si>
    <t>Trichoplusia ni granulovirus</t>
  </si>
  <si>
    <t>Xestia c-nigrum granulovirus</t>
  </si>
  <si>
    <t>Deltabaculovirus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</si>
  <si>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</si>
  <si>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</si>
  <si>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</si>
  <si>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</si>
  <si>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</si>
  <si>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</si>
  <si>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</si>
  <si>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</si>
  <si>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</si>
  <si>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</si>
  <si>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</si>
  <si>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</si>
  <si>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</si>
  <si>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</si>
  <si>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</si>
  <si>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</si>
  <si>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</si>
  <si>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</si>
  <si>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</si>
  <si>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</si>
  <si>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</si>
  <si>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</si>
  <si>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</si>
  <si>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</si>
  <si>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</si>
  <si>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</si>
  <si>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</si>
  <si>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</si>
  <si>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</si>
  <si>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</si>
  <si>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</si>
  <si>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</si>
  <si>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</si>
  <si>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</si>
  <si>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</si>
  <si>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</si>
  <si>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</si>
  <si>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</si>
  <si>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</si>
  <si>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</si>
  <si>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</si>
  <si>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</si>
  <si>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</si>
  <si>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</si>
  <si>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</si>
  <si>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</si>
  <si>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</si>
  <si>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</si>
  <si>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</si>
  <si>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</si>
  <si>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</si>
  <si>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</si>
  <si>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</si>
  <si>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</si>
  <si>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</si>
  <si>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</si>
  <si>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</si>
  <si>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</si>
  <si>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</si>
  <si>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</si>
  <si>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</si>
  <si>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</si>
  <si>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</si>
  <si>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</si>
  <si>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</si>
  <si>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</si>
  <si>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</si>
  <si>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</si>
  <si>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</si>
  <si>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</si>
  <si>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</si>
  <si>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</si>
  <si>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</si>
  <si>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</si>
  <si>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</si>
  <si>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</si>
  <si>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</si>
  <si>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</si>
  <si>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</si>
  <si>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</si>
  <si>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</si>
  <si>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</si>
  <si>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</si>
  <si>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</si>
  <si>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</si>
  <si>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</si>
  <si>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</si>
  <si>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</si>
  <si>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</si>
  <si>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</si>
  <si>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</si>
  <si>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</si>
  <si>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</si>
  <si>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</si>
  <si>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</si>
  <si>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</si>
  <si>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</si>
  <si>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</si>
  <si>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</si>
  <si>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</si>
  <si>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</si>
  <si>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</si>
  <si>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</si>
  <si>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</si>
  <si>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</si>
  <si>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</si>
  <si>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</si>
  <si>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</si>
  <si>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</si>
  <si>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</si>
  <si>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</si>
  <si>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</si>
  <si>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</si>
  <si>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</si>
  <si>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</si>
  <si>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</si>
  <si>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</si>
  <si>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</si>
  <si>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</si>
  <si>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</si>
  <si>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</si>
  <si>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</si>
  <si>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</si>
  <si>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</si>
  <si>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</si>
  <si>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</si>
  <si>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</si>
  <si>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</si>
  <si>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</si>
  <si>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</si>
  <si>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</si>
  <si>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</si>
  <si>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</si>
  <si>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</si>
  <si>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</si>
  <si>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</si>
  <si>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</si>
  <si>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</si>
  <si>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</si>
  <si>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</si>
  <si>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</si>
  <si>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</si>
  <si>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</si>
  <si>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</si>
  <si>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</si>
  <si>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</si>
  <si>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</si>
  <si>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</si>
  <si>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</si>
  <si>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</si>
  <si>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</si>
  <si>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</si>
  <si>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</si>
  <si>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</si>
  <si>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</si>
  <si>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</si>
  <si>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</si>
  <si>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</si>
  <si>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</si>
  <si>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</si>
  <si>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</si>
  <si>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</si>
  <si>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</si>
  <si>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</si>
  <si>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</si>
  <si>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</si>
  <si>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</si>
  <si>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</si>
  <si>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</si>
  <si>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</si>
  <si>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</si>
  <si>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</si>
  <si>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</si>
  <si>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</si>
  <si>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</si>
  <si>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</si>
  <si>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</si>
  <si>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</si>
  <si>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</si>
  <si>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</si>
  <si>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</si>
  <si>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</si>
  <si>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</si>
  <si>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</si>
  <si>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</si>
  <si>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</si>
  <si>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</si>
  <si>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</si>
  <si>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</si>
  <si>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</si>
  <si>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</si>
  <si>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</si>
  <si>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</si>
  <si>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Starling circovirus</t>
  </si>
  <si>
    <t>Gyrovirus</t>
  </si>
  <si>
    <t>Chicken anemia virus</t>
  </si>
  <si>
    <t>Closteroviridae</t>
  </si>
  <si>
    <t>Ampelovirus</t>
  </si>
  <si>
    <t>Tobacco streak virus</t>
  </si>
  <si>
    <t>Tulare apple mosaic virus</t>
  </si>
  <si>
    <t>Oleavirus</t>
  </si>
  <si>
    <t>Olive latent virus 2</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</si>
  <si>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</si>
  <si>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</si>
  <si>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</si>
  <si>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</si>
  <si>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</si>
  <si>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</si>
  <si>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</si>
  <si>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</si>
  <si>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</si>
  <si>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</si>
  <si>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</si>
  <si>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</si>
  <si>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</si>
  <si>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</si>
  <si>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</si>
  <si>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</si>
  <si>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</si>
  <si>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</si>
  <si>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</si>
  <si>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</si>
  <si>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</si>
  <si>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</si>
  <si>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</si>
  <si>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</si>
  <si>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</si>
  <si>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</si>
  <si>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</si>
  <si>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</si>
  <si>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</si>
  <si>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</si>
  <si>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</si>
  <si>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</si>
  <si>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</si>
  <si>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</si>
  <si>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</si>
  <si>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</si>
  <si>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</si>
  <si>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</si>
  <si>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</si>
  <si>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</si>
  <si>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</si>
  <si>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</si>
  <si>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</si>
  <si>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</si>
  <si>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</si>
  <si>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</si>
  <si>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</si>
  <si>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</si>
  <si>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</si>
  <si>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</si>
  <si>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</si>
  <si>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</si>
  <si>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</si>
  <si>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</si>
  <si>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</si>
  <si>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</si>
  <si>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</si>
  <si>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</si>
  <si>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</si>
  <si>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</si>
  <si>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</si>
  <si>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</si>
  <si>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</si>
  <si>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</si>
  <si>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</si>
  <si>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</si>
  <si>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</si>
  <si>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</si>
  <si>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</si>
  <si>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</si>
  <si>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</si>
  <si>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</si>
  <si>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</si>
  <si>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</si>
  <si>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</si>
  <si>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</si>
  <si>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</si>
  <si>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</si>
  <si>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</si>
  <si>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</si>
  <si>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</si>
  <si>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</si>
  <si>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</si>
  <si>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</si>
  <si>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</si>
  <si>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</si>
  <si>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</si>
  <si>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</si>
  <si>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</si>
  <si>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</si>
  <si>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</si>
  <si>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</si>
  <si>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</si>
  <si>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</si>
  <si>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</si>
  <si>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</si>
  <si>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</si>
  <si>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</si>
  <si>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</si>
  <si>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</si>
  <si>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</si>
  <si>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</si>
  <si>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</si>
  <si>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</si>
  <si>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</si>
  <si>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</si>
  <si>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</si>
  <si>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</si>
  <si>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</si>
  <si>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</si>
  <si>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</si>
  <si>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</si>
  <si>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</si>
  <si>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</si>
  <si>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</si>
  <si>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</si>
  <si>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</si>
  <si>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</si>
  <si>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</si>
  <si>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</si>
  <si>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</si>
  <si>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</si>
  <si>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</si>
  <si>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</si>
  <si>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</si>
  <si>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</si>
  <si>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</si>
  <si>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</si>
  <si>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</si>
  <si>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</si>
  <si>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</si>
  <si>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</si>
  <si>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</si>
  <si>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</si>
  <si>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</si>
  <si>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</si>
  <si>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</si>
  <si>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</si>
  <si>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</si>
  <si>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</si>
  <si>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</si>
  <si>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</si>
  <si>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</si>
  <si>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</si>
  <si>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</si>
  <si>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</si>
  <si>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</si>
  <si>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</si>
  <si>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</si>
  <si>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</si>
  <si>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</si>
  <si>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</si>
  <si>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</si>
  <si>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</si>
  <si>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</si>
  <si>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</si>
  <si>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</si>
  <si>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</si>
  <si>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</si>
  <si>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</si>
  <si>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</si>
  <si>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</si>
  <si>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</si>
  <si>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</si>
  <si>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</si>
  <si>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</si>
  <si>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</si>
  <si>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</si>
  <si>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</si>
  <si>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</si>
  <si>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</si>
  <si>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</si>
  <si>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</si>
  <si>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</si>
  <si>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</si>
  <si>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</si>
  <si>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</si>
  <si>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</si>
  <si>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</si>
  <si>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</si>
  <si>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</si>
  <si>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</si>
  <si>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</si>
  <si>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Alligatorweed stunting virus</t>
  </si>
  <si>
    <t>Grapevine leafroll-associated virus 7</t>
  </si>
  <si>
    <t>Little cherry virus 1</t>
  </si>
  <si>
    <t>Megakepasma mosaic virus</t>
  </si>
  <si>
    <t>Olive leaf yellowing-associated virus</t>
  </si>
  <si>
    <t>Aurivirus</t>
  </si>
  <si>
    <t>Haliotid herpesvirus 1</t>
  </si>
  <si>
    <t>Ligamenvirales</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</si>
  <si>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</si>
  <si>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</si>
  <si>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</si>
  <si>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</si>
  <si>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</si>
  <si>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</si>
  <si>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</si>
  <si>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</si>
  <si>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</si>
  <si>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</si>
  <si>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</si>
  <si>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</si>
  <si>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</si>
  <si>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</si>
  <si>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</si>
  <si>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</si>
  <si>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</si>
  <si>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</si>
  <si>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</si>
  <si>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</si>
  <si>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</si>
  <si>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</si>
  <si>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</si>
  <si>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</si>
  <si>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</si>
  <si>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</si>
  <si>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</si>
  <si>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</si>
  <si>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</si>
  <si>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</si>
  <si>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</si>
  <si>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</si>
  <si>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</si>
  <si>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</si>
  <si>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</si>
  <si>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</si>
  <si>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</si>
  <si>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</si>
  <si>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</si>
  <si>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</si>
  <si>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</si>
  <si>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</si>
  <si>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</si>
  <si>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</si>
  <si>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</si>
  <si>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</si>
  <si>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</si>
  <si>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</si>
  <si>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</si>
  <si>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</si>
  <si>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</si>
  <si>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</si>
  <si>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</si>
  <si>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</si>
  <si>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</si>
  <si>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</si>
  <si>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</si>
  <si>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</si>
  <si>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</si>
  <si>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</si>
  <si>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</si>
  <si>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</si>
  <si>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</si>
  <si>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</si>
  <si>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</si>
  <si>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</si>
  <si>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</si>
  <si>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</si>
  <si>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</si>
  <si>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</si>
  <si>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</si>
  <si>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</si>
  <si>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</si>
  <si>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</si>
  <si>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</si>
  <si>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</si>
  <si>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</si>
  <si>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</si>
  <si>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</si>
  <si>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</si>
  <si>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</si>
  <si>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</si>
  <si>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</si>
  <si>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</si>
  <si>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</si>
  <si>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</si>
  <si>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</si>
  <si>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</si>
  <si>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</si>
  <si>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</si>
  <si>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</si>
  <si>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</si>
  <si>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</si>
  <si>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</si>
  <si>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</si>
  <si>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</si>
  <si>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</si>
  <si>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</si>
  <si>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</si>
  <si>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</si>
  <si>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</si>
  <si>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</si>
  <si>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</si>
  <si>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</si>
  <si>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</si>
  <si>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</si>
  <si>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</si>
  <si>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</si>
  <si>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</si>
  <si>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</si>
  <si>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</si>
  <si>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</si>
  <si>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</si>
  <si>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</si>
  <si>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</si>
  <si>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</si>
  <si>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</si>
  <si>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</si>
  <si>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</si>
  <si>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</si>
  <si>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</si>
  <si>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</si>
  <si>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</si>
  <si>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</si>
  <si>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</si>
  <si>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</si>
  <si>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</si>
  <si>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</si>
  <si>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</si>
  <si>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</si>
  <si>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</si>
  <si>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</si>
  <si>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</si>
  <si>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</si>
  <si>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</si>
  <si>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</si>
  <si>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</si>
  <si>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</si>
  <si>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</si>
  <si>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</si>
  <si>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</si>
  <si>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</si>
  <si>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</si>
  <si>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</si>
  <si>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</si>
  <si>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</si>
  <si>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</si>
  <si>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</si>
  <si>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</si>
  <si>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</si>
  <si>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</si>
  <si>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</si>
  <si>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</si>
  <si>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</si>
  <si>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</si>
  <si>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</si>
  <si>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</si>
  <si>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</si>
  <si>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</si>
  <si>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</si>
  <si>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</si>
  <si>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</si>
  <si>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</si>
  <si>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</si>
  <si>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</si>
  <si>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</si>
  <si>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</si>
  <si>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</si>
  <si>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</si>
  <si>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</si>
  <si>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</si>
  <si>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</si>
  <si>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</si>
  <si>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</si>
  <si>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</si>
  <si>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</si>
  <si>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</si>
  <si>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</si>
  <si>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</si>
  <si>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</si>
  <si>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</si>
  <si>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</si>
  <si>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</si>
  <si>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</si>
  <si>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</si>
  <si>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</si>
  <si>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</si>
  <si>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</si>
  <si>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</si>
  <si>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</si>
  <si>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</si>
  <si>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</si>
  <si>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</si>
  <si>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</si>
  <si>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</si>
  <si>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</si>
  <si>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</si>
  <si>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</si>
  <si>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</si>
  <si>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</si>
  <si>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</si>
  <si>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</si>
  <si>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</si>
  <si>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</si>
  <si>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</si>
  <si>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</si>
  <si>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</si>
  <si>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</si>
  <si>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</si>
  <si>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</si>
  <si>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</si>
  <si>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</si>
  <si>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</si>
  <si>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</si>
  <si>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</si>
  <si>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</si>
  <si>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</si>
  <si>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</si>
  <si>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</si>
  <si>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</si>
  <si>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</si>
  <si>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</si>
  <si>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</si>
  <si>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</si>
  <si>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</si>
  <si>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</si>
  <si>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</si>
  <si>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</si>
  <si>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</si>
  <si>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</si>
  <si>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</si>
  <si>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</si>
  <si>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</si>
  <si>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</si>
  <si>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</si>
  <si>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</si>
  <si>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</si>
  <si>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</si>
  <si>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</si>
  <si>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</si>
  <si>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</si>
  <si>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</si>
  <si>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</si>
  <si>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</si>
  <si>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</si>
  <si>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</si>
  <si>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</si>
  <si>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</si>
  <si>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</si>
  <si>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</si>
  <si>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</si>
  <si>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</si>
  <si>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</si>
  <si>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</si>
  <si>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</si>
  <si>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</si>
  <si>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</si>
  <si>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</si>
  <si>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</si>
  <si>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</si>
  <si>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</si>
  <si>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</si>
  <si>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</si>
  <si>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</si>
  <si>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</si>
  <si>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</si>
  <si>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</si>
  <si>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</si>
  <si>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</si>
  <si>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</si>
  <si>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</si>
  <si>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</si>
  <si>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</si>
  <si>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</si>
  <si>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</si>
  <si>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</si>
  <si>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</si>
  <si>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</si>
  <si>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</si>
  <si>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</si>
  <si>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</si>
  <si>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</si>
  <si>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</si>
  <si>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</si>
  <si>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</si>
  <si>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</si>
  <si>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</si>
  <si>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</si>
  <si>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</si>
  <si>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</si>
  <si>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</si>
  <si>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</si>
  <si>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</si>
  <si>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</si>
  <si>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</si>
  <si>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</si>
  <si>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</si>
  <si>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</si>
  <si>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</si>
  <si>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</si>
  <si>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</si>
  <si>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</si>
  <si>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</si>
  <si>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</si>
  <si>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</si>
  <si>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</si>
  <si>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</si>
  <si>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</si>
  <si>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</si>
  <si>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</si>
  <si>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</si>
  <si>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</si>
  <si>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Cotton leafroll dwarf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</si>
  <si>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</si>
  <si>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</si>
  <si>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</si>
  <si>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</si>
  <si>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</si>
  <si>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</si>
  <si>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</si>
  <si>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</si>
  <si>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</si>
  <si>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</si>
  <si>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</si>
  <si>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</si>
  <si>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</si>
  <si>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</si>
  <si>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</si>
  <si>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</si>
  <si>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</si>
  <si>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</si>
  <si>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</si>
  <si>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</si>
  <si>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</si>
  <si>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</si>
  <si>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</si>
  <si>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</si>
  <si>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</si>
  <si>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</si>
  <si>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</si>
  <si>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</si>
  <si>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</si>
  <si>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</si>
  <si>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</si>
  <si>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</si>
  <si>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</si>
  <si>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</si>
  <si>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</si>
  <si>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</si>
  <si>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</si>
  <si>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</si>
  <si>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</si>
  <si>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</si>
  <si>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</si>
  <si>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</si>
  <si>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</si>
  <si>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</si>
  <si>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</si>
  <si>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</si>
  <si>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</si>
  <si>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</si>
  <si>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</si>
  <si>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</si>
  <si>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</si>
  <si>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</si>
  <si>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</si>
  <si>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</si>
  <si>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</si>
  <si>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</si>
  <si>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</si>
  <si>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</si>
  <si>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</si>
  <si>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</si>
  <si>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</si>
  <si>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</si>
  <si>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</si>
  <si>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</si>
  <si>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Iteradensovirus</t>
  </si>
  <si>
    <t>Lepidopteran iteradensovirus 1</t>
  </si>
  <si>
    <t>Lepidopteran iteradensovirus 2</t>
  </si>
  <si>
    <t>Lepidopteran iteradensovirus 3</t>
  </si>
  <si>
    <t>Lepidopteran iteradensovirus 4</t>
  </si>
  <si>
    <t>Lepidopteran iteradensovirus 5</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</si>
  <si>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</si>
  <si>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</si>
  <si>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</si>
  <si>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</si>
  <si>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</si>
  <si>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</si>
  <si>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</si>
  <si>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</si>
  <si>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</si>
  <si>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</si>
  <si>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</si>
  <si>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</si>
  <si>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</si>
  <si>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</si>
  <si>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</si>
  <si>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</si>
  <si>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</si>
  <si>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</si>
  <si>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</si>
  <si>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</si>
  <si>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</si>
  <si>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</si>
  <si>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</si>
  <si>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</si>
  <si>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</si>
  <si>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</si>
  <si>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</si>
  <si>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</si>
  <si>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</si>
  <si>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</si>
  <si>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</si>
  <si>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</si>
  <si>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</si>
  <si>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</si>
  <si>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</si>
  <si>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</si>
  <si>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</si>
  <si>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</si>
  <si>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</si>
  <si>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</si>
  <si>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</si>
  <si>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</si>
  <si>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</si>
  <si>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</si>
  <si>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</si>
  <si>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</si>
  <si>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</si>
  <si>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</si>
  <si>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</si>
  <si>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</si>
  <si>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</si>
  <si>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</si>
  <si>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</si>
  <si>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</si>
  <si>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</si>
  <si>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</si>
  <si>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</si>
  <si>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</si>
  <si>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</si>
  <si>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</si>
  <si>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</si>
  <si>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</si>
  <si>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</si>
  <si>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</si>
  <si>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</si>
  <si>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</si>
  <si>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</si>
  <si>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</si>
  <si>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</si>
  <si>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</si>
  <si>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</si>
  <si>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</si>
  <si>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</si>
  <si>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</si>
  <si>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</si>
  <si>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</si>
  <si>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</si>
  <si>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</si>
  <si>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</si>
  <si>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</si>
  <si>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</si>
  <si>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</si>
  <si>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</si>
  <si>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</si>
  <si>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</si>
  <si>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</si>
  <si>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</si>
  <si>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</si>
  <si>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</si>
  <si>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</si>
  <si>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</si>
  <si>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</si>
  <si>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</si>
  <si>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</si>
  <si>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</si>
  <si>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</si>
  <si>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</si>
  <si>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</si>
  <si>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</si>
  <si>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</si>
  <si>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</si>
  <si>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</si>
  <si>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</si>
  <si>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</si>
  <si>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</si>
  <si>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</si>
  <si>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</si>
  <si>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</si>
  <si>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</si>
  <si>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</si>
  <si>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</si>
  <si>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</si>
  <si>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</si>
  <si>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</si>
  <si>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</si>
  <si>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</si>
  <si>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</si>
  <si>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</si>
  <si>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</si>
  <si>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</si>
  <si>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</si>
  <si>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</si>
  <si>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</si>
  <si>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</si>
  <si>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</si>
  <si>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</si>
  <si>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</si>
  <si>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</si>
  <si>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</si>
  <si>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</si>
  <si>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</si>
  <si>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</si>
  <si>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</si>
  <si>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</si>
  <si>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</si>
  <si>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</si>
  <si>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</si>
  <si>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</si>
  <si>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</si>
  <si>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</si>
  <si>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</si>
  <si>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</si>
  <si>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</si>
  <si>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</si>
  <si>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</si>
  <si>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</si>
  <si>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</si>
  <si>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</si>
  <si>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</si>
  <si>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</si>
  <si>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</si>
  <si>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</si>
  <si>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</si>
  <si>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</si>
  <si>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</si>
  <si>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</si>
  <si>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</si>
  <si>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</si>
  <si>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</si>
  <si>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</si>
  <si>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</si>
  <si>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</si>
  <si>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</si>
  <si>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</si>
  <si>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</si>
  <si>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</si>
  <si>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</si>
  <si>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</si>
  <si>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</si>
  <si>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</si>
  <si>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</si>
  <si>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</si>
  <si>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</si>
  <si>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</si>
  <si>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</si>
  <si>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</si>
  <si>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</si>
  <si>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</si>
  <si>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</si>
  <si>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</si>
  <si>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</si>
  <si>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</si>
  <si>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</si>
  <si>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</si>
  <si>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</si>
  <si>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</si>
  <si>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</si>
  <si>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</si>
  <si>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</si>
  <si>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</si>
  <si>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</si>
  <si>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Haloarcula hispanica virus PH1</t>
  </si>
  <si>
    <t>Haloarcula hispanica virus SH1</t>
  </si>
  <si>
    <t>Natrinema virus SNJ1</t>
  </si>
  <si>
    <t>dsDNA</t>
  </si>
  <si>
    <t>ssRNA(-)</t>
  </si>
  <si>
    <t>ssRNA(+)</t>
  </si>
  <si>
    <t>ssDNA</t>
  </si>
  <si>
    <t>dsRNA</t>
  </si>
  <si>
    <t>ssRNA-RT</t>
  </si>
  <si>
    <t>Mosso das Pedras virus</t>
  </si>
  <si>
    <t>Genome Composition</t>
  </si>
  <si>
    <t>Type Species?</t>
  </si>
  <si>
    <t>Taxon History URL</t>
  </si>
  <si>
    <t>Last Change</t>
  </si>
  <si>
    <t>Spiraea yellow leafspot virus</t>
  </si>
  <si>
    <t>Arabidopsis thaliana evelknievel virus</t>
  </si>
  <si>
    <t>Campylobacter virus CP220</t>
  </si>
  <si>
    <t>Campylobacter virus CPt10</t>
  </si>
  <si>
    <t>Campylobacter virus IBB35</t>
  </si>
  <si>
    <t>Campylobacter virus CP81</t>
  </si>
  <si>
    <t>Campylobacter virus CPX</t>
  </si>
  <si>
    <t>Campylobacter virus NCTC12673</t>
  </si>
  <si>
    <t>Aeromonas virus phiO18P</t>
  </si>
  <si>
    <t>Haemophilus virus HP1</t>
  </si>
  <si>
    <t>Haemophilus virus HP2</t>
  </si>
  <si>
    <t>Pasteurella virus F108</t>
  </si>
  <si>
    <t>Vibrio virus K139</t>
  </si>
  <si>
    <t>Vibrio virus Kappa</t>
  </si>
  <si>
    <t>Burkholderia virus phi52237</t>
  </si>
  <si>
    <t>Burkholderia virus phiE122</t>
  </si>
  <si>
    <t>Burkholderia virus phiE202</t>
  </si>
  <si>
    <t>Escherichia virus 186</t>
  </si>
  <si>
    <t>Escherichia virus P2</t>
  </si>
  <si>
    <t>Escherichia virus Wphi</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</si>
  <si>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</si>
  <si>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</si>
  <si>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</si>
  <si>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</si>
  <si>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</si>
  <si>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</si>
  <si>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</si>
  <si>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</si>
  <si>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</si>
  <si>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virus JD7</t>
  </si>
  <si>
    <t>Staphylococcus virus K</t>
  </si>
  <si>
    <t>Staphylococcus virus MCE2014</t>
  </si>
  <si>
    <t>Staphylococcus virus P108</t>
  </si>
  <si>
    <t>Staphylococcus virus S253</t>
  </si>
  <si>
    <t>Staphylococcus virus SA12</t>
  </si>
  <si>
    <t>Listeria virus A511</t>
  </si>
  <si>
    <t>Listeria virus P100</t>
  </si>
  <si>
    <t>Silviavirus</t>
  </si>
  <si>
    <t>Staphylococcus virus Remus</t>
  </si>
  <si>
    <t>Staphylococcus virus SA11</t>
  </si>
  <si>
    <t>Bacillus virus SPO1</t>
  </si>
  <si>
    <t>Twortvirus</t>
  </si>
  <si>
    <t>Staphylococcus virus Twort</t>
  </si>
  <si>
    <t>Lactobacillus virus LP65</t>
  </si>
  <si>
    <t>Enterobacter virus PG7</t>
  </si>
  <si>
    <t>Escherichia virus Bp7</t>
  </si>
  <si>
    <t>Escherichia virus IME08</t>
  </si>
  <si>
    <t>Escherichia virus JS10</t>
  </si>
  <si>
    <t>Escherichia virus JS98</t>
  </si>
  <si>
    <t>Escherichia virus VR5</t>
  </si>
  <si>
    <t>Escherichia virus phi1</t>
  </si>
  <si>
    <t>Escherichia virus RB49</t>
  </si>
  <si>
    <t>Escherichia virus HX01</t>
  </si>
  <si>
    <t>Escherichia virus JS09</t>
  </si>
  <si>
    <t>Escherichia virus RB69</t>
  </si>
  <si>
    <t>Shigella virus UTAM</t>
  </si>
  <si>
    <t>Salmonella virus S16</t>
  </si>
  <si>
    <t>Salmonella virus STML198</t>
  </si>
  <si>
    <t>Vibrio virus KVP40</t>
  </si>
  <si>
    <t>Vibrio virus nt1</t>
  </si>
  <si>
    <t>Vibrio virus ValKK3</t>
  </si>
  <si>
    <t>Escherichia virus VR7</t>
  </si>
  <si>
    <t>Escherichia virus VR20</t>
  </si>
  <si>
    <t>Escherichia virus VR25</t>
  </si>
  <si>
    <t>Escherichia virus VR26</t>
  </si>
  <si>
    <t>Shigella virus SP18</t>
  </si>
  <si>
    <t>Escherichia virus AR1</t>
  </si>
  <si>
    <t>Escherichia virus C40</t>
  </si>
  <si>
    <t>Escherichia virus E112</t>
  </si>
  <si>
    <t>Escherichia virus ECML134</t>
  </si>
  <si>
    <t>Escherichia virus Ime09</t>
  </si>
  <si>
    <t>Escherichia virus RB3</t>
  </si>
  <si>
    <t>Escherichia virus RB14</t>
  </si>
  <si>
    <t>Escherichia virus T4</t>
  </si>
  <si>
    <t>Shigella virus Pss1</t>
  </si>
  <si>
    <t>Shigella virus Shfl2</t>
  </si>
  <si>
    <t>Yersinia virus D1</t>
  </si>
  <si>
    <t>Yersinia virus PST</t>
  </si>
  <si>
    <t>Acinetobacter virus 133</t>
  </si>
  <si>
    <t>Aeromonas virus 65</t>
  </si>
  <si>
    <t>Aeromonas virus Aeh1</t>
  </si>
  <si>
    <t>Escherichia virus RB16</t>
  </si>
  <si>
    <t>Escherichia virus RB32</t>
  </si>
  <si>
    <t>Escherichia virus RB43</t>
  </si>
  <si>
    <t>Pseudomonas virus 42</t>
  </si>
  <si>
    <t>Vequintavirinae</t>
  </si>
  <si>
    <t>Cronobacter virus CR3</t>
  </si>
  <si>
    <t>Cronobacter virus CR8</t>
  </si>
  <si>
    <t>Cronobacter virus CR9</t>
  </si>
  <si>
    <t>Cronobacter virus GAP31</t>
  </si>
  <si>
    <t>Escherichia virus 4MG</t>
  </si>
  <si>
    <t>Salmonella virus SSE121</t>
  </si>
  <si>
    <t>Escherichia virus FFH2</t>
  </si>
  <si>
    <t>Escherichia virus FV3</t>
  </si>
  <si>
    <t>Escherichia virus JES2013</t>
  </si>
  <si>
    <t>Escherichia virus V5</t>
  </si>
  <si>
    <t>Agatevirus</t>
  </si>
  <si>
    <t>Bacillus virus Agate</t>
  </si>
  <si>
    <t>Bacillus virus Bobb</t>
  </si>
  <si>
    <t>Bacillus virus Bp8pC</t>
  </si>
  <si>
    <t>Acinetobacter virus AB1</t>
  </si>
  <si>
    <t>Acinetobacter virus AB2</t>
  </si>
  <si>
    <t>Acinetobacter virus AbC62</t>
  </si>
  <si>
    <t>Acinetobacter virus AP22</t>
  </si>
  <si>
    <t>Bacillus virus B4</t>
  </si>
  <si>
    <t>Bacillus virus Bigbertha</t>
  </si>
  <si>
    <t>Bacillus virus Riley</t>
  </si>
  <si>
    <t>Bacillus virus Spock</t>
  </si>
  <si>
    <t>Bacillus virus Troll</t>
  </si>
  <si>
    <t>Bastillevirus</t>
  </si>
  <si>
    <t>Bacillus virus Bastille</t>
  </si>
  <si>
    <t>Bacillus virus CAM003</t>
  </si>
  <si>
    <t>Bacillus virus Bc431</t>
  </si>
  <si>
    <t>Bacillus virus Bcp1</t>
  </si>
  <si>
    <t>Bacillus virus BCP82</t>
  </si>
  <si>
    <t>Bacillus virus JBP901</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</si>
  <si>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</si>
  <si>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</si>
  <si>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</si>
  <si>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</si>
  <si>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</si>
  <si>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</si>
  <si>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</si>
  <si>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</si>
  <si>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</si>
  <si>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</si>
  <si>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Mycobacterium virus I3</t>
  </si>
  <si>
    <t>Clostridium virus phiC2</t>
  </si>
  <si>
    <t>Clostridium virus phiCD27</t>
  </si>
  <si>
    <t>Clostridium virus phiCD119</t>
  </si>
  <si>
    <t>Bacillus virus CP51</t>
  </si>
  <si>
    <t>Bacillus virus JL</t>
  </si>
  <si>
    <t>Bacillus virus Shanette</t>
  </si>
  <si>
    <t>Escherichia virus CVM10</t>
  </si>
  <si>
    <t>Escherichia virus ep3</t>
  </si>
  <si>
    <t>Erwinia virus Ea214</t>
  </si>
  <si>
    <t>Escherichia virus AYO145A</t>
  </si>
  <si>
    <t>Escherichia virus EC6</t>
  </si>
  <si>
    <t>Escherichia virus JH2</t>
  </si>
  <si>
    <t>Escherichia virus VpaE1</t>
  </si>
  <si>
    <t>Escherichia virus wV8</t>
  </si>
  <si>
    <t>Salmonella virus FelixO1</t>
  </si>
  <si>
    <t>Salmonella virus Mushroom</t>
  </si>
  <si>
    <t>Salmonella virus UAB87</t>
  </si>
  <si>
    <t>Hapunavirus</t>
  </si>
  <si>
    <t>Halomonas virus HAP1</t>
  </si>
  <si>
    <t>Vibrio virus VP882</t>
  </si>
  <si>
    <t>Pseudomonas virus Ab03</t>
  </si>
  <si>
    <t>Pseudomonas virus KPP10</t>
  </si>
  <si>
    <t>Pseudomonas virus PAKP3</t>
  </si>
  <si>
    <t>Muvirus</t>
  </si>
  <si>
    <t>Escherichia virus Mu</t>
  </si>
  <si>
    <t>Myohalovirus</t>
  </si>
  <si>
    <t>Halobacterium virus phiH</t>
  </si>
  <si>
    <t>Bacillus virus Grass</t>
  </si>
  <si>
    <t>Bacillus virus NIT1</t>
  </si>
  <si>
    <t>Bacillus virus SPG24</t>
  </si>
  <si>
    <t>Aeromonas virus 43</t>
  </si>
  <si>
    <t>Escherichia virus P1</t>
  </si>
  <si>
    <t>Pakpunavirus</t>
  </si>
  <si>
    <t>Pseudomonas virus CAb1</t>
  </si>
  <si>
    <t>Pseudomonas virus CAb02</t>
  </si>
  <si>
    <t>Pseudomonas virus JG004</t>
  </si>
  <si>
    <t>Pseudomonas virus PAKP1</t>
  </si>
  <si>
    <t>Pseudomonas virus PAKP4</t>
  </si>
  <si>
    <t>Pseudomonas virus PaP1</t>
  </si>
  <si>
    <t>Pbunavirus</t>
  </si>
  <si>
    <t>Burkholderia virus BcepF1</t>
  </si>
  <si>
    <t>Pseudomonas virus 141</t>
  </si>
  <si>
    <t>Pseudomonas virus Ab28</t>
  </si>
  <si>
    <t>Pseudomonas virus DL60</t>
  </si>
  <si>
    <t>Pseudomonas virus DL68</t>
  </si>
  <si>
    <t>Pseudomonas virus F8</t>
  </si>
  <si>
    <t>Pseudomonas virus JG024</t>
  </si>
  <si>
    <t>Pseudomonas virus KPP12</t>
  </si>
  <si>
    <t>Pseudomonas virus LBL3</t>
  </si>
  <si>
    <t>Pseudomonas virus LMA2</t>
  </si>
  <si>
    <t>Pseudomonas virus PB1</t>
  </si>
  <si>
    <t>Pseudomonas virus SN</t>
  </si>
  <si>
    <t>Phikzvirus</t>
  </si>
  <si>
    <t>Pseudomonas virus EL</t>
  </si>
  <si>
    <t>Pseudomonas virus phiKZ</t>
  </si>
  <si>
    <t>Rhizobium virus RHEph4</t>
  </si>
  <si>
    <t>Aeromonas virus 25</t>
  </si>
  <si>
    <t>Aeromonas virus Aes12</t>
  </si>
  <si>
    <t>Aeromonas virus Aes508</t>
  </si>
  <si>
    <t>Aeromonas virus AS4</t>
  </si>
  <si>
    <t>Stenotrophomonas virus IME13</t>
  </si>
  <si>
    <t>Yersinia virus R1RT</t>
  </si>
  <si>
    <t>Yersinia virus TG1</t>
  </si>
  <si>
    <t>Bacillus virus G</t>
  </si>
  <si>
    <t>Bacillus virus PBS1</t>
  </si>
  <si>
    <t>Microcystis virus Ma-LMM01</t>
  </si>
  <si>
    <t>Vhmlvirus</t>
  </si>
  <si>
    <t>Vibrio virus MAR</t>
  </si>
  <si>
    <t>Vibrio virus VHML</t>
  </si>
  <si>
    <t>Vibrio virus VP585</t>
  </si>
  <si>
    <t>Dickeya virus Limestone</t>
  </si>
  <si>
    <t>Escherichia virus CBA120</t>
  </si>
  <si>
    <t>Escherichia virus ECML4</t>
  </si>
  <si>
    <t>Escherichia virus PhaxI</t>
  </si>
  <si>
    <t>Salmonella virus Det7</t>
  </si>
  <si>
    <t>Salmonella virus Marshall</t>
  </si>
  <si>
    <t>Salmonella virus Maynard</t>
  </si>
  <si>
    <t>Salmonella virus SFP10</t>
  </si>
  <si>
    <t>Salmonella virus SH19</t>
  </si>
  <si>
    <t>Salmonella virus SJ2</t>
  </si>
  <si>
    <t>Salmonella virus SJ3</t>
  </si>
  <si>
    <t>Salmonella virus STML131</t>
  </si>
  <si>
    <t>Salmonella virus ViI</t>
  </si>
  <si>
    <t>Shigella virus AG3</t>
  </si>
  <si>
    <t>Wphvirus</t>
  </si>
  <si>
    <t>Bacillus virus WPh</t>
  </si>
  <si>
    <t>Klebsiella virus F19</t>
  </si>
  <si>
    <t>Klebsiella virus K244</t>
  </si>
  <si>
    <t>Klebsiella virus KP34</t>
  </si>
  <si>
    <t>Klebsiella virus SU503</t>
  </si>
  <si>
    <t>Klebsiella virus SU552A</t>
  </si>
  <si>
    <t>Phikmvvirus</t>
  </si>
  <si>
    <t>Pseudomonas virus LKA1</t>
  </si>
  <si>
    <t>Pseudomonas virus phiKMV</t>
  </si>
  <si>
    <t>Erwinia virus Era103</t>
  </si>
  <si>
    <t>Escherichia virus K1-5</t>
  </si>
  <si>
    <t>Escherichia virus K1E</t>
  </si>
  <si>
    <t>Salmonella virus SP6</t>
  </si>
  <si>
    <t>Escherichia virus T7</t>
  </si>
  <si>
    <t>Kluyvera virus Kvp1</t>
  </si>
  <si>
    <t>Pseudomonas virus gh1</t>
  </si>
  <si>
    <t>Prochlorococcus virus PSSP7</t>
  </si>
  <si>
    <t>Synechococcus virus P60</t>
  </si>
  <si>
    <t>Synechococcus virus Syn5</t>
  </si>
  <si>
    <t>Staphylococcus virus 44AHJD</t>
  </si>
  <si>
    <t>Streptococcus virus C1</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</si>
  <si>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</si>
  <si>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</si>
  <si>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</si>
  <si>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</si>
  <si>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</si>
  <si>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</si>
  <si>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</si>
  <si>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</si>
  <si>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</si>
  <si>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</si>
  <si>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</si>
  <si>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Bordetella virus BPP1</t>
  </si>
  <si>
    <t>Burkholderia virus BcepC6B</t>
  </si>
  <si>
    <t>Cellulophaga virus Cba41</t>
  </si>
  <si>
    <t>Cellulophaga virus Cba172</t>
  </si>
  <si>
    <t>Escherichia virus phiV10</t>
  </si>
  <si>
    <t>Salmonella virus Epsilon15</t>
  </si>
  <si>
    <t>Pseudomonas virus F116</t>
  </si>
  <si>
    <t>Pseudomonas virus H66</t>
  </si>
  <si>
    <t>Mycobacterium virus Ff47</t>
  </si>
  <si>
    <t>Mycobacterium virus Muddy</t>
  </si>
  <si>
    <t>Escherichia virus APEC5</t>
  </si>
  <si>
    <t>Escherichia virus APEC7</t>
  </si>
  <si>
    <t>Escherichia virus Bp4</t>
  </si>
  <si>
    <t>Escherichia virus EC1UPM</t>
  </si>
  <si>
    <t>Escherichia virus ECBP1</t>
  </si>
  <si>
    <t>Escherichia virus G7C</t>
  </si>
  <si>
    <t>Escherichia virus IME11</t>
  </si>
  <si>
    <t>Shigella virus Sb1</t>
  </si>
  <si>
    <t>Pseudomonas virus Ab09</t>
  </si>
  <si>
    <t>Pseudomonas virus LIT1</t>
  </si>
  <si>
    <t>Pseudomonas virus PA26</t>
  </si>
  <si>
    <t>Pseudomonas virus Ab22</t>
  </si>
  <si>
    <t>Pseudomonas virus CHU</t>
  </si>
  <si>
    <t>Pseudomonas virus LUZ24</t>
  </si>
  <si>
    <t>Pseudomonas virus PAA2</t>
  </si>
  <si>
    <t>Pseudomonas virus PaP3</t>
  </si>
  <si>
    <t>Pseudomonas virus PaP4</t>
  </si>
  <si>
    <t>Pseudomonas virus TL</t>
  </si>
  <si>
    <t>Escherichia virus N4</t>
  </si>
  <si>
    <t>Nonanavirus</t>
  </si>
  <si>
    <t>Salmonella virus 9NA</t>
  </si>
  <si>
    <t>Salmonella virus SP069</t>
  </si>
  <si>
    <t>Salmonella virus P22</t>
  </si>
  <si>
    <t>Salmonella virus ST64T</t>
  </si>
  <si>
    <t>Shigella virus Sf6</t>
  </si>
  <si>
    <t>Pagevirus</t>
  </si>
  <si>
    <t>Bacillus virus Page</t>
  </si>
  <si>
    <t>Bacillus virus Palmer</t>
  </si>
  <si>
    <t>Bacillus virus Pascal</t>
  </si>
  <si>
    <t>Bacillus virus Pony</t>
  </si>
  <si>
    <t>Bacillus virus Pookie</t>
  </si>
  <si>
    <t>Escherichia virus ECB2</t>
  </si>
  <si>
    <t>Escherichia virus NJ01</t>
  </si>
  <si>
    <t>Escherichia virus phiEco32</t>
  </si>
  <si>
    <t>Escherichia virus Septima11</t>
  </si>
  <si>
    <t>Escherichia virus SU10</t>
  </si>
  <si>
    <t>Hamiltonella virus APSE1</t>
  </si>
  <si>
    <t>Lactococcus virus KSY1</t>
  </si>
  <si>
    <t>Phormidium virus WMP3</t>
  </si>
  <si>
    <t>Phormidium virus WMP4</t>
  </si>
  <si>
    <t>Pseudomonas virus 119X</t>
  </si>
  <si>
    <t>Roseobacter virus SIO1</t>
  </si>
  <si>
    <t>Vibrio virus VpV262</t>
  </si>
  <si>
    <t>Vibrio virus VC8</t>
  </si>
  <si>
    <t>Vibrio virus VP2</t>
  </si>
  <si>
    <t>Vibrio virus VP5</t>
  </si>
  <si>
    <t>Guernseyvirinae</t>
  </si>
  <si>
    <t>Jerseyvirus</t>
  </si>
  <si>
    <t>Salmonella virus AG11</t>
  </si>
  <si>
    <t>Salmonella virus Ent1</t>
  </si>
  <si>
    <t>Salmonella virus Jersey</t>
  </si>
  <si>
    <t>Salmonella virus SE2</t>
  </si>
  <si>
    <t>Salmonella virus SETP3</t>
  </si>
  <si>
    <t>Salmonella virus SETP7</t>
  </si>
  <si>
    <t>Salmonella virus SETP13</t>
  </si>
  <si>
    <t>Salmonella virus SP101</t>
  </si>
  <si>
    <t>Salmonella virus SS3e</t>
  </si>
  <si>
    <t>Salmonella virus wksl3</t>
  </si>
  <si>
    <t>Escherichia virus K1G</t>
  </si>
  <si>
    <t>Escherichia virus K1H</t>
  </si>
  <si>
    <t>Escherichia virus K1ind1</t>
  </si>
  <si>
    <t>Escherichia virus K1ind2</t>
  </si>
  <si>
    <t>Salmonella virus SP31</t>
  </si>
  <si>
    <t>Tunavirinae</t>
  </si>
  <si>
    <t>Enterobacter virus F20</t>
  </si>
  <si>
    <t>Klebsiella virus 1513</t>
  </si>
  <si>
    <t>Klebsiella virus KP36</t>
  </si>
  <si>
    <t>Escherichia virus AHP42</t>
  </si>
  <si>
    <t>Escherichia virus AHS24</t>
  </si>
  <si>
    <t>Escherichia virus AKS96</t>
  </si>
  <si>
    <t>Escherichia virus E41c</t>
  </si>
  <si>
    <t>Escherichia virus Eb49</t>
  </si>
  <si>
    <t>Escherichia virus Jk06</t>
  </si>
  <si>
    <t>Escherichia virus KP26</t>
  </si>
  <si>
    <t>Escherichia virus Rogue1</t>
  </si>
  <si>
    <t>Rtpvirus</t>
  </si>
  <si>
    <t>Escherichia virus ACGM12</t>
  </si>
  <si>
    <t>Escherichia virus Rtp</t>
  </si>
  <si>
    <t>Escherichia virus ADB2</t>
  </si>
  <si>
    <t>Escherichia virus T1</t>
  </si>
  <si>
    <t>Shigella virus PSf2</t>
  </si>
  <si>
    <t>Shigella virus Shfl1</t>
  </si>
  <si>
    <t>Tlsvirus</t>
  </si>
  <si>
    <t>Citrobacter virus Stevie</t>
  </si>
  <si>
    <t>Escherichia virus TLS</t>
  </si>
  <si>
    <t>Salmonella virus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</si>
  <si>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</si>
  <si>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</si>
  <si>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</si>
  <si>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</si>
  <si>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</si>
  <si>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</si>
  <si>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</si>
  <si>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</si>
  <si>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</si>
  <si>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</si>
  <si>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</si>
  <si>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</si>
  <si>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</si>
  <si>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</si>
  <si>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</si>
  <si>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</si>
  <si>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</si>
  <si>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</si>
  <si>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</si>
  <si>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</si>
  <si>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</si>
  <si>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</si>
  <si>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</si>
  <si>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</si>
  <si>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</si>
  <si>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Rumpelstiltskin</t>
  </si>
  <si>
    <t>Lactococcus virus bIL67</t>
  </si>
  <si>
    <t>Lactococcus virus c2</t>
  </si>
  <si>
    <t>Lactobacillus virus c5</t>
  </si>
  <si>
    <t>Lactobacillus virus LLKu</t>
  </si>
  <si>
    <t>Cellulophaga virus Cba121</t>
  </si>
  <si>
    <t>Cellulophaga virus Cba171</t>
  </si>
  <si>
    <t>Cellulophaga virus Cba181</t>
  </si>
  <si>
    <t>Cbastvirus</t>
  </si>
  <si>
    <t>Cellulophaga virus ST</t>
  </si>
  <si>
    <t>Cecivirus</t>
  </si>
  <si>
    <t>Bacillus virus 250</t>
  </si>
  <si>
    <t>Bacillus virus IEBH</t>
  </si>
  <si>
    <t>Charlievirus</t>
  </si>
  <si>
    <t>Mycobacterium virus Charlie</t>
  </si>
  <si>
    <t>Mycobacterium virus Redi</t>
  </si>
  <si>
    <t>Mycobacterium virus Ardmore</t>
  </si>
  <si>
    <t>Mycobacterium virus Avani</t>
  </si>
  <si>
    <t>Mycobacterium virus Boomer</t>
  </si>
  <si>
    <t>Mycobacterium virus Che8</t>
  </si>
  <si>
    <t>Mycobacterium virus Che9d</t>
  </si>
  <si>
    <t>Mycobacterium virus Dlane</t>
  </si>
  <si>
    <t>Mycobacterium virus Dorothy</t>
  </si>
  <si>
    <t>Mycobacterium virus Drago</t>
  </si>
  <si>
    <t>Mycobacterium virus Fruitloop</t>
  </si>
  <si>
    <t>Mycobacterium virus Ibhubesi</t>
  </si>
  <si>
    <t>Mycobacterium virus Llij</t>
  </si>
  <si>
    <t>Mycobacterium virus Mozy</t>
  </si>
  <si>
    <t>Mycobacterium virus Mutaforma13</t>
  </si>
  <si>
    <t>Mycobacterium virus Pacc40</t>
  </si>
  <si>
    <t>Mycobacterium virus PMC</t>
  </si>
  <si>
    <t>Mycobacterium virus Ramsey</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</si>
  <si>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</si>
  <si>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</si>
  <si>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</si>
  <si>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</si>
  <si>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</si>
  <si>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</si>
  <si>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</si>
  <si>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</si>
  <si>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</si>
  <si>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</si>
  <si>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</si>
  <si>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</si>
  <si>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</si>
  <si>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</si>
  <si>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</si>
  <si>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</si>
  <si>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</si>
  <si>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</si>
  <si>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</si>
  <si>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</si>
  <si>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</si>
  <si>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</si>
  <si>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</si>
  <si>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</si>
  <si>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</si>
  <si>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</si>
  <si>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</si>
  <si>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</si>
  <si>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</si>
  <si>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Pseudomonas virus D3112</t>
  </si>
  <si>
    <t>Pseudomonas virus DMS3</t>
  </si>
  <si>
    <t>Pseudomonas virus FHA0480</t>
  </si>
  <si>
    <t>Pseudomonas virus LPB1</t>
  </si>
  <si>
    <t>Pseudomonas virus MP22</t>
  </si>
  <si>
    <t>Pseudomonas virus MP29</t>
  </si>
  <si>
    <t>Pseudomonas virus MP38</t>
  </si>
  <si>
    <t>Pseudomonas virus PA1KOR</t>
  </si>
  <si>
    <t>Pseudomonas virus D3</t>
  </si>
  <si>
    <t>Pseudomonas virus PMG1</t>
  </si>
  <si>
    <t>Burkholderia virus phi6442</t>
  </si>
  <si>
    <t>Burkholderia virus phi1026b</t>
  </si>
  <si>
    <t>Burkholderia virus phiE125</t>
  </si>
  <si>
    <t>Escherichia virus HK578</t>
  </si>
  <si>
    <t>Escherichia virus JL1</t>
  </si>
  <si>
    <t>Escherichia virus SSL2009a</t>
  </si>
  <si>
    <t>Shigella virus EP23</t>
  </si>
  <si>
    <t>Sodalis virus SO1</t>
  </si>
  <si>
    <t>Mycobacterium virus Alma</t>
  </si>
  <si>
    <t>Mycobacterium virus Arturo</t>
  </si>
  <si>
    <t>Mycobacterium virus Astro</t>
  </si>
  <si>
    <t>Mycobacterium virus Backyardigan</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</si>
  <si>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</si>
  <si>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</si>
  <si>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</si>
  <si>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</si>
  <si>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</si>
  <si>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</si>
  <si>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</si>
  <si>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</si>
  <si>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</si>
  <si>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</si>
  <si>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</si>
  <si>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</si>
  <si>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</si>
  <si>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</si>
  <si>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</si>
  <si>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</si>
  <si>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</si>
  <si>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</si>
  <si>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</si>
  <si>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</si>
  <si>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</si>
  <si>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</si>
  <si>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</si>
  <si>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</si>
  <si>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</si>
  <si>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</si>
  <si>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</si>
  <si>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</si>
  <si>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</si>
  <si>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</si>
  <si>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</si>
  <si>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</si>
  <si>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</si>
  <si>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</si>
  <si>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</si>
  <si>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</si>
  <si>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</si>
  <si>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</si>
  <si>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</si>
  <si>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</si>
  <si>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</si>
  <si>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</si>
  <si>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</si>
  <si>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</si>
  <si>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</si>
  <si>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</si>
  <si>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</si>
  <si>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</si>
  <si>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</si>
  <si>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</si>
  <si>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</si>
  <si>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</si>
  <si>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</si>
  <si>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</si>
  <si>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</si>
  <si>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</si>
  <si>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</si>
  <si>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</si>
  <si>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</si>
  <si>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</si>
  <si>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</si>
  <si>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</si>
  <si>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</si>
  <si>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Escherichia virus N15</t>
  </si>
  <si>
    <t>Nonagvirus</t>
  </si>
  <si>
    <t>Escherichia virus 9g</t>
  </si>
  <si>
    <t>Escherichia virus JenK1</t>
  </si>
  <si>
    <t>Escherichia virus JenP1</t>
  </si>
  <si>
    <t>Escherichia virus JenP2</t>
  </si>
  <si>
    <t>Omegavirus</t>
  </si>
  <si>
    <t>Mycobacterium virus Baka</t>
  </si>
  <si>
    <t>Mycobacterium virus Courthouse</t>
  </si>
  <si>
    <t>Mycobacterium virus Littlee</t>
  </si>
  <si>
    <t>Mycobacterium virus Omega</t>
  </si>
  <si>
    <t>Mycobacterium virus Optimus</t>
  </si>
  <si>
    <t>Mycobacterium virus Thibault</t>
  </si>
  <si>
    <t>Thermus virus P23-45</t>
  </si>
  <si>
    <t>Thermus virus P74-26</t>
  </si>
  <si>
    <t>Listeria virus LP26</t>
  </si>
  <si>
    <t>Listeria virus LP37</t>
  </si>
  <si>
    <t>Listeria virus LP110</t>
  </si>
  <si>
    <t>Listeria virus LP114</t>
  </si>
  <si>
    <t>Listeria virus P70</t>
  </si>
  <si>
    <t>Pbi1virus</t>
  </si>
  <si>
    <t>Mycobacterium virus PBI1</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</si>
  <si>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</si>
  <si>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</si>
  <si>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</si>
  <si>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</si>
  <si>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</si>
  <si>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</si>
  <si>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</si>
  <si>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</si>
  <si>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</si>
  <si>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</si>
  <si>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</si>
  <si>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</si>
  <si>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Streptomyces virus phiBT1</t>
  </si>
  <si>
    <t>Streptomyces virus phiC31</t>
  </si>
  <si>
    <t>Streptomyces virus TG1</t>
  </si>
  <si>
    <t>Caulobacter virus phiCbK</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</si>
  <si>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</si>
  <si>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</si>
  <si>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</si>
  <si>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</si>
  <si>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</si>
  <si>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</si>
  <si>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</si>
  <si>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</si>
  <si>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</si>
  <si>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</si>
  <si>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</si>
  <si>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</si>
  <si>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</si>
  <si>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</si>
  <si>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</si>
  <si>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</si>
  <si>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</si>
  <si>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</si>
  <si>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</si>
  <si>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</si>
  <si>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</si>
  <si>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</si>
  <si>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</si>
  <si>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</si>
  <si>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</si>
  <si>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</si>
  <si>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</si>
  <si>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</si>
  <si>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</si>
  <si>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</si>
  <si>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</si>
  <si>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</si>
  <si>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</si>
  <si>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</si>
  <si>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</si>
  <si>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</si>
  <si>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</si>
  <si>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Lactobacillus virus ATCC8014</t>
  </si>
  <si>
    <t>Lactobacillus virus phiJL1</t>
  </si>
  <si>
    <t>Pediococcus virus cIP1</t>
  </si>
  <si>
    <t>Psavirus</t>
  </si>
  <si>
    <t>Listeria virus LP302</t>
  </si>
  <si>
    <t>Listeria virus PSA</t>
  </si>
  <si>
    <t>Psimunavirus</t>
  </si>
  <si>
    <t>Reyvirus</t>
  </si>
  <si>
    <t>Mycobacterium virus Bongo</t>
  </si>
  <si>
    <t>Mycobacterium virus Rey</t>
  </si>
  <si>
    <t>Enterococcus virus BC611</t>
  </si>
  <si>
    <t>Enterococcus virus IMEEF1</t>
  </si>
  <si>
    <t>Enterococcus virus SAP6</t>
  </si>
  <si>
    <t>Enterococcus virus VD13</t>
  </si>
  <si>
    <t>Streptococcus virus SPQS1</t>
  </si>
  <si>
    <t>Burkholderia virus KL1</t>
  </si>
  <si>
    <t>Pseudomonas virus 73</t>
  </si>
  <si>
    <t>Pseudomonas virus Ab26</t>
  </si>
  <si>
    <t>Pseudomonas virus Kakheti25</t>
  </si>
  <si>
    <t>Seuratvirus</t>
  </si>
  <si>
    <t>Escherichia virus Cajan</t>
  </si>
  <si>
    <t>Escherichia virus Seurat</t>
  </si>
  <si>
    <t>Sextaecvirus</t>
  </si>
  <si>
    <t>Staphylococcus virus SEP9</t>
  </si>
  <si>
    <t>Staphylococcus virus Sextaec</t>
  </si>
  <si>
    <t>Streptococcus virus 858</t>
  </si>
  <si>
    <t>Streptococcus virus 2972</t>
  </si>
  <si>
    <t>Streptococcus virus ALQ132</t>
  </si>
  <si>
    <t>Streptococcus virus O1205</t>
  </si>
  <si>
    <t>Streptococcus virus Sfi11</t>
  </si>
  <si>
    <t>Streptococcus virus 7201</t>
  </si>
  <si>
    <t>Streptococcus virus DT1</t>
  </si>
  <si>
    <t>Streptococcus virus phiAbc2</t>
  </si>
  <si>
    <t>Streptococcus virus Sfi19</t>
  </si>
  <si>
    <t>Streptococcus virus Sfi21</t>
  </si>
  <si>
    <t>Sitaravirus</t>
  </si>
  <si>
    <t>Paenibacillus virus Diva</t>
  </si>
  <si>
    <t>Paenibacillus virus Hb10c2</t>
  </si>
  <si>
    <t>Paenibacillus virus Rani</t>
  </si>
  <si>
    <t>Paenibacillus virus Shelly</t>
  </si>
  <si>
    <t>Paenibacillus virus Sitara</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</si>
  <si>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</si>
  <si>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</si>
  <si>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</si>
  <si>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</si>
  <si>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</si>
  <si>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</si>
  <si>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</si>
  <si>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</si>
  <si>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</si>
  <si>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</si>
  <si>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</si>
  <si>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</si>
  <si>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</si>
  <si>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</si>
  <si>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</si>
  <si>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</si>
  <si>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</si>
  <si>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</si>
  <si>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</si>
  <si>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virus Stahl</t>
  </si>
  <si>
    <t>Bacillus virus Staley</t>
  </si>
  <si>
    <t>Bacillus virus Stills</t>
  </si>
  <si>
    <t>Spbetavirus</t>
  </si>
  <si>
    <t>Bacillus virus SPbeta</t>
  </si>
  <si>
    <t>Vibrio virus MAR10</t>
  </si>
  <si>
    <t>Vibrio virus SSP002</t>
  </si>
  <si>
    <t>Escherichia virus AKFV33</t>
  </si>
  <si>
    <t>Escherichia virus BF23</t>
  </si>
  <si>
    <t>Escherichia virus DT57C</t>
  </si>
  <si>
    <t>Escherichia virus EPS7</t>
  </si>
  <si>
    <t>Escherichia virus FFH1</t>
  </si>
  <si>
    <t>Escherichia virus H8</t>
  </si>
  <si>
    <t>Escherichia virus T5</t>
  </si>
  <si>
    <t>Salmonella virus Shivani</t>
  </si>
  <si>
    <t>Salmonella virus SPC35</t>
  </si>
  <si>
    <t>Salmonella virus Stitch</t>
  </si>
  <si>
    <t>Mycobacterium virus Anaya</t>
  </si>
  <si>
    <t>Mycobacterium virus Angelica</t>
  </si>
  <si>
    <t>Mycobacterium virus Larva</t>
  </si>
  <si>
    <t>Mycobacterium virus Pixie</t>
  </si>
  <si>
    <t>Mycobacterium virus TM4</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</si>
  <si>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</si>
  <si>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</si>
  <si>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</si>
  <si>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</si>
  <si>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</si>
  <si>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</si>
  <si>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</si>
  <si>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</si>
  <si>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</si>
  <si>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</si>
  <si>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</si>
  <si>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Xanthomonas virus CP1</t>
  </si>
  <si>
    <t>Xanthomonas virus OP1</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</si>
  <si>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</si>
  <si>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</si>
  <si>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</si>
  <si>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</si>
  <si>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</si>
  <si>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</si>
  <si>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</si>
  <si>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</si>
  <si>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</si>
  <si>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</si>
  <si>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</si>
  <si>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</si>
  <si>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</si>
  <si>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</si>
  <si>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</si>
  <si>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</si>
  <si>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</si>
  <si>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</si>
  <si>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</si>
  <si>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</si>
  <si>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</si>
  <si>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</si>
  <si>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</si>
  <si>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</si>
  <si>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</si>
  <si>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</si>
  <si>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</si>
  <si>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</si>
  <si>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</si>
  <si>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</si>
  <si>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</si>
  <si>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</si>
  <si>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</si>
  <si>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</si>
  <si>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</si>
  <si>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</si>
  <si>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</si>
  <si>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</si>
  <si>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</si>
  <si>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</si>
  <si>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</si>
  <si>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</si>
  <si>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</si>
  <si>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</si>
  <si>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</si>
  <si>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</si>
  <si>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</si>
  <si>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</si>
  <si>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</si>
  <si>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</si>
  <si>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</si>
  <si>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</si>
  <si>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</si>
  <si>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</si>
  <si>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</si>
  <si>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</si>
  <si>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</si>
  <si>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</si>
  <si>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</si>
  <si>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</si>
  <si>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</si>
  <si>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</si>
  <si>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</si>
  <si>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</si>
  <si>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</si>
  <si>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</si>
  <si>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</si>
  <si>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</si>
  <si>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</si>
  <si>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</si>
  <si>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</si>
  <si>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</si>
  <si>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</si>
  <si>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</si>
  <si>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</si>
  <si>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</si>
  <si>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</si>
  <si>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</si>
  <si>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</si>
  <si>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</si>
  <si>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</si>
  <si>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</si>
  <si>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</si>
  <si>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</si>
  <si>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</si>
  <si>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</si>
  <si>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</si>
  <si>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</si>
  <si>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</si>
  <si>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</si>
  <si>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</si>
  <si>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</si>
  <si>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</si>
  <si>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</si>
  <si>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Mymonaviridae</t>
  </si>
  <si>
    <t>Sclerotimonavirus</t>
  </si>
  <si>
    <t>Sclerotinia sclerotimonavirus</t>
  </si>
  <si>
    <t>Socyvirus</t>
  </si>
  <si>
    <t>Soybean cyst nematode socyvirus</t>
  </si>
  <si>
    <t>Cedar henipavirus</t>
  </si>
  <si>
    <t>Ghanaian bat henipavirus</t>
  </si>
  <si>
    <t>Mojiang henipavirus</t>
  </si>
  <si>
    <t>Feline morbillivirus</t>
  </si>
  <si>
    <t>Pneumoviridae</t>
  </si>
  <si>
    <t>Orthopneumovirus</t>
  </si>
  <si>
    <t>Alfalfa dwarf cytorhabdovirus</t>
  </si>
  <si>
    <t>Barley yellow striate mosaic cytorhabdovirus</t>
  </si>
  <si>
    <t>Broccoli necrotic yellows cytorhabdovirus</t>
  </si>
  <si>
    <t>Festuca leaf streak cytorhabdovirus</t>
  </si>
  <si>
    <t>Lettuce necrotic yellows cytorhabdovirus</t>
  </si>
  <si>
    <t>Lettuce yellow mottle cytorhabdovirus</t>
  </si>
  <si>
    <t>Northern cereal mosaic cytorhabdovirus</t>
  </si>
  <si>
    <t>Sonchus cytorhabdovirus 1</t>
  </si>
  <si>
    <t>Strawberry crinkle cytorhabdovirus</t>
  </si>
  <si>
    <t>Wheat American striate mosaic cytorhabdovirus</t>
  </si>
  <si>
    <t>Dichorhavirus</t>
  </si>
  <si>
    <t>Coffee ringspot dichorhavirus</t>
  </si>
  <si>
    <t>Orchid fleck dichorhavirus</t>
  </si>
  <si>
    <t>Adelaide River ephemerovirus</t>
  </si>
  <si>
    <t>Berrimah ephemerovirus</t>
  </si>
  <si>
    <t>Bovine fever ephemerovirus</t>
  </si>
  <si>
    <t>Obodhiang ephemerovirus</t>
  </si>
  <si>
    <t>Aravan lyssavirus</t>
  </si>
  <si>
    <t>Duvenhage lyssavirus</t>
  </si>
  <si>
    <t>European bat 1 lyssavirus</t>
  </si>
  <si>
    <t>European bat 2 lyssavirus</t>
  </si>
  <si>
    <t>Irkut lyssavirus</t>
  </si>
  <si>
    <t>Khujand lyssavirus</t>
  </si>
  <si>
    <t>Lagos bat lyssavirus</t>
  </si>
  <si>
    <t>Mokola lyssavirus</t>
  </si>
  <si>
    <t>Rabies lyssavirus</t>
  </si>
  <si>
    <t>Shimoni bat lyssavirus</t>
  </si>
  <si>
    <t>West Caucasian bat lyssavirus</t>
  </si>
  <si>
    <t>Hirame novirhabdovirus</t>
  </si>
  <si>
    <t>Snakehead novirhabdovirus</t>
  </si>
  <si>
    <t>Anguillid perhabdovirus</t>
  </si>
  <si>
    <t>Perch perhabdovirus</t>
  </si>
  <si>
    <t>Sea trout perhabdovirus</t>
  </si>
  <si>
    <t>Carp sprivivirus</t>
  </si>
  <si>
    <t>Pike fry sprivivirus</t>
  </si>
  <si>
    <t>Coastal Plains tibrovirus</t>
  </si>
  <si>
    <t>Tibrogargan tibrovirus</t>
  </si>
  <si>
    <t>Durham tupavirus</t>
  </si>
  <si>
    <t>Tupaia tupavirus</t>
  </si>
  <si>
    <t>Lettuce big-vein associated varicosavirus</t>
  </si>
  <si>
    <t>Alagoas vesiculovirus</t>
  </si>
  <si>
    <t>Carajas vesiculovirus</t>
  </si>
  <si>
    <t>Chandipura vesiculovirus</t>
  </si>
  <si>
    <t>Cocal vesiculovirus</t>
  </si>
  <si>
    <t>Indiana vesiculovirus</t>
  </si>
  <si>
    <t>Isfahan vesiculovirus</t>
  </si>
  <si>
    <t>Maraba vesiculovirus</t>
  </si>
  <si>
    <t>New Jersey vesiculovirus</t>
  </si>
  <si>
    <t>Piry vesiculovirus</t>
  </si>
  <si>
    <t>Sunviridae</t>
  </si>
  <si>
    <t>Sunshinevirus</t>
  </si>
  <si>
    <t>Reptile sunshinevirus 1</t>
  </si>
  <si>
    <t>Anphevirus</t>
  </si>
  <si>
    <t>Xincheng anphevirus</t>
  </si>
  <si>
    <t>Arlivirus</t>
  </si>
  <si>
    <t>Lishi arlivirus</t>
  </si>
  <si>
    <t>Crustavirus</t>
  </si>
  <si>
    <t>Wenzhou crustavirus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</si>
  <si>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</si>
  <si>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</si>
  <si>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</si>
  <si>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</si>
  <si>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</si>
  <si>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</si>
  <si>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</si>
  <si>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</si>
  <si>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</si>
  <si>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</si>
  <si>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</si>
  <si>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</si>
  <si>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</si>
  <si>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</si>
  <si>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</si>
  <si>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</si>
  <si>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</si>
  <si>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</si>
  <si>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</si>
  <si>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</si>
  <si>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</si>
  <si>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</si>
  <si>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</si>
  <si>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</si>
  <si>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</si>
  <si>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</si>
  <si>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</si>
  <si>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</si>
  <si>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</si>
  <si>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</si>
  <si>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</si>
  <si>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</si>
  <si>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</si>
  <si>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</si>
  <si>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</si>
  <si>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</si>
  <si>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</si>
  <si>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</si>
  <si>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</si>
  <si>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</si>
  <si>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</si>
  <si>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</si>
  <si>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</si>
  <si>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</si>
  <si>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</si>
  <si>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</si>
  <si>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</si>
  <si>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</si>
  <si>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</si>
  <si>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</si>
  <si>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</si>
  <si>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</si>
  <si>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</si>
  <si>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</si>
  <si>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</si>
  <si>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</si>
  <si>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ssDNA(-)</t>
  </si>
  <si>
    <t>Torque teno sus virus k2a</t>
  </si>
  <si>
    <t>Torque teno sus virus k2b</t>
  </si>
  <si>
    <t>ssRNA(+/-)</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</si>
  <si>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</si>
  <si>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</si>
  <si>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</si>
  <si>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</si>
  <si>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</si>
  <si>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</si>
  <si>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</si>
  <si>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</si>
  <si>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</si>
  <si>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</si>
  <si>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</si>
  <si>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</si>
  <si>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</si>
  <si>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</si>
  <si>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</si>
  <si>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</si>
  <si>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</si>
  <si>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</si>
  <si>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</si>
  <si>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</si>
  <si>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</si>
  <si>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</si>
  <si>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</si>
  <si>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</si>
  <si>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</si>
  <si>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</si>
  <si>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</si>
  <si>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</si>
  <si>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</si>
  <si>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</si>
  <si>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</si>
  <si>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</si>
  <si>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</si>
  <si>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</si>
  <si>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</si>
  <si>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</si>
  <si>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</si>
  <si>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</si>
  <si>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</si>
  <si>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</si>
  <si>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</si>
  <si>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</si>
  <si>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</si>
  <si>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</si>
  <si>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</si>
  <si>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</si>
  <si>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</si>
  <si>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</si>
  <si>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Shuni orthobunyavirus</t>
  </si>
  <si>
    <t>Simbu orthobunyavirus</t>
  </si>
  <si>
    <t>Tacaiuma orthobunyavirus</t>
  </si>
  <si>
    <t>Tete orthobunyavirus</t>
  </si>
  <si>
    <t>Thimiri orthobunyavirus</t>
  </si>
  <si>
    <t>Timboteua orthobunyavirus</t>
  </si>
  <si>
    <t>Turlock orthobunyavirus</t>
  </si>
  <si>
    <t>Wyeomyia orthobunyavirus</t>
  </si>
  <si>
    <t>Zegla orthobunyavirus</t>
  </si>
  <si>
    <t>Bujaru phlebovirus</t>
  </si>
  <si>
    <t>Candiru phlebovirus</t>
  </si>
  <si>
    <t>Frijoles phlebovirus</t>
  </si>
  <si>
    <t>Punta Toro phlebovirus</t>
  </si>
  <si>
    <t>Rift Valley fever phlebovirus</t>
  </si>
  <si>
    <t>Salehabad phlebovirus</t>
  </si>
  <si>
    <t>dsDNA-RT</t>
  </si>
  <si>
    <t>Cacao swollen shoot CD virus</t>
  </si>
  <si>
    <t>Cacao swollen shoot Togo A virus</t>
  </si>
  <si>
    <t>Grapevine Roditis leaf discoloration-associated virus</t>
  </si>
  <si>
    <t>Sugarcane bacilliform Guadeloupe A virus</t>
  </si>
  <si>
    <t>Sugarcane bacilliform Guadeloupe D virus</t>
  </si>
  <si>
    <t>Barbel circovirus</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</si>
  <si>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</si>
  <si>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</si>
  <si>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</si>
  <si>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</si>
  <si>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</si>
  <si>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</si>
  <si>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</si>
  <si>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</si>
  <si>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</si>
  <si>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</si>
  <si>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</si>
  <si>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</si>
  <si>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</si>
  <si>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Pseudoalteromonas virus PM2</t>
  </si>
  <si>
    <t>Pseudomonas virus phi6</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</si>
  <si>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</si>
  <si>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</si>
  <si>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</si>
  <si>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</si>
  <si>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</si>
  <si>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</si>
  <si>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</si>
  <si>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</si>
  <si>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</si>
  <si>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</si>
  <si>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</si>
  <si>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</si>
  <si>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</si>
  <si>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</si>
  <si>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</si>
  <si>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</si>
  <si>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</si>
  <si>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</si>
  <si>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</si>
  <si>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</si>
  <si>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</si>
  <si>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</si>
  <si>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</si>
  <si>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</si>
  <si>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</si>
  <si>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</si>
  <si>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</si>
  <si>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</si>
  <si>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</si>
  <si>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</si>
  <si>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</si>
  <si>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</si>
  <si>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</si>
  <si>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</si>
  <si>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</si>
  <si>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</si>
  <si>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</si>
  <si>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</si>
  <si>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</si>
  <si>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</si>
  <si>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</si>
  <si>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</si>
  <si>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</si>
  <si>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</si>
  <si>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</si>
  <si>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</si>
  <si>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</si>
  <si>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</si>
  <si>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</si>
  <si>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</si>
  <si>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</si>
  <si>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</si>
  <si>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</si>
  <si>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</si>
  <si>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</si>
  <si>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</si>
  <si>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</si>
  <si>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</si>
  <si>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</si>
  <si>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</si>
  <si>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</si>
  <si>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Sclerotinia gemycircularvirus 1</t>
  </si>
  <si>
    <t>Long-fingered bat hepatitis B virus</t>
  </si>
  <si>
    <t>Roundleaf bat hepatitis B virus</t>
  </si>
  <si>
    <t>Tent-making bat hepatitis B virus</t>
  </si>
  <si>
    <t>ssDNA(+)</t>
  </si>
  <si>
    <t>Escherichia virus I22</t>
  </si>
  <si>
    <t>Escherichia virus If1</t>
  </si>
  <si>
    <t>Escherichia virus M13</t>
  </si>
  <si>
    <t>Pseudomonas virus Pf1</t>
  </si>
  <si>
    <t>Pseudomonas virus Pf3</t>
  </si>
  <si>
    <t>Salmonella virus IKe</t>
  </si>
  <si>
    <t>Vibrio virus CTXphi</t>
  </si>
  <si>
    <t>Vibrio virus fs1</t>
  </si>
  <si>
    <t>Vibrio virus fs2</t>
  </si>
  <si>
    <t>Vibrio virus Vf33</t>
  </si>
  <si>
    <t>Xanthomonas virus Cf1c</t>
  </si>
  <si>
    <t>Spiroplasma virus C74</t>
  </si>
  <si>
    <t>Spiroplasma virus R8A2B</t>
  </si>
  <si>
    <t>Lavidaviridae</t>
  </si>
  <si>
    <t>Mavirus</t>
  </si>
  <si>
    <t>Cafeteriavirus-dependent mavirus</t>
  </si>
  <si>
    <t>Sputnikvirus</t>
  </si>
  <si>
    <t>Mimivirus-dependent virus Sputnik</t>
  </si>
  <si>
    <t>Mimivirus-dependent virus Zamilon</t>
  </si>
  <si>
    <t>Escherichia virus FI</t>
  </si>
  <si>
    <t>Escherichia virus Qbeta</t>
  </si>
  <si>
    <t>Escherichia virus BZ13</t>
  </si>
  <si>
    <t>Escherichia virus MS2</t>
  </si>
  <si>
    <t>Bullavirinae</t>
  </si>
  <si>
    <t>Escherichia virus alpha3</t>
  </si>
  <si>
    <t>Escherichia virus ID21</t>
  </si>
  <si>
    <t>Escherichia virus ID32</t>
  </si>
  <si>
    <t>Escherichia virus ID62</t>
  </si>
  <si>
    <t>Escherichia virus NC28</t>
  </si>
  <si>
    <t>Escherichia virus NC29</t>
  </si>
  <si>
    <t>Escherichia virus NC35</t>
  </si>
  <si>
    <t>Escherichia virus phiK</t>
  </si>
  <si>
    <t>Escherichia virus St1</t>
  </si>
  <si>
    <t>Escherichia virus WA45</t>
  </si>
  <si>
    <t>Escherichia virus G4</t>
  </si>
  <si>
    <t>Escherichia virus ID52</t>
  </si>
  <si>
    <t>Escherichia virus Talmos</t>
  </si>
  <si>
    <t>Escherichia virus phiX174</t>
  </si>
  <si>
    <t>Bdellovibrio virus MAC1</t>
  </si>
  <si>
    <t>Bdellovibrio virus MH2K</t>
  </si>
  <si>
    <t>Chlamydia virus Chp1</t>
  </si>
  <si>
    <t>Chlamydia virus Chp2</t>
  </si>
  <si>
    <t>Chlamydia virus CPAR39</t>
  </si>
  <si>
    <t>Chlamydia virus CPG1</t>
  </si>
  <si>
    <t>Spiroplasma virus SpV4</t>
  </si>
  <si>
    <t>Black medic leaf roll virus</t>
  </si>
  <si>
    <t>Pea yellow stunt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</si>
  <si>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</si>
  <si>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</si>
  <si>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</si>
  <si>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</si>
  <si>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</si>
  <si>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</si>
  <si>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</si>
  <si>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</si>
  <si>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</si>
  <si>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</si>
  <si>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</si>
  <si>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</si>
  <si>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</si>
  <si>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</si>
  <si>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</si>
  <si>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</si>
  <si>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</si>
  <si>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</si>
  <si>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</si>
  <si>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</si>
  <si>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</si>
  <si>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</si>
  <si>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</si>
  <si>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</si>
  <si>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</si>
  <si>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</si>
  <si>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</si>
  <si>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</si>
  <si>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</si>
  <si>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</si>
  <si>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</si>
  <si>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</si>
  <si>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</si>
  <si>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</si>
  <si>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Acholeplasma virus L2</t>
  </si>
  <si>
    <t>Pleolipoviridae</t>
  </si>
  <si>
    <t>Alphapleolipovirus</t>
  </si>
  <si>
    <t>Betapleolipovirus</t>
  </si>
  <si>
    <t>Gammapleolipovirus</t>
  </si>
  <si>
    <t>Alphapolyomavirus</t>
  </si>
  <si>
    <t>Acerodon celebensis polyomavirus 1</t>
  </si>
  <si>
    <t>Artibeus planirostris polyomavirus 2</t>
  </si>
  <si>
    <t>Artibeus planirostris polyomavirus 3</t>
  </si>
  <si>
    <t>Ateles paniscus polyomavirus 1</t>
  </si>
  <si>
    <t>Cardioderma cor polyomavirus 1</t>
  </si>
  <si>
    <t>Carollia perspicillata polyomavirus 1</t>
  </si>
  <si>
    <t>Chlorocebus pygerythrus polyomavirus 1</t>
  </si>
  <si>
    <t>Chlorocebus pygerythrus polyomavirus 3</t>
  </si>
  <si>
    <t>Dobsonia moluccensis polyomavirus 1</t>
  </si>
  <si>
    <t>Eidolon helvum polyomavirus 1</t>
  </si>
  <si>
    <t>Gorilla gorilla polyomavirus 1</t>
  </si>
  <si>
    <t>Human polyomavirus 5</t>
  </si>
  <si>
    <t>Human polyomavirus 8</t>
  </si>
  <si>
    <t>Human polyomavirus 9</t>
  </si>
  <si>
    <t>Human polyomavirus 13</t>
  </si>
  <si>
    <t>Macaca fascicularis polyomavirus 1</t>
  </si>
  <si>
    <t>Mesocricetus auratus polyomavirus 1</t>
  </si>
  <si>
    <t>Molossus molossus polyomavirus 1</t>
  </si>
  <si>
    <t>Mus musculus polyomavirus 1</t>
  </si>
  <si>
    <t>Otomops martiensseni polyomavirus 1</t>
  </si>
  <si>
    <t>Otomops martiensseni polyomavirus 2</t>
  </si>
  <si>
    <t>Pan troglodytes polyomavirus 1</t>
  </si>
  <si>
    <t>Pan troglodytes polyomavirus 2</t>
  </si>
  <si>
    <t>Pan troglodytes polyomavirus 3</t>
  </si>
  <si>
    <t>Pan troglodytes polyomavirus 4</t>
  </si>
  <si>
    <t>Pan troglodytes polyomavirus 5</t>
  </si>
  <si>
    <t>Pan troglodytes polyomavirus 6</t>
  </si>
  <si>
    <t>Pan troglodytes polyomavirus 7</t>
  </si>
  <si>
    <t>Papio cynocephalus polyomavirus 1</t>
  </si>
  <si>
    <t>Piliocolobus rufomitratus polyomavirus 1</t>
  </si>
  <si>
    <t>Pongo abelii polyomavirus 1</t>
  </si>
  <si>
    <t>Pongo pygmaeus polyomavirus 1</t>
  </si>
  <si>
    <t>Procyon lotor polyomavirus 1</t>
  </si>
  <si>
    <t>Pteropus vampyrus polyomavirus 1</t>
  </si>
  <si>
    <t>Sturnira lilium polyomavirus 1</t>
  </si>
  <si>
    <t>Betapolyomavirus</t>
  </si>
  <si>
    <t>Acerodon celebensis polyomavirus 2</t>
  </si>
  <si>
    <t>Artibeus planirostris polyomavirus 1</t>
  </si>
  <si>
    <t>Cebus albifrons polyomavirus 1</t>
  </si>
  <si>
    <t>Cercopithecus erythrotis polyomavirus 1</t>
  </si>
  <si>
    <t>Chlorocebus pygerythrus polyomavirus 2</t>
  </si>
  <si>
    <t>Desmodus rotundus polyomavirus 1</t>
  </si>
  <si>
    <t>Dobsonia moluccensis polyomavirus 2</t>
  </si>
  <si>
    <t>Dobsonia moluccensis polyomavirus 3</t>
  </si>
  <si>
    <t>Equus caballus polyomavirus 1</t>
  </si>
  <si>
    <t>Human polyomavirus 1</t>
  </si>
  <si>
    <t>Human polyomavirus 2</t>
  </si>
  <si>
    <t>Human polyomavirus 3</t>
  </si>
  <si>
    <t>Human polyomavirus 4</t>
  </si>
  <si>
    <t>Loxodonta africana polyomavirus 1</t>
  </si>
  <si>
    <t>Macaca mulatta polyomavirus 1</t>
  </si>
  <si>
    <t>Mastomys natalensis polyomavirus 1</t>
  </si>
  <si>
    <t>Meles meles polyomavirus 1</t>
  </si>
  <si>
    <t>Miniopterus africanus polyomavirus 1</t>
  </si>
  <si>
    <t>Mus musculus polyomavirus 2</t>
  </si>
  <si>
    <t>Myotis lucifugus polyomavirus 1</t>
  </si>
  <si>
    <t>Papio cynocephalus polyomavirus 2</t>
  </si>
  <si>
    <t>Pteronotus davyi polyomavirus 1</t>
  </si>
  <si>
    <t>Pteronotus parnellii polyomavirus 1</t>
  </si>
  <si>
    <t>Saimiri boliviensis polyomavirus 1</t>
  </si>
  <si>
    <t>Saimiri sciureus polyomavirus 1</t>
  </si>
  <si>
    <t>Zalophus californianus polyomavirus 1</t>
  </si>
  <si>
    <t>Deltapolyomavirus</t>
  </si>
  <si>
    <t>Human polyomavirus 6</t>
  </si>
  <si>
    <t>Human polyomavirus 7</t>
  </si>
  <si>
    <t>Human polyomavirus 10</t>
  </si>
  <si>
    <t>Human polyomavirus 11</t>
  </si>
  <si>
    <t>Gammapolyomavirus</t>
  </si>
  <si>
    <t>Anser anser polyomavirus 1</t>
  </si>
  <si>
    <t>Aves polyomavirus 1</t>
  </si>
  <si>
    <t>Corvus monedula polyomavirus 1</t>
  </si>
  <si>
    <t>Cracticus torquatus polyomavirus 1</t>
  </si>
  <si>
    <t>Pygoscelis adeliae polyomavirus 1</t>
  </si>
  <si>
    <t>Pyrrhula pyrrhula polyomavirus 1</t>
  </si>
  <si>
    <t>Serinus canaria polyomavirus 1</t>
  </si>
  <si>
    <t>Bos taurus polyomavirus 1</t>
  </si>
  <si>
    <t>Centropristis striata polyomavirus 1</t>
  </si>
  <si>
    <t>Delphinus delphis polyomavirus 1</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</si>
  <si>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</si>
  <si>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</si>
  <si>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</si>
  <si>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</si>
  <si>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</si>
  <si>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</si>
  <si>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</si>
  <si>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</si>
  <si>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</si>
  <si>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</si>
  <si>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</si>
  <si>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Thermus virus IN93</t>
  </si>
  <si>
    <t>Thermus virus P23-77</t>
  </si>
  <si>
    <t>Bacillus virus AP50</t>
  </si>
  <si>
    <t>Bacillus virus Bam35</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</si>
  <si>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</si>
  <si>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</si>
  <si>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</si>
  <si>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</si>
  <si>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</si>
  <si>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</si>
  <si>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</si>
  <si>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</si>
  <si>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</si>
  <si>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</si>
  <si>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</si>
  <si>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</si>
  <si>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</si>
  <si>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</si>
  <si>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</si>
  <si>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</si>
  <si>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</si>
  <si>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</si>
  <si>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</si>
  <si>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</si>
  <si>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</si>
  <si>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</si>
  <si>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</si>
  <si>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</si>
  <si>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</si>
  <si>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</si>
  <si>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</si>
  <si>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</si>
  <si>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Metapneumovirus</t>
  </si>
  <si>
    <t>Kotonkan ephemerovirus</t>
  </si>
  <si>
    <t>Dyoomegapapillomavirus</t>
  </si>
  <si>
    <t>Spreadsheet Column Name</t>
  </si>
  <si>
    <t>Definition</t>
  </si>
  <si>
    <t>One 'Type Species' is chosen for each Genus to serve as an example of a well characterized species for that Genus. If the value in this column is '1', this indicates that this species has been chosen as the type species for its genus.</t>
  </si>
  <si>
    <t>The last change made to each virus species across the entire history of the taxon. Possible changes include a combination of the following:
- Abolished
- Merged
- Moved
- New
- Promoted
- Renamed
- Split
- Assigned as Type Species</t>
  </si>
  <si>
    <t>The web url link that provides the complete taxonomic history of the species. The proposal indicated above can be downloaded from the link provided by the last changed entry in the history.</t>
  </si>
  <si>
    <t>MSL of Last Change</t>
  </si>
  <si>
    <t>European mountain ash ringspot-associated emaravirus</t>
  </si>
  <si>
    <t>Fig mosaic emaravirus</t>
  </si>
  <si>
    <t>High Plains wheat mosaic emaravirus</t>
  </si>
  <si>
    <t>Pigeonpea sterility mosaic emaravirus 1</t>
  </si>
  <si>
    <t>Raspberry leaf blotch emaravirus</t>
  </si>
  <si>
    <t>Rose rosette emaravirus</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</si>
  <si>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</si>
  <si>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</si>
  <si>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</si>
  <si>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</si>
  <si>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</si>
  <si>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</si>
  <si>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</si>
  <si>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</si>
  <si>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</si>
  <si>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</si>
  <si>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</si>
  <si>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</si>
  <si>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</si>
  <si>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</si>
  <si>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</si>
  <si>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</si>
  <si>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</si>
  <si>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</si>
  <si>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</si>
  <si>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</si>
  <si>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</si>
  <si>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</si>
  <si>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</si>
  <si>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</si>
  <si>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</si>
  <si>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</si>
  <si>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</si>
  <si>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</si>
  <si>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</si>
  <si>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</si>
  <si>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</si>
  <si>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</si>
  <si>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</si>
  <si>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</si>
  <si>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</si>
  <si>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</si>
  <si>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</si>
  <si>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</si>
  <si>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</si>
  <si>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</si>
  <si>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</si>
  <si>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</si>
  <si>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Bunyavirales</t>
  </si>
  <si>
    <t>Fimoviridae</t>
  </si>
  <si>
    <t>Hantaviridae</t>
  </si>
  <si>
    <t>Orthohantavirus</t>
  </si>
  <si>
    <t>Nairoviridae</t>
  </si>
  <si>
    <t>Orthonairovirus</t>
  </si>
  <si>
    <t>Peribunyaviridae</t>
  </si>
  <si>
    <t>Phenuiviridae</t>
  </si>
  <si>
    <t>Ounavirinae</t>
  </si>
  <si>
    <t>Elvirus</t>
  </si>
  <si>
    <t>Bclasvirinae</t>
  </si>
  <si>
    <t>Acadianvirus</t>
  </si>
  <si>
    <t>Coopervirus</t>
  </si>
  <si>
    <t>Pipefishvirus</t>
  </si>
  <si>
    <t>Rosebushvirus</t>
  </si>
  <si>
    <t>Salmonella virus f18SE</t>
  </si>
  <si>
    <t>Mclasvirinae</t>
  </si>
  <si>
    <t>Bongovirus</t>
  </si>
  <si>
    <t>Pclasvirinae</t>
  </si>
  <si>
    <t>Fishburnevirus</t>
  </si>
  <si>
    <t>Patiencevirus</t>
  </si>
  <si>
    <t>Hapavirus</t>
  </si>
  <si>
    <t>Flanders hapavirus</t>
  </si>
  <si>
    <t>Ngaingan hapavirus</t>
  </si>
  <si>
    <t>Wongabel hapavirus</t>
  </si>
  <si>
    <t>Betaendornavirus</t>
  </si>
  <si>
    <t>Sclerotinia sclerotiorum betaendornavirus 1</t>
  </si>
  <si>
    <t>Fibrovirus</t>
  </si>
  <si>
    <t>Lineavirus</t>
  </si>
  <si>
    <t>Saetivirus</t>
  </si>
  <si>
    <t>Vespertiliovirus</t>
  </si>
  <si>
    <t>Alphairidovirinae</t>
  </si>
  <si>
    <t>Betairidovirinae</t>
  </si>
  <si>
    <t>Tristromaviridae</t>
  </si>
  <si>
    <t>Alphatristromavirus</t>
  </si>
  <si>
    <t>Actinidia chlorotic ringspot-associated emaravirus</t>
  </si>
  <si>
    <t>Pigeonpea sterility mosaic emaravirus 2</t>
  </si>
  <si>
    <t>Redbud yellow ringspot-associated emaravirus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</si>
  <si>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</si>
  <si>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</si>
  <si>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</si>
  <si>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</si>
  <si>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</si>
  <si>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</si>
  <si>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</si>
  <si>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</si>
  <si>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</si>
  <si>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Jeju orthohantavirus</t>
  </si>
  <si>
    <t>Kenkeme orthohantavirus</t>
  </si>
  <si>
    <t>Luxi orthohantavirus</t>
  </si>
  <si>
    <t>Maporal orthohantavirus</t>
  </si>
  <si>
    <t>Montano orthohantavirus</t>
  </si>
  <si>
    <t>Necocli orthohantavirus</t>
  </si>
  <si>
    <t>Oxbow orthohantavirus</t>
  </si>
  <si>
    <t>Rockport orthohantavirus</t>
  </si>
  <si>
    <t>Yakeshi orthohantavirus</t>
  </si>
  <si>
    <t>Herbevirus</t>
  </si>
  <si>
    <t>Herbert herbevirus</t>
  </si>
  <si>
    <t>Kibale herbevirus</t>
  </si>
  <si>
    <t>Tai herbevirus</t>
  </si>
  <si>
    <t>Hazara orthonairovirus</t>
  </si>
  <si>
    <t>Kasokero orthonairovirus</t>
  </si>
  <si>
    <t>Keterah orthonairovirus</t>
  </si>
  <si>
    <t>Nairobi sheep disease orthonairovirus</t>
  </si>
  <si>
    <t>Phasmaviridae</t>
  </si>
  <si>
    <t>Orthophasmavirus</t>
  </si>
  <si>
    <t>Kigluaik phantom orthophasmavirus</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</si>
  <si>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</si>
  <si>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</si>
  <si>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</si>
  <si>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</si>
  <si>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</si>
  <si>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</si>
  <si>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</si>
  <si>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</si>
  <si>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</si>
  <si>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</si>
  <si>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Wutai mosquito phasivirus</t>
  </si>
  <si>
    <t>Campylobacter virus CP30A</t>
  </si>
  <si>
    <t>Erwinia virus M7</t>
  </si>
  <si>
    <t>Escherichia virus HY02</t>
  </si>
  <si>
    <t>Escherichia virus TP1</t>
  </si>
  <si>
    <t>Mooglevirus</t>
  </si>
  <si>
    <t>Citrobacter virus Moogle</t>
  </si>
  <si>
    <t>Citrobacter virus Mordin</t>
  </si>
  <si>
    <t>Suspvirus</t>
  </si>
  <si>
    <t>Escherichia virus SUSP1</t>
  </si>
  <si>
    <t>Escherichia virus SUSP2</t>
  </si>
  <si>
    <t>Staphylococcus virus Rodi</t>
  </si>
  <si>
    <t>Staphylococcus virus S25-4</t>
  </si>
  <si>
    <t>Staphylococcus virus Stau2</t>
  </si>
  <si>
    <t>Bacillus virus Camphawk</t>
  </si>
  <si>
    <t>Tsarbombavirus</t>
  </si>
  <si>
    <t>Bacillus virus BCP78</t>
  </si>
  <si>
    <t>Bacillus virus TsarBomba</t>
  </si>
  <si>
    <t>Klebsiella virus JD18</t>
  </si>
  <si>
    <t>Klebsiella virus PKO111</t>
  </si>
  <si>
    <t>Escherichia virus QL01</t>
  </si>
  <si>
    <t>Enterobacter virus Eap3</t>
  </si>
  <si>
    <t>Klebsiella virus KP15</t>
  </si>
  <si>
    <t>Klebsiella virus KP27</t>
  </si>
  <si>
    <t>Klebsiella virus Matisse</t>
  </si>
  <si>
    <t>Klebsiella virus Miro</t>
  </si>
  <si>
    <t>Moonvirus</t>
  </si>
  <si>
    <t>Citrobacter virus Merlin</t>
  </si>
  <si>
    <t>Citrobacter virus Moon</t>
  </si>
  <si>
    <t>Escherichia virus JSE</t>
  </si>
  <si>
    <t>Escherichia virus HY01</t>
  </si>
  <si>
    <t>Cronobacter virus PBES02</t>
  </si>
  <si>
    <t>Pectobacterium virus phiTE</t>
  </si>
  <si>
    <t>Abouovirus</t>
  </si>
  <si>
    <t>Brevibacillus virus Abouo</t>
  </si>
  <si>
    <t>Brevibacillus virus Davies</t>
  </si>
  <si>
    <t>Erwinia virus Deimos</t>
  </si>
  <si>
    <t>Erwinia virus Ea35-70</t>
  </si>
  <si>
    <t>Erwinia virus RAY</t>
  </si>
  <si>
    <t>Erwinia virus Simmy50</t>
  </si>
  <si>
    <t>Erwinia virus SpecialG</t>
  </si>
  <si>
    <t>Arthrobacter virus ArV1</t>
  </si>
  <si>
    <t>Arthrobacter virus Trina</t>
  </si>
  <si>
    <t>Bacillus virus AvesoBmore</t>
  </si>
  <si>
    <t>Bacillus virus BM15</t>
  </si>
  <si>
    <t>Bacillus virus Deepblue</t>
  </si>
  <si>
    <t>Mycobacterium virus Alice</t>
  </si>
  <si>
    <t>Mycobacterium virus Bxz1</t>
  </si>
  <si>
    <t>Mycobacterium virus Dandelion</t>
  </si>
  <si>
    <t>Mycobacterium virus HyRo</t>
  </si>
  <si>
    <t>Mycobacterium virus Nappy</t>
  </si>
  <si>
    <t>Mycobacterium virus Sebata</t>
  </si>
  <si>
    <t>Jimmervirus</t>
  </si>
  <si>
    <t>Brevibacillus virus Jimmer</t>
  </si>
  <si>
    <t>Brevibacillus virus Osiris</t>
  </si>
  <si>
    <t>Sinorhizobium virus M7</t>
  </si>
  <si>
    <t>Sinorhizobium virus M12</t>
  </si>
  <si>
    <t>Sinorhizobium virus N3</t>
  </si>
  <si>
    <t>Marthavirus</t>
  </si>
  <si>
    <t>Arthrobacter virus Brent</t>
  </si>
  <si>
    <t>Arthrobacter virus Jawnski</t>
  </si>
  <si>
    <t>Arthrobacter virus Martha</t>
  </si>
  <si>
    <t>Arthrobacter virus Sonny</t>
  </si>
  <si>
    <t>Edwardsiella virus MSW3</t>
  </si>
  <si>
    <t>Edwardsiella virus PEi21</t>
  </si>
  <si>
    <t>Shigella virus SfMu</t>
  </si>
  <si>
    <t>Pseudomonas virus PA7</t>
  </si>
  <si>
    <t>Ralstonia virus RSF1</t>
  </si>
  <si>
    <t>Ralstonia virus RSL2</t>
  </si>
  <si>
    <t>Ralstonia virus RSL1</t>
  </si>
  <si>
    <t>Staphylococcus virus IPLAC1C</t>
  </si>
  <si>
    <t>Staphylococcus virus SEP1</t>
  </si>
  <si>
    <t>Salmonella virus SPN3US</t>
  </si>
  <si>
    <t>Bacillus virus BPS13</t>
  </si>
  <si>
    <t>Bacillus virus Hakuna</t>
  </si>
  <si>
    <t>Bacillus virus Megatron</t>
  </si>
  <si>
    <t>Acinetobacter virus AB3</t>
  </si>
  <si>
    <t>Acinetobacter virus Abp1</t>
  </si>
  <si>
    <t>Acinetobacter virus Fri1</t>
  </si>
  <si>
    <t>Acinetobacter virus IME200</t>
  </si>
  <si>
    <t>Acinetobacter virus PD6A3</t>
  </si>
  <si>
    <t>Acinetobacter virus PDAB9</t>
  </si>
  <si>
    <t>Acinetobacter virus phiAB1</t>
  </si>
  <si>
    <t>Escherichia virus K30</t>
  </si>
  <si>
    <t>Klebsiella virus K5</t>
  </si>
  <si>
    <t>Klebsiella virus K11</t>
  </si>
  <si>
    <t>Klebsiella virus Kp1</t>
  </si>
  <si>
    <t>Klebsiella virus KP32</t>
  </si>
  <si>
    <t>Klebsiella virus KpV289</t>
  </si>
  <si>
    <t>Klebsiella virus Kp2</t>
  </si>
  <si>
    <t>Klebsiella virus KpV41</t>
  </si>
  <si>
    <t>Klebsiella virus KpV71</t>
  </si>
  <si>
    <t>Klebsiella virus KpV475</t>
  </si>
  <si>
    <t>Pradovirus</t>
  </si>
  <si>
    <t>Xanthomonas virus f20</t>
  </si>
  <si>
    <t>Xanthomonas virus f30</t>
  </si>
  <si>
    <t>Xylella virus Prado</t>
  </si>
  <si>
    <t>Streptococcus virus Cp7</t>
  </si>
  <si>
    <t>Sepvirinae</t>
  </si>
  <si>
    <t>Escherichia virus 24B</t>
  </si>
  <si>
    <t>Escherichia virus 933W</t>
  </si>
  <si>
    <t>Escherichia virus Min27</t>
  </si>
  <si>
    <t>Escherichia virus PA28</t>
  </si>
  <si>
    <t>Escherichia virus Stx2 II</t>
  </si>
  <si>
    <t>Shigella virus 7502Stx</t>
  </si>
  <si>
    <t>Shigella virus POCJ13</t>
  </si>
  <si>
    <t>Escherichia virus 191</t>
  </si>
  <si>
    <t>Escherichia virus PA2</t>
  </si>
  <si>
    <t>Escherichia virus TL2011</t>
  </si>
  <si>
    <t>Shigella virus VASD</t>
  </si>
  <si>
    <t>Erwinia virus Ea9-2</t>
  </si>
  <si>
    <t>Erwinia virus Frozen</t>
  </si>
  <si>
    <t>Salmonella virus SPN1S</t>
  </si>
  <si>
    <t>Edwardsiella virus KF1</t>
  </si>
  <si>
    <t>Pseudomonas virus KPP25</t>
  </si>
  <si>
    <t>Pseudomonas virus R18</t>
  </si>
  <si>
    <t>Pseudomonas virus KPP21</t>
  </si>
  <si>
    <t>Pseudomonas virus LUZ7</t>
  </si>
  <si>
    <t>Escherichia virus 172-1</t>
  </si>
  <si>
    <t>Brucella virus Pr</t>
  </si>
  <si>
    <t>Brucella virus Tb</t>
  </si>
  <si>
    <t>Helicobacter virus 1961P</t>
  </si>
  <si>
    <t>Helicobacter virus KHP30</t>
  </si>
  <si>
    <t>Helicobacter virus KHP40</t>
  </si>
  <si>
    <t>Arquatrovirinae</t>
  </si>
  <si>
    <t>Camvirus</t>
  </si>
  <si>
    <t>Streptomyces virus Amela</t>
  </si>
  <si>
    <t>Streptomyces virus phiCAM</t>
  </si>
  <si>
    <t>Likavirus</t>
  </si>
  <si>
    <t>Streptomyces virus Aaronocolus</t>
  </si>
  <si>
    <t>Streptomyces virus Caliburn</t>
  </si>
  <si>
    <t>Streptomyces virus Danzina</t>
  </si>
  <si>
    <t>Streptomyces virus Hydra</t>
  </si>
  <si>
    <t>Streptomyces virus Izzy</t>
  </si>
  <si>
    <t>Streptomyces virus Lannister</t>
  </si>
  <si>
    <t>Streptomyces virus Lika</t>
  </si>
  <si>
    <t>Streptomyces virus Sujidade</t>
  </si>
  <si>
    <t>Streptomyces virus Zemlya</t>
  </si>
  <si>
    <t>Streptomyces virus ELB20</t>
  </si>
  <si>
    <t>Streptomyces virus R4</t>
  </si>
  <si>
    <t>Streptomyces virus phiHau3</t>
  </si>
  <si>
    <t>Mycobacterium virus Baee</t>
  </si>
  <si>
    <t>Mycobacterium virus Reprobate</t>
  </si>
  <si>
    <t>Mycobacterium virus Adawi</t>
  </si>
  <si>
    <t>Mycobacterium virus Bane1</t>
  </si>
  <si>
    <t>Mycobacterium virus BrownCNA</t>
  </si>
  <si>
    <t>Mycobacterium virus JAMaL</t>
  </si>
  <si>
    <t>Mycobacterium virus Vincenzo</t>
  </si>
  <si>
    <t>Mycobacterium virus Apizium</t>
  </si>
  <si>
    <t>Mycobacterium virus Manad</t>
  </si>
  <si>
    <t>Mycobacterium virus Osmaximus</t>
  </si>
  <si>
    <t>Mycobacterium virus Soto</t>
  </si>
  <si>
    <t>Mycobacterium virus Suffolk</t>
  </si>
  <si>
    <t>Mycobacterium virus Bernardo</t>
  </si>
  <si>
    <t>Mycobacterium virus Godines</t>
  </si>
  <si>
    <t>Mycobacterium virus Brusacoram</t>
  </si>
  <si>
    <t>Mycobacterium virus Donovan</t>
  </si>
  <si>
    <t>Mycobacterium virus Fishburne</t>
  </si>
  <si>
    <t>Mycobacterium virus Malithi</t>
  </si>
  <si>
    <t>Phayoncevirus</t>
  </si>
  <si>
    <t>Mycobacterium virus Phayonce</t>
  </si>
  <si>
    <t>Klebsiella virus KLPN1</t>
  </si>
  <si>
    <t>Klebsiella virus PKP126</t>
  </si>
  <si>
    <t>Klebsiella virus Sushi</t>
  </si>
  <si>
    <t>Escherichia virus C119</t>
  </si>
  <si>
    <t>Escherichia virus JMPW1</t>
  </si>
  <si>
    <t>Escherichia virus JMPW2</t>
  </si>
  <si>
    <t>Pseudomonas virus Ab18</t>
  </si>
  <si>
    <t>Pseudomonas virus Ab19</t>
  </si>
  <si>
    <t>Pseudomonas virus PaMx11</t>
  </si>
  <si>
    <t>Amigovirus</t>
  </si>
  <si>
    <t>Arthrobacter virus Amigo</t>
  </si>
  <si>
    <t>Mycobacterium virus Bernal13</t>
  </si>
  <si>
    <t>Lactobacillus virus Ld3</t>
  </si>
  <si>
    <t>Lactobacillus virus Ld17</t>
  </si>
  <si>
    <t>Lactobacillus virus Ld25A</t>
  </si>
  <si>
    <t>Lactobacillus virus phiLdb</t>
  </si>
  <si>
    <t>Cronusvirus</t>
  </si>
  <si>
    <t>Rhodobacter virus RcCronus</t>
  </si>
  <si>
    <t>Decurrovirus</t>
  </si>
  <si>
    <t>Arthrobacter virus Decurro</t>
  </si>
  <si>
    <t>Demosthenesvirus</t>
  </si>
  <si>
    <t>Gordonia virus Demosthenes</t>
  </si>
  <si>
    <t>Gordonia virus Katyusha</t>
  </si>
  <si>
    <t>Gordonia virus Kvothe</t>
  </si>
  <si>
    <t>Eiauvirus</t>
  </si>
  <si>
    <t>Edwardsiella virus eiAU</t>
  </si>
  <si>
    <t>Gaiavirus</t>
  </si>
  <si>
    <t>Mycobacterium virus Gaia</t>
  </si>
  <si>
    <t>Gilesvirus</t>
  </si>
  <si>
    <t>Mycobacterium virus Giles</t>
  </si>
  <si>
    <t>Gordonvirus</t>
  </si>
  <si>
    <t>Arthrobacter virus Captnmurica</t>
  </si>
  <si>
    <t>Arthrobacter virus Gordon</t>
  </si>
  <si>
    <t>Gordtnkvirus</t>
  </si>
  <si>
    <t>Gordonia virus GordTnk2</t>
  </si>
  <si>
    <t>Harrisonvirus</t>
  </si>
  <si>
    <t>Paenibacillus virus Harrison</t>
  </si>
  <si>
    <t>Escherichia virus EK99P1</t>
  </si>
  <si>
    <t>Escherichia virus YD2008s</t>
  </si>
  <si>
    <t>Jenstvirus</t>
  </si>
  <si>
    <t>Brevibacillus virus Jenst</t>
  </si>
  <si>
    <t>Achromobacter virus 83-24</t>
  </si>
  <si>
    <t>Achromobacter virus JWX</t>
  </si>
  <si>
    <t>Kelleziovirus</t>
  </si>
  <si>
    <t>Arthrobacter virus Kellezzio</t>
  </si>
  <si>
    <t>Arthrobacter virus Kitkat</t>
  </si>
  <si>
    <t>Korravirus</t>
  </si>
  <si>
    <t>Arthrobacter virus Bennie</t>
  </si>
  <si>
    <t>Arthrobacter virus DrRobert</t>
  </si>
  <si>
    <t>Arthrobacter virus Glenn</t>
  </si>
  <si>
    <t>Arthrobacter virus HunterDalle</t>
  </si>
  <si>
    <t>Arthrobacter virus Joann</t>
  </si>
  <si>
    <t>Arthrobacter virus Korra</t>
  </si>
  <si>
    <t>Arthrobacter virus Preamble</t>
  </si>
  <si>
    <t>Arthrobacter virus Pumancara</t>
  </si>
  <si>
    <t>Arthrobacter virus Wayne</t>
  </si>
  <si>
    <t>Laroyevirus</t>
  </si>
  <si>
    <t>Arthrobacter virus Laroye</t>
  </si>
  <si>
    <t>Marvinvirus</t>
  </si>
  <si>
    <t>Mycobacterium virus Marvin</t>
  </si>
  <si>
    <t>Mycobacterium virus Mosmoris</t>
  </si>
  <si>
    <t>Mudcatvirus</t>
  </si>
  <si>
    <t>Arthrobacter virus Circum</t>
  </si>
  <si>
    <t>Arthrobacter virus Mudcat</t>
  </si>
  <si>
    <t>Pseudomonas virus NP1</t>
  </si>
  <si>
    <t>Pseudomonas virus PaMx25</t>
  </si>
  <si>
    <t>Polaribacter virus P12002L</t>
  </si>
  <si>
    <t>Polaribacter virus P12002S</t>
  </si>
  <si>
    <t>Nonlabens virus P12024L</t>
  </si>
  <si>
    <t>Nonlabens virus P12024S</t>
  </si>
  <si>
    <t>Propionibacterium virus ATCC29399BC</t>
  </si>
  <si>
    <t>Propionibacterium virus ATCC29399BT</t>
  </si>
  <si>
    <t>Propionibacterium virus Attacne</t>
  </si>
  <si>
    <t>Propionibacterium virus Keiki</t>
  </si>
  <si>
    <t>Propionibacterium virus Kubed</t>
  </si>
  <si>
    <t>Propionibacterium virus Lauchelly</t>
  </si>
  <si>
    <t>Propionibacterium virus MrAK</t>
  </si>
  <si>
    <t>Propionibacterium virus Ouroboros</t>
  </si>
  <si>
    <t>Propionibacterium virus P91</t>
  </si>
  <si>
    <t>Propionibacterium virus P105</t>
  </si>
  <si>
    <t>Propionibacterium virus P144</t>
  </si>
  <si>
    <t>Propionibacterium virus P1001</t>
  </si>
  <si>
    <t>Propionibacterium virus P1.1</t>
  </si>
  <si>
    <t>Propionibacterium virus P100A</t>
  </si>
  <si>
    <t>Propionibacterium virus P100D</t>
  </si>
  <si>
    <t>Propionibacterium virus P101A</t>
  </si>
  <si>
    <t>Propionibacterium virus P104A</t>
  </si>
  <si>
    <t>Propionibacterium virus PA6</t>
  </si>
  <si>
    <t>Propionibacterium virus Pacnes201215</t>
  </si>
  <si>
    <t>Propionibacterium virus PAD20</t>
  </si>
  <si>
    <t>Propionibacterium virus PAS50</t>
  </si>
  <si>
    <t>Propionibacterium virus PHL009M11</t>
  </si>
  <si>
    <t>Propionibacterium virus PHL025M00</t>
  </si>
  <si>
    <t>Propionibacterium virus PHL037M02</t>
  </si>
  <si>
    <t>Propionibacterium virus PHL041M10</t>
  </si>
  <si>
    <t>Propionibacterium virus PHL060L00</t>
  </si>
  <si>
    <t>Propionibacterium virus PHL067M01</t>
  </si>
  <si>
    <t>Propionibacterium virus PHL070N00</t>
  </si>
  <si>
    <t>Propionibacterium virus PHL071N05</t>
  </si>
  <si>
    <t>Propionibacterium virus PHL082M03</t>
  </si>
  <si>
    <t>Propionibacterium virus PHL092M00</t>
  </si>
  <si>
    <t>Propionibacterium virus PHL095N00</t>
  </si>
  <si>
    <t>Propionibacterium virus PHL111M01</t>
  </si>
  <si>
    <t>Propionibacterium virus PHL112N00</t>
  </si>
  <si>
    <t>Propionibacterium virus PHL113M01</t>
  </si>
  <si>
    <t>Propionibacterium virus PHL114L00</t>
  </si>
  <si>
    <t>Propionibacterium virus PHL116M00</t>
  </si>
  <si>
    <t>Propionibacterium virus PHL117M00</t>
  </si>
  <si>
    <t>Propionibacterium virus PHL117M01</t>
  </si>
  <si>
    <t>Propionibacterium virus PHL132N00</t>
  </si>
  <si>
    <t>Propionibacterium virus PHL141N00</t>
  </si>
  <si>
    <t>Propionibacterium virus PHL151M00</t>
  </si>
  <si>
    <t>Propionibacterium virus PHL151N00</t>
  </si>
  <si>
    <t>Propionibacterium virus PHL152M00</t>
  </si>
  <si>
    <t>Propionibacterium virus PHL163M00</t>
  </si>
  <si>
    <t>Propionibacterium virus PHL171M01</t>
  </si>
  <si>
    <t>Propionibacterium virus PHL179M00</t>
  </si>
  <si>
    <t>Propionibacterium virus PHL194M00</t>
  </si>
  <si>
    <t>Propionibacterium virus PHL199M00</t>
  </si>
  <si>
    <t>Propionibacterium virus PHL301M00</t>
  </si>
  <si>
    <t>Propionibacterium virus PHL308M00</t>
  </si>
  <si>
    <t>Propionibacterium virus Pirate</t>
  </si>
  <si>
    <t>Propionibacterium virus Procrass1</t>
  </si>
  <si>
    <t>Propionibacterium virus SKKY</t>
  </si>
  <si>
    <t>Propionibacterium virus Solid</t>
  </si>
  <si>
    <t>Propionibacterium virus Stormborn</t>
  </si>
  <si>
    <t>Propionibacterium virus Wizzo</t>
  </si>
  <si>
    <t>Pseudomonas virus PaMx28</t>
  </si>
  <si>
    <t>Pseudomonas virus PaMx74</t>
  </si>
  <si>
    <t>Rhodococcus virus Pepy6</t>
  </si>
  <si>
    <t>Rhodococcus virus Poco6</t>
  </si>
  <si>
    <t>Aeromonas virus pIS4A</t>
  </si>
  <si>
    <t>Roseobacter virus RDJL1</t>
  </si>
  <si>
    <t>Roseobacter virus RDJL2</t>
  </si>
  <si>
    <t>Mycobacterium virus Papyrus</t>
  </si>
  <si>
    <t>Mycobacterium virus Send513</t>
  </si>
  <si>
    <t>Paenibacillus virus Willow</t>
  </si>
  <si>
    <t>Smoothievirus</t>
  </si>
  <si>
    <t>Gordonia virus Bachita</t>
  </si>
  <si>
    <t>Gordonia virus ClubL</t>
  </si>
  <si>
    <t>Gordonia virus OneUp</t>
  </si>
  <si>
    <t>Gordonia virus Smoothie</t>
  </si>
  <si>
    <t>Soupsvirus</t>
  </si>
  <si>
    <t>Gordonia virus Soups</t>
  </si>
  <si>
    <t>Escherichia virus slur09</t>
  </si>
  <si>
    <t>Salmonella virus 118970sal2</t>
  </si>
  <si>
    <t>Tankvirus</t>
  </si>
  <si>
    <t>Arthrobacter virus Tank</t>
  </si>
  <si>
    <t>Tsukamurella virus TIN2</t>
  </si>
  <si>
    <t>Tsukamurella virus TIN3</t>
  </si>
  <si>
    <t>Tsukamurella virus TIN4</t>
  </si>
  <si>
    <t>Titanvirus</t>
  </si>
  <si>
    <t>Rhodobacter virus RcSpartan</t>
  </si>
  <si>
    <t>Rhodobacter virus RcTitan</t>
  </si>
  <si>
    <t>Vegasvirus</t>
  </si>
  <si>
    <t>Paenibacillus virus Vegas</t>
  </si>
  <si>
    <t>Vendettavirus</t>
  </si>
  <si>
    <t>Gordonia virus Vendetta</t>
  </si>
  <si>
    <t>Wildcatvirus</t>
  </si>
  <si>
    <t>Mycobacterium virus Wildcat</t>
  </si>
  <si>
    <t>Woesvirus</t>
  </si>
  <si>
    <t>Gordonia virus Hotorobo</t>
  </si>
  <si>
    <t>Gordonia virus Monty</t>
  </si>
  <si>
    <t>Gordonia virus Woes</t>
  </si>
  <si>
    <t>Streptomyces virus TP1604</t>
  </si>
  <si>
    <t>Streptomyces virus YDN12</t>
  </si>
  <si>
    <t>Pseudomonas virus LKO4</t>
  </si>
  <si>
    <t>Pseudomonas virus MP1412</t>
  </si>
  <si>
    <t>Pseudomonas virus PAE1</t>
  </si>
  <si>
    <t>Peropuvirus</t>
  </si>
  <si>
    <t>Pteromalus puparum peropuvirus</t>
  </si>
  <si>
    <t>Almendravirus</t>
  </si>
  <si>
    <t>Arboretum almendravirus</t>
  </si>
  <si>
    <t>Balsa almendravirus</t>
  </si>
  <si>
    <t>Coot Bay almendravirus</t>
  </si>
  <si>
    <t>Puerto Almendras almendravirus</t>
  </si>
  <si>
    <t>Rio Chico almendravirus</t>
  </si>
  <si>
    <t>Curiovirus</t>
  </si>
  <si>
    <t>Curionopolis curiovirus</t>
  </si>
  <si>
    <t>Iriri curiovirus</t>
  </si>
  <si>
    <t>Itacaiunas curiovirus</t>
  </si>
  <si>
    <t>Rochambeau curiovirus</t>
  </si>
  <si>
    <t>Colocasia bobone disease-associated cytorhabdovirus</t>
  </si>
  <si>
    <t>Kimberley ephemerovirus</t>
  </si>
  <si>
    <t>Koolpinyah ephemerovirus</t>
  </si>
  <si>
    <t>Yata ephemerovirus</t>
  </si>
  <si>
    <t>Gray Lodge hapavirus</t>
  </si>
  <si>
    <t>Hart Park hapavirus</t>
  </si>
  <si>
    <t>Joinjakaka hapavirus</t>
  </si>
  <si>
    <t>Kamese hapavirus</t>
  </si>
  <si>
    <t>La Joya hapavirus</t>
  </si>
  <si>
    <t>Landjia hapavirus</t>
  </si>
  <si>
    <t>Manitoba hapavirus</t>
  </si>
  <si>
    <t>Marco hapavirus</t>
  </si>
  <si>
    <t>Mosqueiro hapavirus</t>
  </si>
  <si>
    <t>Mossuril hapavirus</t>
  </si>
  <si>
    <t>Ord River hapavirus</t>
  </si>
  <si>
    <t>Parry Creek hapavirus</t>
  </si>
  <si>
    <t>Ledantevirus</t>
  </si>
  <si>
    <t>Barur ledantevirus</t>
  </si>
  <si>
    <t>Fikirini ledantevirus</t>
  </si>
  <si>
    <t>Fukuoka ledantevirus</t>
  </si>
  <si>
    <t>Kern Canyon ledantevirus</t>
  </si>
  <si>
    <t>Keuraliba ledantevirus</t>
  </si>
  <si>
    <t>Kolente ledantevirus</t>
  </si>
  <si>
    <t>Kumasi ledantevirus</t>
  </si>
  <si>
    <t>Le Dantec ledantevirus</t>
  </si>
  <si>
    <t>Mount Elgon bat ledantevirus</t>
  </si>
  <si>
    <t>Nishimuro ledantevirus</t>
  </si>
  <si>
    <t>Nkolbisson ledantevirus</t>
  </si>
  <si>
    <t>Oita ledantevirus</t>
  </si>
  <si>
    <t>Wuhan ledantevirus</t>
  </si>
  <si>
    <t>Yongjia ledantevirus</t>
  </si>
  <si>
    <t>Sripuvirus</t>
  </si>
  <si>
    <t>Almpiwar sripuvirus</t>
  </si>
  <si>
    <t>Chaco sripuvirus</t>
  </si>
  <si>
    <t>Niakha sripuvirus</t>
  </si>
  <si>
    <t>Sena Madureira sripuvirus</t>
  </si>
  <si>
    <t>Sripur sripuvirus</t>
  </si>
  <si>
    <t>Bas-Congo tibrovirus</t>
  </si>
  <si>
    <t>Ekpoma 1 tibrovirus</t>
  </si>
  <si>
    <t>Ekpoma 2 tibrovirus</t>
  </si>
  <si>
    <t>Sweetwater Branch tibrovirus</t>
  </si>
  <si>
    <t>Klamath tupavirus</t>
  </si>
  <si>
    <t>American bat vesiculovirus</t>
  </si>
  <si>
    <t>Jurona vesiculovirus</t>
  </si>
  <si>
    <t>Malpais Spring vesiculovirus</t>
  </si>
  <si>
    <t>Morreton vesiculovirus</t>
  </si>
  <si>
    <t>Perinet vesiculovirus</t>
  </si>
  <si>
    <t>Radi vesiculovirus</t>
  </si>
  <si>
    <t>Yug Bogdanovac vesiculovirus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</si>
  <si>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</si>
  <si>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</si>
  <si>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</si>
  <si>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</si>
  <si>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</si>
  <si>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</si>
  <si>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</si>
  <si>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</si>
  <si>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</si>
  <si>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</si>
  <si>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</si>
  <si>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</si>
  <si>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</si>
  <si>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</si>
  <si>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</si>
  <si>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</si>
  <si>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</si>
  <si>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</si>
  <si>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</si>
  <si>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</si>
  <si>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</si>
  <si>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</si>
  <si>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</si>
  <si>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</si>
  <si>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</si>
  <si>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</si>
  <si>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</si>
  <si>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</si>
  <si>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</si>
  <si>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</si>
  <si>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</si>
  <si>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</si>
  <si>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</si>
  <si>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</si>
  <si>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</si>
  <si>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</si>
  <si>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</si>
  <si>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</si>
  <si>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</si>
  <si>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</si>
  <si>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</si>
  <si>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</si>
  <si>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</si>
  <si>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</si>
  <si>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</si>
  <si>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</si>
  <si>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</si>
  <si>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</si>
  <si>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</si>
  <si>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</si>
  <si>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</si>
  <si>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</si>
  <si>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</si>
  <si>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</si>
  <si>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</si>
  <si>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</si>
  <si>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</si>
  <si>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</si>
  <si>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</si>
  <si>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</si>
  <si>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</si>
  <si>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</si>
  <si>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</si>
  <si>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</si>
  <si>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</si>
  <si>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</si>
  <si>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</si>
  <si>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</si>
  <si>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</si>
  <si>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</si>
  <si>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</si>
  <si>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</si>
  <si>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</si>
  <si>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</si>
  <si>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</si>
  <si>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</si>
  <si>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</si>
  <si>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</si>
  <si>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</si>
  <si>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</si>
  <si>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</si>
  <si>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</si>
  <si>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</si>
  <si>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</si>
  <si>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</si>
  <si>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</si>
  <si>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</si>
  <si>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</si>
  <si>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</si>
  <si>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</si>
  <si>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</si>
  <si>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</si>
  <si>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</si>
  <si>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</si>
  <si>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</si>
  <si>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</si>
  <si>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</si>
  <si>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</si>
  <si>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</si>
  <si>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</si>
  <si>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</si>
  <si>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</si>
  <si>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</si>
  <si>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</si>
  <si>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</si>
  <si>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</si>
  <si>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</si>
  <si>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</si>
  <si>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</si>
  <si>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</si>
  <si>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</si>
  <si>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</si>
  <si>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</si>
  <si>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</si>
  <si>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</si>
  <si>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</si>
  <si>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</si>
  <si>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</si>
  <si>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</si>
  <si>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</si>
  <si>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</si>
  <si>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</si>
  <si>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</si>
  <si>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</si>
  <si>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</si>
  <si>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</si>
  <si>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</si>
  <si>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</si>
  <si>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</si>
  <si>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</si>
  <si>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</si>
  <si>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</si>
  <si>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</si>
  <si>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Mulberry mosaic dwarf associated virus</t>
  </si>
  <si>
    <t>Blackbird associated gemycircularvirus 1</t>
  </si>
  <si>
    <t>Bovine associated gemycircularvirus 1</t>
  </si>
  <si>
    <t>Bromus associated gemycircularvirus 1</t>
  </si>
  <si>
    <t>Cassava associated gemycircularvirus 1</t>
  </si>
  <si>
    <t>Chickadee associated gemycircularvirus 1</t>
  </si>
  <si>
    <t>Chicken associated gemycircularvirus 1</t>
  </si>
  <si>
    <t>Chicken associated gemycircularvirus 2</t>
  </si>
  <si>
    <t>Dragonfly associated gemycircularvirus 1</t>
  </si>
  <si>
    <t>Equine associated gemycircularvirus 1</t>
  </si>
  <si>
    <t>Fur seal associated gemycircularvirus 1</t>
  </si>
  <si>
    <t>Gerygone associated gemycircularvirus 1</t>
  </si>
  <si>
    <t>Gerygone associated gemycircularvirus 2</t>
  </si>
  <si>
    <t>Gerygone associated gemycircularvirus 3</t>
  </si>
  <si>
    <t>Hypericum associated gemycircularvirus 1</t>
  </si>
  <si>
    <t>Lama associated gemycircularvirus 1</t>
  </si>
  <si>
    <t>Mallard associated gemycircularvirus 1</t>
  </si>
  <si>
    <t>Miniopterus associated gemycircularvirus 1</t>
  </si>
  <si>
    <t>Mongoose associated gemycircularvirus 1</t>
  </si>
  <si>
    <t>Mosquito associated gemycircularvirus 1</t>
  </si>
  <si>
    <t>Odonata associated gemycircularvirus 1</t>
  </si>
  <si>
    <t>Odonata associated gemycircularvirus 2</t>
  </si>
  <si>
    <t>Poaceae associated gemycircularvirus 1</t>
  </si>
  <si>
    <t>Porcine associated gemycircularvirus 1</t>
  </si>
  <si>
    <t>Porcine associated gemycircularvirus 2</t>
  </si>
  <si>
    <t>Pteropus associated gemycircularvirus 1</t>
  </si>
  <si>
    <t>Pteropus associated gemycircularvirus 2</t>
  </si>
  <si>
    <t>Pteropus associated gemycircularvirus 3</t>
  </si>
  <si>
    <t>Pteropus associated gemycircularvirus 4</t>
  </si>
  <si>
    <t>Pteropus associated gemycircularvirus 5</t>
  </si>
  <si>
    <t>Pteropus associated gemycircularvirus 6</t>
  </si>
  <si>
    <t>Pteropus associated gemycircularvirus 7</t>
  </si>
  <si>
    <t>Pteropus associated gemycircularvirus 8</t>
  </si>
  <si>
    <t>Pteropus associated gemycircularvirus 9</t>
  </si>
  <si>
    <t>Pteropus associated gemycircularvirus 10</t>
  </si>
  <si>
    <t>Rat associated gemycircularvirus 1</t>
  </si>
  <si>
    <t>Sewage derived gemycircularvirus 1</t>
  </si>
  <si>
    <t>Sewage derived gemycircularvirus 2</t>
  </si>
  <si>
    <t>Sewage derived gemycircularvirus 3</t>
  </si>
  <si>
    <t>Sewage derived gemycircularvirus 4</t>
  </si>
  <si>
    <t>Sewage derived gemycircularvirus 5</t>
  </si>
  <si>
    <t>Sheep associated gemycircularvirus 1</t>
  </si>
  <si>
    <t>Soybean associated gemycircularvirus 1</t>
  </si>
  <si>
    <t>Gemyduguivirus</t>
  </si>
  <si>
    <t>Dragonfly associated gemyduguivirus 1</t>
  </si>
  <si>
    <t>Gemygorvirus</t>
  </si>
  <si>
    <t>Canine associated gemygorvirus 1</t>
  </si>
  <si>
    <t>Mallard associated gemygorvirus 1</t>
  </si>
  <si>
    <t>Pteropus associated gemygorvirus 1</t>
  </si>
  <si>
    <t>Sewage derived gemygorvirus 1</t>
  </si>
  <si>
    <t>Starling associated gemygorvirus 1</t>
  </si>
  <si>
    <t>Gemykibivirus</t>
  </si>
  <si>
    <t>Badger associated gemykibivirus 1</t>
  </si>
  <si>
    <t>Black robin associated gemykibivirus 1</t>
  </si>
  <si>
    <t>Blackbird associated gemykibivirus 1</t>
  </si>
  <si>
    <t>Bovine associated gemykibivirus 1</t>
  </si>
  <si>
    <t>Dragonfly associated gemykibivirus 1</t>
  </si>
  <si>
    <t>Human associated gemykibivirus 1</t>
  </si>
  <si>
    <t>Human associated gemykibivirus 2</t>
  </si>
  <si>
    <t>Human associated gemykibivirus 3</t>
  </si>
  <si>
    <t>Human associated gemykibivirus 4</t>
  </si>
  <si>
    <t>Human associated gemykibivirus 5</t>
  </si>
  <si>
    <t>Mongoose associated gemykibivirus 1</t>
  </si>
  <si>
    <t>Pteropus associated gemykibivirus 1</t>
  </si>
  <si>
    <t>Rhinolophus associated gemykibivirus 1</t>
  </si>
  <si>
    <t>Rhinolophus associated gemykibivirus 2</t>
  </si>
  <si>
    <t>Sewage derived gemykibivirus 1</t>
  </si>
  <si>
    <t>Sewage derived gemykibivirus 2</t>
  </si>
  <si>
    <t>Gemykolovirus</t>
  </si>
  <si>
    <t>Pteropus associated gemykolovirus 1</t>
  </si>
  <si>
    <t>Pteropus associated gemykolovirus 2</t>
  </si>
  <si>
    <t>Gemykrogvirus</t>
  </si>
  <si>
    <t>Bovine associated gemykrogvirus 1</t>
  </si>
  <si>
    <t>Caribou associated gemykrogvirus 1</t>
  </si>
  <si>
    <t>Sewage derived gemykrogvirus 1</t>
  </si>
  <si>
    <t>Gemykroznavirus</t>
  </si>
  <si>
    <t>Rabbit associated gemykroznavirus 1</t>
  </si>
  <si>
    <t>Gemytondvirus</t>
  </si>
  <si>
    <t>Ostrich associated gemytondvirus 1</t>
  </si>
  <si>
    <t>Gemyvongvirus</t>
  </si>
  <si>
    <t>Human associated gemyvongvirus 1</t>
  </si>
  <si>
    <t>Parrot hepatitis B virus</t>
  </si>
  <si>
    <t>Pomona bat hepatitis B virus</t>
  </si>
  <si>
    <t>White sucker hepatitis B virus</t>
  </si>
  <si>
    <t>Vibrio virus VGJ</t>
  </si>
  <si>
    <t>Habenivirus</t>
  </si>
  <si>
    <t>Ralstonia virus RS603</t>
  </si>
  <si>
    <t>Ralstonia virus RSM1</t>
  </si>
  <si>
    <t>Ralstonia virus RSM3</t>
  </si>
  <si>
    <t>Vibrio virus VFJ</t>
  </si>
  <si>
    <t>Propionibacterium virus B5</t>
  </si>
  <si>
    <t>Ralstonia virus PE226</t>
  </si>
  <si>
    <t>Ralstonia virus RSS1</t>
  </si>
  <si>
    <t>Spiroplasma virus SVTS2</t>
  </si>
  <si>
    <t>Stenotrophomonas virus PSH1</t>
  </si>
  <si>
    <t>Stenotrophomonas virus SMA6</t>
  </si>
  <si>
    <t>Stenotrophomonas virus SMA7</t>
  </si>
  <si>
    <t>Stenotrophomonas virus SMA9</t>
  </si>
  <si>
    <t>Vibrio virus KSF1</t>
  </si>
  <si>
    <t>Vibrio virus VCY</t>
  </si>
  <si>
    <t>Vibrio virus VfO3K6</t>
  </si>
  <si>
    <t>Spiroplasma virus SkV1CR23x</t>
  </si>
  <si>
    <t>Singapore grouper iridovirus</t>
  </si>
  <si>
    <t>Alfalfa enamovirus 1</t>
  </si>
  <si>
    <t>Influenza D virus</t>
  </si>
  <si>
    <t>Rattus norvegicus polyomavirus 1</t>
  </si>
  <si>
    <t>Microtus arvalis polyomavirus 1</t>
  </si>
  <si>
    <t>Myodes glareolus polyomavirus 1</t>
  </si>
  <si>
    <t>Pan troglodytes polyomavirus 8</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</si>
  <si>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</si>
  <si>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</si>
  <si>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</si>
  <si>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</si>
  <si>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</si>
  <si>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</si>
  <si>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</si>
  <si>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</si>
  <si>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</si>
  <si>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</si>
  <si>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</si>
  <si>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</si>
  <si>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</si>
  <si>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</si>
  <si>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</si>
  <si>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</si>
  <si>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Haloarcula virus HCIV1</t>
  </si>
  <si>
    <t>Tolecusatellitidae</t>
  </si>
  <si>
    <t>Betasatellite</t>
  </si>
  <si>
    <t>Ageratum leaf curl Buea betasatellite</t>
  </si>
  <si>
    <t>Ageratum leaf curl Cameroon betasatellite</t>
  </si>
  <si>
    <t>Ageratum yellow leaf curl betasatellite</t>
  </si>
  <si>
    <t>Ageratum yellow vein betasatellite</t>
  </si>
  <si>
    <t>Ageratum yellow vein India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</si>
  <si>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</si>
  <si>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</si>
  <si>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</si>
  <si>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</si>
  <si>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</si>
  <si>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</si>
  <si>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</si>
  <si>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</si>
  <si>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</si>
  <si>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</si>
  <si>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</si>
  <si>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</si>
  <si>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</si>
  <si>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</si>
  <si>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</si>
  <si>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</si>
  <si>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</si>
  <si>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</si>
  <si>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Malvastrum leaf curl Guangdong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</si>
  <si>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</si>
  <si>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</si>
  <si>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</si>
  <si>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</si>
  <si>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</si>
  <si>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</si>
  <si>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</si>
  <si>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</si>
  <si>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</si>
  <si>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</si>
  <si>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</si>
  <si>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</si>
  <si>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</si>
  <si>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</si>
  <si>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</si>
  <si>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</si>
  <si>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</si>
  <si>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</si>
  <si>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</si>
  <si>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</si>
  <si>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</si>
  <si>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</si>
  <si>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</si>
  <si>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</si>
  <si>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</si>
  <si>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</si>
  <si>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</si>
  <si>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</si>
  <si>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</si>
  <si>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Rajasthan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</si>
  <si>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</si>
  <si>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</si>
  <si>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</si>
  <si>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</si>
  <si>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</si>
  <si>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</si>
  <si>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</si>
  <si>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</si>
  <si>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</si>
  <si>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</si>
  <si>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</si>
  <si>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</si>
  <si>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</si>
  <si>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</si>
  <si>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</si>
  <si>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</si>
  <si>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</si>
  <si>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</si>
  <si>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</si>
  <si>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</si>
  <si>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Pyrobaculum filamentous virus 1</t>
  </si>
  <si>
    <t>Blunervirus</t>
  </si>
  <si>
    <t>Blueberry necrotic ring blotch virus</t>
  </si>
  <si>
    <t>Citrus leprosis virus C2</t>
  </si>
  <si>
    <t>Tilapinevirus</t>
  </si>
  <si>
    <t>Tilapia tilapinevirus</t>
  </si>
  <si>
    <t>Colombian potato soil-borne virus</t>
  </si>
  <si>
    <t>Plumeria mosaic virus</t>
  </si>
  <si>
    <t>Tomato brown rugose fruit virus</t>
  </si>
  <si>
    <t>Campylobacter virus CP21</t>
  </si>
  <si>
    <t>New,</t>
  </si>
  <si>
    <t>Renamed,Moved,</t>
  </si>
  <si>
    <t>Moved,</t>
  </si>
  <si>
    <t>Renamed,</t>
  </si>
  <si>
    <t>New,Assigned as Type Species,</t>
  </si>
  <si>
    <t>Moved,Assigned as Type Species,</t>
  </si>
  <si>
    <t>Renamed,Moved,Assigned as Type Species,</t>
  </si>
  <si>
    <t>Merged,Renamed,</t>
  </si>
  <si>
    <t>Mannheimia virus PHL101</t>
  </si>
  <si>
    <t>Lactobacillus virus Lb338-1</t>
  </si>
  <si>
    <t>Escherichia virus CC31</t>
  </si>
  <si>
    <t>Salmonella virus L13</t>
  </si>
  <si>
    <t>Salmonella virus LSPA1</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</si>
  <si>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</si>
  <si>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</si>
  <si>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</si>
  <si>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</si>
  <si>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</si>
  <si>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</si>
  <si>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</si>
  <si>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</si>
  <si>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</si>
  <si>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</si>
  <si>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</si>
  <si>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</si>
  <si>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</si>
  <si>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Bovine orthopneumovirus</t>
  </si>
  <si>
    <t>Human orthopneumovirus</t>
  </si>
  <si>
    <t>Murine orthopneumovirus</t>
  </si>
  <si>
    <t>Piscine novirhabdovirus</t>
  </si>
  <si>
    <t>Salmonid novirhabdovirus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</si>
  <si>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</si>
  <si>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</si>
  <si>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</si>
  <si>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</si>
  <si>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</si>
  <si>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</si>
  <si>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</si>
  <si>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</si>
  <si>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</si>
  <si>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</si>
  <si>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</si>
  <si>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</si>
  <si>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</si>
  <si>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</si>
  <si>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</si>
  <si>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</si>
  <si>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</si>
  <si>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</si>
  <si>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</si>
  <si>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</si>
  <si>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</si>
  <si>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</si>
  <si>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</si>
  <si>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</si>
  <si>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</si>
  <si>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</si>
  <si>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</si>
  <si>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</si>
  <si>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</si>
  <si>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</si>
  <si>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</si>
  <si>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</si>
  <si>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</si>
  <si>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</si>
  <si>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</si>
  <si>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Artashat orthonairovirus</t>
  </si>
  <si>
    <t>Chim orthonairovirus</t>
  </si>
  <si>
    <t>Tamdy orthonairovirus</t>
  </si>
  <si>
    <t>Wolkberg orthobunyavirus</t>
  </si>
  <si>
    <t>Ackermannviridae</t>
  </si>
  <si>
    <t>Aglimvirinae</t>
  </si>
  <si>
    <t>Salmonella virus SKML39</t>
  </si>
  <si>
    <t>Limestonevirus</t>
  </si>
  <si>
    <t>Dickeya virus RC2014</t>
  </si>
  <si>
    <t>Cvivirinae</t>
  </si>
  <si>
    <t>Salmonella virus 38</t>
  </si>
  <si>
    <t>Salmonella virus GG32</t>
  </si>
  <si>
    <t>Salmonella virus PM10</t>
  </si>
  <si>
    <t>Erwinia virus Ea2809</t>
  </si>
  <si>
    <t>Klebsiella virus 0507KN21</t>
  </si>
  <si>
    <t>Serratia virus IME250</t>
  </si>
  <si>
    <t>Serratia virus MAM1</t>
  </si>
  <si>
    <t>2015.025aB.A.v4.phagesp_ren.pdf</t>
  </si>
  <si>
    <t>Erwinia virus Asesino</t>
  </si>
  <si>
    <t>Erwinia virus EaH2</t>
  </si>
  <si>
    <t>Machinavirus</t>
  </si>
  <si>
    <t>Erwinia virus Machina</t>
  </si>
  <si>
    <t>Svunavirus</t>
  </si>
  <si>
    <t>Bacillus virus 1</t>
  </si>
  <si>
    <t>Geobacillus virus GBSV1</t>
  </si>
  <si>
    <t>Dinoroseobacter virus DFL12</t>
  </si>
  <si>
    <t>Jwalphavirus</t>
  </si>
  <si>
    <t>Achromobacter virus Axp3</t>
  </si>
  <si>
    <t>Achromobacter virus JWAlpha</t>
  </si>
  <si>
    <t>Salmonella virus BTP1</t>
  </si>
  <si>
    <t>Escherichia virus Pollock</t>
  </si>
  <si>
    <t>Salmonella virus FSL SP-058</t>
  </si>
  <si>
    <t>Salmonella virus FSL SP-076</t>
  </si>
  <si>
    <t>Chebruvirinae</t>
  </si>
  <si>
    <t>Brujitavirus</t>
  </si>
  <si>
    <t>Mycobacterium virus Sbash</t>
  </si>
  <si>
    <t>Dclasvirinae</t>
  </si>
  <si>
    <t>Hawkeyevirus</t>
  </si>
  <si>
    <t>Mycobacterium virus Hawkeye</t>
  </si>
  <si>
    <t>Plotvirus</t>
  </si>
  <si>
    <t>Mycobacterium virus Plot</t>
  </si>
  <si>
    <t>Mccleskeyvirinae</t>
  </si>
  <si>
    <t>Leuconostoc virus Lmd1</t>
  </si>
  <si>
    <t>Leuconostoc virus LN03</t>
  </si>
  <si>
    <t>Leuconostoc virus LN04</t>
  </si>
  <si>
    <t>Leuconostoc virus LN12</t>
  </si>
  <si>
    <t>Leuconostoc virus LN6B</t>
  </si>
  <si>
    <t>Leuconostoc virus P793</t>
  </si>
  <si>
    <t>Leuconostoc virus 1A4</t>
  </si>
  <si>
    <t>Leuconostoc virus Ln8</t>
  </si>
  <si>
    <t>Leuconostoc virus Ln9</t>
  </si>
  <si>
    <t>Leuconostoc virus LN25</t>
  </si>
  <si>
    <t>Leuconostoc virus LN34</t>
  </si>
  <si>
    <t>Leuconostoc virus LNTR3</t>
  </si>
  <si>
    <t>Nclasvirinae</t>
  </si>
  <si>
    <t>Buttersvirus</t>
  </si>
  <si>
    <t>Mycobacterium virus Butters</t>
  </si>
  <si>
    <t>Mycobacterium virus Michelle</t>
  </si>
  <si>
    <t>Mycobacterium virus Pipsqueaks</t>
  </si>
  <si>
    <t>Mycobacterium virus Xeno</t>
  </si>
  <si>
    <t>Redivirus</t>
  </si>
  <si>
    <t>Mycobacterium virus Panchino</t>
  </si>
  <si>
    <t>Mycobacterium virus Phrann</t>
  </si>
  <si>
    <t>Mycobacterium virus Skinnyp</t>
  </si>
  <si>
    <t>Nymbaxtervirinae</t>
  </si>
  <si>
    <t>Baxtervirus</t>
  </si>
  <si>
    <t>Gordonia virus BaxterFox</t>
  </si>
  <si>
    <t>Gordonia virus Yeezy</t>
  </si>
  <si>
    <t>Nymphadoravirus</t>
  </si>
  <si>
    <t>Gordonia virus Kita</t>
  </si>
  <si>
    <t>Gordonia virus Zirinka</t>
  </si>
  <si>
    <t>Anatolevirus</t>
  </si>
  <si>
    <t>Propionibacterium virus Anatole</t>
  </si>
  <si>
    <t>Propionibacterium virus B3</t>
  </si>
  <si>
    <t>Attisvirus</t>
  </si>
  <si>
    <t>Gordonia virus Attis</t>
  </si>
  <si>
    <t>Doucettevirus</t>
  </si>
  <si>
    <t>Propionibacterium virus B22</t>
  </si>
  <si>
    <t>Propionibacterium virus Doucette</t>
  </si>
  <si>
    <t>Propionibacterium virus E6</t>
  </si>
  <si>
    <t>Propionibacterium virus G4</t>
  </si>
  <si>
    <t>Escherichia virus HK75</t>
  </si>
  <si>
    <t>Escherichia virus HK106</t>
  </si>
  <si>
    <t>Escherichia virus HK446</t>
  </si>
  <si>
    <t>Escherichia virus HK542</t>
  </si>
  <si>
    <t>Escherichia virus HK544</t>
  </si>
  <si>
    <t>Escherichia virus HK633</t>
  </si>
  <si>
    <t>Escherichia virus mEp234</t>
  </si>
  <si>
    <t>Escherichia virus mEpX1</t>
  </si>
  <si>
    <t>Escherichia virus mEpX2</t>
  </si>
  <si>
    <t>Escherichia virus DE3</t>
  </si>
  <si>
    <t>Escherichia virus HK629</t>
  </si>
  <si>
    <t>Escherichia virus HK630</t>
  </si>
  <si>
    <t>Propionibacterium virus PFR1</t>
  </si>
  <si>
    <t>Geobacillus virus Tp84</t>
  </si>
  <si>
    <t>Trigintaduovirus</t>
  </si>
  <si>
    <t>Mycobacterium virus 32HC</t>
  </si>
  <si>
    <t>Wizardvirus</t>
  </si>
  <si>
    <t>Gordonia virus Twister6</t>
  </si>
  <si>
    <t>Gordonia virus Wizard</t>
  </si>
  <si>
    <t>Ranid herpesvirus 3</t>
  </si>
  <si>
    <t>2011.008a-cB.A.v2.Ligamenvirales.pdf</t>
  </si>
  <si>
    <t>Carbovirus</t>
  </si>
  <si>
    <t>Queensland carbovirus</t>
  </si>
  <si>
    <t>Southwest carbovirus</t>
  </si>
  <si>
    <t>Orthobornavirus</t>
  </si>
  <si>
    <t>Elapid 1 orthobornavirus</t>
  </si>
  <si>
    <t>Mammalian 1 orthobornavirus</t>
  </si>
  <si>
    <t>Mammalian 2 orthobornavirus</t>
  </si>
  <si>
    <t>Passeriform 1 orthobornavirus</t>
  </si>
  <si>
    <t>Passeriform 2 orthobornavirus</t>
  </si>
  <si>
    <t>Psittaciform 1 orthobornavirus</t>
  </si>
  <si>
    <t>Psittaciform 2 orthobornavirus</t>
  </si>
  <si>
    <t>Waterbird 1 orthobornavirus</t>
  </si>
  <si>
    <t>Tai Forest ebolavirus</t>
  </si>
  <si>
    <t>2017.001G.A.v2.43spren.zip</t>
  </si>
  <si>
    <t>Kanyawara ledantevirus</t>
  </si>
  <si>
    <t>ICTV 7th Report.pdf</t>
  </si>
  <si>
    <t>Gannoruwa bat lyssavirus</t>
  </si>
  <si>
    <t>Lleida bat lyssavirus</t>
  </si>
  <si>
    <t>Beatrice Hill tibrovirus</t>
  </si>
  <si>
    <t>Ortervirales</t>
  </si>
  <si>
    <t>Belpaoviridae</t>
  </si>
  <si>
    <t>Antheraea semotivirus Tamy</t>
  </si>
  <si>
    <t>Drosophila semotivirus Max</t>
  </si>
  <si>
    <t>Schistosoma semotivirus Sinbad</t>
  </si>
  <si>
    <t>Takifugu rubripes Suzu virus</t>
  </si>
  <si>
    <t>Cacao mild mosaic virus</t>
  </si>
  <si>
    <t>Cacao yellow vein banding virus</t>
  </si>
  <si>
    <t>Dioscorea bacilliform RT virus 1</t>
  </si>
  <si>
    <t>Dioscorea bacilliform RT virus 2</t>
  </si>
  <si>
    <t>Dioscorea bacilliform TR virus</t>
  </si>
  <si>
    <t>Kalanchoe top-spotting virus</t>
  </si>
  <si>
    <t>Wisteria badnavirus 1</t>
  </si>
  <si>
    <t>Drosophila melanogaster 17-6 virus</t>
  </si>
  <si>
    <t xml:space="preserve">Proposal for Last Change </t>
  </si>
  <si>
    <t>Triticum aestivum WIS2 virus</t>
  </si>
  <si>
    <t>Zea mays Sto4 virus</t>
  </si>
  <si>
    <t>Zea mays Opie2 virus</t>
  </si>
  <si>
    <t>Zea mays Prem2 virus</t>
  </si>
  <si>
    <t>Visna-maedi virus</t>
  </si>
  <si>
    <t>Bovispumavirus</t>
  </si>
  <si>
    <t>Equispumavirus</t>
  </si>
  <si>
    <t>Felispumavirus</t>
  </si>
  <si>
    <t>Prosimiispumavirus</t>
  </si>
  <si>
    <t>Brown greater galago prosimian foamy virus</t>
  </si>
  <si>
    <t>Simiispumavirus</t>
  </si>
  <si>
    <t>Bornean orangutan simian foamy virus</t>
  </si>
  <si>
    <t>Eastern chimpanzee simian foamy virus</t>
  </si>
  <si>
    <t>Grivet simian foamy virus</t>
  </si>
  <si>
    <t>Guenon simian foamy virus</t>
  </si>
  <si>
    <t>Japanese macaque simian foamy virus</t>
  </si>
  <si>
    <t>Rhesus macaque simian foamy virus</t>
  </si>
  <si>
    <t>Spider monkey simian foamy virus</t>
  </si>
  <si>
    <t>Squirrel monkey simian foamy virus</t>
  </si>
  <si>
    <t>Taiwanese macaque simian foamy virus</t>
  </si>
  <si>
    <t>Western chimpanzee simian foamy virus</t>
  </si>
  <si>
    <t>Western lowland gorilla simian foamy virus</t>
  </si>
  <si>
    <t>White-tufted-ear marmoset simian foamy virus</t>
  </si>
  <si>
    <t>Yellow-breasted capuchin simian foamy virus</t>
  </si>
  <si>
    <t>Solenopsis invicta virus 1</t>
  </si>
  <si>
    <t>Homalodisca coagulata virus 1</t>
  </si>
  <si>
    <t>Varroa destructor virus 1</t>
  </si>
  <si>
    <t>Aalivirus</t>
  </si>
  <si>
    <t>Aalivirus A</t>
  </si>
  <si>
    <t>Bopivirus</t>
  </si>
  <si>
    <t>Bopivirus A</t>
  </si>
  <si>
    <t>Crohivirus</t>
  </si>
  <si>
    <t>Crohivirus A</t>
  </si>
  <si>
    <t>Crohivirus B</t>
  </si>
  <si>
    <t>Enterovirus K</t>
  </si>
  <si>
    <t>Enterovirus L</t>
  </si>
  <si>
    <t>Kunsagivirus B</t>
  </si>
  <si>
    <t>Kunsagivirus C</t>
  </si>
  <si>
    <t>Megrivirus A</t>
  </si>
  <si>
    <t>Megrivirus B</t>
  </si>
  <si>
    <t>Megrivirus C</t>
  </si>
  <si>
    <t>Megrivirus D</t>
  </si>
  <si>
    <t>Megrivirus E</t>
  </si>
  <si>
    <t>Orivirus</t>
  </si>
  <si>
    <t>Orivirus A</t>
  </si>
  <si>
    <t>Shanbavirus</t>
  </si>
  <si>
    <t>Shanbavirus A</t>
  </si>
  <si>
    <t>Polycipiviridae</t>
  </si>
  <si>
    <t>Chipolycivirus</t>
  </si>
  <si>
    <t>Chironomus riparius virus 1</t>
  </si>
  <si>
    <t>Hubei chipolycivirus</t>
  </si>
  <si>
    <t>Hupolycivirus</t>
  </si>
  <si>
    <t>Hubei hupolycivirus</t>
  </si>
  <si>
    <t>Sopolycivirus</t>
  </si>
  <si>
    <t>Formica exsecta virus 3</t>
  </si>
  <si>
    <t>Lasius neglectus virus 1</t>
  </si>
  <si>
    <t>Lasius neglectus virus 2</t>
  </si>
  <si>
    <t>Lasius niger virus 1</t>
  </si>
  <si>
    <t>Linepithema humile virus 2</t>
  </si>
  <si>
    <t>Monomorium pharaonis virus 1</t>
  </si>
  <si>
    <t>Monomorium pharaonis virus 2</t>
  </si>
  <si>
    <t>Myrmica scabrinodis virus 1</t>
  </si>
  <si>
    <t>Shuangao insect virus 8</t>
  </si>
  <si>
    <t>Solenopsis invicta virus 2</t>
  </si>
  <si>
    <t>Solenopsis invicta virus 4</t>
  </si>
  <si>
    <t>Grapevine fabavirus</t>
  </si>
  <si>
    <t>Prunus virus F</t>
  </si>
  <si>
    <t>Potato virus B</t>
  </si>
  <si>
    <t>Soybean latent spherical virus</t>
  </si>
  <si>
    <t>Dioscorea mosaic associated virus</t>
  </si>
  <si>
    <t>Chaetoceros socialis forma radians RNA virus 1</t>
  </si>
  <si>
    <t>Alfalfa virus S</t>
  </si>
  <si>
    <t>Arachis pintoi virus</t>
  </si>
  <si>
    <t>Vanilla latent virus</t>
  </si>
  <si>
    <t>Actinidia virus X</t>
  </si>
  <si>
    <t>Pitaya virus X</t>
  </si>
  <si>
    <t>Vanilla virus X</t>
  </si>
  <si>
    <t>Atractylodes mottle virus</t>
  </si>
  <si>
    <t>Kalanchoe latent virus</t>
  </si>
  <si>
    <t>Ligustrum virus A</t>
  </si>
  <si>
    <t>Sambucus virus C</t>
  </si>
  <si>
    <t>Sambucus virus D</t>
  </si>
  <si>
    <t>Sambucus virus E</t>
  </si>
  <si>
    <t>Sint-Jan onion latent virus</t>
  </si>
  <si>
    <t>Yam latent virus</t>
  </si>
  <si>
    <t>Asian prunus virus 2</t>
  </si>
  <si>
    <t>Arracacha virus V</t>
  </si>
  <si>
    <t>Deltaflexiviridae</t>
  </si>
  <si>
    <t>Deltaflexivirus</t>
  </si>
  <si>
    <t>Fusarium deltaflexivirus 1</t>
  </si>
  <si>
    <t>Sclerotinia deltaflexivirus 1</t>
  </si>
  <si>
    <t>Soybean-associated deltaflexivirus 1</t>
  </si>
  <si>
    <t>Grapevine asteroid mosaic associated virus</t>
  </si>
  <si>
    <t>Peach marafivirus D</t>
  </si>
  <si>
    <t>Deer atadenovirus A</t>
  </si>
  <si>
    <t>Pigeon aviadenovirus B</t>
  </si>
  <si>
    <t>Psittacine aviadenovirus B</t>
  </si>
  <si>
    <t>Bat mastadenovirus C</t>
  </si>
  <si>
    <t>Bat mastadenovirus D</t>
  </si>
  <si>
    <t>Bat mastadenovirus E</t>
  </si>
  <si>
    <t>Bat mastadenovirus F</t>
  </si>
  <si>
    <t>Bat mastadenovirus G</t>
  </si>
  <si>
    <t>Deer mastadenovirus B</t>
  </si>
  <si>
    <t>Dolphin mastadenovirus B</t>
  </si>
  <si>
    <t>Simian mastadenovirus I</t>
  </si>
  <si>
    <t>Squirrel mastadenovirus A</t>
  </si>
  <si>
    <t>Alphasatellitidae</t>
  </si>
  <si>
    <t>Geminialphasatellitinae</t>
  </si>
  <si>
    <t>Ageyesisatellite</t>
  </si>
  <si>
    <t>Ageratum yellow vein Singapore alphasatellite</t>
  </si>
  <si>
    <t>2017.004P.A.v4.Alphasatellitidae.zip</t>
  </si>
  <si>
    <t>Cotton leaf curl Saudi Arabia alphasatellite</t>
  </si>
  <si>
    <t>Clecrusatellite</t>
  </si>
  <si>
    <t>Cleome leaf crumple alphasatellite</t>
  </si>
  <si>
    <t>Croton yellow vein mosaic alphasatellite</t>
  </si>
  <si>
    <t>Euphorbia yellow mosaic alphasatellite</t>
  </si>
  <si>
    <t>Melon chlorotic mosaic alphasatellite</t>
  </si>
  <si>
    <t>Sida Cuba alphasatellite</t>
  </si>
  <si>
    <t>Tomato yellow spot alphasatellite</t>
  </si>
  <si>
    <t>Whitefly associated Guatemala alphasatellite 2</t>
  </si>
  <si>
    <t>Whitefly associated Puerto Rico alphasatellite 1</t>
  </si>
  <si>
    <t>Colecusatellite</t>
  </si>
  <si>
    <t>Ageratum enation alphasatellite</t>
  </si>
  <si>
    <t>Ageratum yellow vein alphasatellite</t>
  </si>
  <si>
    <t>Ageratum yellow vein China alphasatellite</t>
  </si>
  <si>
    <t>Ageratum yellow vein India alphasatellite</t>
  </si>
  <si>
    <t>Bhendi yellow vein alphasatellite</t>
  </si>
  <si>
    <t>Cassava mosaic Madagascar alphasatellite</t>
  </si>
  <si>
    <t>Chilli leaf curl alphasatellite</t>
  </si>
  <si>
    <t>Cotton leaf curl Egypt alphasatellite</t>
  </si>
  <si>
    <t>Cotton leaf curl Gezira alphasatellite</t>
  </si>
  <si>
    <t>Cotton leaf curl Lucknow alphasatellite</t>
  </si>
  <si>
    <t>Cotton leaf curl Multan alphasatellite</t>
  </si>
  <si>
    <t>Gossypium darwinii symptomless alphasatellite</t>
  </si>
  <si>
    <t>Malvastrum yellow mosaic alphasatellite</t>
  </si>
  <si>
    <t>Malvastrum yellow mosaic Cameroon alphasatellite</t>
  </si>
  <si>
    <t>Pedilanthus leaf curl alphasatellite</t>
  </si>
  <si>
    <t>Sida leaf curl alphasatellite</t>
  </si>
  <si>
    <t>Sida yellow vein Vietnam alphasatellite</t>
  </si>
  <si>
    <t>Sunflower leaf curl Karnataka alphasatellite</t>
  </si>
  <si>
    <t>Synedrella leaf curl alphasatellite</t>
  </si>
  <si>
    <t>Tobacco curly shoot alphasatellite</t>
  </si>
  <si>
    <t>Tomato leaf curl Buea alphasatellite</t>
  </si>
  <si>
    <t>Tomato leaf curl Cameroon alphasatellite</t>
  </si>
  <si>
    <t>Tomato yellow leaf curl China alphasatellite</t>
  </si>
  <si>
    <t>Tomato yellow leaf curl Thailand alphasatellite</t>
  </si>
  <si>
    <t>Tomato yellow leaf curl Yunnan alphasatellite</t>
  </si>
  <si>
    <t>Gosmusatellite</t>
  </si>
  <si>
    <t>Gossypium mustelinum symptomless alphasatellite</t>
  </si>
  <si>
    <t>Hollyhock yellow vein alphasatellite</t>
  </si>
  <si>
    <t>Mesta yellow vein mosaic alphasatellite</t>
  </si>
  <si>
    <t>Okra enation leaf curl alphasatellite</t>
  </si>
  <si>
    <t>Okra yellow crinkle Cameroon alphasatellite</t>
  </si>
  <si>
    <t>Vernonia yellow vein Fujian alphasatellite</t>
  </si>
  <si>
    <t>Dragonfly associated alphasatellite</t>
  </si>
  <si>
    <t>Nanoalphasatellitinae</t>
  </si>
  <si>
    <t>Babusatellite</t>
  </si>
  <si>
    <t>Banana bunchy top alphasatellite 1</t>
  </si>
  <si>
    <t>Banana bunchy top alphasatellite 3</t>
  </si>
  <si>
    <t>Cardamom bushy dwarf alphasatellite</t>
  </si>
  <si>
    <t>Clostunsatellite</t>
  </si>
  <si>
    <t>Subterranean clover stunt alphasatellite 2</t>
  </si>
  <si>
    <t>Fabenesatellite</t>
  </si>
  <si>
    <t>Faba bean necrotic yellows alphasatellite 2</t>
  </si>
  <si>
    <t>Milvetsatellite</t>
  </si>
  <si>
    <t>Mivedwarsatellite</t>
  </si>
  <si>
    <t>Faba bean necrotic stunt alphasatellite</t>
  </si>
  <si>
    <t>Sophora yellow stunt alphasatellite 2</t>
  </si>
  <si>
    <t>Sophoyesatellite</t>
  </si>
  <si>
    <t>Sophora yellow stunt alphasatellite 3</t>
  </si>
  <si>
    <t>Subclovsatellite</t>
  </si>
  <si>
    <t>Faba bean necrotic yellows alphasatellite 1</t>
  </si>
  <si>
    <t>Subterranean clover stunt alphasatellite 1</t>
  </si>
  <si>
    <t>Coconut foliar decay alphasatellite</t>
  </si>
  <si>
    <t>2005.084B.04.Ampullavirus.pdf</t>
  </si>
  <si>
    <t>2007.075a-xxV.v4.Anelloviridae.pdf</t>
  </si>
  <si>
    <t>2010.007aV.A.v2.Betatorquevirus-3sp.pdf</t>
  </si>
  <si>
    <t>2010.006aV.A.v2.Etatorquevirus-sp.pdf</t>
  </si>
  <si>
    <t>2010.008aV.A.v2.Gammatorquevirus-13sp.pdf</t>
  </si>
  <si>
    <t>2014.006f,gD.A.v3.Gyrovirus_move.pdf</t>
  </si>
  <si>
    <t>2011.002aV.A.v2.Anelloviridae_2Sp-ren.pdf</t>
  </si>
  <si>
    <t>2015.003a,bD.A.v1.Kappatorquevirus_sp,ren.pdf</t>
  </si>
  <si>
    <t>2010.004a-dV.A.v2.Lambdatorquevirus.pdf</t>
  </si>
  <si>
    <t>Hartmanivirus</t>
  </si>
  <si>
    <t>Haartman hartmanivirus</t>
  </si>
  <si>
    <t>Argentinian mammarenavirus</t>
  </si>
  <si>
    <t>Brazilian mammarenavirus</t>
  </si>
  <si>
    <t>Cali mammarenavirus</t>
  </si>
  <si>
    <t>Paraguayan mammarenavirus</t>
  </si>
  <si>
    <t>Ryukyu mammarenavirus</t>
  </si>
  <si>
    <t>Serra do Navio mammarenavirus </t>
  </si>
  <si>
    <t>Souris mammarenavirus</t>
  </si>
  <si>
    <t>California reptarenavirus</t>
  </si>
  <si>
    <t>Giessen reptarenavirus</t>
  </si>
  <si>
    <t>Golden reptarenavirus</t>
  </si>
  <si>
    <t>Ordinary reptarenavirus</t>
  </si>
  <si>
    <t>Rotterdam reptarenavirus</t>
  </si>
  <si>
    <t>Aspiviridae</t>
  </si>
  <si>
    <t>Blueberry mosaic associated ophiovirus</t>
  </si>
  <si>
    <t>Citrus psorosis ophiovirus</t>
  </si>
  <si>
    <t>Freesia sneak ophiovirus</t>
  </si>
  <si>
    <t>Lettuce ring necrosis ophiovirus</t>
  </si>
  <si>
    <t>Mirafiori lettuce big-vein ophiovirus</t>
  </si>
  <si>
    <t>Ranunculus white mottle ophiovirus</t>
  </si>
  <si>
    <t>Tulip mild mottle mosaic ophiovirus</t>
  </si>
  <si>
    <t>Bacilladnaviridae</t>
  </si>
  <si>
    <t>Diatodnavirus</t>
  </si>
  <si>
    <t>Chaetoceros diatodnavirus 1</t>
  </si>
  <si>
    <t>Kieseladnavirus</t>
  </si>
  <si>
    <t>Avon-Heathcote Estuary associated kieseladnavirus</t>
  </si>
  <si>
    <t>Protobacilladnavirus</t>
  </si>
  <si>
    <t>Chaetoceros protobacilladnavirus 1</t>
  </si>
  <si>
    <t>Chaetoceros protobacilladnavirus 2</t>
  </si>
  <si>
    <t>Chaetoceros protobacilladnavirus 3</t>
  </si>
  <si>
    <t>Chaetoceros protobacilladnavirus 4</t>
  </si>
  <si>
    <t>Marine protobacilladnavirus 1</t>
  </si>
  <si>
    <t>Snail associated protobacilladnavirus 1</t>
  </si>
  <si>
    <t>Snail associated protobacilladnavirus 2</t>
  </si>
  <si>
    <t>2006.034-039I 04 Alphabaculovirus.pdf</t>
  </si>
  <si>
    <t>2015.002a,bD.A.v2.Alphabaculovirus_sp,ren.pdf</t>
  </si>
  <si>
    <t>2012.001aI.A.v2.Alphabaculovirus-8sp.pdf</t>
  </si>
  <si>
    <t>2016.001aD.A.v2.Alphabaculovirus_sp.pdf</t>
  </si>
  <si>
    <t>2016.004aD.A.v1.Alphabaculovirus_4sp.pdf</t>
  </si>
  <si>
    <t>2015.007aD.A.v2.Alphabaculovirus_sp.pdf</t>
  </si>
  <si>
    <t>2014.002aI.A.v1.Alphabaculovirus-sprem.pdf</t>
  </si>
  <si>
    <t>2015.016aD.A.v2.Alphabaculovirus_sp.pdf</t>
  </si>
  <si>
    <t>2006.033I 04 Betabaculovirus.pdf</t>
  </si>
  <si>
    <t>2015.001aD.A.v2.Betabaculovirus_sp.pdf</t>
  </si>
  <si>
    <t>2016.005aD.A.v1.Betabaculovirus_6sp.pdf</t>
  </si>
  <si>
    <t>Cnaphalocrocis medinalis granulovirus</t>
  </si>
  <si>
    <t>2017.008D.A.v1.Betabaculovirus_2sp1ren.zip</t>
  </si>
  <si>
    <t>2015.011aD.A.v2.Betabaculovirus_sp.pdf</t>
  </si>
  <si>
    <t>Mythimna unipuncta granulovirus A</t>
  </si>
  <si>
    <t>Mythimna unipuncta granulovirus B</t>
  </si>
  <si>
    <t>2015.013aD.A.v2.Betabaculovirus_sp.pdf</t>
  </si>
  <si>
    <t>2006.044-048I 04 Deltabaculovirus.pdf</t>
  </si>
  <si>
    <t>2006.040-043I 04 Gammabaculovirus.pdf</t>
  </si>
  <si>
    <t>2007.086-89B.Bicaudavirus.pdf</t>
  </si>
  <si>
    <t>Ageratum latent virus</t>
  </si>
  <si>
    <t>Privet ringspot virus</t>
  </si>
  <si>
    <t>Tomato necrotic streak virus</t>
  </si>
  <si>
    <t>Newbury 1 virus</t>
  </si>
  <si>
    <t>Penicillium cyaneofulvum virus</t>
  </si>
  <si>
    <t>Bat associated circovirus 9</t>
  </si>
  <si>
    <t>Porcine circovirus 3</t>
  </si>
  <si>
    <t>Human associated cyclovirus 12</t>
  </si>
  <si>
    <t>Mouse associated cyclovirus 1</t>
  </si>
  <si>
    <t>2010.002a-gB.A.v2.Clavaviridae.pdf</t>
  </si>
  <si>
    <t>Grapevine leafroll-associated virus 13</t>
  </si>
  <si>
    <t>Pseudomonas virus phi8</t>
  </si>
  <si>
    <t>Pseudomonas virus phi12</t>
  </si>
  <si>
    <t>Pseudomonas virus phi13</t>
  </si>
  <si>
    <t>Pseudomonas virus phi2954</t>
  </si>
  <si>
    <t>Pseudomonas virus phiNN</t>
  </si>
  <si>
    <t>Pseudomonas virus phiYY</t>
  </si>
  <si>
    <t>Winged bean alphaendornavirus 1</t>
  </si>
  <si>
    <t>Botrytis cinerea betaendornavirus 1</t>
  </si>
  <si>
    <t>Saint Louis encephalitis virus</t>
  </si>
  <si>
    <t>Pestivirus A</t>
  </si>
  <si>
    <t>Pestivirus B</t>
  </si>
  <si>
    <t>Pestivirus C</t>
  </si>
  <si>
    <t>Pestivirus D</t>
  </si>
  <si>
    <t>Pestivirus E</t>
  </si>
  <si>
    <t>Pestivirus F</t>
  </si>
  <si>
    <t>Pestivirus G</t>
  </si>
  <si>
    <t>Pestivirus H</t>
  </si>
  <si>
    <t>Pestivirus I</t>
  </si>
  <si>
    <t>Pestivirus J</t>
  </si>
  <si>
    <t>Pestivirus K</t>
  </si>
  <si>
    <t>2011.001a-fB.A.v3.Betafusellovirus.pdf</t>
  </si>
  <si>
    <t>Allamanda leaf mottle distortion virus</t>
  </si>
  <si>
    <t>Andrographis yellow vein leaf curl virus</t>
  </si>
  <si>
    <t>Asystasia mosaic Madagascar virus</t>
  </si>
  <si>
    <t>Bean white chlorosis mosaic virus</t>
  </si>
  <si>
    <t>Cnidoscolus mosaic leaf deformation virus</t>
  </si>
  <si>
    <t>Coccinia mosaic Tamil Nadu virus</t>
  </si>
  <si>
    <t>Common bean mottle virus</t>
  </si>
  <si>
    <t>Common bean severe mosaic virus</t>
  </si>
  <si>
    <t>Cotton leaf curl Barasat virus</t>
  </si>
  <si>
    <t>Cotton yellow mosaic virus</t>
  </si>
  <si>
    <t>Deinbollia mosaic virus</t>
  </si>
  <si>
    <t>Desmodium mottle virus</t>
  </si>
  <si>
    <t>Duranta leaf curl virus</t>
  </si>
  <si>
    <t>Euphorbia mosaic Peru virus</t>
  </si>
  <si>
    <t>Euphorbia yellow leaf curl virus</t>
  </si>
  <si>
    <t>Hollyhock yellow vein mosaic virus</t>
  </si>
  <si>
    <t>Jacquemontia yellow mosaic virus</t>
  </si>
  <si>
    <t>Jatropha leaf curl Gujarat virus</t>
  </si>
  <si>
    <t>Jatropha leaf yellow mosaic virus</t>
  </si>
  <si>
    <t>Lisianthus enation leaf curl virus</t>
  </si>
  <si>
    <t>Lycianthes yellow mosaic virus</t>
  </si>
  <si>
    <t>Macroptilium bright mosaic virus</t>
  </si>
  <si>
    <t>Macroptilium common mosaic virus</t>
  </si>
  <si>
    <t>Malvastrum bright yellow mosaic virus</t>
  </si>
  <si>
    <t>Malvastrum yellow vein Cambodia virus</t>
  </si>
  <si>
    <t>Melochia mosaic virus</t>
  </si>
  <si>
    <t>Melochia yellow mosaic virus</t>
  </si>
  <si>
    <t>Mirabilis leaf curl virus</t>
  </si>
  <si>
    <t>Okra leaf curl Oman virus</t>
  </si>
  <si>
    <t>Oxalis yellow vein virus</t>
  </si>
  <si>
    <t>Passionfruit leaf distortion virus</t>
  </si>
  <si>
    <t>Pavonia mosaic virus</t>
  </si>
  <si>
    <t>Pavonia yellow mosaic virus</t>
  </si>
  <si>
    <t>Pea leaf distortion virus</t>
  </si>
  <si>
    <t>Pedilanthus leaf curl virus</t>
  </si>
  <si>
    <t>Pepper yellow leaf curl Thailand virus</t>
  </si>
  <si>
    <t>Ramie mosaic Yunnan virus</t>
  </si>
  <si>
    <t>Senna leaf curl virus</t>
  </si>
  <si>
    <t>Sida angular mosaic virus</t>
  </si>
  <si>
    <t>Sida bright yellow mosaic virus</t>
  </si>
  <si>
    <t>Sida chlorotic mottle virus</t>
  </si>
  <si>
    <t>Sida chlorotic vein virus</t>
  </si>
  <si>
    <t>Sida golden yellow spot virus</t>
  </si>
  <si>
    <t>Solanum mosaic Bolivia virus</t>
  </si>
  <si>
    <t>Sweet potato golden vein Korea virus</t>
  </si>
  <si>
    <t>Sweet potato leaf curl Guangxi virus</t>
  </si>
  <si>
    <t>Synedrella yellow vein clearing virus</t>
  </si>
  <si>
    <t>Telfairia golden mosaic virus</t>
  </si>
  <si>
    <t>Tomato chlorotic mottle Guyane virus</t>
  </si>
  <si>
    <t>Tomato enation leaf curl virus</t>
  </si>
  <si>
    <t>Tomato golden leaf spot virus</t>
  </si>
  <si>
    <t>Tomato latent virus</t>
  </si>
  <si>
    <t>Tomato leaf curl Burkina Faso virus</t>
  </si>
  <si>
    <t>Tomato mottle wrinkle virus</t>
  </si>
  <si>
    <t>Tomato yellow leaf curl Shuangbai virus</t>
  </si>
  <si>
    <t>Tomato yellow leaf curl Yunnan virus</t>
  </si>
  <si>
    <t>Triumfetta yellow mosaic virus</t>
  </si>
  <si>
    <t>Velvet bean golden mosaic virus</t>
  </si>
  <si>
    <t>Vernonia crinkle virus</t>
  </si>
  <si>
    <t>Vinca leaf curl virus</t>
  </si>
  <si>
    <t>Whitefly-associated begomovirus 1</t>
  </si>
  <si>
    <t>Whitefly-associated begomovirus 2</t>
  </si>
  <si>
    <t>Whitefly-associated begomovirus 3</t>
  </si>
  <si>
    <t>Whitefly-associated begomovirus 4</t>
  </si>
  <si>
    <t>Whitefly-associated begomovirus 6</t>
  </si>
  <si>
    <t>Whitefly-associated begomovirus 7</t>
  </si>
  <si>
    <t>Wissadula yellow mosaic virus</t>
  </si>
  <si>
    <t>Chickpea yellow dwarf virus</t>
  </si>
  <si>
    <t>Dragonfly-associated mastrevirus</t>
  </si>
  <si>
    <t>Sporobolus striate mosaic virus 1</t>
  </si>
  <si>
    <t>Sporobolus striate mosaic virus 2</t>
  </si>
  <si>
    <t>Sugarcane chlorotic streak virus</t>
  </si>
  <si>
    <t>Sugarcane striate virus</t>
  </si>
  <si>
    <t>Sweet potato symptomless virus 1</t>
  </si>
  <si>
    <t>Turnip leaf roll virus</t>
  </si>
  <si>
    <t>2005.077-80B.04.Globulovirus.pdf</t>
  </si>
  <si>
    <t>2007.085B.04.TTSV1.pdf</t>
  </si>
  <si>
    <t>2011.009a-eB.A.v2.Betaguttavirus.pdf</t>
  </si>
  <si>
    <t>Tibetan frog hepatitis B virus</t>
  </si>
  <si>
    <t>Acholeplasma virus L51</t>
  </si>
  <si>
    <t>Common midwife toad virus</t>
  </si>
  <si>
    <t>Barley yellow dwarf virus kerII</t>
  </si>
  <si>
    <t>Barley yellow dwarf virus kerIII</t>
  </si>
  <si>
    <t>Barley yellow dwarf virus MAV</t>
  </si>
  <si>
    <t>Barley yellow dwarf virus PAS</t>
  </si>
  <si>
    <t>Barley yellow dwarf virus PAV</t>
  </si>
  <si>
    <t>Cereal yellow dwarf virus RPS</t>
  </si>
  <si>
    <t>Cereal yellow dwarf virus RPV</t>
  </si>
  <si>
    <t>Maize yellow dwarf virus RMV</t>
  </si>
  <si>
    <t>Maize yellow mosaic virus</t>
  </si>
  <si>
    <t>Pepo aphid-borne yellows virus</t>
  </si>
  <si>
    <t>Barley yellow dwarf virus GPV</t>
  </si>
  <si>
    <t>Barley yellow dwarf virus SGV</t>
  </si>
  <si>
    <t>2007.084I.04NimaName.pdf</t>
  </si>
  <si>
    <t>2013.003a-kI.A.v1.Nudiviridae.pdf</t>
  </si>
  <si>
    <t>Alphainfluenzavirus</t>
  </si>
  <si>
    <t>Betainfluenzavirus</t>
  </si>
  <si>
    <t>Deltainfluenzavirus</t>
  </si>
  <si>
    <t>Gammainfluenzavirus</t>
  </si>
  <si>
    <t>Salmon isavirus</t>
  </si>
  <si>
    <t>Johnston Atoll quaranjavirus</t>
  </si>
  <si>
    <t>Quaranfil quaranjavirus</t>
  </si>
  <si>
    <t>Dhori thogotovirus</t>
  </si>
  <si>
    <t>Thogoto thogotovirus</t>
  </si>
  <si>
    <t>Firstpapillomavirinae</t>
  </si>
  <si>
    <t>Deltapapillomavirus 7</t>
  </si>
  <si>
    <t>Dyokappapapillomavirus 3</t>
  </si>
  <si>
    <t>Dyokappapapillomavirus 4</t>
  </si>
  <si>
    <t>Dyokappapapillomavirus 5</t>
  </si>
  <si>
    <t>Dyoxipapillomavirus 2</t>
  </si>
  <si>
    <t>Epsilonpapillomavirus 2</t>
  </si>
  <si>
    <t>Gammapapillomavirus 27</t>
  </si>
  <si>
    <t>Iotapapillomavirus 2</t>
  </si>
  <si>
    <t>Psipapillomavirus 2</t>
  </si>
  <si>
    <t>Psipapillomavirus 3</t>
  </si>
  <si>
    <t>Taupapillomavirus 4</t>
  </si>
  <si>
    <t>Treisiotapapillomavirus</t>
  </si>
  <si>
    <t>Treisiotapapillomavirus 1</t>
  </si>
  <si>
    <t>Treiskappapapillomavirus</t>
  </si>
  <si>
    <t>Treiskappapapillomavirus 1</t>
  </si>
  <si>
    <t>Treisthetapapillomavirus</t>
  </si>
  <si>
    <t>Treisthetapapillomavirus 1</t>
  </si>
  <si>
    <t>Xipapillomavirus 4</t>
  </si>
  <si>
    <t>Xipapillomavirus 5</t>
  </si>
  <si>
    <t>Secondpapillomavirinae</t>
  </si>
  <si>
    <t>Alefpapillomavirus</t>
  </si>
  <si>
    <t>Alefpapillomavirus 1</t>
  </si>
  <si>
    <t>Gaeumannomyces graminis virus 0196A</t>
  </si>
  <si>
    <t>Gaeumannomyces graminis virus T1A</t>
  </si>
  <si>
    <t>Carnivore amdoparvovirus 3</t>
  </si>
  <si>
    <t>Carnivore amdoparvovirus 4</t>
  </si>
  <si>
    <t>Carnivore bocaparvovirus 4</t>
  </si>
  <si>
    <t>Carnivore bocaparvovirus 5</t>
  </si>
  <si>
    <t>Carnivore bocaparvovirus 6</t>
  </si>
  <si>
    <t>Chiropteran bocaparvovirus 1</t>
  </si>
  <si>
    <t>Chiropteran bocaparvovirus 2</t>
  </si>
  <si>
    <t>Chiropteran bocaparvovirus 3</t>
  </si>
  <si>
    <t>Chiropteran bocaparvovirus 4</t>
  </si>
  <si>
    <t>Lagomorph bocaparvovirus 1</t>
  </si>
  <si>
    <t>Ungulate bocaparvovirus 6</t>
  </si>
  <si>
    <t>Chiropteran protoparvovirus 1</t>
  </si>
  <si>
    <t>Eulipotyphla protoparvovirus 1</t>
  </si>
  <si>
    <t>Primate protoparvovirus 2</t>
  </si>
  <si>
    <t>Primate protoparvovirus 3</t>
  </si>
  <si>
    <t>Rodent protoparvovirus 3</t>
  </si>
  <si>
    <t>Ungulate protoparvovirus 2</t>
  </si>
  <si>
    <t>Chelonus near curvimaculatus bracovirus</t>
  </si>
  <si>
    <t>Piliocolobus badius polyomavirus 1</t>
  </si>
  <si>
    <t>Leptonychotes weddellii polyomavirus 1</t>
  </si>
  <si>
    <t>Rattus norvegicus polyomavirus 2</t>
  </si>
  <si>
    <t>Vicugna pacos polyomavirus 1</t>
  </si>
  <si>
    <t>Erythrura gouldiae polyomavirus 1</t>
  </si>
  <si>
    <t>Lonchura maja polyomavirus 1</t>
  </si>
  <si>
    <t>Rhynchobatus djiddensis polyomavirus 1</t>
  </si>
  <si>
    <t>Trematomus pennellii polyomavirus 1</t>
  </si>
  <si>
    <t>Portogloboviridae</t>
  </si>
  <si>
    <t>Alphaportoglobovirus</t>
  </si>
  <si>
    <t>Sulfolobus alphaportoglobovirus 1</t>
  </si>
  <si>
    <t>2017.002B.A.v2.Portogloboviridae.zip</t>
  </si>
  <si>
    <t>Bevemovirus</t>
  </si>
  <si>
    <t>Bellflower veinal mottle virus</t>
  </si>
  <si>
    <t>Coccinia mottle virus</t>
  </si>
  <si>
    <t>Barbacena virus Y</t>
  </si>
  <si>
    <t>Callistephus mottle virus</t>
  </si>
  <si>
    <t>Daphne virus Y</t>
  </si>
  <si>
    <t>Impatiens flower break virus</t>
  </si>
  <si>
    <t>Kalanchoe mosaic virus</t>
  </si>
  <si>
    <t>Pecan mosaic-associated virus</t>
  </si>
  <si>
    <t>Sunflower ring blotch virus</t>
  </si>
  <si>
    <t>Tobacco mosqueado virus</t>
  </si>
  <si>
    <t>Wild onion symptomless virus</t>
  </si>
  <si>
    <t>Roymovirus</t>
  </si>
  <si>
    <t>Yellow oat grass mosaic virus</t>
  </si>
  <si>
    <t>Melanoplus sanguinipes entomopoxvirus</t>
  </si>
  <si>
    <t>Mahlapitsi orthoreovirus</t>
  </si>
  <si>
    <t>Smacoviridae</t>
  </si>
  <si>
    <t>Bovismacovirus</t>
  </si>
  <si>
    <t>Bovine associated bovismacovirus 1</t>
  </si>
  <si>
    <t>Bovine associated bovismacovirus 2</t>
  </si>
  <si>
    <t>Dragonfly associated bovismacovirus 1</t>
  </si>
  <si>
    <t>Cosmacovirus</t>
  </si>
  <si>
    <t>Bovine associated cosmacovirus 1</t>
  </si>
  <si>
    <t>Dragsmacovirus</t>
  </si>
  <si>
    <t>Dragonfly associated dragsmacovirus 1</t>
  </si>
  <si>
    <t>Drosmacovirus</t>
  </si>
  <si>
    <t>Bovine associated drosmacovirus 1</t>
  </si>
  <si>
    <t>Camel associated drosmacovirus 1</t>
  </si>
  <si>
    <t>Camel associated drosmacovirus2</t>
  </si>
  <si>
    <t>Huchismacovirus</t>
  </si>
  <si>
    <t>Bovine associated huchismacovirus 1</t>
  </si>
  <si>
    <t>Bovine associated huchismacovirus 2</t>
  </si>
  <si>
    <t>Chicken associated huchismacovirus 1</t>
  </si>
  <si>
    <t>Chicken associated huchismacovirus 2</t>
  </si>
  <si>
    <t>Human associated huchismacovirus 1</t>
  </si>
  <si>
    <t>Human associated huchismacovirus 2</t>
  </si>
  <si>
    <t>Human associated huchismacovirus 3</t>
  </si>
  <si>
    <t>Porprismacovirus</t>
  </si>
  <si>
    <t>Bovine associated porprismacovirus 1</t>
  </si>
  <si>
    <t>Camel associated porprismacovirus 1</t>
  </si>
  <si>
    <t>Camel associated porprismacovirus 2</t>
  </si>
  <si>
    <t>Camel associated porprismacovirus 3</t>
  </si>
  <si>
    <t>Camel associated porprismacovirus 4</t>
  </si>
  <si>
    <t>Chimpanzee associated porprismacovirus 1</t>
  </si>
  <si>
    <t>Chimpanzee associated porprismacovirus 2</t>
  </si>
  <si>
    <t>Gorilla associated porprismacovirus 1</t>
  </si>
  <si>
    <t>Howler monkey associated porprismacovirus 1</t>
  </si>
  <si>
    <t>Human associated porprismacovirus 1</t>
  </si>
  <si>
    <t>Human associated porprismacovirus 2</t>
  </si>
  <si>
    <t>Lemur associated porprismacovirus 1</t>
  </si>
  <si>
    <t>Porcine associated porprismacovirus 1</t>
  </si>
  <si>
    <t>Porcine associated porprismacovirus 2</t>
  </si>
  <si>
    <t>Porcine associated porprismacovirus 3</t>
  </si>
  <si>
    <t>Porcine associated porprismacovirus 4</t>
  </si>
  <si>
    <t>Porcine associated porprismacovirus 5</t>
  </si>
  <si>
    <t>Porcine associated porprismacovirus 6</t>
  </si>
  <si>
    <t>Porcine associated porprismacovirus 7</t>
  </si>
  <si>
    <t>Porcine associated porprismacovirus 8</t>
  </si>
  <si>
    <t>Porcine associated porprismacovirus 9</t>
  </si>
  <si>
    <t>Porcine associated porprismacovirus 10</t>
  </si>
  <si>
    <t>Rat associated porprismacovirus 1</t>
  </si>
  <si>
    <t>Sheep associated porprismacovirus 1</t>
  </si>
  <si>
    <t>Sheep associated porprismacovirus 2</t>
  </si>
  <si>
    <t>Sheep associated porprismacovirus 3</t>
  </si>
  <si>
    <t>Turkey associated porprismacovirus 1</t>
  </si>
  <si>
    <t>Solemoviridae</t>
  </si>
  <si>
    <t>2013.003a-gB.A.v3.Spiraviridae.pdf</t>
  </si>
  <si>
    <t>Alphatectivirus</t>
  </si>
  <si>
    <t>Pseudomonas virus PR4</t>
  </si>
  <si>
    <t>Pseudomonas virus PRD1</t>
  </si>
  <si>
    <t>Betatectivirus</t>
  </si>
  <si>
    <t>Bacillus virus GIL16</t>
  </si>
  <si>
    <t>Bacillus virus Wip1</t>
  </si>
  <si>
    <t>Onyong-nyong virus</t>
  </si>
  <si>
    <t>2016.021a-kP.A.v2.Tolecusatellitidae.pdf</t>
  </si>
  <si>
    <t>Tomato leaf curl Java betasatellite</t>
  </si>
  <si>
    <t>Saccharomyces cerevisiae virus LBCLa</t>
  </si>
  <si>
    <t>2016.064a-jB.A.v2.Tristromaviridae.pdf</t>
  </si>
  <si>
    <t>2009.001a-fF.A.v6.Dinodnavirus.pdf</t>
  </si>
  <si>
    <t>Ratification_1987.pdf</t>
  </si>
  <si>
    <t>Opuntia chlorotic ringspot virus</t>
  </si>
  <si>
    <t>Realm</t>
  </si>
  <si>
    <t>Subrealm</t>
  </si>
  <si>
    <t>Kingdom</t>
  </si>
  <si>
    <t>Subkingdom</t>
  </si>
  <si>
    <t>Phylum</t>
  </si>
  <si>
    <t>Subphylum</t>
  </si>
  <si>
    <t>Class</t>
  </si>
  <si>
    <t>Subclass</t>
  </si>
  <si>
    <t>Suborder</t>
  </si>
  <si>
    <t>Subgenus</t>
  </si>
  <si>
    <t>Negarnaviricota</t>
  </si>
  <si>
    <t>Haploviricotina</t>
  </si>
  <si>
    <t>Chunqiuviricetes</t>
  </si>
  <si>
    <t>Muvirales</t>
  </si>
  <si>
    <t>Qinviridae</t>
  </si>
  <si>
    <t>Yingvirus</t>
  </si>
  <si>
    <t>Beihai yingvirus</t>
  </si>
  <si>
    <t>Charybdis yingvirus</t>
  </si>
  <si>
    <t>Hubei yingvirus</t>
  </si>
  <si>
    <t>Sanxia yingvirus</t>
  </si>
  <si>
    <t>Shahe yingvirus</t>
  </si>
  <si>
    <t>Wenzhou yingvirus</t>
  </si>
  <si>
    <t>Wuhan yingvirus</t>
  </si>
  <si>
    <t>Xinzhou yingvirus</t>
  </si>
  <si>
    <t>Milneviricetes</t>
  </si>
  <si>
    <t>Serpentovirales</t>
  </si>
  <si>
    <t>Monjiviricetes</t>
  </si>
  <si>
    <t>Jingchuvirales</t>
  </si>
  <si>
    <t>Chuviridae</t>
  </si>
  <si>
    <t>Mivirus</t>
  </si>
  <si>
    <t>Argas mivirus</t>
  </si>
  <si>
    <t>Barnacle mivirus</t>
  </si>
  <si>
    <t>Beetle mivirus</t>
  </si>
  <si>
    <t>Bole mivirus</t>
  </si>
  <si>
    <t>Brunnich mivirus</t>
  </si>
  <si>
    <t>Changping mivirus</t>
  </si>
  <si>
    <t>Charybdis mivirus</t>
  </si>
  <si>
    <t>Cockroach mivirus</t>
  </si>
  <si>
    <t>Crab mivirus</t>
  </si>
  <si>
    <t>Crustacean mivirus</t>
  </si>
  <si>
    <t>Dermacentor mivirus</t>
  </si>
  <si>
    <t>Hermit mivirus</t>
  </si>
  <si>
    <t>Hippoboscid mivirus</t>
  </si>
  <si>
    <t>Hubei mivirus</t>
  </si>
  <si>
    <t>Hubei odonate mivirus</t>
  </si>
  <si>
    <t>Imjin mivirus</t>
  </si>
  <si>
    <t>Lacewing mivirus</t>
  </si>
  <si>
    <t>Lishi mivirus</t>
  </si>
  <si>
    <t>Lonestar mivirus</t>
  </si>
  <si>
    <t>Louse fly mivirus</t>
  </si>
  <si>
    <t>Mosquito mivirus</t>
  </si>
  <si>
    <t>Myriapod mivirus</t>
  </si>
  <si>
    <t>Odonate mivirus</t>
  </si>
  <si>
    <t>Sanxia mivirus</t>
  </si>
  <si>
    <t>Shayang mivirus</t>
  </si>
  <si>
    <t>Suffolk mivirus</t>
  </si>
  <si>
    <t>Wenling mivirus</t>
  </si>
  <si>
    <t>Wuhan mivirus</t>
  </si>
  <si>
    <t>Xinzhou mivirus</t>
  </si>
  <si>
    <t>Artoviridae</t>
  </si>
  <si>
    <t>Beihai peropuvirus</t>
  </si>
  <si>
    <t>Hubei peropuvirus</t>
  </si>
  <si>
    <t>Odonate peropuvirus</t>
  </si>
  <si>
    <t>Pillworm peropuvirus</t>
  </si>
  <si>
    <t>Woodlouse peropuvirus</t>
  </si>
  <si>
    <t>Lispiviridae</t>
  </si>
  <si>
    <t>Gerrid arlivirus</t>
  </si>
  <si>
    <t>Hubei arlivirus</t>
  </si>
  <si>
    <t>Odonate arlivirus</t>
  </si>
  <si>
    <t>Tacheng arlivirus</t>
  </si>
  <si>
    <t>Wuchang arlivirus</t>
  </si>
  <si>
    <t>Dadou sclerotimonavirus</t>
  </si>
  <si>
    <t>Drop sclerotimonavirus</t>
  </si>
  <si>
    <t>Glycine sclerotimonavirus</t>
  </si>
  <si>
    <t>Hubei sclerotimonavirus</t>
  </si>
  <si>
    <t>Illinois sclerotimonavirus</t>
  </si>
  <si>
    <t>Phyllosphere sclerotimonavirus</t>
  </si>
  <si>
    <t>Berhavirus</t>
  </si>
  <si>
    <t>Beihai berhavirus</t>
  </si>
  <si>
    <t>Echinoderm berhavirus</t>
  </si>
  <si>
    <t>Sipunculid berhavirus</t>
  </si>
  <si>
    <t>Beihai crustavirus</t>
  </si>
  <si>
    <t>Wenling crustavirus</t>
  </si>
  <si>
    <t>Orinovirus</t>
  </si>
  <si>
    <t>Orinoco orinovirus</t>
  </si>
  <si>
    <t>Tapwovirus</t>
  </si>
  <si>
    <t>Tapeworm tapwovirus</t>
  </si>
  <si>
    <t>Xinmoviridae</t>
  </si>
  <si>
    <t>Bolahun anphevirus</t>
  </si>
  <si>
    <t>Dipteran anphevirus</t>
  </si>
  <si>
    <t>Drosophilid anphevirus</t>
  </si>
  <si>
    <t>Odonate anphevirus</t>
  </si>
  <si>
    <t>Orthopteran anphevirus</t>
  </si>
  <si>
    <t>Shuangao anphevirus</t>
  </si>
  <si>
    <t>Yunchangviricetes</t>
  </si>
  <si>
    <t>Goujianvirales</t>
  </si>
  <si>
    <t>Yueviridae</t>
  </si>
  <si>
    <t>Yuyuevirus</t>
  </si>
  <si>
    <t>Beihai yuyuevirus</t>
  </si>
  <si>
    <t>Shahe yuyuevirus</t>
  </si>
  <si>
    <t>Polyploviricotina</t>
  </si>
  <si>
    <t>Ellioviricetes</t>
  </si>
  <si>
    <t>Cruliviridae</t>
  </si>
  <si>
    <t>Lincruvirus</t>
  </si>
  <si>
    <t>Crustacean lincruvirus</t>
  </si>
  <si>
    <t>Loanvirus</t>
  </si>
  <si>
    <t>Longquan loanvirus</t>
  </si>
  <si>
    <t>Mobatvirus</t>
  </si>
  <si>
    <t>Laibin mobatvirus</t>
  </si>
  <si>
    <t>Nova mobatvirus</t>
  </si>
  <si>
    <t>Quezon mobatvirus</t>
  </si>
  <si>
    <t>Thottimvirus</t>
  </si>
  <si>
    <t>Imjin thottimvirus</t>
  </si>
  <si>
    <t>Thottopalayam thottimvirus</t>
  </si>
  <si>
    <t>Mypoviridae</t>
  </si>
  <si>
    <t>Hubavirus</t>
  </si>
  <si>
    <t>Myriapod hubavirus</t>
  </si>
  <si>
    <t>Shaspivirus</t>
  </si>
  <si>
    <t>Spider shaspivirus</t>
  </si>
  <si>
    <t>Striwavirus</t>
  </si>
  <si>
    <t>Strider striwavirus</t>
  </si>
  <si>
    <t>Shangavirus</t>
  </si>
  <si>
    <t>Insect shangavirus</t>
  </si>
  <si>
    <t>Feravirus</t>
  </si>
  <si>
    <t>Ferak feravirus</t>
  </si>
  <si>
    <t>Jonvirus</t>
  </si>
  <si>
    <t>Jonchet jonvirus</t>
  </si>
  <si>
    <t>Wuhivirus</t>
  </si>
  <si>
    <t>Insect wuhivirus</t>
  </si>
  <si>
    <t>Beidivirus</t>
  </si>
  <si>
    <t>Dipteran beidivirus</t>
  </si>
  <si>
    <t>Horwuvirus</t>
  </si>
  <si>
    <t>Horsefly horwuvirus</t>
  </si>
  <si>
    <t>Hudivirus</t>
  </si>
  <si>
    <t>Dipteran hudivirus</t>
  </si>
  <si>
    <t>Hudovirus</t>
  </si>
  <si>
    <t>Lepidopteran hudovirus</t>
  </si>
  <si>
    <t>Mobuvirus</t>
  </si>
  <si>
    <t>Mothra mobuvirus</t>
  </si>
  <si>
    <t>Pidchovirus</t>
  </si>
  <si>
    <t>Pidgey pidchovirus</t>
  </si>
  <si>
    <t>Wupedeviridae</t>
  </si>
  <si>
    <t>Wumivirus</t>
  </si>
  <si>
    <t>Millipede wumivirus</t>
  </si>
  <si>
    <t>Insthoviricetes</t>
  </si>
  <si>
    <t>Articulavirales</t>
  </si>
  <si>
    <t>Amnoonviridae</t>
  </si>
  <si>
    <t>Abnidovirineae</t>
  </si>
  <si>
    <t>Abyssoviridae</t>
  </si>
  <si>
    <t>Tiamatvirinae</t>
  </si>
  <si>
    <t>Alphaabyssovirus</t>
  </si>
  <si>
    <t>Aplyccavirus</t>
  </si>
  <si>
    <t>Aplysia abyssovirus 1</t>
  </si>
  <si>
    <t>Arnidovirineae</t>
  </si>
  <si>
    <t>Crocarterivirinae</t>
  </si>
  <si>
    <t>Muarterivirus</t>
  </si>
  <si>
    <t>Muarterivirus afrigant</t>
  </si>
  <si>
    <t>Equarterivirinae</t>
  </si>
  <si>
    <t>Alphaarterivirus</t>
  </si>
  <si>
    <t>Alphaarterivirus equid</t>
  </si>
  <si>
    <t>Heroarterivirinae</t>
  </si>
  <si>
    <t>Lambdaarterivirus</t>
  </si>
  <si>
    <t>Lambdaarterivirus afriporav</t>
  </si>
  <si>
    <t>Simarterivirinae</t>
  </si>
  <si>
    <t>Deltaarterivirus</t>
  </si>
  <si>
    <t>Hedartevirus</t>
  </si>
  <si>
    <t>Deltaarterivirus hemfev</t>
  </si>
  <si>
    <t>Epsilonarterivirus</t>
  </si>
  <si>
    <t>Sheartevirus</t>
  </si>
  <si>
    <t>Epsilonarterivirus hemcep</t>
  </si>
  <si>
    <t>Epsilonarterivirus safriver</t>
  </si>
  <si>
    <t>Epsilonarterivirus zamalb</t>
  </si>
  <si>
    <t>Etaarterivirus</t>
  </si>
  <si>
    <t>Etaarterivirus ugarco 1</t>
  </si>
  <si>
    <t>Iotaarterivirus</t>
  </si>
  <si>
    <t>Kigiartevirus</t>
  </si>
  <si>
    <t>Iotaarterivirus kibreg 1</t>
  </si>
  <si>
    <t>Pedartevirus</t>
  </si>
  <si>
    <t>Thetaarterivirus</t>
  </si>
  <si>
    <t>Mitartevirus</t>
  </si>
  <si>
    <t>Thetaarterivirus mikelba 1</t>
  </si>
  <si>
    <t>Variarterivirinae</t>
  </si>
  <si>
    <t>Betaarterivirus</t>
  </si>
  <si>
    <t>Ampobartevirus</t>
  </si>
  <si>
    <t>Betaarterivirus suid 2</t>
  </si>
  <si>
    <t>Debiartevirus</t>
  </si>
  <si>
    <t>Iotaarterivirus debrazmo</t>
  </si>
  <si>
    <t>Kaftartevirus</t>
  </si>
  <si>
    <t>Thetaarterivirus kafuba</t>
  </si>
  <si>
    <t>Gammaarterivirus</t>
  </si>
  <si>
    <t>Gammaarterivirus lacdeh</t>
  </si>
  <si>
    <t>Zealarterivirinae</t>
  </si>
  <si>
    <t>Kappaarterivirus</t>
  </si>
  <si>
    <t>Kappaarterivirus wobum</t>
  </si>
  <si>
    <t>Zetaarterivirus</t>
  </si>
  <si>
    <t>Zetaarterivirus ugarco 1</t>
  </si>
  <si>
    <t>Cornidovirineae</t>
  </si>
  <si>
    <t>Letovirinae</t>
  </si>
  <si>
    <t>Alphaletovirus</t>
  </si>
  <si>
    <t>Milecovirus</t>
  </si>
  <si>
    <t>Microhyla letovirus 1</t>
  </si>
  <si>
    <t>Chibartevirus</t>
  </si>
  <si>
    <t>Betaarterivirus chinrav 1</t>
  </si>
  <si>
    <t>Betaarterivirus ninrav</t>
  </si>
  <si>
    <t>Eurpobartevirus</t>
  </si>
  <si>
    <t>Betaarterivirus suid 1</t>
  </si>
  <si>
    <t>Orthocoronavirinae</t>
  </si>
  <si>
    <t>Colacovirus</t>
  </si>
  <si>
    <t>Luchacovirus</t>
  </si>
  <si>
    <t>Lucheng Rn rat coronavirus</t>
  </si>
  <si>
    <t>Minacovirus</t>
  </si>
  <si>
    <t>Myotacovirus</t>
  </si>
  <si>
    <t>Myotis ricketti alphacoronavirus Sax-2011</t>
  </si>
  <si>
    <t>Nyctacovirus</t>
  </si>
  <si>
    <t>Nyctalus velutinus alphacoronavirus SC-2013</t>
  </si>
  <si>
    <t>Decacovirus</t>
  </si>
  <si>
    <t>Rhinolophus ferrumequinum alphacoronavirus HuB-2013</t>
  </si>
  <si>
    <t>Pedacovirus</t>
  </si>
  <si>
    <t>Duvinacovirus</t>
  </si>
  <si>
    <t>Rhinacovirus</t>
  </si>
  <si>
    <t>Setracovirus</t>
  </si>
  <si>
    <t>NL63-related bat coronavirus strain BtKYNL63-9b</t>
  </si>
  <si>
    <t>Minunacovirus</t>
  </si>
  <si>
    <t>Tegacovirus</t>
  </si>
  <si>
    <t>Hibecovirus</t>
  </si>
  <si>
    <t>Bat Hp-betacoronavirus Zhejiang2013</t>
  </si>
  <si>
    <t>Nobecovirus</t>
  </si>
  <si>
    <t>Rousettus bat coronavirus GCCDC1</t>
  </si>
  <si>
    <t>Sarbecovirus</t>
  </si>
  <si>
    <t>Embecovirus</t>
  </si>
  <si>
    <t>China Rattus coronavirus HKU24</t>
  </si>
  <si>
    <t>Buldecovirus</t>
  </si>
  <si>
    <t>Merbecovirus</t>
  </si>
  <si>
    <t>Herdecovirus</t>
  </si>
  <si>
    <t>Igacovirus</t>
  </si>
  <si>
    <t>Andecovirus</t>
  </si>
  <si>
    <t>Mesnidovirineae</t>
  </si>
  <si>
    <t>Medioniviridae</t>
  </si>
  <si>
    <t>Medionivirinae</t>
  </si>
  <si>
    <t>Turrinivirus</t>
  </si>
  <si>
    <t>Beturrivirus</t>
  </si>
  <si>
    <t>Turrinivirus 1</t>
  </si>
  <si>
    <t>Tunicanivirinae</t>
  </si>
  <si>
    <t>Bolenivirus</t>
  </si>
  <si>
    <t>Balbicanovirus</t>
  </si>
  <si>
    <t>Botrylloides leachii nidovirus</t>
  </si>
  <si>
    <t>Cegacovirus</t>
  </si>
  <si>
    <t>Hexponivirinae</t>
  </si>
  <si>
    <t>Casualivirus</t>
  </si>
  <si>
    <t>Kadilivirus</t>
  </si>
  <si>
    <t>Alphamesonivirus 7</t>
  </si>
  <si>
    <t>Karsalivirus</t>
  </si>
  <si>
    <t>Ofalivirus</t>
  </si>
  <si>
    <t>Alphamesonivirus 6</t>
  </si>
  <si>
    <t>Enselivirus</t>
  </si>
  <si>
    <t>Alphamesonivirus 8</t>
  </si>
  <si>
    <t>Hanalivirus</t>
  </si>
  <si>
    <t>Monidovirineae</t>
  </si>
  <si>
    <t>Mononiviridae</t>
  </si>
  <si>
    <t>Mononivirinae</t>
  </si>
  <si>
    <t>Alphamononivirus</t>
  </si>
  <si>
    <t>Dumedivirus</t>
  </si>
  <si>
    <t>Planidovirus 1</t>
  </si>
  <si>
    <t>Menolivirus</t>
  </si>
  <si>
    <t>Alphamesonivirus 9</t>
  </si>
  <si>
    <t>Ronidovirineae</t>
  </si>
  <si>
    <t>Euroniviridae</t>
  </si>
  <si>
    <t>Ceronivirinae</t>
  </si>
  <si>
    <t>Charybnivirus</t>
  </si>
  <si>
    <t>Cradenivirus</t>
  </si>
  <si>
    <t>Charybnivirus 1</t>
  </si>
  <si>
    <t>Namcalivirus</t>
  </si>
  <si>
    <t>Wenilivirus</t>
  </si>
  <si>
    <t>Decronivirus 1</t>
  </si>
  <si>
    <t>Crustonivirinae</t>
  </si>
  <si>
    <t>Paguronivirus</t>
  </si>
  <si>
    <t>Behecravirus</t>
  </si>
  <si>
    <t>Paguronivirus 1</t>
  </si>
  <si>
    <t>Okanivirinae</t>
  </si>
  <si>
    <t>Tipravirus</t>
  </si>
  <si>
    <t>Yellow head virus</t>
  </si>
  <si>
    <t>Tornidovirineae</t>
  </si>
  <si>
    <t>Tobaniviridae</t>
  </si>
  <si>
    <t>Piscanivirinae</t>
  </si>
  <si>
    <t>Pimfabavirus</t>
  </si>
  <si>
    <t>Oncotshavirus</t>
  </si>
  <si>
    <t>Salnivirus</t>
  </si>
  <si>
    <t>Remotovirinae</t>
  </si>
  <si>
    <t>Bostovirus</t>
  </si>
  <si>
    <t>Bosnitovirus</t>
  </si>
  <si>
    <t>Serpentovirinae</t>
  </si>
  <si>
    <t>Infratovirus</t>
  </si>
  <si>
    <t>Xintolivirus</t>
  </si>
  <si>
    <t>Infratovirus 1</t>
  </si>
  <si>
    <t>Pregotovirus</t>
  </si>
  <si>
    <t>Roypretovirus</t>
  </si>
  <si>
    <t>Blicbavirus</t>
  </si>
  <si>
    <t>Sectovirus</t>
  </si>
  <si>
    <t>Sanematovirus</t>
  </si>
  <si>
    <t>Sectovirus 1</t>
  </si>
  <si>
    <t>Tilitovirus</t>
  </si>
  <si>
    <t>Shingleback nidovirus 1</t>
  </si>
  <si>
    <t>Renitovirus</t>
  </si>
  <si>
    <t>Banana bunchy top alphasatellite 2</t>
  </si>
  <si>
    <t>Milk vetch dwarf alphasatellite 2</t>
  </si>
  <si>
    <t>Pea necrotic yellow dwarf alphasatellite 2</t>
  </si>
  <si>
    <t>Sophora yellow stunt alphasatellite 4</t>
  </si>
  <si>
    <t>Sophora yellow stunt alphasatellite 5</t>
  </si>
  <si>
    <t>Milk vetch dwarf alphasatellite 3</t>
  </si>
  <si>
    <t>Milk vetch dwarf alphasatellite 1</t>
  </si>
  <si>
    <t>Pea necrotic yellow dwarf alphasatellite 1</t>
  </si>
  <si>
    <t>ssRNA</t>
  </si>
  <si>
    <t>Sort
(hidden)</t>
  </si>
  <si>
    <t>A  'Family' is a rank in the taxonomic hierarchy into which virus species can be classified.</t>
  </si>
  <si>
    <t>A  'Subrealm' is a rank in the taxonomic hierarchy into which virus species can be classified.</t>
  </si>
  <si>
    <t>A  'Kingdom' is a rank in the taxonomic hierarchy into which virus species can be classified.</t>
  </si>
  <si>
    <t>A  'Subkingdom' is a rank in the taxonomic hierarchy into which virus species can be classified.</t>
  </si>
  <si>
    <t>A  'Phylum' is a rank in the taxonomic hierarchy into which virus species can be classified.</t>
  </si>
  <si>
    <t>A  'Subphylum' is a rank in the taxonomic hierarchy into which virus species can be classified.</t>
  </si>
  <si>
    <t>A  'Class' is a rank in the taxonomic hierarchy into which virus species can be classified.</t>
  </si>
  <si>
    <t>A  'Subclass' is a rank in the taxonomic hierarchy into which virus species can be classified.</t>
  </si>
  <si>
    <t>A  'Order' is a rank in the taxonomic hierarchy into which virus species can be classified.</t>
  </si>
  <si>
    <t>A  'suborder' is a rank in the taxonomic hierarchy into which virus species can be classified.</t>
  </si>
  <si>
    <t>A  'Subfamily' is a rank in the taxonomic hierarchy into which virus species can be classified.</t>
  </si>
  <si>
    <t>A  'Genus' is a rank in the taxonomic hierarchy into which virus species can be classified.</t>
  </si>
  <si>
    <t>A  'Subgenus' is a rank in the taxonomic hierarchy into which virus species can be classified.</t>
  </si>
  <si>
    <t>The release number of the Master Species List (MSL) where the Last Change occurred. See https://talk.ictvonline.org/taxonomy/p/taxonomy_releases for a list of MSLs and their year of release.</t>
  </si>
  <si>
    <t>A 'Realm' is the highest taxonomic rank into which virus species can be classified.</t>
  </si>
  <si>
    <r>
      <t xml:space="preserve">A Species is the lowest taxonomic rank in the hierarchy approved by the ICTV. While subspecies levels of classification may exist for some viruses (e.g. </t>
    </r>
    <r>
      <rPr>
        <i/>
        <sz val="12"/>
        <color indexed="8"/>
        <rFont val="Arial"/>
        <family val="2"/>
      </rPr>
      <t>Hepatitis C virus</t>
    </r>
    <r>
      <rPr>
        <sz val="12"/>
        <color indexed="8"/>
        <rFont val="Arial"/>
        <family val="2"/>
      </rPr>
      <t>), the ICTV does not classify viruses below the species level.</t>
    </r>
  </si>
  <si>
    <t>The molecular and genetic composition of the virus genome packaged into the virion. Possible values are:
- dsDNA
- ssDNA
- ssDNA(-)
- ssDNA(+)
- ssDNA(+/-)
- dsDNA-RT
- ssRNA-RT
- dsRNA
- ssRNA
- ssRNA(-)
- ssRNA(+)
- ssRNA(+/-)</t>
  </si>
  <si>
    <t>An integer that, when sorted in numeric order, will produce the correct rank and alphabetic sorting of these species in the MSL.</t>
  </si>
  <si>
    <t>The file name of the taxonomic proposal that details the justification for the last change. Proposals can be retrieved by appending the file nameand '.pdf' to the end of the following url: https://talk.ictvonline.org/ictv/proposals/&lt;replace with file name.pdf&gt;</t>
  </si>
  <si>
    <t>Riboviria</t>
  </si>
  <si>
    <t>2017.006G.A.v3.Riboviria.zip</t>
  </si>
  <si>
    <t>Cultervirus</t>
  </si>
  <si>
    <t>Striavirus</t>
  </si>
  <si>
    <t>Xilang striavirus</t>
  </si>
  <si>
    <t>Thamnovirus</t>
  </si>
  <si>
    <t>Huangjiao thamnovirus</t>
  </si>
  <si>
    <t>Avulavirinae</t>
  </si>
  <si>
    <t>Metaavulavirus</t>
  </si>
  <si>
    <t>Avian metaavulavirus 2</t>
  </si>
  <si>
    <t>Avian metaavulavirus 5</t>
  </si>
  <si>
    <t>Avian metaavulavirus 6</t>
  </si>
  <si>
    <t>Avian metaavulavirus 7</t>
  </si>
  <si>
    <t>Avian metaavulavirus 8</t>
  </si>
  <si>
    <t>Avian metaavulavirus 10</t>
  </si>
  <si>
    <t>Avian metaavulavirus 11</t>
  </si>
  <si>
    <t>Avian metaavulavirus 14</t>
  </si>
  <si>
    <t>Avian metaavulavirus 15</t>
  </si>
  <si>
    <t>Avian metaavulavirus 20</t>
  </si>
  <si>
    <t>Orthoavulavirus</t>
  </si>
  <si>
    <t>Avian orthoavulavirus 1</t>
  </si>
  <si>
    <t>Avian orthoavulavirus 9</t>
  </si>
  <si>
    <t>Avian orthoavulavirus 12</t>
  </si>
  <si>
    <t>Avian orthoavulavirus 13</t>
  </si>
  <si>
    <t>Avian orthoavulavirus 16</t>
  </si>
  <si>
    <t>Avian orthoavulavirus 17</t>
  </si>
  <si>
    <t>Avian orthoavulavirus 18</t>
  </si>
  <si>
    <t>Avian orthoavulavirus 19</t>
  </si>
  <si>
    <t>Paraavulavirus</t>
  </si>
  <si>
    <t>Avian paraavulavirus 3</t>
  </si>
  <si>
    <t>Avian paraavulavirus 4</t>
  </si>
  <si>
    <t>Metaparamyxovirinae</t>
  </si>
  <si>
    <t>Synodonvirus</t>
  </si>
  <si>
    <t>Orthoparamyxovirinae</t>
  </si>
  <si>
    <t>Jeilongvirus</t>
  </si>
  <si>
    <t>Beilong jeilongvirus</t>
  </si>
  <si>
    <t>Jun jeilongvirus</t>
  </si>
  <si>
    <t>Lophuromys jeilongvirus 1</t>
  </si>
  <si>
    <t>Lophuromys jeilongvirus 2</t>
  </si>
  <si>
    <t>Myodes jeilongvirus</t>
  </si>
  <si>
    <t>Tailam jeilongvirus</t>
  </si>
  <si>
    <t>Narmovirus</t>
  </si>
  <si>
    <t>Mossman narmovirus</t>
  </si>
  <si>
    <t>Myodes narmovirus</t>
  </si>
  <si>
    <t>Nariva narmovirus</t>
  </si>
  <si>
    <t>Tupaia narmovirus</t>
  </si>
  <si>
    <t>Caprine respirovirus 3</t>
  </si>
  <si>
    <t>Salemvirus</t>
  </si>
  <si>
    <t>Salem salemvirus</t>
  </si>
  <si>
    <t>Rubulavirinae</t>
  </si>
  <si>
    <t>Orthorubulavirus</t>
  </si>
  <si>
    <t>Human orthorubulavirus 2</t>
  </si>
  <si>
    <t>Human orthorubulavirus 4</t>
  </si>
  <si>
    <t>Mammalian orthorubulavirus 5</t>
  </si>
  <si>
    <t>Mapuera orthorubulavirus</t>
  </si>
  <si>
    <t>Mumps orthorubulavirus</t>
  </si>
  <si>
    <t>Porcine orthorubulavirus</t>
  </si>
  <si>
    <t>Simian orthorubulavirus</t>
  </si>
  <si>
    <t>Pararubulavirus</t>
  </si>
  <si>
    <t>Achimota pararubulavirus 1</t>
  </si>
  <si>
    <t>Achimota pararubulavirus 2</t>
  </si>
  <si>
    <t>Menangle pararubulavirus</t>
  </si>
  <si>
    <t>Sosuga pararubulavirus</t>
  </si>
  <si>
    <t>Teviot pararubulavirus</t>
  </si>
  <si>
    <t>Tioman pararubulavirus</t>
  </si>
  <si>
    <t>Tuhoko pararubulavirus 1</t>
  </si>
  <si>
    <t>Tuhoko pararubulavirus 2</t>
  </si>
  <si>
    <t>Tuhoko pararubulavirus 3</t>
  </si>
  <si>
    <t>Alphanemrhavirus</t>
  </si>
  <si>
    <t>Xingshan alphanemrhavirus</t>
  </si>
  <si>
    <t>Xinzhou alphanemrhavirus</t>
  </si>
  <si>
    <t>Caligrhavirus</t>
  </si>
  <si>
    <t>Caligus caligrhavirus</t>
  </si>
  <si>
    <t>Lepeophtheirus caligrhavirus</t>
  </si>
  <si>
    <t>Salmonlouse caligrhavirus</t>
  </si>
  <si>
    <t>Citrus chlorotic spot dichorhavirus</t>
  </si>
  <si>
    <t>Citrus leprosis N dichorhavirus</t>
  </si>
  <si>
    <t>Clerodendrum chlorotic spot dichorhavirus</t>
  </si>
  <si>
    <t>Vaprio ledantevirus</t>
  </si>
  <si>
    <t>Antennavirus</t>
  </si>
  <si>
    <t>Hairy antennavirus</t>
  </si>
  <si>
    <t>Striated antennavirus</t>
  </si>
  <si>
    <t>Actantavirinae</t>
  </si>
  <si>
    <t>Actinovirus</t>
  </si>
  <si>
    <t>Batfish actinovirus</t>
  </si>
  <si>
    <t>Goosefish actinovirus</t>
  </si>
  <si>
    <t>Spikefish actinovirus</t>
  </si>
  <si>
    <t>Agantavirinae</t>
  </si>
  <si>
    <t>Agnathovirus</t>
  </si>
  <si>
    <t>Hagfish agnathovirus</t>
  </si>
  <si>
    <t>Mammantavirinae</t>
  </si>
  <si>
    <t>Seewis orhtohantavirus</t>
  </si>
  <si>
    <t>Tigray orthohantavirus</t>
  </si>
  <si>
    <t>Repantavirinae</t>
  </si>
  <si>
    <t>Reptillovirus</t>
  </si>
  <si>
    <t>Gecko reptillovirus</t>
  </si>
  <si>
    <t>Leishbuviridae</t>
  </si>
  <si>
    <t>Shilevirus</t>
  </si>
  <si>
    <t>Leptomonas shilevirus</t>
  </si>
  <si>
    <t>Estero Real orthonairovirus</t>
  </si>
  <si>
    <t>Aino orthobunyavirus</t>
  </si>
  <si>
    <t>Anadyr orthobunyavirus</t>
  </si>
  <si>
    <t>Anhembi orthobunyavirus</t>
  </si>
  <si>
    <t>Batai orthobunyavirus</t>
  </si>
  <si>
    <t>Bellavista orthobunyavirus</t>
  </si>
  <si>
    <t>Birao orthobunyavirus</t>
  </si>
  <si>
    <t>Bozo orthobunyavirus</t>
  </si>
  <si>
    <t>Buttonwillow orthobunyavirus</t>
  </si>
  <si>
    <t>Cache Valley orthobunyavirus</t>
  </si>
  <si>
    <t>Cachoeira Porteira orthobunyavirus</t>
  </si>
  <si>
    <t>Cat Que orthobunyavirus</t>
  </si>
  <si>
    <t>Enseada orthobunyavirus</t>
  </si>
  <si>
    <t>Faceys paddock orthobunyavirus</t>
  </si>
  <si>
    <t>Fort Sherman orthobunyavirus</t>
  </si>
  <si>
    <t>Iaco orthobunyavirus</t>
  </si>
  <si>
    <t>Ilesha orthobunyavirus</t>
  </si>
  <si>
    <t>Ingwavuma orthobunyavirus</t>
  </si>
  <si>
    <t>Jamestown Canyon orthobunyavirus</t>
  </si>
  <si>
    <t>Jatobal orthobunyavirus</t>
  </si>
  <si>
    <t>Keystone orthobunyavirus</t>
  </si>
  <si>
    <t>La Crosse orthobunyavirus</t>
  </si>
  <si>
    <t>Leanyer orthobunyavirus</t>
  </si>
  <si>
    <t>Lumbo orthbunyavirus</t>
  </si>
  <si>
    <t>Macaua orthobunyavirus</t>
  </si>
  <si>
    <t>Maguari orthobunyavirus</t>
  </si>
  <si>
    <t>Melao orthobunyavirus</t>
  </si>
  <si>
    <t>Mermet orthobunyavirus</t>
  </si>
  <si>
    <t>Peaton orthobunyavirus</t>
  </si>
  <si>
    <t>Potosi orthobunyavirus</t>
  </si>
  <si>
    <t>Sabo orthobunyavirus</t>
  </si>
  <si>
    <t>San Angelo orthobunyavirus</t>
  </si>
  <si>
    <t>Sango orthobunyavirus</t>
  </si>
  <si>
    <t>Schmallenberg orthobunyavirus</t>
  </si>
  <si>
    <t>Serra do Navio orthobunyavirus</t>
  </si>
  <si>
    <t>Snowshoe hare orthobunyavirus</t>
  </si>
  <si>
    <t>Sororoca orthobunyavirus</t>
  </si>
  <si>
    <t>Tahyna orthobunyavirus</t>
  </si>
  <si>
    <t>Tataguine orthobunyavirus</t>
  </si>
  <si>
    <t>Tensaw orthobunyavirus</t>
  </si>
  <si>
    <t>Trivittatus orthobunyavirus</t>
  </si>
  <si>
    <t>Utinga orthobunyavirus</t>
  </si>
  <si>
    <t>Witwatersrand orthobunyavirus</t>
  </si>
  <si>
    <t>Pacuvirus</t>
  </si>
  <si>
    <t>Pacui pacuvirus</t>
  </si>
  <si>
    <t>Rio Preto da Eva pacuvirus</t>
  </si>
  <si>
    <t>Tapirape pacuvirus</t>
  </si>
  <si>
    <t>Culex orthophasmavirus</t>
  </si>
  <si>
    <t>Ganda orthophasmavirus</t>
  </si>
  <si>
    <t>Odonate orthophasmavirus</t>
  </si>
  <si>
    <t>Qingling orthophasmavirus</t>
  </si>
  <si>
    <t>Sawastrivirus</t>
  </si>
  <si>
    <t>Sanxia sawastrivirus</t>
  </si>
  <si>
    <t>Laulavirus</t>
  </si>
  <si>
    <t>Laurel Lake laulavirus</t>
  </si>
  <si>
    <t>Mukawa phlebovirus</t>
  </si>
  <si>
    <t>Wenrivirus</t>
  </si>
  <si>
    <t>Shrimp wenrivirus</t>
  </si>
  <si>
    <t>Tospoviridae</t>
  </si>
  <si>
    <t>Orthotospovirus</t>
  </si>
  <si>
    <t>Bean necrotic mosaic orthotospovirus</t>
  </si>
  <si>
    <t>Calla lily chlorotic spot orthotospovirus</t>
  </si>
  <si>
    <t>Capsicum chlorosis orthotospovirus</t>
  </si>
  <si>
    <t>Chrysanthemum stem necrosis orthotospovirus</t>
  </si>
  <si>
    <t>Melon severe mosaic orthotospovirus</t>
  </si>
  <si>
    <t>Melon yellow spot orthotospovirus</t>
  </si>
  <si>
    <t>Soybean vein necrosis orthotospovirus</t>
  </si>
  <si>
    <t>Coguvirus</t>
  </si>
  <si>
    <t>Citrus coguvirus</t>
  </si>
  <si>
    <t>Kusarnavirus</t>
  </si>
  <si>
    <t>Astarnavirus</t>
  </si>
  <si>
    <t>Locarnavirus</t>
  </si>
  <si>
    <t>Jericarnavirus B</t>
  </si>
  <si>
    <t>Sanfarnavirus 1</t>
  </si>
  <si>
    <t>Sanfarnavirus 2</t>
  </si>
  <si>
    <t>Sanfarnavirus 3</t>
  </si>
  <si>
    <t>Salisharnavirus</t>
  </si>
  <si>
    <t>Britarnavirus 1</t>
  </si>
  <si>
    <t>Britarnavirus 4</t>
  </si>
  <si>
    <t>Palmarnavirus 128</t>
  </si>
  <si>
    <t>Palmarnavirus 473</t>
  </si>
  <si>
    <t>Sogarnavirus</t>
  </si>
  <si>
    <t>Britarnavirus 2</t>
  </si>
  <si>
    <t>Britarnavirus 3</t>
  </si>
  <si>
    <t>Chaetarnavirus 2</t>
  </si>
  <si>
    <t>Chaetenuissarnavirus II</t>
  </si>
  <si>
    <t>Jericarnavirus A</t>
  </si>
  <si>
    <t>Palmarnavirus 156</t>
  </si>
  <si>
    <t>Ailurivirus</t>
  </si>
  <si>
    <t>Ailurivirus A</t>
  </si>
  <si>
    <t>Anativirus</t>
  </si>
  <si>
    <t>Anativirus A</t>
  </si>
  <si>
    <t>Cadicivirus B</t>
  </si>
  <si>
    <t>Livupivirus</t>
  </si>
  <si>
    <t>Livupivirus A</t>
  </si>
  <si>
    <t>Malagasivirus</t>
  </si>
  <si>
    <t>Malagasivirus A</t>
  </si>
  <si>
    <t>Malagasivirus B</t>
  </si>
  <si>
    <t>Mischivirus D</t>
  </si>
  <si>
    <t>Passerivirus B</t>
  </si>
  <si>
    <t>Poecivirus</t>
  </si>
  <si>
    <t>Poecivirus A</t>
  </si>
  <si>
    <t>Rabovirus B</t>
  </si>
  <si>
    <t>Rabovirus C</t>
  </si>
  <si>
    <t>Rabovirus D</t>
  </si>
  <si>
    <t>Rafivirus</t>
  </si>
  <si>
    <t>Rafivirus A</t>
  </si>
  <si>
    <t>Rafivirus B</t>
  </si>
  <si>
    <t>Rosavirus B</t>
  </si>
  <si>
    <t>Rosavirus C</t>
  </si>
  <si>
    <t>Tottorivirus</t>
  </si>
  <si>
    <t>Tottorivirus A</t>
  </si>
  <si>
    <t>Grapevine virus T</t>
  </si>
  <si>
    <t>Currant virus A</t>
  </si>
  <si>
    <t>Mume virus A</t>
  </si>
  <si>
    <t>Actinidia seed borne latent virus</t>
  </si>
  <si>
    <t>Blackberry virus A</t>
  </si>
  <si>
    <t>Grapevine virus G</t>
  </si>
  <si>
    <t>Grapevine virus H</t>
  </si>
  <si>
    <t>Grapevine virus I</t>
  </si>
  <si>
    <t>Grapevine virus J</t>
  </si>
  <si>
    <t>Wamavirus</t>
  </si>
  <si>
    <t>Watermelon virus A</t>
  </si>
  <si>
    <t>Allium cepa amalgavirus 1</t>
  </si>
  <si>
    <t>Allium cepa amalgavirus 2</t>
  </si>
  <si>
    <t>Spinach amalgavirus 1</t>
  </si>
  <si>
    <t>Zoostera marina amalgavirus 1</t>
  </si>
  <si>
    <t>Zoostera marina amalgavirus 2</t>
  </si>
  <si>
    <t>Zybavirus</t>
  </si>
  <si>
    <t>Zygosaccharomyces bailii virus Z</t>
  </si>
  <si>
    <t>Botourmiaviridae</t>
  </si>
  <si>
    <t>Botoulivirus</t>
  </si>
  <si>
    <t>Botrytis botoulivirus</t>
  </si>
  <si>
    <t>Sclerotinia botoulivirus 2</t>
  </si>
  <si>
    <t>Magoulivirus</t>
  </si>
  <si>
    <t>Magnaporthe magoulivirus 1</t>
  </si>
  <si>
    <t>Rhizoctonia magoulivirus 1</t>
  </si>
  <si>
    <t>Scleroulivirus</t>
  </si>
  <si>
    <t>Sclerotinia scleroulivirus 1</t>
  </si>
  <si>
    <t>Soybean scleroulivirus 1</t>
  </si>
  <si>
    <t>Soybean scleroulivirus 2</t>
  </si>
  <si>
    <t>Bavovirus</t>
  </si>
  <si>
    <t>Bavaria virus</t>
  </si>
  <si>
    <t>Minovirus</t>
  </si>
  <si>
    <t>Minovirus A</t>
  </si>
  <si>
    <t>Nacovirus</t>
  </si>
  <si>
    <t>Nacovirus A</t>
  </si>
  <si>
    <t>Recovirus</t>
  </si>
  <si>
    <t>Recovirus A</t>
  </si>
  <si>
    <t>Salovirus</t>
  </si>
  <si>
    <t>Nordland virus</t>
  </si>
  <si>
    <t>Valovirus</t>
  </si>
  <si>
    <t>Saint Valerien virus</t>
  </si>
  <si>
    <t>Alphachrysovirus</t>
  </si>
  <si>
    <t>Anthurium mosaic-associated chrysovirus</t>
  </si>
  <si>
    <t>Brassica campestris chrysovirus</t>
  </si>
  <si>
    <t>Colletotrichum gloeosporioides chrysovirus</t>
  </si>
  <si>
    <t>Helminthosporium victoriae virus 145S</t>
  </si>
  <si>
    <t>Isaria javanica chrysovirus</t>
  </si>
  <si>
    <t>Macrophomina phaseolina chrysovirus</t>
  </si>
  <si>
    <t>Persea americana chrysovirus</t>
  </si>
  <si>
    <t>Raphanus sativus chrysovirus</t>
  </si>
  <si>
    <t>Shuangao insect-associated chrysovirus</t>
  </si>
  <si>
    <t>Betachrysovirus</t>
  </si>
  <si>
    <t>Alternaria alternata chrysovirus</t>
  </si>
  <si>
    <t>Botryosphaeria dothidea chrysovirus</t>
  </si>
  <si>
    <t>Colletotrichum fructicola chrysovirus 1</t>
  </si>
  <si>
    <t>Fusarium graminearum chrysovirus</t>
  </si>
  <si>
    <t>Fusarium oxysporum chrysovirus 2</t>
  </si>
  <si>
    <t>Magnaporthe oryzae chrysovirus</t>
  </si>
  <si>
    <t>Penicillium janczewskii chrysovirus 1</t>
  </si>
  <si>
    <t>Penicillium janczewskii chrysovirus 2</t>
  </si>
  <si>
    <t>Air potato ampelovirus 1</t>
  </si>
  <si>
    <t>Actinidia virus 1</t>
  </si>
  <si>
    <t>Kitaviridae</t>
  </si>
  <si>
    <t>Citrus vein enation virus</t>
  </si>
  <si>
    <t>Grapevine enamovirus 1</t>
  </si>
  <si>
    <t>Cherry associated luteovirus</t>
  </si>
  <si>
    <t>Nectarine stem pitting associated virus</t>
  </si>
  <si>
    <t>Pepper vein yellows virus 1</t>
  </si>
  <si>
    <t>Pepper vein yellows virus 2</t>
  </si>
  <si>
    <t>Pepper vein yellows virus 3</t>
  </si>
  <si>
    <t>Pepper vein yellows virus 4</t>
  </si>
  <si>
    <t>Pepper vein yellows virus 5</t>
  </si>
  <si>
    <t>Pepper vein yellows virus 6</t>
  </si>
  <si>
    <t>Matonaviridae</t>
  </si>
  <si>
    <t>African eggplant mosaic virus</t>
  </si>
  <si>
    <t>Cucurbit vein banding virus</t>
  </si>
  <si>
    <t>Mediterranean ruda virus</t>
  </si>
  <si>
    <t>Paris mosaic necrosis virus</t>
  </si>
  <si>
    <t>Saffron latent virus</t>
  </si>
  <si>
    <t>Sudan watermelon mosaic virus</t>
  </si>
  <si>
    <t>Wild melon banding virus</t>
  </si>
  <si>
    <t>Common reed chlorotic stripe virus</t>
  </si>
  <si>
    <t>Longan witches broom-associated virus</t>
  </si>
  <si>
    <t>Calvusvirinae</t>
  </si>
  <si>
    <t>Procedovirinae</t>
  </si>
  <si>
    <t>Potato necrosis virus</t>
  </si>
  <si>
    <t>Clematis chlorotic mottle virus</t>
  </si>
  <si>
    <t>Cucumber Bulgarian latent virus</t>
  </si>
  <si>
    <t>Regressovirinae</t>
  </si>
  <si>
    <t>Privet idaeovirus</t>
  </si>
  <si>
    <t>Agtrevirus</t>
  </si>
  <si>
    <t>Kuttervirus</t>
  </si>
  <si>
    <t>Herelleviridae</t>
  </si>
  <si>
    <t>Bastillevirinae</t>
  </si>
  <si>
    <t>Bacillus virus Evoli</t>
  </si>
  <si>
    <t>Bacillus virus HoodyT</t>
  </si>
  <si>
    <t>Caeruleovirus</t>
  </si>
  <si>
    <t>Bacillus virus BPS10C</t>
  </si>
  <si>
    <t>Bacillus virus Mater</t>
  </si>
  <si>
    <t>Bacillus virus Moonbeam</t>
  </si>
  <si>
    <t>Bacillus virus SIOphi</t>
  </si>
  <si>
    <t>Brockvirinae</t>
  </si>
  <si>
    <t>Kochikohdavirus</t>
  </si>
  <si>
    <t>Enterococcus virus ECP3</t>
  </si>
  <si>
    <t>Enterococcus virus EF24C</t>
  </si>
  <si>
    <t>Enterococcus virus EFLK1</t>
  </si>
  <si>
    <t>Enterococcus virus EFDG1</t>
  </si>
  <si>
    <t>Jasinkavirinae</t>
  </si>
  <si>
    <t>Pecentumvirus</t>
  </si>
  <si>
    <t>Listeria virus AG20</t>
  </si>
  <si>
    <t>Listeria virus List36</t>
  </si>
  <si>
    <t>Listeria virus LMSP25</t>
  </si>
  <si>
    <t>Listeria virus LMTA34</t>
  </si>
  <si>
    <t>Listeria virus LMTA148</t>
  </si>
  <si>
    <t>Listeria virus LP048</t>
  </si>
  <si>
    <t>Listeria virus LP064</t>
  </si>
  <si>
    <t>Listeria virus LP083-2</t>
  </si>
  <si>
    <t>Listeria virus WIL1</t>
  </si>
  <si>
    <t>Okubovirus</t>
  </si>
  <si>
    <t>Twortvirinae</t>
  </si>
  <si>
    <t>Staphylococcus virus Sb1</t>
  </si>
  <si>
    <t>Brochothrix virus A9</t>
  </si>
  <si>
    <t>Firehammervirus</t>
  </si>
  <si>
    <t>Fletchervirus</t>
  </si>
  <si>
    <t>Campylobacter virus Los1</t>
  </si>
  <si>
    <t>Felixounavirus</t>
  </si>
  <si>
    <t>Escherichia virus Alf5</t>
  </si>
  <si>
    <t>Salmonella virus BPS15Q2</t>
  </si>
  <si>
    <t>Salmonella virus BPS17L1</t>
  </si>
  <si>
    <t>Salmonella virus BPS17W1</t>
  </si>
  <si>
    <t>Salmonella virus Si3</t>
  </si>
  <si>
    <t>Salmonella virus SP116</t>
  </si>
  <si>
    <t>Kolesnikvirus</t>
  </si>
  <si>
    <t>Shigella virus Sf13</t>
  </si>
  <si>
    <t>Shigella virus Sf14</t>
  </si>
  <si>
    <t>Shigella virus Sf17</t>
  </si>
  <si>
    <t>Hpunavirus</t>
  </si>
  <si>
    <t>Peduovirus</t>
  </si>
  <si>
    <t>Escherichia virus fiAA91ss</t>
  </si>
  <si>
    <t>Escherichia virus pro147</t>
  </si>
  <si>
    <t>Escherichia virus pro483</t>
  </si>
  <si>
    <t>Salmonella virus FSLSP004</t>
  </si>
  <si>
    <t>Dhakavirus</t>
  </si>
  <si>
    <t>Escherichia virus MX01</t>
  </si>
  <si>
    <t>Escherichia virus WG01</t>
  </si>
  <si>
    <t>Gaprivervirus</t>
  </si>
  <si>
    <t>Gelderlandvirus</t>
  </si>
  <si>
    <t>Salmonella virus Melville</t>
  </si>
  <si>
    <t>Salmonella virus STP4a</t>
  </si>
  <si>
    <t>Jiaodavirus</t>
  </si>
  <si>
    <t>Karamvirus</t>
  </si>
  <si>
    <t>Krischvirus</t>
  </si>
  <si>
    <t>Escherichia virus ECD7</t>
  </si>
  <si>
    <t>Escherichia virus GEC3S</t>
  </si>
  <si>
    <t>Citrobacter virus CF1</t>
  </si>
  <si>
    <t>Mosigvirus</t>
  </si>
  <si>
    <t>Escherichia virus APCEc01</t>
  </si>
  <si>
    <t>Escherichia virus HP3</t>
  </si>
  <si>
    <t>Escherichia virus O157tp3</t>
  </si>
  <si>
    <t>Escherichia virus O157tp6</t>
  </si>
  <si>
    <t>Escherichia virus PhAPEC2</t>
  </si>
  <si>
    <t>Escherichia virus ST0</t>
  </si>
  <si>
    <t>Shigella virus SHSML521</t>
  </si>
  <si>
    <t>Schizotequatrovirus</t>
  </si>
  <si>
    <t>Slopekvirus</t>
  </si>
  <si>
    <t>Klebsiella virus PMBT1</t>
  </si>
  <si>
    <t>Tequatrovirus</t>
  </si>
  <si>
    <t>Escherichia virus CF2</t>
  </si>
  <si>
    <t>Escherichia virus HY03</t>
  </si>
  <si>
    <t>Escherichia virus slur03</t>
  </si>
  <si>
    <t>Escherichia virus slur04</t>
  </si>
  <si>
    <t>Shigella virus Sf21</t>
  </si>
  <si>
    <t>Shigella virus Sf22</t>
  </si>
  <si>
    <t>Shigella virus Sf24</t>
  </si>
  <si>
    <t>Shigella virus SHBML501</t>
  </si>
  <si>
    <t>Avunavirus</t>
  </si>
  <si>
    <t>Escherichia virus Av05</t>
  </si>
  <si>
    <t>Certrevirus</t>
  </si>
  <si>
    <t>Seunavirus</t>
  </si>
  <si>
    <t>Salmonella virus PVPSE1</t>
  </si>
  <si>
    <t>Vequintavirus</t>
  </si>
  <si>
    <t>Escherichia virus APECc02</t>
  </si>
  <si>
    <t>Escherichia virus Murica</t>
  </si>
  <si>
    <t>Escherichia virus slur16</t>
  </si>
  <si>
    <t>Escherichia virus V18</t>
  </si>
  <si>
    <t>Agricanvirus</t>
  </si>
  <si>
    <t>Erwinia virus Desertfox</t>
  </si>
  <si>
    <t>Alcyoneusvirus</t>
  </si>
  <si>
    <t>Klebsiella virus K64-1</t>
  </si>
  <si>
    <t>Klebsiella virus RaK2</t>
  </si>
  <si>
    <t>Aphroditevirus</t>
  </si>
  <si>
    <t>Vibrio virus Aphrodite1</t>
  </si>
  <si>
    <t>Asteriusvirus</t>
  </si>
  <si>
    <t>Escherichia virus 121Q</t>
  </si>
  <si>
    <t>Eschierichia virus PBECO4</t>
  </si>
  <si>
    <t>Bequatrovirus</t>
  </si>
  <si>
    <t>Bixzunavirus</t>
  </si>
  <si>
    <t>Mycobacterium virus Lukilu</t>
  </si>
  <si>
    <t>Brunovirus</t>
  </si>
  <si>
    <t>Salmonella virus SEN34</t>
  </si>
  <si>
    <t>Busanvirus</t>
  </si>
  <si>
    <t>Acidovorax virus ACP17</t>
  </si>
  <si>
    <t>Chakrabartyvirus</t>
  </si>
  <si>
    <t>Pseudomonas virus pf16</t>
  </si>
  <si>
    <t>Chiangmaivirus</t>
  </si>
  <si>
    <t>Emdodecavirus</t>
  </si>
  <si>
    <t>Eneladusvirus</t>
  </si>
  <si>
    <t>Serratia virus BF</t>
  </si>
  <si>
    <t>Yersinia virus Yen9-04</t>
  </si>
  <si>
    <t>Erskinevirus</t>
  </si>
  <si>
    <t>Ficleduovirus</t>
  </si>
  <si>
    <t>Flavobacterium virus FCL2</t>
  </si>
  <si>
    <t>Flavobacterium virus FCV1</t>
  </si>
  <si>
    <t>Flaumdravirus</t>
  </si>
  <si>
    <t>Pseudomonas virus KIL2</t>
  </si>
  <si>
    <t>Pseudomonas virus KIL4</t>
  </si>
  <si>
    <t>Gofduovirus</t>
  </si>
  <si>
    <t>Edwardsiella virus GF2</t>
  </si>
  <si>
    <t>Iapetusvirus</t>
  </si>
  <si>
    <t>Erwinia virus EaH1</t>
  </si>
  <si>
    <t>Iodovirus</t>
  </si>
  <si>
    <t>Iodobacter virus PLPE</t>
  </si>
  <si>
    <t>Ionavirus</t>
  </si>
  <si>
    <t>Jedunavirus</t>
  </si>
  <si>
    <t>Klebsiella virus JD001</t>
  </si>
  <si>
    <t>Klebsiella virus KpV52</t>
  </si>
  <si>
    <t>Klebsiella virus KpV80</t>
  </si>
  <si>
    <t>Jilinvirus</t>
  </si>
  <si>
    <t>Escherichia virus ECOO78</t>
  </si>
  <si>
    <t>Kleczkowskavirus</t>
  </si>
  <si>
    <t>Lubbockvirus</t>
  </si>
  <si>
    <t>Arthrobacter virus BarretLemon</t>
  </si>
  <si>
    <t>Arthrobacter virus Beans</t>
  </si>
  <si>
    <t>Arthrobacter virus Piccoletto</t>
  </si>
  <si>
    <t>Arthrobacter virus Shade</t>
  </si>
  <si>
    <t>Metrivirus</t>
  </si>
  <si>
    <t>Acinetobacter virus ME3</t>
  </si>
  <si>
    <t>Mieseafarmvirus</t>
  </si>
  <si>
    <t>Mimasvirus</t>
  </si>
  <si>
    <t>Cronobacter virus GAP32</t>
  </si>
  <si>
    <t>Pectinobacterium virus CBB</t>
  </si>
  <si>
    <t>Nankokuvirus</t>
  </si>
  <si>
    <t>Pseudomonas virus G1</t>
  </si>
  <si>
    <t>Pseudomonas virus PS24</t>
  </si>
  <si>
    <t>Nazgulvirus</t>
  </si>
  <si>
    <t>Burkholderia virus BcepNazgul</t>
  </si>
  <si>
    <t>Nitunavirus</t>
  </si>
  <si>
    <t>Noxifervirus</t>
  </si>
  <si>
    <t>Pseudomonas virus Noxifer</t>
  </si>
  <si>
    <t>Obolenskvirus</t>
  </si>
  <si>
    <t>Acinetobacter virus AbP2</t>
  </si>
  <si>
    <t>Acinetobacter virus LZ35</t>
  </si>
  <si>
    <t>Acinetobacter virus WCHABP1</t>
  </si>
  <si>
    <t>Acinetobacter virus WCHABP12</t>
  </si>
  <si>
    <t>Otagovirus</t>
  </si>
  <si>
    <t>Pseudomonas virus Psa374</t>
  </si>
  <si>
    <t>Pseudomonas virus VCM</t>
  </si>
  <si>
    <t>Pseudomonas virus MAG1</t>
  </si>
  <si>
    <t>Pseudomonas virus PA10</t>
  </si>
  <si>
    <t>Pseudomonas virus PAKP2</t>
  </si>
  <si>
    <t>Pseudomonas virus phiMK</t>
  </si>
  <si>
    <t>Pseudomonas virus Zigelbrucke</t>
  </si>
  <si>
    <t>Pseudomonas virus CEBDP1</t>
  </si>
  <si>
    <t>Pseudomonas virus E215</t>
  </si>
  <si>
    <t>Pseudomonas virus E217</t>
  </si>
  <si>
    <t>Pseudomonas virus KTN6</t>
  </si>
  <si>
    <t>Pseudomonas virus NH4</t>
  </si>
  <si>
    <t>Pseudomonas virus PA5</t>
  </si>
  <si>
    <t>Pseudomonas virus PS44</t>
  </si>
  <si>
    <t>Peatvirus</t>
  </si>
  <si>
    <t>Pectinobacterium virus PEAT2</t>
  </si>
  <si>
    <t>Pseudomonas virus SL2</t>
  </si>
  <si>
    <t>Plaisancevirus</t>
  </si>
  <si>
    <t>Pseudomonas virus PMW</t>
  </si>
  <si>
    <t>Polybotosvirus</t>
  </si>
  <si>
    <t>Agrobacterium virus Atuph07</t>
  </si>
  <si>
    <t>Popoffvirus</t>
  </si>
  <si>
    <t>Aeromonas virus 56</t>
  </si>
  <si>
    <t>Punavirus</t>
  </si>
  <si>
    <t>Escherichia virus RCS47</t>
  </si>
  <si>
    <t>Salmonella virus SJ46</t>
  </si>
  <si>
    <t>Radnorvirus</t>
  </si>
  <si>
    <t>Arthrobacter virus Colucci</t>
  </si>
  <si>
    <t>Ripduovirus</t>
  </si>
  <si>
    <t>Ralstonia virus RP12</t>
  </si>
  <si>
    <t>Risingsunvirus</t>
  </si>
  <si>
    <t>Erwinia virus Risingsun</t>
  </si>
  <si>
    <t>Seoulvirus</t>
  </si>
  <si>
    <t>Sepunavirus</t>
  </si>
  <si>
    <t>Shalavirus</t>
  </si>
  <si>
    <t>Bacillus virus Shbh1</t>
  </si>
  <si>
    <t>Siminovitchvirus</t>
  </si>
  <si>
    <t>Tegunavirus</t>
  </si>
  <si>
    <t>Thornevirus</t>
  </si>
  <si>
    <t>Bacillus virus SP15</t>
  </si>
  <si>
    <t>Tidunavirus</t>
  </si>
  <si>
    <t>Vibrio virus pTD1</t>
  </si>
  <si>
    <t>Vibrio virus VP4B</t>
  </si>
  <si>
    <t>Tijeunavirus</t>
  </si>
  <si>
    <t>Tetrasphaera virus TJE1</t>
  </si>
  <si>
    <t>Tulanevirus</t>
  </si>
  <si>
    <t>Aeromonas virus Asgz</t>
  </si>
  <si>
    <t>Viunavirus</t>
  </si>
  <si>
    <t>Winklervirus</t>
  </si>
  <si>
    <t>Serratia virus CHI14</t>
  </si>
  <si>
    <t>Yokohamavirus</t>
  </si>
  <si>
    <t>Drulisvirus</t>
  </si>
  <si>
    <t>Friunavirus</t>
  </si>
  <si>
    <t>Acinetobacter virus AS11</t>
  </si>
  <si>
    <t>Acinetobacter virus AS12</t>
  </si>
  <si>
    <t>Acinetobacter virus SH-Ab 15519</t>
  </si>
  <si>
    <t>Acinetobacter virus WCHABP5</t>
  </si>
  <si>
    <t>Acintetobacter virus B1</t>
  </si>
  <si>
    <t>Acintetobacter virus B2</t>
  </si>
  <si>
    <t>Acintetobacter virus B5</t>
  </si>
  <si>
    <t>Acintetobacter virus D2</t>
  </si>
  <si>
    <t>Acintetobacter virus P1</t>
  </si>
  <si>
    <t>Acintetobacter virus P2</t>
  </si>
  <si>
    <t>Acintetobacter virus phiAB6</t>
  </si>
  <si>
    <t>Napahaivirus</t>
  </si>
  <si>
    <t>Pseudomonas virus VSW3</t>
  </si>
  <si>
    <t>Phimunavirus</t>
  </si>
  <si>
    <t>Pectobacterium virus CB5</t>
  </si>
  <si>
    <t>Pectobacterium virus fM1</t>
  </si>
  <si>
    <t>Pectobacterium virus Peat1</t>
  </si>
  <si>
    <t>Pectobacterium virus PP90</t>
  </si>
  <si>
    <t>Pollyceevirus</t>
  </si>
  <si>
    <t>Pseudomonas virus PollyC</t>
  </si>
  <si>
    <t>Przondovirus</t>
  </si>
  <si>
    <t>Teseptimavirus</t>
  </si>
  <si>
    <t>Zindervirus</t>
  </si>
  <si>
    <t>Cepunavirus</t>
  </si>
  <si>
    <t>Negarvirus</t>
  </si>
  <si>
    <t>Lactococcus virus WP2</t>
  </si>
  <si>
    <t>Rosenblumvirus</t>
  </si>
  <si>
    <t>Salasvirus</t>
  </si>
  <si>
    <t>Diegovirus</t>
  </si>
  <si>
    <t>Oslovirus</t>
  </si>
  <si>
    <t>Traversvirus</t>
  </si>
  <si>
    <t>Aqualcavirus</t>
  </si>
  <si>
    <t>Aquamicrobium virus P14</t>
  </si>
  <si>
    <t>Baltimorevirus</t>
  </si>
  <si>
    <t>Bifseptvirus</t>
  </si>
  <si>
    <t>Pseudomonas virus Andromeda</t>
  </si>
  <si>
    <t>Pseudomonas virus Bf7</t>
  </si>
  <si>
    <t>Bjornvirus</t>
  </si>
  <si>
    <t>Pseudomonas virus Bjorn</t>
  </si>
  <si>
    <t>Bruynoghevirus</t>
  </si>
  <si>
    <t>Enhodamvirus</t>
  </si>
  <si>
    <t>Enquatrovirus</t>
  </si>
  <si>
    <t>Fipvunavirus</t>
  </si>
  <si>
    <t>Flavobacterium virus Fpv1</t>
  </si>
  <si>
    <t>Flavobacterium virus Fpv4</t>
  </si>
  <si>
    <t>Gamaleyavirus</t>
  </si>
  <si>
    <t>Hollowayvirus</t>
  </si>
  <si>
    <t>Ithacavirus</t>
  </si>
  <si>
    <t>Jasminevirus</t>
  </si>
  <si>
    <t>Arthrobacter virus Adat</t>
  </si>
  <si>
    <t>Arthrobacter virus Jasmine</t>
  </si>
  <si>
    <t>Johnsonvirus</t>
  </si>
  <si>
    <t>Kafunavirus</t>
  </si>
  <si>
    <t>Kochitakasuvirus</t>
  </si>
  <si>
    <t>Krylovvirus</t>
  </si>
  <si>
    <t>Pseudomonas virus tf</t>
  </si>
  <si>
    <t>Kuravirus</t>
  </si>
  <si>
    <t>Lederbergvirus</t>
  </si>
  <si>
    <t>Salmonella virus SE1Spa</t>
  </si>
  <si>
    <t>Lessievirus</t>
  </si>
  <si>
    <t>Lightbulbvirus</t>
  </si>
  <si>
    <t>Litunavirus</t>
  </si>
  <si>
    <t>Luzseptimavirus</t>
  </si>
  <si>
    <t>Myxoctovirus</t>
  </si>
  <si>
    <t>Myxococcus virus Mx8</t>
  </si>
  <si>
    <t>Perisivirus</t>
  </si>
  <si>
    <t>Rauchvirus</t>
  </si>
  <si>
    <t>Schmidvirus</t>
  </si>
  <si>
    <t>Tabernariusvirus</t>
  </si>
  <si>
    <t>Pseudomonas virus tabernarius</t>
  </si>
  <si>
    <t>Uetakevirus</t>
  </si>
  <si>
    <t>Vicosavirus</t>
  </si>
  <si>
    <t>Pseudomonas virus NV1</t>
  </si>
  <si>
    <t>Pseudomonas virus UFVP2</t>
  </si>
  <si>
    <t>Arequatrovirus</t>
  </si>
  <si>
    <t>Pegunavirus</t>
  </si>
  <si>
    <t>Mycobacterium virus TA17a</t>
  </si>
  <si>
    <t>Cornellvirus</t>
  </si>
  <si>
    <t>Kagunavirus</t>
  </si>
  <si>
    <t>Esherichia virus Golestan</t>
  </si>
  <si>
    <t>Limdunavirus</t>
  </si>
  <si>
    <t>Unaquatrovirus</t>
  </si>
  <si>
    <t>Gordonia virus Nymphadora</t>
  </si>
  <si>
    <t>Eclunavirus</t>
  </si>
  <si>
    <t>Enterobacter virus EcL1</t>
  </si>
  <si>
    <t>Hanrivervirus</t>
  </si>
  <si>
    <t>Shigella virus pSf1</t>
  </si>
  <si>
    <t>Rogunavirus</t>
  </si>
  <si>
    <t>Sertoctavirus</t>
  </si>
  <si>
    <t>Escherichia virus SRT8</t>
  </si>
  <si>
    <t>Tunavirus</t>
  </si>
  <si>
    <t>Shigella virus ISF002</t>
  </si>
  <si>
    <t>Webervirus</t>
  </si>
  <si>
    <t>Abidjanvirus</t>
  </si>
  <si>
    <t>Ahduovirus</t>
  </si>
  <si>
    <t>Burkholderia virus AH2</t>
  </si>
  <si>
    <t>Arthrobacteria virus Molivia</t>
  </si>
  <si>
    <t>Bantamvirus</t>
  </si>
  <si>
    <t>Gordonia virus Bantam</t>
  </si>
  <si>
    <t>Beetrevirus</t>
  </si>
  <si>
    <t>Pseudomonas virus B3</t>
  </si>
  <si>
    <t>Pseudomonas virus JBD67</t>
  </si>
  <si>
    <t>Pseudomonas virus JD18</t>
  </si>
  <si>
    <t>Pseudomonas virus PM105</t>
  </si>
  <si>
    <t>Bendigovirus</t>
  </si>
  <si>
    <t>Gordonia virus GMA6</t>
  </si>
  <si>
    <t>Bernalvirus</t>
  </si>
  <si>
    <t>Betterkatzvirus</t>
  </si>
  <si>
    <t>Gordonia virus BetterKatz</t>
  </si>
  <si>
    <t>Bingvirus</t>
  </si>
  <si>
    <t>Streptomyces virus Bing</t>
  </si>
  <si>
    <t>Bowservirus</t>
  </si>
  <si>
    <t>Gordonia virus Bowser</t>
  </si>
  <si>
    <t>Britbratvirus</t>
  </si>
  <si>
    <t>Gordonia virus Britbrat</t>
  </si>
  <si>
    <t>Brussowvirus</t>
  </si>
  <si>
    <t>Casadabanvirus</t>
  </si>
  <si>
    <t>Ceduovirus</t>
  </si>
  <si>
    <t>Ceetrepovirus</t>
  </si>
  <si>
    <t>Corynebacterium virus C3PO</t>
  </si>
  <si>
    <t>Corynebacterium virus Darwin</t>
  </si>
  <si>
    <t>Corynebacterium virus Zion</t>
  </si>
  <si>
    <t>Cequinquevirus</t>
  </si>
  <si>
    <t>Cetovirus</t>
  </si>
  <si>
    <t>Vibrio virus Ceto</t>
  </si>
  <si>
    <t>Vibrio virus pVp1</t>
  </si>
  <si>
    <t>Vibrio virus Thalassa</t>
  </si>
  <si>
    <t>Chenonavirus</t>
  </si>
  <si>
    <t>Cheoctovirus</t>
  </si>
  <si>
    <t>Chunghsingvirus</t>
  </si>
  <si>
    <t>Corynebacterium virus P1201</t>
  </si>
  <si>
    <t>Cimpunavirus</t>
  </si>
  <si>
    <t>Clavibacter virus CMP1</t>
  </si>
  <si>
    <t>Cinunavirus</t>
  </si>
  <si>
    <t>Clavibacter virus CN1A</t>
  </si>
  <si>
    <t>Coetzeevirus</t>
  </si>
  <si>
    <t>Delepquintavirus</t>
  </si>
  <si>
    <t>Stenotrophomonas virus DLP5</t>
  </si>
  <si>
    <t>Detrevirus</t>
  </si>
  <si>
    <t>Dhillonvirus</t>
  </si>
  <si>
    <t>Dismasvirus</t>
  </si>
  <si>
    <t>Microbacterium virus Dismas</t>
  </si>
  <si>
    <t>Efquatrovirus</t>
  </si>
  <si>
    <t>Enterococcus virus AL2</t>
  </si>
  <si>
    <t>Enterococcus virus AL3</t>
  </si>
  <si>
    <t>Enterococcus virus AUEF3</t>
  </si>
  <si>
    <t>Enterococcus virus EcZZ2</t>
  </si>
  <si>
    <t>Enterococcus virus EF3</t>
  </si>
  <si>
    <t>Enterococcus virus EF4</t>
  </si>
  <si>
    <t>Enterococcus virus EfaCPT1</t>
  </si>
  <si>
    <t>Enterococcus virus IME196</t>
  </si>
  <si>
    <t>Enterococcus virus LY0322</t>
  </si>
  <si>
    <t>Enterococcus virus phiSHEF2</t>
  </si>
  <si>
    <t>Enterococcus virus phiSHEF4</t>
  </si>
  <si>
    <t>Enterococcus virus phiSHEF5</t>
  </si>
  <si>
    <t>Enterococcus virus PMBT2</t>
  </si>
  <si>
    <t>Enterococcus virus SANTOR1</t>
  </si>
  <si>
    <t>Eisenstarkvirus</t>
  </si>
  <si>
    <t>Xanthomonas virus PhiL7</t>
  </si>
  <si>
    <t>Elerivirus</t>
  </si>
  <si>
    <t>Microbacterium virus Eleri</t>
  </si>
  <si>
    <t>Emalynvirus</t>
  </si>
  <si>
    <t>Gordonia virus Cozz</t>
  </si>
  <si>
    <t>Gordonia virus Emalyn</t>
  </si>
  <si>
    <t>Gordonia virus GTE2</t>
  </si>
  <si>
    <t>Gordonia virus Troje</t>
  </si>
  <si>
    <t>Eyrevirus</t>
  </si>
  <si>
    <t>Gordonia virus Eyre</t>
  </si>
  <si>
    <t>Farahnazvirus</t>
  </si>
  <si>
    <t>Microbacterium virus ISF9</t>
  </si>
  <si>
    <t>Fromanvirus</t>
  </si>
  <si>
    <t>Mycobacterium virus BPBiebs31</t>
  </si>
  <si>
    <t>Galaxyvirus</t>
  </si>
  <si>
    <t>Arthrobacter virus Abidatro</t>
  </si>
  <si>
    <t>Arthrobacter virus Galaxy</t>
  </si>
  <si>
    <t>Galunavirus</t>
  </si>
  <si>
    <t>Gordonia virus GAL1</t>
  </si>
  <si>
    <t>Gamtrevirus</t>
  </si>
  <si>
    <t>Gordonia virus GMA3</t>
  </si>
  <si>
    <t>Gesputvirus</t>
  </si>
  <si>
    <t>Gordonia virus Gsput1</t>
  </si>
  <si>
    <t>Getseptimavirus</t>
  </si>
  <si>
    <t>Gordonia virus GMA7</t>
  </si>
  <si>
    <t>Gordonia virus GTE7</t>
  </si>
  <si>
    <t>Ghobesvirus</t>
  </si>
  <si>
    <t>Gordonia virus Ghobes</t>
  </si>
  <si>
    <t>Gorganvirus</t>
  </si>
  <si>
    <t>Proteus virus Isfahan</t>
  </si>
  <si>
    <t>Gorjumvirus</t>
  </si>
  <si>
    <t>Gordonia virus Jumbo</t>
  </si>
  <si>
    <t>Gustavvirus</t>
  </si>
  <si>
    <t>Gordonia virus Gustav</t>
  </si>
  <si>
    <t>Gordonia virus Mahdia</t>
  </si>
  <si>
    <t>Hedwigvirus</t>
  </si>
  <si>
    <t>Gordonia virus Hedwig</t>
  </si>
  <si>
    <t>Helsingorvirus</t>
  </si>
  <si>
    <t>Hendrixvirus</t>
  </si>
  <si>
    <t>Holosalinivirus</t>
  </si>
  <si>
    <t>Salinibacter virus M1EM1</t>
  </si>
  <si>
    <t>Salinibacter virus M8CR30-2</t>
  </si>
  <si>
    <t>Homburgvirus</t>
  </si>
  <si>
    <t>Ikedavirus</t>
  </si>
  <si>
    <t>Corynebacterium virus phi673</t>
  </si>
  <si>
    <t>Corynebacterium virus phi674</t>
  </si>
  <si>
    <t>Ilzatvirus</t>
  </si>
  <si>
    <t>Microbacterium virus Hamlet</t>
  </si>
  <si>
    <t>Microbacterium virus Ilzat</t>
  </si>
  <si>
    <t>Incheonvrus</t>
  </si>
  <si>
    <t>Inhavirus</t>
  </si>
  <si>
    <t>Jesfedecavirus</t>
  </si>
  <si>
    <t>Vibrio virus JSF10</t>
  </si>
  <si>
    <t>Vibrio virus phi3</t>
  </si>
  <si>
    <t>Kairosalinivirus</t>
  </si>
  <si>
    <t>Salinibacter virus M31CR41-2</t>
  </si>
  <si>
    <t>Salinibacter virus SRUTV1</t>
  </si>
  <si>
    <t>Klementvirus</t>
  </si>
  <si>
    <t>Kojivirus</t>
  </si>
  <si>
    <t>Microbacterium virus Golden</t>
  </si>
  <si>
    <t>Microbacterium virus Koji</t>
  </si>
  <si>
    <t>Kostyavirus</t>
  </si>
  <si>
    <t>Kryptosalinivirus</t>
  </si>
  <si>
    <t>Salinibacter virus M8CC19</t>
  </si>
  <si>
    <t>Salinibacter virus M8CRM1</t>
  </si>
  <si>
    <t>Lacusarxvirus</t>
  </si>
  <si>
    <t>Sphingobium virus Lacusarx</t>
  </si>
  <si>
    <t>Lilyvirus</t>
  </si>
  <si>
    <t>Paenibacillus virus Lily</t>
  </si>
  <si>
    <t>Lokivirus</t>
  </si>
  <si>
    <t>Acinetobacter virus IMEAB3</t>
  </si>
  <si>
    <t>Acinetobacter virus Loki</t>
  </si>
  <si>
    <t>Lomovskayavirus</t>
  </si>
  <si>
    <t>Lwoffvirus</t>
  </si>
  <si>
    <t>Magadivirus</t>
  </si>
  <si>
    <t>Bacillus virus Mgbh1</t>
  </si>
  <si>
    <t>Mapvirus</t>
  </si>
  <si>
    <t>Mardecavirus</t>
  </si>
  <si>
    <t>Minunavirus</t>
  </si>
  <si>
    <t>Microbacterium virus Min1</t>
  </si>
  <si>
    <t>Moineauvirus</t>
  </si>
  <si>
    <t>Myunavirus</t>
  </si>
  <si>
    <t>Pectobacterium virus My1</t>
  </si>
  <si>
    <t>Nanhaivirus</t>
  </si>
  <si>
    <t>Dinoroseobacter virus D5C</t>
  </si>
  <si>
    <t>Nickievirus</t>
  </si>
  <si>
    <t>Pseudomonas virus nickie</t>
  </si>
  <si>
    <t>Nipunavirus</t>
  </si>
  <si>
    <t>Salmonella virus SE1Kor</t>
  </si>
  <si>
    <t>Novosibvirus</t>
  </si>
  <si>
    <t>Proteus virus PM135</t>
  </si>
  <si>
    <t>Nyceiraevirus</t>
  </si>
  <si>
    <t>Gordonia virus Nyceirae</t>
  </si>
  <si>
    <t>Orchidvirus</t>
  </si>
  <si>
    <t>Gordonia virus Orchid</t>
  </si>
  <si>
    <t>Oshimavirus</t>
  </si>
  <si>
    <t>Pahexavirus</t>
  </si>
  <si>
    <t>Pamexvirus</t>
  </si>
  <si>
    <t>Papyrusvirus</t>
  </si>
  <si>
    <t>Pepyhexavirus</t>
  </si>
  <si>
    <t>Pikminvirus</t>
  </si>
  <si>
    <t>Microbacterium virus Pikmin</t>
  </si>
  <si>
    <t>Poushouvirus</t>
  </si>
  <si>
    <t>Corynebacterium virus Poushou</t>
  </si>
  <si>
    <t>Priunavirus</t>
  </si>
  <si>
    <t>Providencia virus PR1</t>
  </si>
  <si>
    <t>Pulverervirus</t>
  </si>
  <si>
    <t>Ravinvirus</t>
  </si>
  <si>
    <t>Rerduovirus</t>
  </si>
  <si>
    <t>Rigallicvirus</t>
  </si>
  <si>
    <t>Rhizobium virus P106B</t>
  </si>
  <si>
    <t>Rimavirus</t>
  </si>
  <si>
    <t>Strepomyces virus Drgrey</t>
  </si>
  <si>
    <t>Strepomyces virus Rima</t>
  </si>
  <si>
    <t>Roufvirus</t>
  </si>
  <si>
    <t>Samistivirus</t>
  </si>
  <si>
    <t>Streptomyces virus Jay2Jay</t>
  </si>
  <si>
    <t>Streptomyces virus Mildred21</t>
  </si>
  <si>
    <t>Streptomyces virus NootNoot</t>
  </si>
  <si>
    <t>Streptomyces virus Paradiddles</t>
  </si>
  <si>
    <t>Streptomyces virus Peebs</t>
  </si>
  <si>
    <t>Streptomyces virus Samisti12</t>
  </si>
  <si>
    <t>Samunavirus</t>
  </si>
  <si>
    <t>Pseudomonas virus SM1</t>
  </si>
  <si>
    <t>Sanovirus</t>
  </si>
  <si>
    <t>Xylella virus Salvo</t>
  </si>
  <si>
    <t>Xylella virus Sano</t>
  </si>
  <si>
    <t>Saphexavirus</t>
  </si>
  <si>
    <t>Sasvirus</t>
  </si>
  <si>
    <t>Corynebacterium virus BFK20</t>
  </si>
  <si>
    <t>Saundersvirus</t>
  </si>
  <si>
    <t>Scapunavirus</t>
  </si>
  <si>
    <t>Streptomyces virus Scap1</t>
  </si>
  <si>
    <t>Septimatrevirus</t>
  </si>
  <si>
    <t>Skunavirus</t>
  </si>
  <si>
    <t>Gordonia virus Strosahl</t>
  </si>
  <si>
    <t>Gordonia virus Wait</t>
  </si>
  <si>
    <t>Sourvirus</t>
  </si>
  <si>
    <t>Gordonia virus Sour</t>
  </si>
  <si>
    <t>Stanholtvirus</t>
  </si>
  <si>
    <t>Steinhofvirus</t>
  </si>
  <si>
    <t>Sugarlandvirus</t>
  </si>
  <si>
    <t>Klebsiella virus IME260</t>
  </si>
  <si>
    <t>Klebsiella virus Sugarland</t>
  </si>
  <si>
    <t>Tequintavirus</t>
  </si>
  <si>
    <t>Timquatrovirus</t>
  </si>
  <si>
    <t>Mycobacterium virus Fionnbharth</t>
  </si>
  <si>
    <t>Tinduovirus</t>
  </si>
  <si>
    <t>Tortellinivirus</t>
  </si>
  <si>
    <t>Mycobacterium virus Tortellini</t>
  </si>
  <si>
    <t>Trinavirus</t>
  </si>
  <si>
    <t>Rhodococcus virus Trina</t>
  </si>
  <si>
    <t>Trippvirus</t>
  </si>
  <si>
    <t>Paenibacillus virus Tripp</t>
  </si>
  <si>
    <t>Unahavirus</t>
  </si>
  <si>
    <t>Flavobacterium virus 1H</t>
  </si>
  <si>
    <t>Flavobacterium virus 23T</t>
  </si>
  <si>
    <t>Flavobacterium virus 2A</t>
  </si>
  <si>
    <t>Flavobacterium virus 6H</t>
  </si>
  <si>
    <t>Vhulanivirus</t>
  </si>
  <si>
    <t>Paracoccus virus Shpa</t>
  </si>
  <si>
    <t>Vidquintavirus</t>
  </si>
  <si>
    <t>Pantoea virus Vid5</t>
  </si>
  <si>
    <t>Vieuvirus</t>
  </si>
  <si>
    <t>Acinetobacter virus B1251</t>
  </si>
  <si>
    <t>Acinetobacter virus R3177</t>
  </si>
  <si>
    <t>Vividuovirus</t>
  </si>
  <si>
    <t>Gordonia virus Brandonk123</t>
  </si>
  <si>
    <t>Gordonia virus Lennon</t>
  </si>
  <si>
    <t>Gordonia virus Vivi2</t>
  </si>
  <si>
    <t>Weaselvirus</t>
  </si>
  <si>
    <t>Rhodococcus virus Weasel</t>
  </si>
  <si>
    <t>Wilnyevirus</t>
  </si>
  <si>
    <t>Gordonia virus Billnye</t>
  </si>
  <si>
    <t>Woodruffvirus</t>
  </si>
  <si>
    <t>Xiamenvirus</t>
  </si>
  <si>
    <t>Xipdecavirus</t>
  </si>
  <si>
    <t>Yvonnevirus</t>
  </si>
  <si>
    <t>Gordonia virus Yvonnetastic</t>
  </si>
  <si>
    <t>Spheniscid alphaherpesvirus 1</t>
  </si>
  <si>
    <t>Testudinid alphaherpesvirus 3</t>
  </si>
  <si>
    <t>Pteropodid alphaherpesvirus 1</t>
  </si>
  <si>
    <t>Monodontid alphaherpesvirus 1</t>
  </si>
  <si>
    <t>Macacine betaherpesvirus 8</t>
  </si>
  <si>
    <t>Mandrilline betaherpesvirus 1</t>
  </si>
  <si>
    <t>Papiine betaherpesvirus 4</t>
  </si>
  <si>
    <t>Elephantid betaherpesvirus 4</t>
  </si>
  <si>
    <t>Elephantid betaherpesvirus 5</t>
  </si>
  <si>
    <t>Macacine betaherpesvirus 9</t>
  </si>
  <si>
    <t>Murid betaherpesvirus 3</t>
  </si>
  <si>
    <t>Macacine gammaherpesvirus 10</t>
  </si>
  <si>
    <t>Felid gammaherpesvirus 1</t>
  </si>
  <si>
    <t>Phocid gammaherpesvirus 3</t>
  </si>
  <si>
    <t>Vespertilionid gammaherpesvirus 1</t>
  </si>
  <si>
    <t>Macacine gammaherpesvirus 8</t>
  </si>
  <si>
    <t>Macacine gammaherpesvirus 11</t>
  </si>
  <si>
    <t>Macacine gammaherpesvirus 12</t>
  </si>
  <si>
    <t>Birch leaf roll-associated virus</t>
  </si>
  <si>
    <t>Blackberry virus F</t>
  </si>
  <si>
    <t>Cacao bacilliform Sri Lanka virus</t>
  </si>
  <si>
    <t>Cacao swollen shoot CE virus</t>
  </si>
  <si>
    <t>Cacao swollen shoot Ghana M virus</t>
  </si>
  <si>
    <t>Cacao swollen shoot Ghana N virus</t>
  </si>
  <si>
    <t>Cacao swollen shoot Ghana Q virus</t>
  </si>
  <si>
    <t>Cacao swollen shoot Togo B virus</t>
  </si>
  <si>
    <t>Canna yellow mottle associated virus</t>
  </si>
  <si>
    <t>Dioscorea bacilliform AL virus 2</t>
  </si>
  <si>
    <t>Dioscorea bacilliform ES virus</t>
  </si>
  <si>
    <t>Jujube mosaic-associated virus</t>
  </si>
  <si>
    <t>Angelica bushy stunt virus</t>
  </si>
  <si>
    <t>Rudbeckia flower distortion virus</t>
  </si>
  <si>
    <t>Central chimpanzee simian foamy virus</t>
  </si>
  <si>
    <t>Cynomolgus macaque simian foamy virus</t>
  </si>
  <si>
    <t>Whitefly associated Guatemala alphasatellite 1</t>
  </si>
  <si>
    <t>2018.030P.A.v1.Alphasatellitidae_2spren.zip</t>
  </si>
  <si>
    <t>Sophora yellow stunt alphasatellite 1</t>
  </si>
  <si>
    <t>Torque teno seal virus 1</t>
  </si>
  <si>
    <t>2018.001D.A.v1.Anelloviridae_2gen.zip</t>
  </si>
  <si>
    <t>Torque teno seal virus 2</t>
  </si>
  <si>
    <t>Torque teno seal virus 3</t>
  </si>
  <si>
    <t>Torque teno seal virus 8</t>
  </si>
  <si>
    <t>Torque teno seal virus 9</t>
  </si>
  <si>
    <t>Mutorquevirus</t>
  </si>
  <si>
    <t>Torque teno equus virus 1</t>
  </si>
  <si>
    <t>Nutorquevirus</t>
  </si>
  <si>
    <t>Torque teno seal virus 4</t>
  </si>
  <si>
    <t>Torque teno seal virus 5</t>
  </si>
  <si>
    <t>Hemileuca species nucleopolyhedrovirus</t>
  </si>
  <si>
    <t>2018.002D.A.v1.Baculoviridae_8sp.zip</t>
  </si>
  <si>
    <t>Lonomia obliqua nucleopolyhedrovirus</t>
  </si>
  <si>
    <t>Operophtera brumata nucleopolyhedrovirus</t>
  </si>
  <si>
    <t>Oxyplax ochracea nucleopolyhedrovirus</t>
  </si>
  <si>
    <t>Peridroma saucia nucleopolyhedrovirus</t>
  </si>
  <si>
    <t>Perigonia lusca nucleopolyhedrovirus</t>
  </si>
  <si>
    <t>Mocis latipes granulovirus</t>
  </si>
  <si>
    <t>Bat associated circovirus 10</t>
  </si>
  <si>
    <t>Bat associated circovirus 11</t>
  </si>
  <si>
    <t>Rodent associated circovirus 1</t>
  </si>
  <si>
    <t>Rodent associated circovirus 2</t>
  </si>
  <si>
    <t>Rodent associated circovirus 3</t>
  </si>
  <si>
    <t>Rodent associated circovirus 4</t>
  </si>
  <si>
    <t>Rodent associated circovirus 5</t>
  </si>
  <si>
    <t>Rodent associated circovirus 6</t>
  </si>
  <si>
    <t>Tick associated circovirus 1</t>
  </si>
  <si>
    <t>Tick associated circovirus 2</t>
  </si>
  <si>
    <t>Duck associated cyclovirus 1</t>
  </si>
  <si>
    <t>Rodent associated cyclovirus 1</t>
  </si>
  <si>
    <t>Rodent associated cyclovirus 2</t>
  </si>
  <si>
    <t>Pseudoalteromonas virus Cr39582</t>
  </si>
  <si>
    <t>Exomis microphylla latent virus</t>
  </si>
  <si>
    <t>African cassava mosaic Burkina Faso virus</t>
  </si>
  <si>
    <t>Bean leaf crumple virus</t>
  </si>
  <si>
    <t>Bhendi yellow vein mosaic Delhi virus</t>
  </si>
  <si>
    <t>Blechum yellow vein virus</t>
  </si>
  <si>
    <t>Chilli leaf curl Ahmedabad virus</t>
  </si>
  <si>
    <t>Chilli leaf curl Bhavanisagar virus</t>
  </si>
  <si>
    <t>Chilli leaf curl Gonda virus</t>
  </si>
  <si>
    <t>Chilli leaf curl Sri Lanka virus</t>
  </si>
  <si>
    <t>Datura leaf curl virus</t>
  </si>
  <si>
    <t>Eclipta yellow vein virus</t>
  </si>
  <si>
    <t>Emilia yellow vein Thailand virus</t>
  </si>
  <si>
    <t>Jacquemontia yellow vein virus</t>
  </si>
  <si>
    <t>2017.011P.A.v2.Gemini_sp_ren.zip</t>
  </si>
  <si>
    <t>Pepper leafroll virus</t>
  </si>
  <si>
    <t>Pepper yellow leaf curl Indonesia virus 2</t>
  </si>
  <si>
    <t>Pouzolzia yellow mosaic virus</t>
  </si>
  <si>
    <t>Sweet potato leaf curl Shandong virus</t>
  </si>
  <si>
    <t>Tomato leaf curl Japan virus</t>
  </si>
  <si>
    <t>Tomato leaf curl Karnataka virus 2</t>
  </si>
  <si>
    <t>Tomato leaf curl Karnataka virus 3</t>
  </si>
  <si>
    <t>Tomato leaf curl New Delhi virus 5</t>
  </si>
  <si>
    <t>Tomato leaf curl purple vein virus</t>
  </si>
  <si>
    <t>Tomato leaf curl Tanzania virus</t>
  </si>
  <si>
    <t>Tomato severe leaf curl Kalakada virus</t>
  </si>
  <si>
    <t>Tomato wrinkled mosaic virus</t>
  </si>
  <si>
    <t>Vernonia yellow vein Fujian virus</t>
  </si>
  <si>
    <t>West African Asystasia virus 3</t>
  </si>
  <si>
    <t>Prunus latent virus</t>
  </si>
  <si>
    <t>Wild Vitis latent virus</t>
  </si>
  <si>
    <t>Maize striate mosaic virus</t>
  </si>
  <si>
    <t>Rice latent virus 1</t>
  </si>
  <si>
    <t>Rice latent virus 2</t>
  </si>
  <si>
    <t>Capuchin monkey hepatitis B virus</t>
  </si>
  <si>
    <t>Thermus virus OH3</t>
  </si>
  <si>
    <t>Xanthomonas virus Xf109</t>
  </si>
  <si>
    <t>Lymphocystis disease virus 2</t>
  </si>
  <si>
    <t>Lymphocystis disease virus 3</t>
  </si>
  <si>
    <t>Scale drop disease virus</t>
  </si>
  <si>
    <t>Anopheles minimus iridovirus</t>
  </si>
  <si>
    <t>Invertebrate iridescent virus 9</t>
  </si>
  <si>
    <t>Invertebrate iridescent virus 22</t>
  </si>
  <si>
    <t>Invertebrate iridescent virus 25</t>
  </si>
  <si>
    <t>Decapodiridovirus</t>
  </si>
  <si>
    <t>Decapod iridescent virus 1</t>
  </si>
  <si>
    <t>Invertebrate iridescent virus 31</t>
  </si>
  <si>
    <t>Alphatrevirus</t>
  </si>
  <si>
    <t>Gequatrovirus</t>
  </si>
  <si>
    <t>Sinsheimervirus</t>
  </si>
  <si>
    <t>Ovaliviridae</t>
  </si>
  <si>
    <t>Alphaovalivirus</t>
  </si>
  <si>
    <t>Sulfolobus ellipsoid virus 1</t>
  </si>
  <si>
    <t>2018.104B.A.v1.Ovaliviridae.zip</t>
  </si>
  <si>
    <t>Squamate dependoparvovirus 2</t>
  </si>
  <si>
    <t>Miniopterus schreibersii polyomavirus 1</t>
  </si>
  <si>
    <t>Miniopterus schreibersii polyomavirus 2</t>
  </si>
  <si>
    <t>Sorex araneus polyomavirus 1</t>
  </si>
  <si>
    <t>Sorex coronatus polyomavirus 1</t>
  </si>
  <si>
    <t>Sorex minutus polyomavirus 1</t>
  </si>
  <si>
    <t>Canis familiaris polyomavirus 1</t>
  </si>
  <si>
    <t>Rousettus aegyptiacus polyomavirus 1</t>
  </si>
  <si>
    <t>Ailuropoda melanoleuca polyomavirus 1</t>
  </si>
  <si>
    <t>Procyon lotor polyomavirus 2</t>
  </si>
  <si>
    <t>Sparus aurata polyomavirus 1</t>
  </si>
  <si>
    <t>Trematomus bernacchii polyomavirus 1</t>
  </si>
  <si>
    <t>Gammatectivirus</t>
  </si>
  <si>
    <t>Gluconobacter virus GC1</t>
  </si>
  <si>
    <t>Moved,Removed as Type Species,</t>
  </si>
  <si>
    <t>Sort</t>
  </si>
  <si>
    <t>Sharpbelly cultervirus</t>
  </si>
  <si>
    <t>ICTV 2019 Master Species List (MSL35)</t>
  </si>
  <si>
    <t>New MSL including all taxa updates since the 2018b release</t>
  </si>
  <si>
    <t>Updates approved during EC 51, Berlin, Germany, July 2019; Email ratification March 2020 (MSL #35)</t>
  </si>
  <si>
    <t>phylum</t>
  </si>
  <si>
    <t>class</t>
  </si>
  <si>
    <t>order</t>
  </si>
  <si>
    <t>family</t>
  </si>
  <si>
    <t>genus</t>
  </si>
  <si>
    <t>species</t>
  </si>
  <si>
    <t>Duplodnaviria</t>
  </si>
  <si>
    <t>Heunggongvirae</t>
  </si>
  <si>
    <t>Peploviricota</t>
  </si>
  <si>
    <t>Herviviricetes</t>
  </si>
  <si>
    <t>2019.004G.zip</t>
  </si>
  <si>
    <t>Uroviricota</t>
  </si>
  <si>
    <t>Caudoviricetes</t>
  </si>
  <si>
    <t>Taipeivirus</t>
  </si>
  <si>
    <t>Escherichia virus KWBSE43-6</t>
  </si>
  <si>
    <t>2019.090B.zip</t>
  </si>
  <si>
    <t>Klebsiella virus KpS110</t>
  </si>
  <si>
    <t>Klebsiella virus May</t>
  </si>
  <si>
    <t>Klebsiella virus Menlow</t>
  </si>
  <si>
    <t>Autographiviridae</t>
  </si>
  <si>
    <t>Beijerinckvirinae</t>
  </si>
  <si>
    <t>Daemvirus</t>
  </si>
  <si>
    <t>Acinetobacter virus Acibel007</t>
  </si>
  <si>
    <t>2019.103B.zip</t>
  </si>
  <si>
    <t>Acinetobacter virus AbKT21III</t>
  </si>
  <si>
    <t>Acinetobacter virus Aci07</t>
  </si>
  <si>
    <t>Acinetobacter virus Aci08</t>
  </si>
  <si>
    <t>Acinetobacter virus SWHAb1</t>
  </si>
  <si>
    <t>Acinetobacter virus SWHAb3</t>
  </si>
  <si>
    <t>Pettyvirus</t>
  </si>
  <si>
    <t>Acinetobacter virus Petty</t>
  </si>
  <si>
    <t>Colwellvirinae</t>
  </si>
  <si>
    <t>Gutovirus</t>
  </si>
  <si>
    <t>Vibrio virus Vc1</t>
  </si>
  <si>
    <t>Kaohsiungvirus</t>
  </si>
  <si>
    <t>Vibrio virus A318</t>
  </si>
  <si>
    <t>Vibrio virus AS51</t>
  </si>
  <si>
    <t>Vibrio virus Vp670</t>
  </si>
  <si>
    <t>Murciavirus</t>
  </si>
  <si>
    <t>Marinomonas virus CB5A</t>
  </si>
  <si>
    <t>Marinomonas virus CPP1m</t>
  </si>
  <si>
    <t>Trungvirus</t>
  </si>
  <si>
    <t>Vibrio virus VEN</t>
  </si>
  <si>
    <t>Uliginvirus</t>
  </si>
  <si>
    <t>Pseudomonas virus Achelous</t>
  </si>
  <si>
    <t>Pseudomonas virus Alpheus</t>
  </si>
  <si>
    <t>Pseudomonas virus Nerthus</t>
  </si>
  <si>
    <t>Pseudomonas virus Njord</t>
  </si>
  <si>
    <t>Pseudomonas virus uligo</t>
  </si>
  <si>
    <t>Corkvirinae</t>
  </si>
  <si>
    <t>Kantovirus</t>
  </si>
  <si>
    <t>Pseudomonas virus C171</t>
  </si>
  <si>
    <t>Kotilavirus</t>
  </si>
  <si>
    <t>Pectobacterium virus PP16</t>
  </si>
  <si>
    <t>Pectobacterium virus PPWS1</t>
  </si>
  <si>
    <t>Pectobacterium virus PPWS2</t>
  </si>
  <si>
    <t>Pectobacterium virus Clickz</t>
  </si>
  <si>
    <t>Pectobacterium virus Gaspode</t>
  </si>
  <si>
    <t>Pectobacterium virus Khlen</t>
  </si>
  <si>
    <t>Pectobacterium virus Koot</t>
  </si>
  <si>
    <t>Pectobacterium virus Lelidair</t>
  </si>
  <si>
    <t>Pectobacterium virus Nobby</t>
  </si>
  <si>
    <t>Pectobacterium virus Phoria</t>
  </si>
  <si>
    <t>Pectobacterium virus Zenivior</t>
  </si>
  <si>
    <t>Stompvirus</t>
  </si>
  <si>
    <t>Dickeya virus BF25-12</t>
  </si>
  <si>
    <t>Krylovirinae</t>
  </si>
  <si>
    <t>Kirikabuvirus</t>
  </si>
  <si>
    <t>Pseudomonas virus NV3</t>
  </si>
  <si>
    <t>Pseudomonas virus 130-113</t>
  </si>
  <si>
    <t>Pseudomonas virus 15pyo</t>
  </si>
  <si>
    <t>Pseudomonas virus Ab05</t>
  </si>
  <si>
    <t>Pseudomonas virus ABTNL</t>
  </si>
  <si>
    <t>Pseudomonas virus DL62</t>
  </si>
  <si>
    <t>Pseudomonas virus kF77</t>
  </si>
  <si>
    <t>Pseudomonas virus LKD16</t>
  </si>
  <si>
    <t>Pseudomonas virus LUZ19</t>
  </si>
  <si>
    <t>Pseudomonas virus MPK6</t>
  </si>
  <si>
    <t>Pseudomonas virus MPK7</t>
  </si>
  <si>
    <t>Pseudomonas virus NFS</t>
  </si>
  <si>
    <t>Pseudomonas virus PAXYB1</t>
  </si>
  <si>
    <t>Pseudomonas virus PT2</t>
  </si>
  <si>
    <t>Pseudomonas virus PT5</t>
  </si>
  <si>
    <t>Pseudomonas virus RLP</t>
  </si>
  <si>
    <t>Stubburvirus</t>
  </si>
  <si>
    <t>Tunggulviirus</t>
  </si>
  <si>
    <t>Pseudomonas virus f2</t>
  </si>
  <si>
    <t>Melnykvirinae</t>
  </si>
  <si>
    <t>Aerosvirus</t>
  </si>
  <si>
    <t>Aeromonas virus 25AhydR2PP</t>
  </si>
  <si>
    <t>Aeromonas virus AS7</t>
  </si>
  <si>
    <t>Aeromonas virus ZPAH7</t>
  </si>
  <si>
    <t>Aghbyvirus</t>
  </si>
  <si>
    <t>Yersinia virus ISAO8</t>
  </si>
  <si>
    <t>Ahphunavirus</t>
  </si>
  <si>
    <t>Aeromonas virus Ahp1</t>
  </si>
  <si>
    <t>Aeromonas virus CF7</t>
  </si>
  <si>
    <t>Cronosvirus</t>
  </si>
  <si>
    <t>Cronobacter virus DevCD23823</t>
  </si>
  <si>
    <t>Cronobacter virus GAP227</t>
  </si>
  <si>
    <t>Panjvirus</t>
  </si>
  <si>
    <t>Salmonella virus Spp16</t>
  </si>
  <si>
    <t>Pienvirus</t>
  </si>
  <si>
    <t>Yersinia virus R8-01</t>
  </si>
  <si>
    <t>Pokrovskaiavirus</t>
  </si>
  <si>
    <t>Yersinia virus fHeYen301</t>
  </si>
  <si>
    <t>Yersinia virus Phi80-18</t>
  </si>
  <si>
    <t>Wanjuvirus</t>
  </si>
  <si>
    <t>Pectobacterium virus Arno160</t>
  </si>
  <si>
    <t>Pectobacterium virus PP2</t>
  </si>
  <si>
    <t>Molineuxvirinae</t>
  </si>
  <si>
    <t>Acadevirus</t>
  </si>
  <si>
    <t>Proteus virus PM85</t>
  </si>
  <si>
    <t>Proteus virus PM93</t>
  </si>
  <si>
    <t>Proteus virus PM116</t>
  </si>
  <si>
    <t>Proteus virus Pm5460</t>
  </si>
  <si>
    <t>Axomammavirus</t>
  </si>
  <si>
    <t>Pectobacterium virus PP1</t>
  </si>
  <si>
    <t>Eracentumvirus</t>
  </si>
  <si>
    <t>Erwinia virus S2</t>
  </si>
  <si>
    <t>Tuodvirus</t>
  </si>
  <si>
    <t>Lelliottia virus phD2B</t>
  </si>
  <si>
    <t>Vectrevirus</t>
  </si>
  <si>
    <t>Citrobacter CrRp3</t>
  </si>
  <si>
    <t>Escherchia virus LL11</t>
  </si>
  <si>
    <t>Escherichia virus AAPEc6</t>
  </si>
  <si>
    <t>Escherichia virus ACGC91</t>
  </si>
  <si>
    <t>Escherichia virus B</t>
  </si>
  <si>
    <t>Escherichia virus C</t>
  </si>
  <si>
    <t>Escherichia virus K</t>
  </si>
  <si>
    <t>Escherichia virus mutPK1A2</t>
  </si>
  <si>
    <t>Escherichia virus VEc3</t>
  </si>
  <si>
    <t>Escherichia virus UAB78</t>
  </si>
  <si>
    <t>Salmonella virus BP12B</t>
  </si>
  <si>
    <t>Okabevirinae</t>
  </si>
  <si>
    <t>Ampunavirus</t>
  </si>
  <si>
    <t>Burkholderia virus BpAMP1</t>
  </si>
  <si>
    <t>Ralstonia virus RSPI1</t>
  </si>
  <si>
    <t>Higashivirus</t>
  </si>
  <si>
    <t>Ralstonia virus RSB1</t>
  </si>
  <si>
    <t>Ralstonia virus RsoP1IDN</t>
  </si>
  <si>
    <t>Mguuvirus</t>
  </si>
  <si>
    <t>Burkholderia virus JG068</t>
  </si>
  <si>
    <t>Risjevirus</t>
  </si>
  <si>
    <t>Ralstonia virus RSJ2</t>
  </si>
  <si>
    <t>Ralstonia virus RSJ5</t>
  </si>
  <si>
    <t>Sukuvirus</t>
  </si>
  <si>
    <t>Ralstonia virus RSPII1</t>
  </si>
  <si>
    <t>Slopekvirinae</t>
  </si>
  <si>
    <t>Bucovirus</t>
  </si>
  <si>
    <t>Shigella virus Buco</t>
  </si>
  <si>
    <t>Escherichia virus Minorna</t>
  </si>
  <si>
    <t>Klebsiella virus AltoGao</t>
  </si>
  <si>
    <t>Klebsiella virus BO1E</t>
  </si>
  <si>
    <t>Klebsiella virus KPRio2015</t>
  </si>
  <si>
    <t>Klebsiella virus KpS2</t>
  </si>
  <si>
    <t>Klebsiella virus KpV48</t>
  </si>
  <si>
    <t>Klebsiella virus KpV74</t>
  </si>
  <si>
    <t>Klebsiella virus KPV811</t>
  </si>
  <si>
    <t>Klebsiella virus myPSH1235</t>
  </si>
  <si>
    <t>Shigella virus SFN6B</t>
  </si>
  <si>
    <t>Koutsourovirus</t>
  </si>
  <si>
    <t>Enterobacter virus KDA1</t>
  </si>
  <si>
    <t>Novosibovirus</t>
  </si>
  <si>
    <t>Proteus virus PM16</t>
  </si>
  <si>
    <t>Proteus virus PM75</t>
  </si>
  <si>
    <t>Studiervirinae</t>
  </si>
  <si>
    <t>Aarhusvirus</t>
  </si>
  <si>
    <t>Dickeya virus Dagda</t>
  </si>
  <si>
    <t>Dickeya virus Katbat</t>
  </si>
  <si>
    <t>Dickeya virus Luksen</t>
  </si>
  <si>
    <t>Dickeya virus Mysterion</t>
  </si>
  <si>
    <t>Apdecimavirus</t>
  </si>
  <si>
    <t>Yersinia virus AP10</t>
  </si>
  <si>
    <t>Berlinvirus</t>
  </si>
  <si>
    <t>Erwinia virus FE44</t>
  </si>
  <si>
    <t>Escherichia virus 285P</t>
  </si>
  <si>
    <t>Escherichia virus BA14</t>
  </si>
  <si>
    <t>Escherichia virus P483</t>
  </si>
  <si>
    <t>Escherichia virus P694</t>
  </si>
  <si>
    <t>Escherichia virus S523</t>
  </si>
  <si>
    <t>Pectobacterium virus PP74</t>
  </si>
  <si>
    <t>Salmonella virus BP12A</t>
  </si>
  <si>
    <t>Salmonella virus BSP161</t>
  </si>
  <si>
    <t>Shigella virus A7</t>
  </si>
  <si>
    <t>Yersinia virus Berlin</t>
  </si>
  <si>
    <t>Yersinia virus PYPS50</t>
  </si>
  <si>
    <t>Yersinia virus Yepe2</t>
  </si>
  <si>
    <t>Yersinia virus Yepf</t>
  </si>
  <si>
    <t>Caroctavirus</t>
  </si>
  <si>
    <t>Citrobacter virus CR8</t>
  </si>
  <si>
    <t>Chatterjeevirus</t>
  </si>
  <si>
    <t>Vibrio virus ICP3</t>
  </si>
  <si>
    <t>Vibrio virus N4</t>
  </si>
  <si>
    <t>Vibrio virus VP4</t>
  </si>
  <si>
    <t>Eapunavirus</t>
  </si>
  <si>
    <t>Enterobacter virus Eap1</t>
  </si>
  <si>
    <t>Elunavirus</t>
  </si>
  <si>
    <t>Erwinia virus L1</t>
  </si>
  <si>
    <t>Foetvirus</t>
  </si>
  <si>
    <t>Escherichia virus SRT7</t>
  </si>
  <si>
    <t>Ghunavirus</t>
  </si>
  <si>
    <t>Pseudomonas virus 17A</t>
  </si>
  <si>
    <t>Pseudomonas virus Henninger</t>
  </si>
  <si>
    <t>Pseudomonas virus KNP</t>
  </si>
  <si>
    <t>Pseudomonas virus Pf1ERZ2017</t>
  </si>
  <si>
    <t>Pseudomonas virus PhiPSA2</t>
  </si>
  <si>
    <t>Pseudomonas virus PhiPsa17</t>
  </si>
  <si>
    <t>Pseudomonas virus PPPL1</t>
  </si>
  <si>
    <t>Pseudomonas virus shl2</t>
  </si>
  <si>
    <t>Pseudomonas virus WRT</t>
  </si>
  <si>
    <t>Helsettvirus</t>
  </si>
  <si>
    <t>Yersinia virus fPS9</t>
  </si>
  <si>
    <t>Yersinia virus fPS53</t>
  </si>
  <si>
    <t>Yersinia virus fPS59</t>
  </si>
  <si>
    <t>Yersinia virus fPS54ocr</t>
  </si>
  <si>
    <t>Jarilovirus</t>
  </si>
  <si>
    <t>Pectobacterium virus Jarilo</t>
  </si>
  <si>
    <t>Kayfunavirus</t>
  </si>
  <si>
    <t>Citrobacter virus CR44b</t>
  </si>
  <si>
    <t>Citrobacter virus SH3</t>
  </si>
  <si>
    <t>Citrobacter virus SH4</t>
  </si>
  <si>
    <t>Cronobacter virus Dev2</t>
  </si>
  <si>
    <t>Cronobacter virus GW1</t>
  </si>
  <si>
    <t>Enterobacter virus EcpYZU01</t>
  </si>
  <si>
    <t>Escherichia virus EcoDS1</t>
  </si>
  <si>
    <t>Escherichia virus F</t>
  </si>
  <si>
    <t>Escherichia virus GA2A</t>
  </si>
  <si>
    <t>Escherichia virus IMM002</t>
  </si>
  <si>
    <t>Escherichia virus K1F</t>
  </si>
  <si>
    <t>Escherichia virus LM33P1</t>
  </si>
  <si>
    <t>Escherichia virus PE3-1</t>
  </si>
  <si>
    <t>Escherichia virus Ro45lw</t>
  </si>
  <si>
    <t>Escherichia virus ST31</t>
  </si>
  <si>
    <t>Escherichia virus Vec13</t>
  </si>
  <si>
    <t>Escherichia virus YZ1</t>
  </si>
  <si>
    <t>Escherichia virus ZG49</t>
  </si>
  <si>
    <t>Shigella virus SFPH2</t>
  </si>
  <si>
    <t>Minipunavirus</t>
  </si>
  <si>
    <t>Morganella virus MmP1</t>
  </si>
  <si>
    <t>Morganella virus MP2</t>
  </si>
  <si>
    <t>Ningirsuvirus</t>
  </si>
  <si>
    <t>Dickeya virus JA10</t>
  </si>
  <si>
    <t>Dickeya virus Ninurta</t>
  </si>
  <si>
    <t>Pektosvirus</t>
  </si>
  <si>
    <t>Pectobacterium virus PP47</t>
  </si>
  <si>
    <t>Pectobacterium virus PP81</t>
  </si>
  <si>
    <t>Pectobacterium virus PPWS4</t>
  </si>
  <si>
    <t>Phutvirus</t>
  </si>
  <si>
    <t>Pseudomonas virus PPpW4</t>
  </si>
  <si>
    <t>Pifdecavirus</t>
  </si>
  <si>
    <t>Pseudomonas virus 22PfluR64PP</t>
  </si>
  <si>
    <t>Pseudomonas virus IBBPF7A</t>
  </si>
  <si>
    <t>Pseudomonas virus Pf10</t>
  </si>
  <si>
    <t>Pseudomonas virus PFP1</t>
  </si>
  <si>
    <t>Pseudomonas virus PhiS1</t>
  </si>
  <si>
    <t>Pseudomonas virus UNOSLW1</t>
  </si>
  <si>
    <t>Pijolavirus</t>
  </si>
  <si>
    <t>Pseudomonas virus PspYZU08</t>
  </si>
  <si>
    <t>Klebsiella virus 2044-307w</t>
  </si>
  <si>
    <t>Klebsiella virus BIS33</t>
  </si>
  <si>
    <t>Klebsiella virus Henu1</t>
  </si>
  <si>
    <t>Klebsiella virus IL33</t>
  </si>
  <si>
    <t>Klebsiella virus IME205</t>
  </si>
  <si>
    <t>Klebsiella virus IME321</t>
  </si>
  <si>
    <t>Klebsiella virus K5-2</t>
  </si>
  <si>
    <t>Klebsiella virus K5-4</t>
  </si>
  <si>
    <t>Klebsiella virus KN1-1</t>
  </si>
  <si>
    <t>Klebsiella virus KN3-1</t>
  </si>
  <si>
    <t>Klebsiella virus KN4-1</t>
  </si>
  <si>
    <t>Klebsiella virus KP32i192</t>
  </si>
  <si>
    <t>Klebsiella virus KP32i194</t>
  </si>
  <si>
    <t>Klebsiella virus KP32i195</t>
  </si>
  <si>
    <t>Klebsiella virus KP32i196</t>
  </si>
  <si>
    <t>Klebsiella virus kpssk3</t>
  </si>
  <si>
    <t>Klebsiella virus KpV763</t>
  </si>
  <si>
    <t>Klebsiella virus KpV766</t>
  </si>
  <si>
    <t>Klebsiella virus KpV767</t>
  </si>
  <si>
    <t>Klebsiella virus Pharr</t>
  </si>
  <si>
    <t>Klebsiella virus PRA33</t>
  </si>
  <si>
    <t>Klebsiella virus SHKp152234</t>
  </si>
  <si>
    <t>Klebsiella virus SHKp152410</t>
  </si>
  <si>
    <t>Teetrevirus</t>
  </si>
  <si>
    <t>Citrobacter virus CFP1</t>
  </si>
  <si>
    <t>Citrobacter virus SH1</t>
  </si>
  <si>
    <t>Citrobacter virus SH2</t>
  </si>
  <si>
    <t>Enterobacter virus E2</t>
  </si>
  <si>
    <t>Enterobacter virus E3</t>
  </si>
  <si>
    <t>Enterobacter virus KPN3</t>
  </si>
  <si>
    <t>Enterobacteria virus T7M</t>
  </si>
  <si>
    <t>Escherichia virus ECA2</t>
  </si>
  <si>
    <t>Escherichia virus LL2</t>
  </si>
  <si>
    <t>Escherichia virus T3</t>
  </si>
  <si>
    <t>Escherichia virus T3Luria</t>
  </si>
  <si>
    <t>Leclercia virus 10164-302</t>
  </si>
  <si>
    <t>Salmonella virus SG-JL2</t>
  </si>
  <si>
    <t>Serratia virus 2050H2</t>
  </si>
  <si>
    <t>Serratia virus SM9-3Y</t>
  </si>
  <si>
    <t>Yersinia virus AP5</t>
  </si>
  <si>
    <t>Yersinia virus YeF10</t>
  </si>
  <si>
    <t>Yersinia virus YeO3-12</t>
  </si>
  <si>
    <t>Enterobacteria virus IME390</t>
  </si>
  <si>
    <t>Escherichia virus 13a</t>
  </si>
  <si>
    <t>Escherichia virus 64795ec1</t>
  </si>
  <si>
    <t>Escherichia virus C5</t>
  </si>
  <si>
    <t>Escherichia virus CICC80001</t>
  </si>
  <si>
    <t>Escherichia virus Ebrios</t>
  </si>
  <si>
    <t>Escherichia virus EG1</t>
  </si>
  <si>
    <t>Escherichia virus HZ2R8</t>
  </si>
  <si>
    <t>Escherichia virus HZP2</t>
  </si>
  <si>
    <t>Escherichia virus N30</t>
  </si>
  <si>
    <t>Escherichia virus NCA</t>
  </si>
  <si>
    <t>Salmonella virus 3A8767</t>
  </si>
  <si>
    <t>Salmonella virus Vi06</t>
  </si>
  <si>
    <t>Stenotrophomonas virus IME15</t>
  </si>
  <si>
    <t>Yersinia virus YpPY</t>
  </si>
  <si>
    <t>Yersinia virus YpsPG</t>
  </si>
  <si>
    <t>Troedvirus</t>
  </si>
  <si>
    <t>Pseudomonas virus Phi15</t>
  </si>
  <si>
    <t>Unyawovirus</t>
  </si>
  <si>
    <t>Pectobacterium virus DUPPII</t>
  </si>
  <si>
    <t>Aegirvirus</t>
  </si>
  <si>
    <t>Synechococcus virus SCBP42</t>
  </si>
  <si>
    <t>Ashivirus</t>
  </si>
  <si>
    <t>Ashivirus S45C4</t>
  </si>
  <si>
    <t>Atuphduovirus</t>
  </si>
  <si>
    <t>Agrobacterium virus Atuph02</t>
  </si>
  <si>
    <t>Agrobacterium virus Atuph03</t>
  </si>
  <si>
    <t>Ayakvirus</t>
  </si>
  <si>
    <t>Ralstonia virus Ap1</t>
  </si>
  <si>
    <t>Ayaqvirus</t>
  </si>
  <si>
    <t>Ayaqvirus S45C18</t>
  </si>
  <si>
    <t>Banchanvirus</t>
  </si>
  <si>
    <t>Prochlorococcus virus SS120-1</t>
  </si>
  <si>
    <t>Bonnellvirus</t>
  </si>
  <si>
    <t>Escherichia virus J8-65</t>
  </si>
  <si>
    <t>Escherichia virus Lidtsur</t>
  </si>
  <si>
    <t>Cheungvirus</t>
  </si>
  <si>
    <t>Prochlorococcus virus NATL1A7</t>
  </si>
  <si>
    <t>Chosvirus</t>
  </si>
  <si>
    <t>Chosvirus KM23C739</t>
  </si>
  <si>
    <t>Cuernavacavirus</t>
  </si>
  <si>
    <t>Rhizobium virus RHEph02</t>
  </si>
  <si>
    <t>Rhizobium virus RHEph08</t>
  </si>
  <si>
    <t>Rhizobium virus RHEph09</t>
  </si>
  <si>
    <t>Cyclitvirus</t>
  </si>
  <si>
    <t>Vibrio virus Cyclit</t>
  </si>
  <si>
    <t>Ermolevavirus</t>
  </si>
  <si>
    <t>Escherichia virus PGT2</t>
  </si>
  <si>
    <t>Escherichia virus PhiKT</t>
  </si>
  <si>
    <t>Foturvirus</t>
  </si>
  <si>
    <t>Alteromonas virus H4-4</t>
  </si>
  <si>
    <t>Foussvirus</t>
  </si>
  <si>
    <t>Foussvirus S46C10</t>
  </si>
  <si>
    <t>Fussvirus</t>
  </si>
  <si>
    <t>Fussvirus S30C28</t>
  </si>
  <si>
    <t>Gajwadongvirus</t>
  </si>
  <si>
    <t>Escherichia virus ECBP5</t>
  </si>
  <si>
    <t>Pectobacterium virus PP99</t>
  </si>
  <si>
    <t>Gyeongsanvirus</t>
  </si>
  <si>
    <t>Ralstonia virus DURPI</t>
  </si>
  <si>
    <t>Ralstonia virus RsoP1EGY</t>
  </si>
  <si>
    <t>Igirivirus</t>
  </si>
  <si>
    <t>Synechococcus STIP37</t>
  </si>
  <si>
    <t>Jalkavirus</t>
  </si>
  <si>
    <t>Jalkavirus S08C159</t>
  </si>
  <si>
    <t>Jiaoyazivirus</t>
  </si>
  <si>
    <t>Ralstonia virus RSB3</t>
  </si>
  <si>
    <t>Kafavirus</t>
  </si>
  <si>
    <t>Kawavirus SWcelC56</t>
  </si>
  <si>
    <t>Kajamvirus</t>
  </si>
  <si>
    <t>Synechococcus virus SRIP1</t>
  </si>
  <si>
    <t>Kakivirus</t>
  </si>
  <si>
    <t>Providencia virus PS3</t>
  </si>
  <si>
    <t>Kalppathivirus</t>
  </si>
  <si>
    <t>Curvibacter virus P26059B</t>
  </si>
  <si>
    <t>Kelmasvirus</t>
  </si>
  <si>
    <t>Ralstonia virus RSB2</t>
  </si>
  <si>
    <t>Kembevirus</t>
  </si>
  <si>
    <t>Synechococcus virus SCBP2</t>
  </si>
  <si>
    <t>Krakvirus</t>
  </si>
  <si>
    <t>Krakvirus S39C11</t>
  </si>
  <si>
    <t>Lauvirus</t>
  </si>
  <si>
    <t>Podovirus Lau218</t>
  </si>
  <si>
    <t>Limelightvirus</t>
  </si>
  <si>
    <t>Pantoea virus LIMElight</t>
  </si>
  <si>
    <t>Lingvirus</t>
  </si>
  <si>
    <t>Prochlorococcus virus PGSP1</t>
  </si>
  <si>
    <t>Lirvirus</t>
  </si>
  <si>
    <t>Synechococcus virus SCBP3</t>
  </si>
  <si>
    <t>Lullwatervirus</t>
  </si>
  <si>
    <t>Caulobacter virus Lullwater</t>
  </si>
  <si>
    <t>Maculvirus</t>
  </si>
  <si>
    <t>Vibrio virus KF1</t>
  </si>
  <si>
    <t>Vibrio virus KF2</t>
  </si>
  <si>
    <t>Vibrio virus OWB</t>
  </si>
  <si>
    <t>Vibrio virus VP93</t>
  </si>
  <si>
    <t>Nohivirus</t>
  </si>
  <si>
    <t>Nohivirus S31C1</t>
  </si>
  <si>
    <t>Oinezvirus</t>
  </si>
  <si>
    <t>Oinezvirus S37C6</t>
  </si>
  <si>
    <t>Paadamvirus</t>
  </si>
  <si>
    <t>Rhizobium virus RHEph01</t>
  </si>
  <si>
    <t>Pagavirus</t>
  </si>
  <si>
    <t>Pagavirus S05C849</t>
  </si>
  <si>
    <t>Pairvirus</t>
  </si>
  <si>
    <t>Mesorhizobium virus Lo5R7ANS</t>
  </si>
  <si>
    <t>Pedosvirus</t>
  </si>
  <si>
    <t>Pedosvirus S28C3</t>
  </si>
  <si>
    <t>Pekhitvirus</t>
  </si>
  <si>
    <t>Pekhitvirus S04C24</t>
  </si>
  <si>
    <t>Pelagivirus</t>
  </si>
  <si>
    <t>Pelagibacter virus HTVC019P</t>
  </si>
  <si>
    <t>Pelagivirus S35C6</t>
  </si>
  <si>
    <t>Percyvirus</t>
  </si>
  <si>
    <t>Caulobacter virus Percy</t>
  </si>
  <si>
    <t>Piedvirus</t>
  </si>
  <si>
    <t>Delftia virus IMEDE1</t>
  </si>
  <si>
    <t>Podivirus</t>
  </si>
  <si>
    <t>Podivirus S05C243</t>
  </si>
  <si>
    <t>Poseidonvirus</t>
  </si>
  <si>
    <t>Synechococcus virus SCBP4</t>
  </si>
  <si>
    <t>Powvirus</t>
  </si>
  <si>
    <t>Powvirus S08C41</t>
  </si>
  <si>
    <t>Xanthomonas virus XAJ24</t>
  </si>
  <si>
    <t>Xanthomonas virus Xc10</t>
  </si>
  <si>
    <t>Qadamvirus</t>
  </si>
  <si>
    <t>Synechococcus virus SB28</t>
  </si>
  <si>
    <t>Scottvirus</t>
  </si>
  <si>
    <t>Sphingomonas virus Scott</t>
  </si>
  <si>
    <t>Sednavirus</t>
  </si>
  <si>
    <t>Synechococcus virus SRIP2</t>
  </si>
  <si>
    <t>Serkorvirus</t>
  </si>
  <si>
    <t>Ralstonia virus ITL1</t>
  </si>
  <si>
    <t>Sieqvirus</t>
  </si>
  <si>
    <t>Sieqvirus S42C7</t>
  </si>
  <si>
    <t>Stompelvirus</t>
  </si>
  <si>
    <t>Ralstonia virus RPSC1</t>
  </si>
  <si>
    <t>Stopalavirus</t>
  </si>
  <si>
    <t>Stopalavirus S38C3</t>
  </si>
  <si>
    <t>Stopavirus</t>
  </si>
  <si>
    <t>Pelagibacter virus HTVC011P</t>
  </si>
  <si>
    <t>Stupnyavirus</t>
  </si>
  <si>
    <t>Stupnyavirus KM16C193</t>
  </si>
  <si>
    <t>Tangaroavirus</t>
  </si>
  <si>
    <t>Prochlorococcus virus 951510a</t>
  </si>
  <si>
    <t>Prochlorococcus virus NATL2A133</t>
  </si>
  <si>
    <t>Prochlorococcus virus PSSP10</t>
  </si>
  <si>
    <t>Tawavirus</t>
  </si>
  <si>
    <t>Vibrio virus JSF7</t>
  </si>
  <si>
    <t>Tiamatvirus</t>
  </si>
  <si>
    <t>Tiilvirus</t>
  </si>
  <si>
    <t>Tritonvirus</t>
  </si>
  <si>
    <t>Prochlorococcus virus PSSP3</t>
  </si>
  <si>
    <t>Synechococcus virus PSSP2</t>
  </si>
  <si>
    <t>Voetvirus</t>
  </si>
  <si>
    <t>Votkovvirus</t>
  </si>
  <si>
    <t>Votkovvirus S28C10</t>
  </si>
  <si>
    <t>Waewaevirus</t>
  </si>
  <si>
    <t>Pantoea virus LIMEzero</t>
  </si>
  <si>
    <t>Wuhanvirus</t>
  </si>
  <si>
    <t>Pasteurella virus PHB01</t>
  </si>
  <si>
    <t>Pasteurella virus PHB02</t>
  </si>
  <si>
    <t>Chaseviridae</t>
  </si>
  <si>
    <t>Carltongylesvirus</t>
  </si>
  <si>
    <t>Escherichia virus GJ1</t>
  </si>
  <si>
    <t>2019.047B.zip</t>
  </si>
  <si>
    <t>Escherichia virus ST32</t>
  </si>
  <si>
    <t>Faunusvirus</t>
  </si>
  <si>
    <t>Erwinia virus Faunus</t>
  </si>
  <si>
    <t>Loessnervirus</t>
  </si>
  <si>
    <t>Erwinia virus Y2</t>
  </si>
  <si>
    <t>Pahsextavirus</t>
  </si>
  <si>
    <t>Aeromonas virus pAh6C</t>
  </si>
  <si>
    <t>Suwonvirus</t>
  </si>
  <si>
    <t>Pectobacterium virus PM1</t>
  </si>
  <si>
    <t>Pectobacterium virus PP101</t>
  </si>
  <si>
    <t>Yushanvirus</t>
  </si>
  <si>
    <t>Shewanella virus Spp001</t>
  </si>
  <si>
    <t>Shewanella virus SppYZU05</t>
  </si>
  <si>
    <t>Demerecviridae</t>
  </si>
  <si>
    <t>Ermolyevavirinae</t>
  </si>
  <si>
    <t>2019.099B.zip</t>
  </si>
  <si>
    <t>Vibrio virus JSF12</t>
  </si>
  <si>
    <t>Vipunavirus</t>
  </si>
  <si>
    <t>Markadamsvirinae</t>
  </si>
  <si>
    <t>Epseptimavirus</t>
  </si>
  <si>
    <t>Escherichia virus mar003J3</t>
  </si>
  <si>
    <t>Escherichia virus saus132</t>
  </si>
  <si>
    <t>Salmonella virus 123</t>
  </si>
  <si>
    <t>Salmonella virus 329</t>
  </si>
  <si>
    <t>Salmonella virus LVR16A</t>
  </si>
  <si>
    <t>Salmonella virus S113</t>
  </si>
  <si>
    <t>Salmonella virus S114</t>
  </si>
  <si>
    <t>Salmonella virus S116</t>
  </si>
  <si>
    <t>Salmonella virus S124</t>
  </si>
  <si>
    <t>Salmonella virus S126</t>
  </si>
  <si>
    <t>Salmonella virus S132</t>
  </si>
  <si>
    <t>Salmonella virus S133</t>
  </si>
  <si>
    <t>Salmonella virus S147</t>
  </si>
  <si>
    <t>Salmonella virus Seafire</t>
  </si>
  <si>
    <t>Salmonella virus SH9</t>
  </si>
  <si>
    <t>Salmonella virus STG2</t>
  </si>
  <si>
    <t>Salmonella virus Sw2</t>
  </si>
  <si>
    <t>Haartmanvirus</t>
  </si>
  <si>
    <t>Yersinia virus phiR201</t>
  </si>
  <si>
    <t>Escherichia virus chee24</t>
  </si>
  <si>
    <t>Escherichia virus DT5712</t>
  </si>
  <si>
    <t>Escherichia virus Gostya9</t>
  </si>
  <si>
    <t>Escherichia virus mar004NP2</t>
  </si>
  <si>
    <t>Escherichia virus OSYSP</t>
  </si>
  <si>
    <t>Escherichia virus phiAPCEc03</t>
  </si>
  <si>
    <t>Escherichia virus phiLLS</t>
  </si>
  <si>
    <t>Salmonella virus NR01</t>
  </si>
  <si>
    <t>Salmonella virus S131</t>
  </si>
  <si>
    <t>Salmonella virus SP01</t>
  </si>
  <si>
    <t>Salmonella virus SP3</t>
  </si>
  <si>
    <t>Shigella virus SHSML45</t>
  </si>
  <si>
    <t>Shigella virus SSP1</t>
  </si>
  <si>
    <t>Mccorquodalevirinae</t>
  </si>
  <si>
    <t>Hongcheonvirus</t>
  </si>
  <si>
    <t>Pectobacterium virus DUPPV</t>
  </si>
  <si>
    <t>Proteus virus Stubb</t>
  </si>
  <si>
    <t>Pogseptimavirus</t>
  </si>
  <si>
    <t>Vibrio virus PG07</t>
  </si>
  <si>
    <t>Vibrio virus VspSw1</t>
  </si>
  <si>
    <t>Shenzhenvirus</t>
  </si>
  <si>
    <t>Aeromonas virus AhSzq1</t>
  </si>
  <si>
    <t>Aeromonas virus AhSzw1</t>
  </si>
  <si>
    <t>Drexlerviridae</t>
  </si>
  <si>
    <t>Braunvirinae</t>
  </si>
  <si>
    <t>Christensenvirus</t>
  </si>
  <si>
    <t>Escherichia virus IME542</t>
  </si>
  <si>
    <t>2019.100B.zip</t>
  </si>
  <si>
    <t>Guelphvirus</t>
  </si>
  <si>
    <t>Escherichia virus EC3a</t>
  </si>
  <si>
    <t>Loudonvirus</t>
  </si>
  <si>
    <t>Escherichia virus DTL</t>
  </si>
  <si>
    <t>Escherichia virus IME253</t>
  </si>
  <si>
    <t>Rogunavirinae</t>
  </si>
  <si>
    <t>Eastlansingvirus</t>
  </si>
  <si>
    <t>Shigella virus Sf12</t>
  </si>
  <si>
    <t>Lindendrivevirus</t>
  </si>
  <si>
    <t>Escherichia virus phiEB49</t>
  </si>
  <si>
    <t>Escherichia virus phiJLA23</t>
  </si>
  <si>
    <t>Wilsonroadvirus</t>
  </si>
  <si>
    <t>Shigella virus Sd1</t>
  </si>
  <si>
    <t>Tempevirinae</t>
  </si>
  <si>
    <t>Citrobacter virus DK2017</t>
  </si>
  <si>
    <t>Citrobacter virus Sazh</t>
  </si>
  <si>
    <t>Escherichia virus LL5</t>
  </si>
  <si>
    <t>Salmonella virus 36</t>
  </si>
  <si>
    <t>Salmonella virus PHB07</t>
  </si>
  <si>
    <t>Salmonella virus phSE2</t>
  </si>
  <si>
    <t>Salmonella virus YSP2</t>
  </si>
  <si>
    <t>Warwickvirus</t>
  </si>
  <si>
    <t>Escherichia virus 95</t>
  </si>
  <si>
    <t>Escherichia virus mar001J1</t>
  </si>
  <si>
    <t>Escherichia virus mar002J2</t>
  </si>
  <si>
    <t>Escherichia virus SECphi27</t>
  </si>
  <si>
    <t>Escherichia virus swan01</t>
  </si>
  <si>
    <t>Badaguanvirus</t>
  </si>
  <si>
    <t>Escherichia virus IME347</t>
  </si>
  <si>
    <t>Escherichia virus BIFF</t>
  </si>
  <si>
    <t>Escherichia virus IME18</t>
  </si>
  <si>
    <t>Escherichia virus SH2</t>
  </si>
  <si>
    <t>Shigella virus 008</t>
  </si>
  <si>
    <t>Shigella virus ISF001</t>
  </si>
  <si>
    <t>Shigella virus Sfin1</t>
  </si>
  <si>
    <t>Shigella virus SH6</t>
  </si>
  <si>
    <t>Gyeonggidovirus</t>
  </si>
  <si>
    <t>Cronobacter virus PhiCS01</t>
  </si>
  <si>
    <t>Nouzillyvirus</t>
  </si>
  <si>
    <t>Escherichia virus ESCO41</t>
  </si>
  <si>
    <t>Sauletekiovirus</t>
  </si>
  <si>
    <t>Pantoea virus AAS23</t>
  </si>
  <si>
    <t>Vilniusvirus</t>
  </si>
  <si>
    <t>Escherichia virus NBD2</t>
  </si>
  <si>
    <t>Klebsiella virus GHK3</t>
  </si>
  <si>
    <t>Klebsiella virus KOX1</t>
  </si>
  <si>
    <t>Klebsiella virus KpCol1</t>
  </si>
  <si>
    <t>Klebsiella virus KpKT21phi1</t>
  </si>
  <si>
    <t>Klebsiella virus KPN N141</t>
  </si>
  <si>
    <t>Klebsiella virus KpV522</t>
  </si>
  <si>
    <t>Klebsiella virus MezzoGao</t>
  </si>
  <si>
    <t>Klebsiella virus NJR15</t>
  </si>
  <si>
    <t>Klebsiella virus NJS1</t>
  </si>
  <si>
    <t>Klebsiella virus NJS2</t>
  </si>
  <si>
    <t>Klebsiella virus TAH8</t>
  </si>
  <si>
    <t>Klebsiella virus TSK1</t>
  </si>
  <si>
    <t>Schiekvirus</t>
  </si>
  <si>
    <t>2019.029B.zip</t>
  </si>
  <si>
    <t>Enterococcus virus EFP01</t>
  </si>
  <si>
    <t>Enterococcus virus EfV12</t>
  </si>
  <si>
    <t>Baoshanvirus</t>
  </si>
  <si>
    <t>Staphylococcus virus BS1</t>
  </si>
  <si>
    <t>2019.043B.zip</t>
  </si>
  <si>
    <t>Staphylococcus virus BS2</t>
  </si>
  <si>
    <t>Harbinvirus</t>
  </si>
  <si>
    <t>Lactobacillus virus Bacchae</t>
  </si>
  <si>
    <t>2019.013B.zip</t>
  </si>
  <si>
    <t>Lactobacillus virus Bromius</t>
  </si>
  <si>
    <t>Lactobacillus virus Iacchus</t>
  </si>
  <si>
    <t>Lactobacillus virus Lpa804</t>
  </si>
  <si>
    <t>Lactobacillus virus Semele</t>
  </si>
  <si>
    <t>Sciuriunavirus</t>
  </si>
  <si>
    <t>Staphylococcus virus SscM1</t>
  </si>
  <si>
    <t>2019.088B.zip</t>
  </si>
  <si>
    <t>Aresaunavirus</t>
  </si>
  <si>
    <t>2019.073B.zip</t>
  </si>
  <si>
    <t>Ralstonia virus RSY1</t>
  </si>
  <si>
    <t>Baylorvirus</t>
  </si>
  <si>
    <t>Mannheimia virus 1127AP1</t>
  </si>
  <si>
    <t>Bielevirus</t>
  </si>
  <si>
    <t>Canoevirus</t>
  </si>
  <si>
    <t>Vibrio virus Canoe</t>
  </si>
  <si>
    <t>Catalunyavirus</t>
  </si>
  <si>
    <t>Pseudoalteromonas virus C5a</t>
  </si>
  <si>
    <t>Citexvirus</t>
  </si>
  <si>
    <t>Pseudomonas virus Dobby</t>
  </si>
  <si>
    <t>Eganvirus</t>
  </si>
  <si>
    <t>Erwinia virus EtG</t>
  </si>
  <si>
    <t>Salmonella virus SEN1</t>
  </si>
  <si>
    <t>Entnonagintavirus</t>
  </si>
  <si>
    <t>Erwinia virus ENT90</t>
  </si>
  <si>
    <t>Felsduovirus</t>
  </si>
  <si>
    <t>Klebsiella virus 4LV2017</t>
  </si>
  <si>
    <t>Salmonella virus RE2010</t>
  </si>
  <si>
    <t>Salmonella virus SEN8</t>
  </si>
  <si>
    <t>Irtavirus</t>
  </si>
  <si>
    <t>Kisquattuordecimvirus</t>
  </si>
  <si>
    <t>Burkholderia virus KS14</t>
  </si>
  <si>
    <t>Kisquinquevirus</t>
  </si>
  <si>
    <t>Burkholderia virus AP3</t>
  </si>
  <si>
    <t>Burkholderia virus KS5</t>
  </si>
  <si>
    <t>Longwoodvirus</t>
  </si>
  <si>
    <t>Nampongvirus</t>
  </si>
  <si>
    <t>Burkholderia virus ST79</t>
  </si>
  <si>
    <t>Phitrevirus</t>
  </si>
  <si>
    <t>Pseudomonas virus phi3</t>
  </si>
  <si>
    <t>Playavirus</t>
  </si>
  <si>
    <t>Salinivibrio virus SMHB1</t>
  </si>
  <si>
    <t>Reginaelenavirus</t>
  </si>
  <si>
    <t>Klebsiella virus 3LV2017</t>
  </si>
  <si>
    <t>Senquatrovirus</t>
  </si>
  <si>
    <t>Salmonella virus SEN4</t>
  </si>
  <si>
    <t>Seongnamvirus</t>
  </si>
  <si>
    <t>Cronobacter virus ESSI2</t>
  </si>
  <si>
    <t>Simpcentumvirus</t>
  </si>
  <si>
    <t>Stenotrophomonas virus Smp131</t>
  </si>
  <si>
    <t>Stockinghallvirus</t>
  </si>
  <si>
    <t>Tigrvirus</t>
  </si>
  <si>
    <t>Burkholderia virus KL3</t>
  </si>
  <si>
    <t>Vulnificusvirus</t>
  </si>
  <si>
    <t>Vibrio virus PV94</t>
  </si>
  <si>
    <t>Xuanwuvirus</t>
  </si>
  <si>
    <t>Escherichia virus P88</t>
  </si>
  <si>
    <t>Acionnavirus</t>
  </si>
  <si>
    <t>Synechococcus virus SMbCM100</t>
  </si>
  <si>
    <t>2019.050B.zip</t>
  </si>
  <si>
    <t>Ahtivirus</t>
  </si>
  <si>
    <t>Synechococcus virus SShM2</t>
  </si>
  <si>
    <t>Alexandravirus</t>
  </si>
  <si>
    <t>Dickeya virus AD1</t>
  </si>
  <si>
    <t>2019.070B.zip</t>
  </si>
  <si>
    <t>Erwinia virus Alexandra</t>
  </si>
  <si>
    <t>Anamdongvirus</t>
  </si>
  <si>
    <t>Lactobacillus virus LBR48</t>
  </si>
  <si>
    <t>Anaposvirus</t>
  </si>
  <si>
    <t>Synechococcus virus SCAM1</t>
  </si>
  <si>
    <t>2019.049B.zip</t>
  </si>
  <si>
    <t>Aokuangvirus</t>
  </si>
  <si>
    <t>Synechococcus virus SCBWM1</t>
  </si>
  <si>
    <t>Atlauavirus</t>
  </si>
  <si>
    <t>Synechococcus virus AC2014fSyn7803C8</t>
  </si>
  <si>
    <t>Synechococcus virus ACG2014f</t>
  </si>
  <si>
    <t>Synechococcus virus ACG2014fSyn7803US26</t>
  </si>
  <si>
    <t>Aurunvirus</t>
  </si>
  <si>
    <t>Synechococcus virus STIM5</t>
  </si>
  <si>
    <t>Baikalvirus</t>
  </si>
  <si>
    <t>Pseudomonas virus PaBG</t>
  </si>
  <si>
    <t>Barbavirus</t>
  </si>
  <si>
    <t>Rheinheimera virus Barba18A</t>
  </si>
  <si>
    <t>2019.004B.zip</t>
  </si>
  <si>
    <t>Rheinheimera virus Barba19A</t>
  </si>
  <si>
    <t>Rheinheimera virus Barba21A</t>
  </si>
  <si>
    <t>Rheinheimera virus Barba5S</t>
  </si>
  <si>
    <t>Rheinheimera virus Barba8S</t>
  </si>
  <si>
    <t>Bellamyvirus</t>
  </si>
  <si>
    <t>Synechococcus virus Bellamy</t>
  </si>
  <si>
    <t>2019.054B.zip</t>
  </si>
  <si>
    <t>Brigitvirus</t>
  </si>
  <si>
    <t>Faecalibacterium virus Brigit</t>
  </si>
  <si>
    <t>2019.091B.zip</t>
  </si>
  <si>
    <t>Brizovirus</t>
  </si>
  <si>
    <t>Prochlorococcus virus Syn33</t>
  </si>
  <si>
    <t>Synechococcus virus SRIM12-01</t>
  </si>
  <si>
    <t>Synechococcus virus SRIM12-06</t>
  </si>
  <si>
    <t>Synechococcus virus SRIM12-08</t>
  </si>
  <si>
    <t>Carpasinavirus</t>
  </si>
  <si>
    <t>Xanthomonas virus Carpasina</t>
  </si>
  <si>
    <t>Xanthomonas virus XcP1</t>
  </si>
  <si>
    <t>Charybdisvirus</t>
  </si>
  <si>
    <t>Synechococcus virus SCAM3</t>
  </si>
  <si>
    <t>Cymopoleiavirus</t>
  </si>
  <si>
    <t>Synechococcus virus SWAM2</t>
  </si>
  <si>
    <t>Derbicusvirus</t>
  </si>
  <si>
    <t>Erwinia virus Derbicus</t>
  </si>
  <si>
    <t>2019.052B.zip</t>
  </si>
  <si>
    <t>Eponavirus</t>
  </si>
  <si>
    <t>Faecalibacterium virus Epona</t>
  </si>
  <si>
    <t>Eurybiavirus</t>
  </si>
  <si>
    <t>Prochlorococcus virus MED4-213</t>
  </si>
  <si>
    <t>Prochlorococcus virus PHM1</t>
  </si>
  <si>
    <t>Prochlorococcus virus PHM2</t>
  </si>
  <si>
    <t>Goslarvirus</t>
  </si>
  <si>
    <t>Escherichia virus Goslar</t>
  </si>
  <si>
    <t>2019.012B.zip</t>
  </si>
  <si>
    <t>Heilongjiangvirus</t>
  </si>
  <si>
    <t>Lactobacillus virus Lb</t>
  </si>
  <si>
    <t>Delftia virus PhiW14</t>
  </si>
  <si>
    <t>Kanaloavirus</t>
  </si>
  <si>
    <t>Synechococcus virus SCAM9</t>
  </si>
  <si>
    <t>Lagaffevirus</t>
  </si>
  <si>
    <t>Faecalibacterium virus Lagaffe</t>
  </si>
  <si>
    <t>Leucotheavirus</t>
  </si>
  <si>
    <t>Synechoccus virus SP4</t>
  </si>
  <si>
    <t>Synechococcus virus Syn30</t>
  </si>
  <si>
    <t>Libanvirus</t>
  </si>
  <si>
    <t>Prochlorococcus virus PTIM40</t>
  </si>
  <si>
    <t>Llyrvirus</t>
  </si>
  <si>
    <t>Synechococcus virus SSKS1</t>
  </si>
  <si>
    <t>Loughboroughvirus</t>
  </si>
  <si>
    <t>Salmonella virus ZCSE2</t>
  </si>
  <si>
    <t>Mazuvirus</t>
  </si>
  <si>
    <t>Synechococcus virus SCAM7</t>
  </si>
  <si>
    <t>Mushuvirus</t>
  </si>
  <si>
    <t>Faecalibacterium virus Mushu</t>
  </si>
  <si>
    <t>Naesvirus</t>
  </si>
  <si>
    <t>Namakavirus</t>
  </si>
  <si>
    <t>Synechococcus virus SMbCM6</t>
  </si>
  <si>
    <t>Neptunevirus</t>
  </si>
  <si>
    <t>Synechococcus virus SRIM8</t>
  </si>
  <si>
    <t>Synechococcus virus SRIM50</t>
  </si>
  <si>
    <t>Nereusvirus</t>
  </si>
  <si>
    <t>Synechococcus virus ACG2014bSyn7803C61</t>
  </si>
  <si>
    <t>Synechococcus virus ACG2014bSyn9311C4</t>
  </si>
  <si>
    <t>Nerrivikvirus</t>
  </si>
  <si>
    <t>Synechococcus virus SRIM2</t>
  </si>
  <si>
    <t>Nodensvirus</t>
  </si>
  <si>
    <t>Synechococcus virus SPM2</t>
  </si>
  <si>
    <t>Palaemonvirus</t>
  </si>
  <si>
    <t>Prochlorococcus virus PSSM7</t>
  </si>
  <si>
    <t>Petsuvirus</t>
  </si>
  <si>
    <t>Edwardsiella virus pEtSU</t>
  </si>
  <si>
    <t>2019.074B.zip</t>
  </si>
  <si>
    <t>Phabquatrovirus</t>
  </si>
  <si>
    <t>Bordetella virus PHB04</t>
  </si>
  <si>
    <t>2019.101B.zip</t>
  </si>
  <si>
    <t>Phapecoctavirus</t>
  </si>
  <si>
    <t>Escherichia phage ESCO13</t>
  </si>
  <si>
    <t>2019.075B.zip</t>
  </si>
  <si>
    <t>Escherichia virus ESCO5</t>
  </si>
  <si>
    <t>Escherichia virus phAPEC8</t>
  </si>
  <si>
    <t>Escherichia virus Schickermooser</t>
  </si>
  <si>
    <t>Klebsiella virus ZCKP1</t>
  </si>
  <si>
    <t>Pontusvirus</t>
  </si>
  <si>
    <t>Synechococcus virus Syn19</t>
  </si>
  <si>
    <t>Qingdaovirus</t>
  </si>
  <si>
    <t>Pseudoalteromonas virus J2-1</t>
  </si>
  <si>
    <t>2019.022B.zip</t>
  </si>
  <si>
    <t>Rosemountvirus</t>
  </si>
  <si>
    <t>Salmonella virus BP63</t>
  </si>
  <si>
    <t>Saclayvirus</t>
  </si>
  <si>
    <t>Acinetobacter virus Aci05</t>
  </si>
  <si>
    <t>2019.072B.zip</t>
  </si>
  <si>
    <t>Acinetobacter virus Aci01-1</t>
  </si>
  <si>
    <t>Acinetobacter virus Aci02-2</t>
  </si>
  <si>
    <t>Salacisavirus</t>
  </si>
  <si>
    <t>Prochlorococcus virus PSSM2</t>
  </si>
  <si>
    <t>Salmondvirus</t>
  </si>
  <si>
    <t>Dickeya virus JA11</t>
  </si>
  <si>
    <t>Dickeya virus JA29</t>
  </si>
  <si>
    <t>Sasquatchvirus</t>
  </si>
  <si>
    <t>Erwinia virus Y3</t>
  </si>
  <si>
    <t>Schmittlotzvirus</t>
  </si>
  <si>
    <t>Agrobacterium virus 7-7-1</t>
  </si>
  <si>
    <t>2019.086B.zip</t>
  </si>
  <si>
    <t>Tamkungvirus</t>
  </si>
  <si>
    <t>Synechococcus virus ST4</t>
  </si>
  <si>
    <t>Taranisvirus</t>
  </si>
  <si>
    <t>Faecalibacterium virus Taranis</t>
  </si>
  <si>
    <t>Tefnutvirus</t>
  </si>
  <si>
    <t>Synechococcus virus SIOM18</t>
  </si>
  <si>
    <t>Thaumasvirus</t>
  </si>
  <si>
    <t>Synechococcus virus STIM4</t>
  </si>
  <si>
    <t>Thetisvirus</t>
  </si>
  <si>
    <t>Synechococcus virus SSM1</t>
  </si>
  <si>
    <t>Toutatisvirus</t>
  </si>
  <si>
    <t>Faecalibacterium virus Toutatis</t>
  </si>
  <si>
    <t>Vellamovirus</t>
  </si>
  <si>
    <t>Prochlorococcus virus Syn1</t>
  </si>
  <si>
    <t>Synechococcus virus SRIM44</t>
  </si>
  <si>
    <t>Wellingtonvirus</t>
  </si>
  <si>
    <t>Erwinia virus Wellington</t>
  </si>
  <si>
    <t>2019.095B.zip</t>
  </si>
  <si>
    <t>Wifcevirus</t>
  </si>
  <si>
    <t>Escherichia virus ECML-117</t>
  </si>
  <si>
    <t>2019.096B.zip</t>
  </si>
  <si>
    <t>Escherichia virus FEC19</t>
  </si>
  <si>
    <t>Escherichia virus WFC</t>
  </si>
  <si>
    <t>Escherichia virus WFH</t>
  </si>
  <si>
    <t>Yoloswagvirus</t>
  </si>
  <si>
    <t>Erwinia virus Yoloswag</t>
  </si>
  <si>
    <t>Rakietenvirinae</t>
  </si>
  <si>
    <t>Andhravirus</t>
  </si>
  <si>
    <t>Staphylococcus virus Andhra</t>
  </si>
  <si>
    <t>2019.078B.zip</t>
  </si>
  <si>
    <t>Staphylococcus virus St134</t>
  </si>
  <si>
    <t>Staphylococcus virus 66</t>
  </si>
  <si>
    <t>Staphylococcus virus BP39</t>
  </si>
  <si>
    <t>Staphylococcus virus CSA13</t>
  </si>
  <si>
    <t>Staphylococcus virus GRCS</t>
  </si>
  <si>
    <t>Staphylococcus virus Pabna</t>
  </si>
  <si>
    <t>Staphylococcus virus phiAGO13</t>
  </si>
  <si>
    <t>Staphylococcus virus PSa3</t>
  </si>
  <si>
    <t>Staphylococcus virus S24-1</t>
  </si>
  <si>
    <t>Staphylococcus virus SAP2</t>
  </si>
  <si>
    <t>Staphylococcus virus SCH1</t>
  </si>
  <si>
    <t>Staphylococcus virus SLPW</t>
  </si>
  <si>
    <t>Fischettivirus</t>
  </si>
  <si>
    <t>Giessenvirus</t>
  </si>
  <si>
    <t>Escherichia virus C1302</t>
  </si>
  <si>
    <t>2019.076B.zip</t>
  </si>
  <si>
    <t>Kelquatrovirus</t>
  </si>
  <si>
    <t>Burkholderia virus KL4</t>
  </si>
  <si>
    <t>2019.081B.zip</t>
  </si>
  <si>
    <t>Escherichia virus HK620</t>
  </si>
  <si>
    <t>Mukerjeevirus</t>
  </si>
  <si>
    <t>Vibrio virus 48B1</t>
  </si>
  <si>
    <t>2019.068B.zip</t>
  </si>
  <si>
    <t>Vibrio virus 51A6</t>
  </si>
  <si>
    <t>Vibrio virus 51A7</t>
  </si>
  <si>
    <t>Vibrio virus 52B1</t>
  </si>
  <si>
    <t>Ryyoungvirus</t>
  </si>
  <si>
    <t>Shizishanvirus</t>
  </si>
  <si>
    <t>Pseudomonas virus phCDa</t>
  </si>
  <si>
    <t>2019.032B.zip</t>
  </si>
  <si>
    <t>Skarprettervirus</t>
  </si>
  <si>
    <t>Escherichia virus Skarpretter</t>
  </si>
  <si>
    <t>Sortsnevirus</t>
  </si>
  <si>
    <t>Escherichia virus Sortsne</t>
  </si>
  <si>
    <t>Klebsiella virus IME279</t>
  </si>
  <si>
    <t>Xuquatrovirus</t>
  </si>
  <si>
    <t>Escherichia virus PTXU04</t>
  </si>
  <si>
    <t>2019.037B.zip</t>
  </si>
  <si>
    <t>Dolichocephalovirinae</t>
  </si>
  <si>
    <t>Bertelyvirus</t>
  </si>
  <si>
    <t>Caulobacter virus CcrBL9</t>
  </si>
  <si>
    <t>2019.039B.zip</t>
  </si>
  <si>
    <t>Caulobacter virus CcrSC</t>
  </si>
  <si>
    <t>Colossusvirus</t>
  </si>
  <si>
    <t>Caulobacter virus CcrColossus</t>
  </si>
  <si>
    <t>Caulobacter virus CcrPW</t>
  </si>
  <si>
    <t>Poindextervirus</t>
  </si>
  <si>
    <t>Caulobacter virus CcrBL10</t>
  </si>
  <si>
    <t>Caulobacter virus CcrRogue</t>
  </si>
  <si>
    <t>Shapirovirus</t>
  </si>
  <si>
    <t>Raoultella virus RP180</t>
  </si>
  <si>
    <t>2019.080B.zip</t>
  </si>
  <si>
    <t>Langleyhallvirinae</t>
  </si>
  <si>
    <t>Getalongvirus</t>
  </si>
  <si>
    <t>Gordonia virus Asapag</t>
  </si>
  <si>
    <t>2019.063B.zip</t>
  </si>
  <si>
    <t>Gordonia virus BENtherdunthat</t>
  </si>
  <si>
    <t>Gordonia virus Getalong</t>
  </si>
  <si>
    <t>Gordonia virus Kenna</t>
  </si>
  <si>
    <t>Horusvirus</t>
  </si>
  <si>
    <t>Gordonia virus Horus</t>
  </si>
  <si>
    <t>Phistoryvirus</t>
  </si>
  <si>
    <t>Gordonia virus Phistory</t>
  </si>
  <si>
    <t>Tybeckvirinae</t>
  </si>
  <si>
    <t>Douglaswolinvirus</t>
  </si>
  <si>
    <t>Lactobacillus virus B2</t>
  </si>
  <si>
    <t>2019.051B.zip</t>
  </si>
  <si>
    <t>Lenusvirus</t>
  </si>
  <si>
    <t>Lactobacillus virus Lenus</t>
  </si>
  <si>
    <t>Lactobacillus virus Nyseid</t>
  </si>
  <si>
    <t>Lactobacillus virus SAC12</t>
  </si>
  <si>
    <t>Lidleunavirus</t>
  </si>
  <si>
    <t>Lactobacillus virus Ldl1</t>
  </si>
  <si>
    <t>Lactobacillus virus ViSo2018a</t>
  </si>
  <si>
    <t>Maenadvirus</t>
  </si>
  <si>
    <t>Lactobacillus virus Maenad</t>
  </si>
  <si>
    <t>Lactobacillus virus P1</t>
  </si>
  <si>
    <t>Lactobacillus virus Satyr</t>
  </si>
  <si>
    <t>Abbeymikolonvirus</t>
  </si>
  <si>
    <t>Streptomyces virus AbbeyMikolon</t>
  </si>
  <si>
    <t>2019.038B.zip</t>
  </si>
  <si>
    <t>Andrewvirus</t>
  </si>
  <si>
    <t>Arthrobacter virus Andrew</t>
  </si>
  <si>
    <t>2019.045B.zip</t>
  </si>
  <si>
    <t>Appavirus</t>
  </si>
  <si>
    <t>Microbacterium virus Appa</t>
  </si>
  <si>
    <t>2019.046B.zip</t>
  </si>
  <si>
    <t>Apricotvirus</t>
  </si>
  <si>
    <t>Gordonia virus Apricot</t>
  </si>
  <si>
    <t>2019.003B.zip</t>
  </si>
  <si>
    <t>Armstrongvirus</t>
  </si>
  <si>
    <t>Microbacterium virus Armstrong</t>
  </si>
  <si>
    <t>2019.040B.zip</t>
  </si>
  <si>
    <t>Attoomivirus</t>
  </si>
  <si>
    <t>Streptomyces virus Attoomi</t>
  </si>
  <si>
    <t>2019.041B.zip</t>
  </si>
  <si>
    <t>Austintatiousvirus</t>
  </si>
  <si>
    <t>Streptomyces virus Austintatious</t>
  </si>
  <si>
    <t>2019.042B.zip</t>
  </si>
  <si>
    <t>Streptomyces virus Ididsumtinwong</t>
  </si>
  <si>
    <t>Streptomyces virus PapayaSalad</t>
  </si>
  <si>
    <t>Bridgettevirus</t>
  </si>
  <si>
    <t>Arthrobacter virus Bridgette</t>
  </si>
  <si>
    <t>2019.005B.zip</t>
  </si>
  <si>
    <t>Arthrobacter virus Constance</t>
  </si>
  <si>
    <t>Arthrobacter virus Eileen</t>
  </si>
  <si>
    <t>Arthrobacter virus Judy</t>
  </si>
  <si>
    <t>Arthrobacter virus Peas</t>
  </si>
  <si>
    <t>Mycobacterium virus JoeDirt</t>
  </si>
  <si>
    <t>2019.083B.zip</t>
  </si>
  <si>
    <t>Mycobacterium virus DeadP</t>
  </si>
  <si>
    <t>Mycobacterium virus DotProduct</t>
  </si>
  <si>
    <t>Mycobacterium virus GUmbie</t>
  </si>
  <si>
    <t>Mycobacterium virus RockyHorror</t>
  </si>
  <si>
    <t>Coralvirus</t>
  </si>
  <si>
    <t>Arthrobacter virus Coral</t>
  </si>
  <si>
    <t>2019.007B.zip</t>
  </si>
  <si>
    <t>Arthrobacter virus Kepler</t>
  </si>
  <si>
    <t>Daredevilvirus</t>
  </si>
  <si>
    <t>Gordonia virus DareDevil</t>
  </si>
  <si>
    <t>2019.006B.zip</t>
  </si>
  <si>
    <t>Edenvirus</t>
  </si>
  <si>
    <t>Microbacterium virus Eden</t>
  </si>
  <si>
    <t>2019.053B.zip</t>
  </si>
  <si>
    <t>Fairfaxidumvirus</t>
  </si>
  <si>
    <t>Gordonia virus Fairfaxidumvirus</t>
  </si>
  <si>
    <t>2019.008B.zip</t>
  </si>
  <si>
    <t>Feofaniavirus</t>
  </si>
  <si>
    <t>Erwinia virus Eho49</t>
  </si>
  <si>
    <t>2019.055B.zip</t>
  </si>
  <si>
    <t>Erwinia virus Eho59</t>
  </si>
  <si>
    <t>Fibralongavirus</t>
  </si>
  <si>
    <t>Staphylococcus virus 2638A</t>
  </si>
  <si>
    <t>2019.056B.zip</t>
  </si>
  <si>
    <t>Staphylococcus virus QT1</t>
  </si>
  <si>
    <t>Franklinbayvirus</t>
  </si>
  <si>
    <t>Colwellia virus 9A</t>
  </si>
  <si>
    <t>2019.058B.zip</t>
  </si>
  <si>
    <t>Gillianvirus</t>
  </si>
  <si>
    <t>Microbacterium virus OneinaGillian</t>
  </si>
  <si>
    <t>2019.010B.zip</t>
  </si>
  <si>
    <t>Godonkavirus</t>
  </si>
  <si>
    <t>Gordonia virus GodonK</t>
  </si>
  <si>
    <t>2019.009B.zip</t>
  </si>
  <si>
    <t>Goodmanvirus</t>
  </si>
  <si>
    <t>Microbacterium virus Goodman</t>
  </si>
  <si>
    <t>2019.011B.zip</t>
  </si>
  <si>
    <t>Hiyaavirus</t>
  </si>
  <si>
    <t>Streptomyces virus Hiyaa</t>
  </si>
  <si>
    <t>2019.060B.zip</t>
  </si>
  <si>
    <t>Jacevirus</t>
  </si>
  <si>
    <t>Gordonia virus Jace</t>
  </si>
  <si>
    <t>2019.014B.zip</t>
  </si>
  <si>
    <t>Juiceboxvirus</t>
  </si>
  <si>
    <t>Corynebacterium virus Juicebox</t>
  </si>
  <si>
    <t>2019.015B.zip</t>
  </si>
  <si>
    <t>Kilunavirus</t>
  </si>
  <si>
    <t>2019.002B.zip</t>
  </si>
  <si>
    <t>Krampusvirus</t>
  </si>
  <si>
    <t>Microbacterium virus Krampus</t>
  </si>
  <si>
    <t>2019.016B.zip</t>
  </si>
  <si>
    <t>Lanavirus</t>
  </si>
  <si>
    <t>Pseudomonas virus Lana</t>
  </si>
  <si>
    <t>2019.062B.zip</t>
  </si>
  <si>
    <t>Lentavirus</t>
  </si>
  <si>
    <t>Eggerthella virus PMBT5</t>
  </si>
  <si>
    <t>2019.064B.zip</t>
  </si>
  <si>
    <t>Liebevirus</t>
  </si>
  <si>
    <t>Arthobacter virus Liebe</t>
  </si>
  <si>
    <t>2019.093B.zip</t>
  </si>
  <si>
    <t>Luckybarnesvirus</t>
  </si>
  <si>
    <t>Brevibacterium virus LuckyBarnes</t>
  </si>
  <si>
    <t>2019.017B.zip</t>
  </si>
  <si>
    <t>Luckytenvirus</t>
  </si>
  <si>
    <t>Gordonia virus Lucky10</t>
  </si>
  <si>
    <t>2019.018B.zip</t>
  </si>
  <si>
    <t>Lughvirus</t>
  </si>
  <si>
    <t>Faecalibacterium virus Lugh</t>
  </si>
  <si>
    <t>Majavirus</t>
  </si>
  <si>
    <t>Arthrobacter virus Maja</t>
  </si>
  <si>
    <t>2019.065B.zip</t>
  </si>
  <si>
    <t>Manhattanvirus</t>
  </si>
  <si>
    <t>Arthrobacter virus DrManhattan</t>
  </si>
  <si>
    <t>Maxrubnervirus</t>
  </si>
  <si>
    <t>Pseudomonas virus PMBT3</t>
  </si>
  <si>
    <t>2019.066B.zip</t>
  </si>
  <si>
    <t>Mementomorivirus</t>
  </si>
  <si>
    <t>Microbacterium virus MementoMori</t>
  </si>
  <si>
    <t>2019.019B.zip</t>
  </si>
  <si>
    <t>Metamorphoovirus</t>
  </si>
  <si>
    <t>Microbacterium virus Fireman</t>
  </si>
  <si>
    <t>2019.067B.zip</t>
  </si>
  <si>
    <t>Microbacterium virus Metamorphoo</t>
  </si>
  <si>
    <t>Microbacterium virus RobsFeet</t>
  </si>
  <si>
    <t>Montyvirus</t>
  </si>
  <si>
    <t>Gordinia virus Birksandsocks</t>
  </si>
  <si>
    <t>2019.001B.zip</t>
  </si>
  <si>
    <t>Gordonia virus Flakey</t>
  </si>
  <si>
    <t>Gordonia virus Stevefrench</t>
  </si>
  <si>
    <t>Murrayvirus</t>
  </si>
  <si>
    <t>Escherichia virus EC2</t>
  </si>
  <si>
    <t>2019.069B.zip</t>
  </si>
  <si>
    <t>Salmonella virus Lumpael</t>
  </si>
  <si>
    <t>Neferthenavirus</t>
  </si>
  <si>
    <t>Microbacterium virus Neferthena</t>
  </si>
  <si>
    <t>2019.071B.zip</t>
  </si>
  <si>
    <t>Oengusvirus</t>
  </si>
  <si>
    <t>Faecalibacterium virus Oengus</t>
  </si>
  <si>
    <t>Oneupvirus</t>
  </si>
  <si>
    <t>Gordonia virus BrutonGaster</t>
  </si>
  <si>
    <t>2019.020B.zip</t>
  </si>
  <si>
    <t>Picardvirus</t>
  </si>
  <si>
    <t>Streptomyces virus Picard</t>
  </si>
  <si>
    <t>2019.021B.zip</t>
  </si>
  <si>
    <t>Psimunavirus psiM2</t>
  </si>
  <si>
    <t>2019.077B.zip</t>
  </si>
  <si>
    <t>Quhwahvirus</t>
  </si>
  <si>
    <t>Microbacterium phage KaiHaiDragon</t>
  </si>
  <si>
    <t>2019.023B.zip</t>
  </si>
  <si>
    <t>Microbacterium phage Paschalis</t>
  </si>
  <si>
    <t>Microbacterium phage Quhwah</t>
  </si>
  <si>
    <t>Raleighvirus</t>
  </si>
  <si>
    <t>Streptomyces virus Darolandstone</t>
  </si>
  <si>
    <t>2019.079B.zip</t>
  </si>
  <si>
    <t>Streptomyces virus Raleigh</t>
  </si>
  <si>
    <t>Rogerhendrixvirus</t>
  </si>
  <si>
    <t>Microbacterium virus Hendrix</t>
  </si>
  <si>
    <t>2019.024B.zip</t>
  </si>
  <si>
    <t>Ronaldovirus</t>
  </si>
  <si>
    <t>Gordonia virus Fryberger</t>
  </si>
  <si>
    <t>2019.025B.zip</t>
  </si>
  <si>
    <t>Gordonia virus Ronaldo</t>
  </si>
  <si>
    <t>Rowavirus</t>
  </si>
  <si>
    <t>Streptomyces virus Rowa</t>
  </si>
  <si>
    <t>2019.084B.zip</t>
  </si>
  <si>
    <t>Ruthyvirus</t>
  </si>
  <si>
    <t>Gordonia virus Ruthy</t>
  </si>
  <si>
    <t>2019.026B.zip</t>
  </si>
  <si>
    <t>Samwavirus</t>
  </si>
  <si>
    <t>Corynebacterium virus SamW</t>
  </si>
  <si>
    <t>2019.027B.zip</t>
  </si>
  <si>
    <t>Sansavirus</t>
  </si>
  <si>
    <t>Caulobacter virus Sansa</t>
  </si>
  <si>
    <t>2019.028B.zip</t>
  </si>
  <si>
    <t>Sashavirus</t>
  </si>
  <si>
    <t>Salmonella virus Sasha</t>
  </si>
  <si>
    <t>2019.085B.zip</t>
  </si>
  <si>
    <t>Schnabeltiervirus</t>
  </si>
  <si>
    <t>Gordonia virus Schnabeltier</t>
  </si>
  <si>
    <t>2019.087B.zip</t>
  </si>
  <si>
    <t>Schubertvirus</t>
  </si>
  <si>
    <t>Microbacterium virus Schubert</t>
  </si>
  <si>
    <t>2019.030B.zip</t>
  </si>
  <si>
    <t>Seussvirus</t>
  </si>
  <si>
    <t>Caulobacter virus Seuss</t>
  </si>
  <si>
    <t>2019.089B.zip</t>
  </si>
  <si>
    <t>Sonalivirus</t>
  </si>
  <si>
    <t>Arthobacter virus Sonali</t>
  </si>
  <si>
    <t>2019.033B.zip</t>
  </si>
  <si>
    <t>Squashvirus</t>
  </si>
  <si>
    <t>Microbacterium virus Hyperion</t>
  </si>
  <si>
    <t>2019.034B.zip</t>
  </si>
  <si>
    <t>Microbacterium virus Squash</t>
  </si>
  <si>
    <t>Terapinvirus</t>
  </si>
  <si>
    <t>Gordonia virus Suzy</t>
  </si>
  <si>
    <t>2019.035B.zip</t>
  </si>
  <si>
    <t>Gordonia virus Terapin</t>
  </si>
  <si>
    <t>Tigunavirus</t>
  </si>
  <si>
    <t>2019.082B.zip</t>
  </si>
  <si>
    <t>Mycobacterium virus CrimD</t>
  </si>
  <si>
    <t>Mycobacterium virus JAWS</t>
  </si>
  <si>
    <t>Mycobacterium virus MacnCheese</t>
  </si>
  <si>
    <t>Trinevirus</t>
  </si>
  <si>
    <t>Gordonia virus Trine</t>
  </si>
  <si>
    <t>2019.036B.zip</t>
  </si>
  <si>
    <t>Vashvirus</t>
  </si>
  <si>
    <t>Streptomyces virus Lilbooboo</t>
  </si>
  <si>
    <t>2019.102B.zip</t>
  </si>
  <si>
    <t>Streptomyces virus Vash</t>
  </si>
  <si>
    <t>Vojvodinavirus</t>
  </si>
  <si>
    <t>Bordetella virus CN1</t>
  </si>
  <si>
    <t>2019.094B.zip</t>
  </si>
  <si>
    <t>Bordetella virus CN2</t>
  </si>
  <si>
    <t>Bordetella virus FP1</t>
  </si>
  <si>
    <t>Bordetella virus MW2</t>
  </si>
  <si>
    <t>Yangvirus</t>
  </si>
  <si>
    <t>Arthobacter virus Yang</t>
  </si>
  <si>
    <t>Zetavirus</t>
  </si>
  <si>
    <t>Microbacterium virus Zeta1847</t>
  </si>
  <si>
    <t>2019.097B.zip</t>
  </si>
  <si>
    <t>Monodnaviria</t>
  </si>
  <si>
    <t>Loebvirae</t>
  </si>
  <si>
    <t>Hofneiviricota</t>
  </si>
  <si>
    <t>Faserviricetes</t>
  </si>
  <si>
    <t>Tubulavirales</t>
  </si>
  <si>
    <t>Affertcholeramvirus</t>
  </si>
  <si>
    <t>2019.061B.zip</t>
  </si>
  <si>
    <t>Bifilivirus</t>
  </si>
  <si>
    <t>Capistrivirus</t>
  </si>
  <si>
    <t>Coriovirus</t>
  </si>
  <si>
    <t>2019.005G.zip</t>
  </si>
  <si>
    <t>Ralstonia virus RS551</t>
  </si>
  <si>
    <t>Infulavirus</t>
  </si>
  <si>
    <t>Parhipatevirus</t>
  </si>
  <si>
    <t>Primolicivirus</t>
  </si>
  <si>
    <t>Psecadovirus</t>
  </si>
  <si>
    <t>Restivirus</t>
  </si>
  <si>
    <t>Scuticavirus</t>
  </si>
  <si>
    <t>Staminivirus</t>
  </si>
  <si>
    <t>Subteminivirus</t>
  </si>
  <si>
    <t>Tertilicivirus</t>
  </si>
  <si>
    <t>Thomixvirus</t>
  </si>
  <si>
    <t>Versovirus</t>
  </si>
  <si>
    <t>Vicialiavirus</t>
  </si>
  <si>
    <t>Villovirus</t>
  </si>
  <si>
    <t>Xylivirus</t>
  </si>
  <si>
    <t>Plectroviridae</t>
  </si>
  <si>
    <t>Suturavirus</t>
  </si>
  <si>
    <t>Sangervirae</t>
  </si>
  <si>
    <t>Phixviricota</t>
  </si>
  <si>
    <t>Malgrandaviricetes</t>
  </si>
  <si>
    <t>Petitvirales</t>
  </si>
  <si>
    <t>Shotokuvirae</t>
  </si>
  <si>
    <t>Cossaviricota</t>
  </si>
  <si>
    <t>Mouviricetes</t>
  </si>
  <si>
    <t>Polivirales</t>
  </si>
  <si>
    <t>Papovaviricetes</t>
  </si>
  <si>
    <t>Sepolyvirales</t>
  </si>
  <si>
    <t>Human polyomavirus 14</t>
  </si>
  <si>
    <t>2019.004D.zip</t>
  </si>
  <si>
    <t>Tupaia belangeri polyomavirus 1</t>
  </si>
  <si>
    <t>Enhydra lutris polyomavirus 1</t>
  </si>
  <si>
    <t>Mus musculus polyomavirus 3</t>
  </si>
  <si>
    <t>Zurhausenvirales</t>
  </si>
  <si>
    <t>Quintoviricetes</t>
  </si>
  <si>
    <t>Piccovirales</t>
  </si>
  <si>
    <t>Aquambidensovirus</t>
  </si>
  <si>
    <t>Asteroid aquambidensovirus 1</t>
  </si>
  <si>
    <t>2019.010D.zip</t>
  </si>
  <si>
    <t>Decapod aquambidensovirus 1</t>
  </si>
  <si>
    <t>Blattambidensovirus</t>
  </si>
  <si>
    <t>Blattodean blattambidensovirus 1</t>
  </si>
  <si>
    <t>Hemiambidensovirus</t>
  </si>
  <si>
    <t>Hemipteran hemiambidensovirus 1</t>
  </si>
  <si>
    <t>Hemipteran hemiambidensovirus 2</t>
  </si>
  <si>
    <t>Miniambidensovirus</t>
  </si>
  <si>
    <t>Orthopteran miniambidensovirus 1</t>
  </si>
  <si>
    <t>Pefuambidensovirus</t>
  </si>
  <si>
    <t>Blattodean pefuambidensovirus 1</t>
  </si>
  <si>
    <t>Penstylhamaparvovirus</t>
  </si>
  <si>
    <t>Decapod penstylhamaparvovirus 1</t>
  </si>
  <si>
    <t>Protoambidensovirus</t>
  </si>
  <si>
    <t>Dipteran protoambidensovirus 1</t>
  </si>
  <si>
    <t>Lepidopteran protoambidensovirus 1</t>
  </si>
  <si>
    <t>Scindoambidensovirus</t>
  </si>
  <si>
    <t>Hemipteran scindoambidensovirus 1</t>
  </si>
  <si>
    <t>Hymenopteran scindoambidensovirus 1</t>
  </si>
  <si>
    <t>Orthopteran scindoambidensovirus 1</t>
  </si>
  <si>
    <t>Hamaparvovirinae</t>
  </si>
  <si>
    <t>Brevihamaparvovirus</t>
  </si>
  <si>
    <t>Dipteran brevihamaparvovirus 1</t>
  </si>
  <si>
    <t>Dipteran brevihamaparvovirus 2</t>
  </si>
  <si>
    <t>Chaphamaparvovirus</t>
  </si>
  <si>
    <t>Carnivore chaphamaparvovirus 1</t>
  </si>
  <si>
    <t>Chiropteran chaphamaparvovirus 1</t>
  </si>
  <si>
    <t>Galliform chaphamaparvovirus 1</t>
  </si>
  <si>
    <t>Galliform chaphamaparvovirus 2</t>
  </si>
  <si>
    <t>Galliform chaphamaparvovirus 3</t>
  </si>
  <si>
    <t>Rodent chaphamaparvovirus 1</t>
  </si>
  <si>
    <t>Rodent chaphamaparvovirus 2</t>
  </si>
  <si>
    <t>Ungulate chaphamaparvovirus 1</t>
  </si>
  <si>
    <t>Hepanhamaparvovirus</t>
  </si>
  <si>
    <t>Decapod hepanhamaparvovirus 1</t>
  </si>
  <si>
    <t>Ichthamaparvovirus</t>
  </si>
  <si>
    <t>Syngnathid ichthamaparvovirus 1</t>
  </si>
  <si>
    <t>Carnivore amdoparvovirus 5</t>
  </si>
  <si>
    <t>Artiparvovirus</t>
  </si>
  <si>
    <t>Chiropteran artiparvovirus 1</t>
  </si>
  <si>
    <t>Gruiform aveparvovirus 1</t>
  </si>
  <si>
    <t>Rodent bocaparvovirus 1</t>
  </si>
  <si>
    <t>Rodent bocaparvovirus 2</t>
  </si>
  <si>
    <t>Ungulate bocaparvovirus 7</t>
  </si>
  <si>
    <t>Ungulate bocaparvovirus 8</t>
  </si>
  <si>
    <t>Pinniped copiparvovirus 1</t>
  </si>
  <si>
    <t>Ungulate copiparvovirus 3</t>
  </si>
  <si>
    <t>Ungulate copiparvovirus 4</t>
  </si>
  <si>
    <t>Ungulate copiparvovirus 5</t>
  </si>
  <si>
    <t>Ungulate copiparvovirus 6</t>
  </si>
  <si>
    <t>Rodent dependoparvovirus 1</t>
  </si>
  <si>
    <t>Rodent dependoparvovirus 2</t>
  </si>
  <si>
    <t>Pinniped erythroparvovirus 1</t>
  </si>
  <si>
    <t>Loriparvovirus</t>
  </si>
  <si>
    <t>Primate loriparvovirus 1</t>
  </si>
  <si>
    <t>Carnivore protoparvovirus</t>
  </si>
  <si>
    <t>Primate protoparvovirus 4</t>
  </si>
  <si>
    <t>Cressdnaviricota</t>
  </si>
  <si>
    <t>Arfiviricetes</t>
  </si>
  <si>
    <t>Baphyvirales</t>
  </si>
  <si>
    <t>2019.012D.zip</t>
  </si>
  <si>
    <t>Cirlivirales</t>
  </si>
  <si>
    <t>Bat associated circovirus 12</t>
  </si>
  <si>
    <t>2019.002D.zip</t>
  </si>
  <si>
    <t>Civet circovirus</t>
  </si>
  <si>
    <t>Mosquito associated circovirus 1</t>
  </si>
  <si>
    <t>Rodent associated circovirus 7</t>
  </si>
  <si>
    <t>Ant associated cyclovirus 1</t>
  </si>
  <si>
    <t>Chicken associated cyclovirus 2</t>
  </si>
  <si>
    <t>Spider associated cyclovirus 1</t>
  </si>
  <si>
    <t>Cremevirales</t>
  </si>
  <si>
    <t>Mulpavirales</t>
  </si>
  <si>
    <t>Recrevirales</t>
  </si>
  <si>
    <t>Redondoviridae</t>
  </si>
  <si>
    <t>Torbevirus</t>
  </si>
  <si>
    <t>Brisavirus</t>
  </si>
  <si>
    <t>2019.011D.zip</t>
  </si>
  <si>
    <t>Vientovirus</t>
  </si>
  <si>
    <t>Repensiviricetes</t>
  </si>
  <si>
    <t>Geplafuvirales</t>
  </si>
  <si>
    <t>Ageratum leaf curl Sichuan virus</t>
  </si>
  <si>
    <t>2019.022P.zip</t>
  </si>
  <si>
    <t>Bitter gourd yellow mosaic virus</t>
  </si>
  <si>
    <t>Cowpea bright yellow mosaic virus</t>
  </si>
  <si>
    <t>Croton golden mosaic virus</t>
  </si>
  <si>
    <t>Emilia yellow vein Fujian virus</t>
  </si>
  <si>
    <t>Hibiscus golden mosaic virus</t>
  </si>
  <si>
    <t>Hollyhock yellow vein virus</t>
  </si>
  <si>
    <t>Malvastrum yellow vein Lahore virus</t>
  </si>
  <si>
    <t>Melon yellow mosaic virus</t>
  </si>
  <si>
    <t>Passionfruit leaf curl virus</t>
  </si>
  <si>
    <t>Pepper yellow leaf curl Aceh virus</t>
  </si>
  <si>
    <t>Sweet potato leaf curl Hubei virus</t>
  </si>
  <si>
    <t>Tobacco leaf curl Dominican Republic virus</t>
  </si>
  <si>
    <t>Tomato chlorotic leaf curl virus</t>
  </si>
  <si>
    <t>Tomato leaf curl Mahe virus</t>
  </si>
  <si>
    <t>Tomato twisted leaf virus</t>
  </si>
  <si>
    <t>Maize streak dwarfing virus</t>
  </si>
  <si>
    <t>2019.002P.zip</t>
  </si>
  <si>
    <t>Sesame curly top virus</t>
  </si>
  <si>
    <t>2019.001P.zip</t>
  </si>
  <si>
    <t>Trapavirae</t>
  </si>
  <si>
    <t>Saleviricota</t>
  </si>
  <si>
    <t>Huolimaviricetes</t>
  </si>
  <si>
    <t>Haloruvirales</t>
  </si>
  <si>
    <t>Alphapleolipovirus HHPV1</t>
  </si>
  <si>
    <t>2019.104B.zip</t>
  </si>
  <si>
    <t>Alphapleolipovirus HHPV2</t>
  </si>
  <si>
    <t>Alphapleolipovirus HRPV1</t>
  </si>
  <si>
    <t>Alphapleolipovirus HRPV2</t>
  </si>
  <si>
    <t>Alphapleolipovirus HRPV6</t>
  </si>
  <si>
    <t>Betapleolipovirus HGPV1</t>
  </si>
  <si>
    <t>Betapleolipovirus HHPV3</t>
  </si>
  <si>
    <t>2019.105B.zip</t>
  </si>
  <si>
    <t>Betapleolipovirus HHPV4</t>
  </si>
  <si>
    <t>Betapleolipovirus HRPV3</t>
  </si>
  <si>
    <t>Betapleolipovirus HRPV9</t>
  </si>
  <si>
    <t>Betapleolipovirus HRPV10</t>
  </si>
  <si>
    <t>Betapleolipovirus HRPV11</t>
  </si>
  <si>
    <t>Betapleolipovirus HRPV12</t>
  </si>
  <si>
    <t>Betapleolipovirus SNJ2</t>
  </si>
  <si>
    <t>Gammapleolipovirus His2</t>
  </si>
  <si>
    <t>Orthornavirae</t>
  </si>
  <si>
    <t>Duplornaviricota</t>
  </si>
  <si>
    <t>Chrymotiviricetes</t>
  </si>
  <si>
    <t>Ghabrivirales</t>
  </si>
  <si>
    <t>2019.006G.zip</t>
  </si>
  <si>
    <t>Resentoviricetes</t>
  </si>
  <si>
    <t>Reovirales</t>
  </si>
  <si>
    <t>Rotavirus J</t>
  </si>
  <si>
    <t>2019.029M.zip</t>
  </si>
  <si>
    <t>Colorado tick fever coltivirus</t>
  </si>
  <si>
    <t>2019.027M.zip</t>
  </si>
  <si>
    <t>Eyach coltivirus</t>
  </si>
  <si>
    <t>Kundal coltivirus</t>
  </si>
  <si>
    <t>Tai Forest coltivirus</t>
  </si>
  <si>
    <t>Tarumizu coltivirus</t>
  </si>
  <si>
    <t>Broome orthoreovirus</t>
  </si>
  <si>
    <t>2019.024M.zip</t>
  </si>
  <si>
    <t>Neoavian orthoreovirus</t>
  </si>
  <si>
    <t>Testudine orthoreovirus</t>
  </si>
  <si>
    <t>Vidaverviricetes</t>
  </si>
  <si>
    <t>Mindivirales</t>
  </si>
  <si>
    <t>Kitrinoviricota</t>
  </si>
  <si>
    <t>Alsuviricetes</t>
  </si>
  <si>
    <t>Hepelivirales</t>
  </si>
  <si>
    <t>Martellivirales</t>
  </si>
  <si>
    <t>Pistachio ampelovirus A</t>
  </si>
  <si>
    <t>2019.007P.zip</t>
  </si>
  <si>
    <t>Arracacha virus 1</t>
  </si>
  <si>
    <t>Blackcurrant closterovirus 1</t>
  </si>
  <si>
    <t>Rehmannia virus 1</t>
  </si>
  <si>
    <t>Agaricus bisporus alphaendornavirus 1</t>
  </si>
  <si>
    <t>2019.023P.zip</t>
  </si>
  <si>
    <t>Cluster bean alphaendornavirus 1</t>
  </si>
  <si>
    <t>Helianthus annuus alphaendornavirus</t>
  </si>
  <si>
    <t>Phaseolus vulgaris alphaendornavirus 3</t>
  </si>
  <si>
    <t>Rhizoctonia solani alphaendornavirus 2</t>
  </si>
  <si>
    <t>Rosellinia necatrix betaendornavirus 1</t>
  </si>
  <si>
    <t>Sclerotinia minor betaendornavirus 1</t>
  </si>
  <si>
    <t>Tea plant necrotic ring blotch virus</t>
  </si>
  <si>
    <t>2019.005P.zip</t>
  </si>
  <si>
    <t>Mayoviridae</t>
  </si>
  <si>
    <t>2019.025P.zip</t>
  </si>
  <si>
    <t>Pteridovirus</t>
  </si>
  <si>
    <t>Japanese holly fern mottle pteridovirus</t>
  </si>
  <si>
    <t>Maize associated pteridovirus</t>
  </si>
  <si>
    <t>Ravavirus</t>
  </si>
  <si>
    <t>Ribes americanum virus A</t>
  </si>
  <si>
    <t>2019.012P.zip</t>
  </si>
  <si>
    <t>Flasuviricetes</t>
  </si>
  <si>
    <t>Amarillovirales</t>
  </si>
  <si>
    <t>Magsaviricetes</t>
  </si>
  <si>
    <t>Nodamuvirales</t>
  </si>
  <si>
    <t>Sinhaliviridae</t>
  </si>
  <si>
    <t>Tolucaviricetes</t>
  </si>
  <si>
    <t>Tolivirales</t>
  </si>
  <si>
    <t>Birdsfoot trefoil enamovirus 1</t>
  </si>
  <si>
    <t>2019.013P.zip</t>
  </si>
  <si>
    <t>Apple associated luteovirus</t>
  </si>
  <si>
    <t>2019.024P.zip</t>
  </si>
  <si>
    <t>Apple luteovirus 1</t>
  </si>
  <si>
    <t>Red clover associated luteovirus</t>
  </si>
  <si>
    <t>Faba bean polerovirus 1</t>
  </si>
  <si>
    <t>2019.014P.zip</t>
  </si>
  <si>
    <t>Pumpkin polerovirus</t>
  </si>
  <si>
    <t>2019.021P.zip</t>
  </si>
  <si>
    <t>Lenarviricota</t>
  </si>
  <si>
    <t>Allassoviricetes</t>
  </si>
  <si>
    <t>Levivirales</t>
  </si>
  <si>
    <t>Amabiliviricetes</t>
  </si>
  <si>
    <t>Wolframvirales</t>
  </si>
  <si>
    <t>Howeltoviricetes</t>
  </si>
  <si>
    <t>Cryppavirales</t>
  </si>
  <si>
    <t>Mitoviridae</t>
  </si>
  <si>
    <t>Miaviricetes</t>
  </si>
  <si>
    <t>Ourlivirales</t>
  </si>
  <si>
    <t>Taiyuan mivirus</t>
  </si>
  <si>
    <t>2019.018M.zip</t>
  </si>
  <si>
    <t>Hexartovirus</t>
  </si>
  <si>
    <t>Barnacle hexartovirus</t>
  </si>
  <si>
    <t>2019.021M.zip</t>
  </si>
  <si>
    <t>Caligid hexartovirus</t>
  </si>
  <si>
    <t>Dianlovirus</t>
  </si>
  <si>
    <t>Mengla dianlovirus</t>
  </si>
  <si>
    <t>2019.011M.zip</t>
  </si>
  <si>
    <t>Bombali ebolavirus</t>
  </si>
  <si>
    <t>2019.007M.zip</t>
  </si>
  <si>
    <t>Hubramonavirus</t>
  </si>
  <si>
    <t>Hubei hubramonavirus</t>
  </si>
  <si>
    <t>2019.001F.zip</t>
  </si>
  <si>
    <t>Lentinula hubramonavirus</t>
  </si>
  <si>
    <t>Avian orthoavulavirus 21</t>
  </si>
  <si>
    <t>2019.014M; 2019.025M.zip</t>
  </si>
  <si>
    <t>Avian orthovulavirus 21</t>
  </si>
  <si>
    <t>2019.014M.zip</t>
  </si>
  <si>
    <t>Synodus synodonvirus</t>
  </si>
  <si>
    <t>2019.016M.zip</t>
  </si>
  <si>
    <t>Oncorhynchus aquaparamyxovirus</t>
  </si>
  <si>
    <t>2019.025M.zip</t>
  </si>
  <si>
    <t>Salmo aquaparamyxovirus</t>
  </si>
  <si>
    <t>Miniopteran jeilongvirus</t>
  </si>
  <si>
    <t>Squirrel respirovirus</t>
  </si>
  <si>
    <t>2019.019M.zip</t>
  </si>
  <si>
    <t>Mammalian orthorubulavirus 6</t>
  </si>
  <si>
    <t>Hervey pararubulavirus</t>
  </si>
  <si>
    <t>Cynoglossusvirus</t>
  </si>
  <si>
    <t>Cynoglossus cynoglossusvirus</t>
  </si>
  <si>
    <t>Hoplichthysvirus</t>
  </si>
  <si>
    <t>Hoplichthys hoplichthysvirus</t>
  </si>
  <si>
    <t>Scoliodonvirus</t>
  </si>
  <si>
    <t>Scoliodon scoliodonvirus</t>
  </si>
  <si>
    <t>Menghai almendravirus</t>
  </si>
  <si>
    <t>2019.033M.zip</t>
  </si>
  <si>
    <t>Alphanucleorhabdovirus</t>
  </si>
  <si>
    <t>Eggplant mottled dwarf alphanucleorhabdovirus</t>
  </si>
  <si>
    <t>2019.031M.zip</t>
  </si>
  <si>
    <t>Maize Iranian mosaic alphanucleorhabdovirus</t>
  </si>
  <si>
    <t>Maize mosaic alphanucleorhabdovirus</t>
  </si>
  <si>
    <t>Morogoro maize-associated alphanucleorhabdovirus</t>
  </si>
  <si>
    <t>Physostegia chlorotic mottle alphanucleorhabdovirus</t>
  </si>
  <si>
    <t>Potato yellow dwarf alphanucleorhabdovirus</t>
  </si>
  <si>
    <t>Rice yellow stunt alphanucleorhabdovirus</t>
  </si>
  <si>
    <t>Taro vein chlorosis alphanucleorhabdovirus</t>
  </si>
  <si>
    <t>Wheat yellow striate alphanucleorhabdovirus</t>
  </si>
  <si>
    <t>Arurhavirus</t>
  </si>
  <si>
    <t>Aruac arurhavirus</t>
  </si>
  <si>
    <t>2019.006M.zip</t>
  </si>
  <si>
    <t>Inhangapi arurhavirus</t>
  </si>
  <si>
    <t>Santabarbara arurhavirus</t>
  </si>
  <si>
    <t>Xiburema arurhavirus</t>
  </si>
  <si>
    <t>Betanucleorhabdovirus</t>
  </si>
  <si>
    <t>Alfalfa betanucleorhabdovirus</t>
  </si>
  <si>
    <t>Blackcurrant betanucleorhabdovirus</t>
  </si>
  <si>
    <t>Datura yellow vein betanucleorhabdovirus</t>
  </si>
  <si>
    <t>Sonchus yellow net betanucleorhabdovirus</t>
  </si>
  <si>
    <t>Sowthistle yellow vein betanucleorhabdovirus</t>
  </si>
  <si>
    <t>Trefoil betanucleorhabdovirus</t>
  </si>
  <si>
    <t>Cabbage cytorhabdovirus</t>
  </si>
  <si>
    <t>2019.030M.zip</t>
  </si>
  <si>
    <t>Maize yellow striate cytorhabdovirus</t>
  </si>
  <si>
    <t>Maize-associated cytorhabdovirus</t>
  </si>
  <si>
    <t>Papaya cytorhabdovirus</t>
  </si>
  <si>
    <t>Persimmon cytorhabdovirus</t>
  </si>
  <si>
    <t>Raspberry vein chlorosis cytorhabdovirus</t>
  </si>
  <si>
    <t>Rice stripe mosaic cytorhabdovirus</t>
  </si>
  <si>
    <t>Tomato yellow mottle-associated cytorhabdovirus</t>
  </si>
  <si>
    <t>Wuhan 4 insect cytorhabdovirus</t>
  </si>
  <si>
    <t>Wuhan 5 insect cytorhabdovirus</t>
  </si>
  <si>
    <t>Wuhan 6 insect cytorhabdovirus</t>
  </si>
  <si>
    <t>Yerba mate chlorosis-associated cytorhabdovirus</t>
  </si>
  <si>
    <t>Gammanucleorhabdovirus</t>
  </si>
  <si>
    <t>Maize fine streak gammanucleorhabdovirus</t>
  </si>
  <si>
    <t>Holmes hapavirus</t>
  </si>
  <si>
    <t>2019.003M.zip</t>
  </si>
  <si>
    <t>Taiwan bat lyssavirus</t>
  </si>
  <si>
    <t>2019.001M.zip</t>
  </si>
  <si>
    <t>Mousrhavirus</t>
  </si>
  <si>
    <t>Moussa mousrhavirus</t>
  </si>
  <si>
    <t>2019.012M.zip</t>
  </si>
  <si>
    <t>Ohlsrhavirus</t>
  </si>
  <si>
    <t>Culex ohlsrhavirus</t>
  </si>
  <si>
    <t>2019.032M.zip</t>
  </si>
  <si>
    <t>Northcreek ohlsrhavirus</t>
  </si>
  <si>
    <t>Ohlsdorf ohlsrhavirus</t>
  </si>
  <si>
    <t>Riverside ohlsrhavirus</t>
  </si>
  <si>
    <t>Tongilchon ohlsrhavirus</t>
  </si>
  <si>
    <t>Charleville sripuvirus</t>
  </si>
  <si>
    <t>2019.013M.zip</t>
  </si>
  <si>
    <t>Cuiaba sripuvirus</t>
  </si>
  <si>
    <t>Hainan sripuvirus</t>
  </si>
  <si>
    <t>Sunrhavirus</t>
  </si>
  <si>
    <t>Garba sunrhavirus</t>
  </si>
  <si>
    <t>2019.004M.zip</t>
  </si>
  <si>
    <t>Harrison sunrhavirus</t>
  </si>
  <si>
    <t>Kwatta sunrhavirus</t>
  </si>
  <si>
    <t>Oakvale sunrhavirus</t>
  </si>
  <si>
    <t>Sunguru sunrhavirus</t>
  </si>
  <si>
    <t>Walkabout sunrhavirus</t>
  </si>
  <si>
    <t>Muikkunen hartmanivirus</t>
  </si>
  <si>
    <t>2019.008M.zip</t>
  </si>
  <si>
    <t>Schoolhouse hartmanivirus</t>
  </si>
  <si>
    <t>Zurich hartmanivirus</t>
  </si>
  <si>
    <t>Alxa mammarenavirus</t>
  </si>
  <si>
    <t>2019.020M.zip</t>
  </si>
  <si>
    <t>Chevrier mammarenavirus</t>
  </si>
  <si>
    <t>2019.009M.zip</t>
  </si>
  <si>
    <t>Planalto mammarenavirus</t>
  </si>
  <si>
    <t>2019.010M.zip</t>
  </si>
  <si>
    <t>Xapuri mammarenavirus</t>
  </si>
  <si>
    <t>2019.005M.zip</t>
  </si>
  <si>
    <t>Blackberry leaf mottle associated emaravirus</t>
  </si>
  <si>
    <t>2019.010P.zip</t>
  </si>
  <si>
    <t>Pistacia emaravirus B</t>
  </si>
  <si>
    <t>2019.011P.zip</t>
  </si>
  <si>
    <t>Brno loanvirus</t>
  </si>
  <si>
    <t>2019.017M.zip</t>
  </si>
  <si>
    <t>Caimito pacuvirus</t>
  </si>
  <si>
    <t>2019.022M.zip</t>
  </si>
  <si>
    <t>Chilibre pacuvirus</t>
  </si>
  <si>
    <t>2019.022M; 2019.026M.zip</t>
  </si>
  <si>
    <t>Anopheles orthophasmavirus</t>
  </si>
  <si>
    <t>2019.028M.zip</t>
  </si>
  <si>
    <t>Bandavirus</t>
  </si>
  <si>
    <t>Bhanja bandavirus</t>
  </si>
  <si>
    <t>2019.026M.zip</t>
  </si>
  <si>
    <t>Dabie bandavirus</t>
  </si>
  <si>
    <t>2019.015M.zip</t>
  </si>
  <si>
    <t>Guertu bandavirus</t>
  </si>
  <si>
    <t>Heartland bandavirus</t>
  </si>
  <si>
    <t>Hunter Island bandavirus</t>
  </si>
  <si>
    <t>Kismaayo bandavirus</t>
  </si>
  <si>
    <t>Lone Star bandavirus</t>
  </si>
  <si>
    <t>Coguvirus eburi</t>
  </si>
  <si>
    <t>2019.004P.zip</t>
  </si>
  <si>
    <t>Entovirus</t>
  </si>
  <si>
    <t>Entoleuca entovirus</t>
  </si>
  <si>
    <t>Ixovirus</t>
  </si>
  <si>
    <t>Blackleg ixovirus</t>
  </si>
  <si>
    <t>Norway ixovirus</t>
  </si>
  <si>
    <t>Scapularis ixovirus</t>
  </si>
  <si>
    <t>Lentinuvirus</t>
  </si>
  <si>
    <t>Lentinula lentinuvirus</t>
  </si>
  <si>
    <t>Dipteran phasivirus</t>
  </si>
  <si>
    <t>Renamed,Moved,Removed as Type Species,</t>
  </si>
  <si>
    <t>Fly phasivirus</t>
  </si>
  <si>
    <t>Adana phlebovirus</t>
  </si>
  <si>
    <t>Aguacate phlebovirus</t>
  </si>
  <si>
    <t>Alcube phlebovirus</t>
  </si>
  <si>
    <t>Alenquer phlebovirus</t>
  </si>
  <si>
    <t>Ambe phlebovirus</t>
  </si>
  <si>
    <t>Anhanga phlebovirus</t>
  </si>
  <si>
    <t>Arumowot phlebovirus</t>
  </si>
  <si>
    <t>Buenaventura phlebovirus</t>
  </si>
  <si>
    <t>Cacao phlebovirus</t>
  </si>
  <si>
    <t>Campana phlebovirus</t>
  </si>
  <si>
    <t>Chagres phlebovirus</t>
  </si>
  <si>
    <t>Cocle phlebovirus</t>
  </si>
  <si>
    <t>Dashli phlebovirus</t>
  </si>
  <si>
    <t>Durania phlebovirus</t>
  </si>
  <si>
    <t>Echarate phlebovirus</t>
  </si>
  <si>
    <t>Gabek phlebovirus</t>
  </si>
  <si>
    <t>Gordil phlebovirus</t>
  </si>
  <si>
    <t>Icoaraci phlebovirus</t>
  </si>
  <si>
    <t>Itaituba phlebovirus</t>
  </si>
  <si>
    <t>Itaporanga phlebovirus</t>
  </si>
  <si>
    <t>Ixcanal phlebovirus</t>
  </si>
  <si>
    <t>Karimabad phlebovirus</t>
  </si>
  <si>
    <t>La Gloria phlebovirus</t>
  </si>
  <si>
    <t>Lara phlebovirus</t>
  </si>
  <si>
    <t>Leticia phlebovirus</t>
  </si>
  <si>
    <t>Maldonado phlebovirus</t>
  </si>
  <si>
    <t>Massilia phlebovirus</t>
  </si>
  <si>
    <t>Medjerda phlebovirus</t>
  </si>
  <si>
    <t>Mona Grita phlebovirus</t>
  </si>
  <si>
    <t>Munguba phlebovirus</t>
  </si>
  <si>
    <t>Naples phlebovirus</t>
  </si>
  <si>
    <t>Nique phlebovirus</t>
  </si>
  <si>
    <t>Ntepes phlebovirus</t>
  </si>
  <si>
    <t>Odrenisrou phlebovirus</t>
  </si>
  <si>
    <t>Oriximina phlebovirus</t>
  </si>
  <si>
    <t>Pena Blanca phlebovirus</t>
  </si>
  <si>
    <t>Punique phlebovirus</t>
  </si>
  <si>
    <t>Rio Grande phlebovirus</t>
  </si>
  <si>
    <t>Saint Floris phlebovirus</t>
  </si>
  <si>
    <t>Salanga phlebovirus</t>
  </si>
  <si>
    <t>Salobo phlabovirus</t>
  </si>
  <si>
    <t>Sicilian phlebovirus</t>
  </si>
  <si>
    <t>Tapara phlebovirus</t>
  </si>
  <si>
    <t>Tehran phlebovirus</t>
  </si>
  <si>
    <t>Tico phebovirus</t>
  </si>
  <si>
    <t>Toros phlebovirus</t>
  </si>
  <si>
    <t>Toscana phlebovirus</t>
  </si>
  <si>
    <t>Tres Almendras phlebovirus</t>
  </si>
  <si>
    <t>Turuna phlebovirus</t>
  </si>
  <si>
    <t>Uriurana phlebovirus</t>
  </si>
  <si>
    <t>Urucuri phlebovirus</t>
  </si>
  <si>
    <t>Viola phlebovirus</t>
  </si>
  <si>
    <t>Zerdali phlebovirus</t>
  </si>
  <si>
    <t>Rubodvirus</t>
  </si>
  <si>
    <t>Apple rubodvirus 1</t>
  </si>
  <si>
    <t>Apple rubodvirus 2</t>
  </si>
  <si>
    <t>Melon tenuivirus</t>
  </si>
  <si>
    <t>Uukuvirus</t>
  </si>
  <si>
    <t>American dog uukuvirus</t>
  </si>
  <si>
    <t>Dabieshan uukuvirus</t>
  </si>
  <si>
    <t>Grand Arbaud uukuvirus</t>
  </si>
  <si>
    <t>Huangpi uukuvirus</t>
  </si>
  <si>
    <t>Kabuto mountain uukuvirus</t>
  </si>
  <si>
    <t>Kaisodi uukuvirus</t>
  </si>
  <si>
    <t>Lihan uukuvirus</t>
  </si>
  <si>
    <t>Murre uukuvirus</t>
  </si>
  <si>
    <t>Pacific coast uukuvirus</t>
  </si>
  <si>
    <t>Precarious Point uukuvirus</t>
  </si>
  <si>
    <t>Rukutama uukuvirus</t>
  </si>
  <si>
    <t>Schmidt uukuvirus</t>
  </si>
  <si>
    <t>Silverwater uukuvirus</t>
  </si>
  <si>
    <t>Tacheng uukuvirus</t>
  </si>
  <si>
    <t>Uukuniemi uukuvirus</t>
  </si>
  <si>
    <t>Yongjia uukuvirus</t>
  </si>
  <si>
    <t>Zaliv Terpeniya uukuvirus</t>
  </si>
  <si>
    <t>Alstroemeria necrotic streak orthotospovirus</t>
  </si>
  <si>
    <t>2019.006P.zip</t>
  </si>
  <si>
    <t>Alstroemeria yellow spot orthotospovirus</t>
  </si>
  <si>
    <t>Groundnut bud necrosis orthotospovirus</t>
  </si>
  <si>
    <t>Groundnut chlorotic fan spot orthotospovirus</t>
  </si>
  <si>
    <t>Groundnut ringspot orthotospovirus</t>
  </si>
  <si>
    <t>Groundnut yellow spot orthotospovirus</t>
  </si>
  <si>
    <t>Hippeastrum chlorotic ringspot orthotospovirus</t>
  </si>
  <si>
    <t>Impatiens necrotic spot orthotospovirus</t>
  </si>
  <si>
    <t>Iris yellow spot orthotospovirus</t>
  </si>
  <si>
    <t>Mulberry vein banding associated orthotospovirus</t>
  </si>
  <si>
    <t>Pepper chlorotic spot orthotospovirus</t>
  </si>
  <si>
    <t>Polygonum ringspot orthotospovirus</t>
  </si>
  <si>
    <t>Tomato chlorotic spot orthotospovirus</t>
  </si>
  <si>
    <t>Tomato spotted wilt orthotospovirus</t>
  </si>
  <si>
    <t>Tomato yellow ring orthotospovirus</t>
  </si>
  <si>
    <t>Tomato zonate spot orthotospovirus</t>
  </si>
  <si>
    <t>Watermelon bud necrosis orthotospovirus</t>
  </si>
  <si>
    <t>Watermelon silver mottle orthotospovirus</t>
  </si>
  <si>
    <t>Zucchini lethal chlorosis orthotospovirus</t>
  </si>
  <si>
    <t>Pisuviricota</t>
  </si>
  <si>
    <t>Duplopiviricetes</t>
  </si>
  <si>
    <t>Durnavirales</t>
  </si>
  <si>
    <t>Beihai picobirnavirus</t>
  </si>
  <si>
    <t>2018.006M.zip</t>
  </si>
  <si>
    <t>Equine picobirnavirus</t>
  </si>
  <si>
    <t>Pisoniviricetes</t>
  </si>
  <si>
    <t>Iotaarterivirus pejah</t>
  </si>
  <si>
    <t>2019.020S-023S.zip</t>
  </si>
  <si>
    <t>Betaarterivirus sheoin</t>
  </si>
  <si>
    <t>Micartevirus</t>
  </si>
  <si>
    <t>Betaarterivirus timiclar</t>
  </si>
  <si>
    <t>Nuarterivirus</t>
  </si>
  <si>
    <t>Nuarterivirus guemel</t>
  </si>
  <si>
    <t>Cremegaviridae</t>
  </si>
  <si>
    <t>Rodepovirinae</t>
  </si>
  <si>
    <t>Pontunivirus</t>
  </si>
  <si>
    <t>Chinturpovirus 1</t>
  </si>
  <si>
    <t>Gresnaviridae</t>
  </si>
  <si>
    <t>Reternivirinae</t>
  </si>
  <si>
    <t>Cyclophivirus</t>
  </si>
  <si>
    <t>Ptyasnivirus 1</t>
  </si>
  <si>
    <t>Olifoviridae</t>
  </si>
  <si>
    <t>Gofosavirinae</t>
  </si>
  <si>
    <t>Kukrinivirus</t>
  </si>
  <si>
    <t>Oligodon snake nidovirus 1</t>
  </si>
  <si>
    <t>Pipistrellus kuhlii coronavirus 3398</t>
  </si>
  <si>
    <t>Soracovirus</t>
  </si>
  <si>
    <t>Sorex araneus coronavirus T14</t>
  </si>
  <si>
    <t>Sunacovirus</t>
  </si>
  <si>
    <t>Suncus murinus coronavirus X74</t>
  </si>
  <si>
    <t>Myodes coronavirus 2JL14</t>
  </si>
  <si>
    <t>Eidolon bat coronavirus C704</t>
  </si>
  <si>
    <t>Brangacovirus</t>
  </si>
  <si>
    <t>Goose coronavirus CB17</t>
  </si>
  <si>
    <t>Avian coronavirus 9203</t>
  </si>
  <si>
    <t>Duck coronavirus 2714</t>
  </si>
  <si>
    <t>Alphamesonivirus 10</t>
  </si>
  <si>
    <t>Nanidovirineae</t>
  </si>
  <si>
    <t>Nanghoshaviridae</t>
  </si>
  <si>
    <t>Chimanivirinae</t>
  </si>
  <si>
    <t>Chimshavirus</t>
  </si>
  <si>
    <t>Nangarvirus 1</t>
  </si>
  <si>
    <t>Nanhypoviridae</t>
  </si>
  <si>
    <t>Hyporhamsavirinae</t>
  </si>
  <si>
    <t>Sajorinivirus</t>
  </si>
  <si>
    <t>Halfbeak nidovirus 1</t>
  </si>
  <si>
    <t>Okavirus 1</t>
  </si>
  <si>
    <t>Hepoptovirus</t>
  </si>
  <si>
    <t>Hebius tobanivirus 1</t>
  </si>
  <si>
    <t>Lyctovirus</t>
  </si>
  <si>
    <t>Rebatovirus</t>
  </si>
  <si>
    <t>Lycodon tobanivirus 1</t>
  </si>
  <si>
    <t>Morelia tobanivirus 1</t>
  </si>
  <si>
    <t>Snaturtovirus</t>
  </si>
  <si>
    <t>Berisnavirus 1</t>
  </si>
  <si>
    <t>Anativirus B</t>
  </si>
  <si>
    <t>2019.001S.zip</t>
  </si>
  <si>
    <t>Boosepivirus</t>
  </si>
  <si>
    <t>Boosepivirus A</t>
  </si>
  <si>
    <t>2019.002S.zip</t>
  </si>
  <si>
    <t>Boosepivirus B</t>
  </si>
  <si>
    <t>Boosepivirus C</t>
  </si>
  <si>
    <t>Cardiovirus D</t>
  </si>
  <si>
    <t>2019.003S.zip</t>
  </si>
  <si>
    <t>Cardiovirus E</t>
  </si>
  <si>
    <t>Cardiovirus F</t>
  </si>
  <si>
    <t>Crahelivirus</t>
  </si>
  <si>
    <t>Crahelivirus A</t>
  </si>
  <si>
    <t>2019.004S.zip</t>
  </si>
  <si>
    <t>Diresapivirus</t>
  </si>
  <si>
    <t>Diresapivirus A</t>
  </si>
  <si>
    <t>2019.005S.zip</t>
  </si>
  <si>
    <t>Diresapivirus B</t>
  </si>
  <si>
    <t>Felipivirus</t>
  </si>
  <si>
    <t>Felipivirus A</t>
  </si>
  <si>
    <t>2019.006S.zip</t>
  </si>
  <si>
    <t>Fipivirus</t>
  </si>
  <si>
    <t>Fipivirus A</t>
  </si>
  <si>
    <t>2019.007S.zip</t>
  </si>
  <si>
    <t>Fipivirus B</t>
  </si>
  <si>
    <t>Fipivirus C</t>
  </si>
  <si>
    <t>Fipivirus D</t>
  </si>
  <si>
    <t>Fipivirus E</t>
  </si>
  <si>
    <t>Gruhelivirus</t>
  </si>
  <si>
    <t>Gruhelivirus A</t>
  </si>
  <si>
    <t>Grusopivirus</t>
  </si>
  <si>
    <t>Grusopivirus A</t>
  </si>
  <si>
    <t>2019.008S.zip</t>
  </si>
  <si>
    <t>Grusopivirus B</t>
  </si>
  <si>
    <t>Hemipivirus</t>
  </si>
  <si>
    <t>Hemipivirus A</t>
  </si>
  <si>
    <t>2019.009S.zip</t>
  </si>
  <si>
    <t>Ludopivirus</t>
  </si>
  <si>
    <t>Ludopivirus A</t>
  </si>
  <si>
    <t>2019.010S.zip</t>
  </si>
  <si>
    <t>Mosavirus B</t>
  </si>
  <si>
    <t>2019.011S.zip</t>
  </si>
  <si>
    <t>Mupivirus</t>
  </si>
  <si>
    <t>Mupivirus A</t>
  </si>
  <si>
    <t>2019.012S.zip</t>
  </si>
  <si>
    <t>Myrropivirus</t>
  </si>
  <si>
    <t>Myrropivirus A</t>
  </si>
  <si>
    <t>Parabovirus</t>
  </si>
  <si>
    <t>Parabovirus A</t>
  </si>
  <si>
    <t>2019.013S.zip</t>
  </si>
  <si>
    <t>Parabovirus B</t>
  </si>
  <si>
    <t>Parabovirus C</t>
  </si>
  <si>
    <t>Parechovirus E</t>
  </si>
  <si>
    <t>2019.014S.zip</t>
  </si>
  <si>
    <t>Parechovirus F</t>
  </si>
  <si>
    <t>Pemapivirus</t>
  </si>
  <si>
    <t>Pemapivirus A</t>
  </si>
  <si>
    <t>Potamipivirus B</t>
  </si>
  <si>
    <t>2019.015S.zip</t>
  </si>
  <si>
    <t>Rafivirus C</t>
  </si>
  <si>
    <t>2019.016S.zip</t>
  </si>
  <si>
    <t>Rohelivirus</t>
  </si>
  <si>
    <t>Rohelivirus A</t>
  </si>
  <si>
    <t>2019.017S.zip</t>
  </si>
  <si>
    <t>Symapivirus</t>
  </si>
  <si>
    <t>Symapivirus A</t>
  </si>
  <si>
    <t>Teschovirus B</t>
  </si>
  <si>
    <t>2019.018S.zip</t>
  </si>
  <si>
    <t>Tremovirus B</t>
  </si>
  <si>
    <t>2019.019S.zip</t>
  </si>
  <si>
    <t>Tropivirus</t>
  </si>
  <si>
    <t>Tropivirus A</t>
  </si>
  <si>
    <t>Cholivirus</t>
  </si>
  <si>
    <t>2019.008P.zip</t>
  </si>
  <si>
    <t>Satsumavirus</t>
  </si>
  <si>
    <t>Stramovirus</t>
  </si>
  <si>
    <t>Sobelivirales</t>
  </si>
  <si>
    <t>Stelpaviricetes</t>
  </si>
  <si>
    <t>Patatavirales</t>
  </si>
  <si>
    <t>Arepavirus</t>
  </si>
  <si>
    <t>Areca palm necrotic ringspot virus</t>
  </si>
  <si>
    <t>2019.019P.zip</t>
  </si>
  <si>
    <t>Areca palm necrotic spindle-spot virus</t>
  </si>
  <si>
    <t>Celavirus</t>
  </si>
  <si>
    <t>Celery latent virus</t>
  </si>
  <si>
    <t>2019.020P.zip</t>
  </si>
  <si>
    <t>Alpinia oxyphylla mosaic virus</t>
  </si>
  <si>
    <t>2019.017P.zip</t>
  </si>
  <si>
    <t>Yam chlorotic necrosis virus</t>
  </si>
  <si>
    <t>Dendrobium chlorotic mosaic virus</t>
  </si>
  <si>
    <t>2019.016P.zip</t>
  </si>
  <si>
    <t>Dioscorea mosaic virus</t>
  </si>
  <si>
    <t>East Asian Passiflora distortion virus</t>
  </si>
  <si>
    <t>Gomphocarpus mosaic virus</t>
  </si>
  <si>
    <t>Lily virus Y</t>
  </si>
  <si>
    <t>Mashua virus Y</t>
  </si>
  <si>
    <t>Platycodon mild mottle virus</t>
  </si>
  <si>
    <t>Potato yellow blotch virus</t>
  </si>
  <si>
    <t>Passiflora edulis symptomless virus</t>
  </si>
  <si>
    <t>2019.018P.zip</t>
  </si>
  <si>
    <t>Stellavirales</t>
  </si>
  <si>
    <t>Lates calcarifer birnavirus</t>
  </si>
  <si>
    <t>2018.018M.zip</t>
  </si>
  <si>
    <t>Dronavirus</t>
  </si>
  <si>
    <t>Drosophina B birnavirus</t>
  </si>
  <si>
    <t>Mosquito X virus</t>
  </si>
  <si>
    <t>Ronavirus</t>
  </si>
  <si>
    <t>Rotifer birnavirus</t>
  </si>
  <si>
    <t>Telnavirus</t>
  </si>
  <si>
    <t>Tellina virus 1</t>
  </si>
  <si>
    <t>Pararnavirae</t>
  </si>
  <si>
    <t>Artverviricota</t>
  </si>
  <si>
    <t>Revtraviricetes</t>
  </si>
  <si>
    <t>Blubervirales</t>
  </si>
  <si>
    <t>Herpetohepadnavirus</t>
  </si>
  <si>
    <t>2019.008D.zip</t>
  </si>
  <si>
    <t>Metahepadnavirus</t>
  </si>
  <si>
    <t>Blue gill hepatitis B virus</t>
  </si>
  <si>
    <t>Chinese shrew hepatitis B virus</t>
  </si>
  <si>
    <t>2019.007D.zip</t>
  </si>
  <si>
    <t>Domestic cat hepatitis B virus</t>
  </si>
  <si>
    <t>Tai Forest hepatitis B virus</t>
  </si>
  <si>
    <t>Parahepadnavirus</t>
  </si>
  <si>
    <t>Codonopsis vein clearing virus</t>
  </si>
  <si>
    <t>2019.015P.zip</t>
  </si>
  <si>
    <t>Grapevine badnavirus 1</t>
  </si>
  <si>
    <t>Dioscovirus</t>
  </si>
  <si>
    <t>Dioscorea nummularia associated virus</t>
  </si>
  <si>
    <t>Vaccinivirus</t>
  </si>
  <si>
    <t>Blueberry fruit drop associated virus</t>
  </si>
  <si>
    <t>Polymycoviridae</t>
  </si>
  <si>
    <t>Polymycovirus</t>
  </si>
  <si>
    <t>Aspergillus fumigatus polymycovirus 1</t>
  </si>
  <si>
    <t>2019.002F.zip</t>
  </si>
  <si>
    <t>Aspergillus spelaeus polymycovirus 1</t>
  </si>
  <si>
    <t>Beauveria bassiana polymycovirus 1</t>
  </si>
  <si>
    <t>Botryoshaeria dothidea polymycovirus 1</t>
  </si>
  <si>
    <t>Cladosporium cladosporioides polymycovirus 1</t>
  </si>
  <si>
    <t>Colletotrichum camelliae polymycovirus 1</t>
  </si>
  <si>
    <t>Fusarium redolens polymycovirus 1</t>
  </si>
  <si>
    <t>Magnaporthe oryzae polymycovirus 1</t>
  </si>
  <si>
    <t>Penicillium digitatum polymycovirus 1</t>
  </si>
  <si>
    <t>Penicillum brevicompactum polymycovirus 1</t>
  </si>
  <si>
    <t>Varidnaviria</t>
  </si>
  <si>
    <t>Bamfordvirae</t>
  </si>
  <si>
    <t>Nucleocytoviricota</t>
  </si>
  <si>
    <t>Megaviricetes</t>
  </si>
  <si>
    <t>Algavirales</t>
  </si>
  <si>
    <t>2019.003G.zip</t>
  </si>
  <si>
    <t>Imitervirales</t>
  </si>
  <si>
    <t>Pimascovirales</t>
  </si>
  <si>
    <t>Pokkesviricetes</t>
  </si>
  <si>
    <t>Asfuvirales</t>
  </si>
  <si>
    <t>Chitovirales</t>
  </si>
  <si>
    <t>Flamingopox virus</t>
  </si>
  <si>
    <t>2019.005D.zip</t>
  </si>
  <si>
    <t>Penguinpox virus</t>
  </si>
  <si>
    <t>Murmansk microtuspox virus</t>
  </si>
  <si>
    <t>Macropopoxvirus</t>
  </si>
  <si>
    <t>Eastern kangaroopox virus</t>
  </si>
  <si>
    <t>Western kangaroopox virus</t>
  </si>
  <si>
    <t>Mustelpoxvirus</t>
  </si>
  <si>
    <t>Sea otterpox virus</t>
  </si>
  <si>
    <t>Abatino macacapox virus</t>
  </si>
  <si>
    <t>Akhmeta virus</t>
  </si>
  <si>
    <t>Oryzopoxvirus</t>
  </si>
  <si>
    <t>Cotia virus</t>
  </si>
  <si>
    <t>Grey sealpox virus</t>
  </si>
  <si>
    <t>Red deerpox virus</t>
  </si>
  <si>
    <t>Pteropopoxvirus</t>
  </si>
  <si>
    <t>Salmonpoxvirus</t>
  </si>
  <si>
    <t>Salmon gillpox virus</t>
  </si>
  <si>
    <t>Sciuripoxvirus</t>
  </si>
  <si>
    <t>Vespertilionpoxvirus</t>
  </si>
  <si>
    <t>Eptesipox virus</t>
  </si>
  <si>
    <t>Deltaentomopoxvirus</t>
  </si>
  <si>
    <t>Preplasmiviricota</t>
  </si>
  <si>
    <t>Maveriviricetes</t>
  </si>
  <si>
    <t>Priklausovirales</t>
  </si>
  <si>
    <t>Tectiliviricetes</t>
  </si>
  <si>
    <t>Belfryvirales</t>
  </si>
  <si>
    <t>Kalamavirales</t>
  </si>
  <si>
    <t>Rowavirales</t>
  </si>
  <si>
    <t>Psittacine aviadenovirus C</t>
  </si>
  <si>
    <t>2019.006D.zip</t>
  </si>
  <si>
    <t>Bat mastadenovirus H</t>
  </si>
  <si>
    <t>Bat mastadenovirus I</t>
  </si>
  <si>
    <t>Bat mastadenovirus J</t>
  </si>
  <si>
    <t>Ovine mastadenovirus C</t>
  </si>
  <si>
    <t>Polar bear mastadenovirus A</t>
  </si>
  <si>
    <t>Vinavirales</t>
  </si>
  <si>
    <t>Helvetiavirae</t>
  </si>
  <si>
    <t>Dividoviricota</t>
  </si>
  <si>
    <t>Laserviricetes</t>
  </si>
  <si>
    <t>Halopanivirales</t>
  </si>
  <si>
    <t>Alphalipothrixvirus</t>
  </si>
  <si>
    <t>Alphalipothrixvirus SBFV2</t>
  </si>
  <si>
    <t>2019.106B.zip</t>
  </si>
  <si>
    <t>Alphalipothrixvirus SFV1</t>
  </si>
  <si>
    <t>Deltalipothrixvirus SBFV3</t>
  </si>
  <si>
    <t>Ash gourd yellow vein mosaic alphasatellite</t>
  </si>
  <si>
    <t>2019.009P.zip</t>
  </si>
  <si>
    <t>Capsicum India alphasatellite</t>
  </si>
  <si>
    <t>Tomato leaf curl New Delhi alphasatellite</t>
  </si>
  <si>
    <t>Tomato leaf curl Virudhunagar alphasatellite</t>
  </si>
  <si>
    <t>Tomato leaf curl Pakistan alphasatellite</t>
  </si>
  <si>
    <t>Eclipta yellow vein alphasatellite</t>
  </si>
  <si>
    <t>Cow vetch latent alphasatellite</t>
  </si>
  <si>
    <t>Faba bean necrotic yellows alphasatellite 3</t>
  </si>
  <si>
    <t>2019.009G.zip</t>
  </si>
  <si>
    <t>Apple hammerhead viroid</t>
  </si>
  <si>
    <t>2019.026P.zip</t>
  </si>
  <si>
    <t>Condylorrhiza vestigialis nucleopolyhedrovirus</t>
  </si>
  <si>
    <t>2019.001D.zip</t>
  </si>
  <si>
    <t>Cryptophlebia peltastica nucleopolyhedrovirus</t>
  </si>
  <si>
    <t>Cyclophragma undans nucleopolyhedrovirus</t>
  </si>
  <si>
    <t>Hyposidra talaca nucleopolyhedrovirus</t>
  </si>
  <si>
    <t>Mythimna unipuncta nucleopolyhedrovirus A</t>
  </si>
  <si>
    <t>Mythimna unipuncta nucleopolyhedrovirus B</t>
  </si>
  <si>
    <t>Spodoptera eridania nucleopolyhedrovirus</t>
  </si>
  <si>
    <t>Spodoptera exempta nucleopolyhedrovirus</t>
  </si>
  <si>
    <t>Urbanus proteus nucleopolyhedrovirus</t>
  </si>
  <si>
    <t>Finnlakeviridae</t>
  </si>
  <si>
    <t>Finnlakevirus</t>
  </si>
  <si>
    <t>Flavobacterium virus FLiP</t>
  </si>
  <si>
    <t>2019.057B.zip</t>
  </si>
  <si>
    <t>Halspiviridae</t>
  </si>
  <si>
    <t>Salterprovirus His1</t>
  </si>
  <si>
    <t>2019.059B.zip</t>
  </si>
  <si>
    <t>Glossina hytrosavirus</t>
  </si>
  <si>
    <t>2019.003D.zip</t>
  </si>
  <si>
    <t>Musca hytrosavirus</t>
  </si>
  <si>
    <t>Alphaportoglobovirus SPV2</t>
  </si>
  <si>
    <t>2019.107B.zip</t>
  </si>
  <si>
    <t>Thaspiviridae</t>
  </si>
  <si>
    <t>Nitmarvirus</t>
  </si>
  <si>
    <t>Nitmarvirus NSV1</t>
  </si>
  <si>
    <t>2019.092B.zip</t>
  </si>
  <si>
    <t>Barhavirus</t>
  </si>
  <si>
    <t>Bahia barhavirus</t>
  </si>
  <si>
    <t>Muir barhavirus</t>
  </si>
  <si>
    <t>Lostrhavirus</t>
  </si>
  <si>
    <t>Lonestar zarhavirus</t>
  </si>
  <si>
    <t>Sawgrhavirus</t>
  </si>
  <si>
    <t>Connecticut sawgrhavirus</t>
  </si>
  <si>
    <t>Island sawgrhavirus</t>
  </si>
  <si>
    <t>Minto sawgrhavirus</t>
  </si>
  <si>
    <t>Sawgrass sawgrhavirus</t>
  </si>
  <si>
    <t>Zarhavirus</t>
  </si>
  <si>
    <t>Zahedan zarhavirus</t>
  </si>
  <si>
    <t>Rank of Last Change</t>
  </si>
  <si>
    <t>ssDNA; dsDNA</t>
  </si>
  <si>
    <t>For more information see: https://ictv.global/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</si>
</sst>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1">
    <font>
      <sz val="10"/>
      <name val="Arial"/>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amily val="2"/>
    </font>
    <font>
      <sz val="10"/>
      <color indexed="8"/>
      <name val="Verdana"/>
      <family val="2"/>
    </font>
    <font>
      <b/>
      <i/>
      <sz val="10"/>
      <color indexed="8"/>
      <name val="Verdana"/>
      <family val="2"/>
    </font>
    <font>
      <b/>
      <sz val="14"/>
      <color theme="1"/>
      <name val="Arial"/>
      <family val="2"/>
    </font>
    <font>
      <sz val="10"/>
      <color theme="1"/>
      <name val="Arial"/>
      <family val="2"/>
    </font>
    <font>
      <sz val="10"/>
      <color rgb="FF000000"/>
      <name val="Verdana"/>
      <family val="2"/>
    </font>
    <font>
      <sz val="12"/>
      <color theme="1"/>
      <name val="Calibri"/>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u/>
      <sz val="10"/>
      <color theme="10"/>
      <name val="Arial"/>
      <family val="2"/>
    </font>
    <font>
      <b/>
      <sz val="10"/>
      <color theme="1"/>
      <name val="Verdana Bold"/>
    </font>
    <font>
      <i/>
      <u/>
      <sz val="10"/>
      <color indexed="8"/>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bottom style="medium">
        <color indexed="64"/>
      </bottom>
      <diagonal/>
    </border>
  </borders>
  <cellStyleXfs count="3">
    <xf numFmtId="0" fontId="0" fillId="0" borderId="0"/>
    <xf numFmtId="0" fontId="12" fillId="0" borderId="0"/>
    <xf numFmtId="0" fontId="18" fillId="0" borderId="0" applyNumberFormat="0" applyFill="0" applyBorder="0" applyAlignment="0" applyProtection="0"/>
  </cellStyleXfs>
  <cellXfs count="48">
    <xf numFmtId="0" fontId="0" fillId="0" borderId="0" xfId="0"/>
    <xf numFmtId="0" fontId="2" fillId="0" borderId="0" xfId="0" applyFont="1" applyFill="1"/>
    <xf numFmtId="0" fontId="2" fillId="0" borderId="0" xfId="0" applyFont="1" applyFill="1" applyBorder="1"/>
    <xf numFmtId="0" fontId="7" fillId="0" borderId="0" xfId="0" applyFont="1" applyFill="1"/>
    <xf numFmtId="0" fontId="2" fillId="0" borderId="0" xfId="0" applyFont="1" applyFill="1" applyAlignment="1"/>
    <xf numFmtId="0" fontId="0" fillId="0" borderId="0" xfId="0" applyBorder="1"/>
    <xf numFmtId="0" fontId="0" fillId="0" borderId="0" xfId="0" applyBorder="1" applyAlignment="1">
      <alignment horizontal="left"/>
    </xf>
    <xf numFmtId="0" fontId="4" fillId="0" borderId="0" xfId="0" applyFont="1" applyBorder="1"/>
    <xf numFmtId="0" fontId="4" fillId="0" borderId="0" xfId="0" applyFont="1" applyFill="1" applyBorder="1"/>
    <xf numFmtId="0" fontId="6" fillId="0" borderId="0" xfId="0" applyFont="1" applyFill="1" applyBorder="1"/>
    <xf numFmtId="15" fontId="6" fillId="0" borderId="0" xfId="0" applyNumberFormat="1" applyFont="1" applyFill="1" applyBorder="1"/>
    <xf numFmtId="0" fontId="0" fillId="0" borderId="0" xfId="0" applyFill="1" applyBorder="1"/>
    <xf numFmtId="15" fontId="6" fillId="0" borderId="0" xfId="0" applyNumberFormat="1" applyFont="1" applyFill="1" applyBorder="1" applyAlignment="1">
      <alignment horizontal="right"/>
    </xf>
    <xf numFmtId="0" fontId="5" fillId="0" borderId="1" xfId="0" applyFont="1" applyFill="1" applyBorder="1" applyAlignment="1">
      <alignment horizontal="right"/>
    </xf>
    <xf numFmtId="0" fontId="5" fillId="0" borderId="2" xfId="0" applyFont="1" applyFill="1" applyBorder="1" applyAlignment="1">
      <alignment horizontal="right"/>
    </xf>
    <xf numFmtId="15" fontId="6" fillId="0" borderId="3" xfId="0" applyNumberFormat="1" applyFont="1" applyFill="1" applyBorder="1" applyAlignment="1">
      <alignment horizontal="right"/>
    </xf>
    <xf numFmtId="0" fontId="5" fillId="2" borderId="4" xfId="0" applyFont="1" applyFill="1" applyBorder="1" applyAlignment="1">
      <alignment horizontal="right"/>
    </xf>
    <xf numFmtId="0" fontId="6" fillId="2" borderId="5" xfId="0" applyFont="1" applyFill="1" applyBorder="1"/>
    <xf numFmtId="0" fontId="9" fillId="3" borderId="6" xfId="0" applyFont="1" applyFill="1" applyBorder="1" applyAlignment="1">
      <alignment horizontal="left" vertical="center"/>
    </xf>
    <xf numFmtId="0" fontId="10" fillId="3" borderId="7" xfId="0" applyFont="1" applyFill="1" applyBorder="1" applyAlignment="1">
      <alignment horizontal="left" vertical="center"/>
    </xf>
    <xf numFmtId="0" fontId="0" fillId="0" borderId="0" xfId="0" applyBorder="1" applyAlignment="1">
      <alignment horizontal="left" vertical="center"/>
    </xf>
    <xf numFmtId="49" fontId="5" fillId="0" borderId="9" xfId="0" applyNumberFormat="1" applyFont="1" applyFill="1" applyBorder="1" applyAlignment="1">
      <alignment horizontal="left" vertical="center"/>
    </xf>
    <xf numFmtId="49" fontId="7" fillId="0" borderId="0" xfId="0" applyNumberFormat="1" applyFont="1" applyFill="1"/>
    <xf numFmtId="49" fontId="7" fillId="0" borderId="0" xfId="0" applyNumberFormat="1" applyFont="1" applyFill="1" applyAlignment="1"/>
    <xf numFmtId="0" fontId="8" fillId="0" borderId="0" xfId="0" applyFont="1" applyFill="1"/>
    <xf numFmtId="0" fontId="11" fillId="0" borderId="0" xfId="0" applyFont="1" applyFill="1"/>
    <xf numFmtId="0" fontId="6" fillId="0" borderId="0" xfId="0" applyFont="1" applyFill="1" applyBorder="1" applyAlignment="1">
      <alignment horizontal="left" vertical="center"/>
    </xf>
    <xf numFmtId="0" fontId="6" fillId="2"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0" xfId="0" applyFont="1" applyBorder="1"/>
    <xf numFmtId="0" fontId="6" fillId="0" borderId="0" xfId="0" applyFont="1" applyBorder="1" applyAlignment="1">
      <alignment horizontal="left" vertical="center"/>
    </xf>
    <xf numFmtId="49" fontId="9" fillId="0" borderId="4" xfId="1" applyNumberFormat="1" applyFont="1" applyBorder="1" applyAlignment="1">
      <alignment wrapText="1"/>
    </xf>
    <xf numFmtId="49" fontId="13" fillId="0" borderId="0" xfId="1" applyNumberFormat="1" applyFont="1" applyAlignment="1">
      <alignment wrapText="1"/>
    </xf>
    <xf numFmtId="49" fontId="14" fillId="0" borderId="1" xfId="1" applyNumberFormat="1" applyFont="1" applyBorder="1" applyAlignment="1">
      <alignment horizontal="right" vertical="center" wrapText="1"/>
    </xf>
    <xf numFmtId="49" fontId="15" fillId="0" borderId="0" xfId="1" applyNumberFormat="1" applyFont="1" applyAlignment="1">
      <alignment wrapText="1"/>
    </xf>
    <xf numFmtId="49" fontId="14" fillId="0" borderId="2" xfId="1" applyNumberFormat="1" applyFont="1" applyBorder="1" applyAlignment="1">
      <alignment horizontal="right" vertical="center" wrapText="1"/>
    </xf>
    <xf numFmtId="164" fontId="6" fillId="0" borderId="8" xfId="0" applyNumberFormat="1" applyFont="1" applyFill="1" applyBorder="1" applyAlignment="1">
      <alignment horizontal="right"/>
    </xf>
    <xf numFmtId="49" fontId="15" fillId="0" borderId="8" xfId="1" applyNumberFormat="1" applyFont="1" applyBorder="1" applyAlignment="1">
      <alignment vertical="top" wrapText="1"/>
    </xf>
    <xf numFmtId="49" fontId="9" fillId="0" borderId="5" xfId="1" applyNumberFormat="1" applyFont="1" applyBorder="1" applyAlignment="1">
      <alignment vertical="top" wrapText="1"/>
    </xf>
    <xf numFmtId="49" fontId="15" fillId="0" borderId="8" xfId="1" quotePrefix="1" applyNumberFormat="1" applyFont="1" applyBorder="1" applyAlignment="1">
      <alignment vertical="top" wrapText="1"/>
    </xf>
    <xf numFmtId="49" fontId="15" fillId="0" borderId="3" xfId="1" applyNumberFormat="1" applyFont="1" applyBorder="1" applyAlignment="1">
      <alignment vertical="top" wrapText="1"/>
    </xf>
    <xf numFmtId="49" fontId="15" fillId="0" borderId="0" xfId="1" applyNumberFormat="1" applyFont="1" applyAlignment="1">
      <alignment vertical="top" wrapText="1"/>
    </xf>
    <xf numFmtId="0" fontId="7" fillId="0" borderId="0" xfId="0" applyFont="1" applyFill="1" applyAlignment="1">
      <alignment horizontal="left"/>
    </xf>
    <xf numFmtId="0" fontId="11" fillId="0" borderId="0" xfId="0" applyFont="1" applyFill="1" applyAlignment="1">
      <alignment horizontal="left"/>
    </xf>
    <xf numFmtId="0" fontId="19" fillId="3" borderId="12" xfId="0" applyFont="1" applyFill="1" applyBorder="1"/>
    <xf numFmtId="0" fontId="10" fillId="0" borderId="0" xfId="2" applyFont="1" applyFill="1"/>
    <xf numFmtId="0" fontId="15" fillId="0" borderId="10" xfId="2" applyFont="1" applyFill="1" applyBorder="1" applyAlignment="1">
      <alignment horizontal="left" vertical="center"/>
    </xf>
    <xf numFmtId="0" fontId="20" fillId="0" borderId="0" xfId="0" applyFont="1" applyFill="1"/>
  </cellXfs>
  <cellStyles count="3">
    <cellStyle name="Hipervínculo" xfId="2" builtinId="8"/>
    <cellStyle name="Normal" xfId="0" builtinId="0"/>
    <cellStyle name="Normal 2" xfId="1"/>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591"/>
  <sheetViews>
    <sheetView tabSelected="1" topLeftCell="B1" zoomScale="110" zoomScaleNormal="110" workbookViewId="0">
      <pane ySplit="1" topLeftCell="A4833" activePane="bottomLeft" state="frozen"/>
      <selection activeCell="P1" sqref="P1"/>
      <selection pane="bottomLeft" activeCell="E4853" sqref="E4853"/>
    </sheetView>
  </sheetViews>
  <sheetFormatPr baseColWidth="10" defaultColWidth="8.85546875" defaultRowHeight="12.75"/>
  <cols>
    <col min="1" max="1" width="8.42578125" style="3" hidden="1" customWidth="1"/>
    <col min="2" max="15" width="15.85546875" style="1" customWidth="1"/>
    <col min="16" max="16" width="36.85546875" style="1" customWidth="1"/>
    <col min="17" max="17" width="14.42578125" style="3" bestFit="1" customWidth="1"/>
    <col min="18" max="18" width="21.42578125" style="22" bestFit="1" customWidth="1"/>
    <col min="19" max="19" width="12.7109375" style="42" hidden="1" customWidth="1"/>
    <col min="20" max="20" width="19.7109375" style="3" bestFit="1" customWidth="1"/>
    <col min="21" max="21" width="25.28515625" style="45" bestFit="1" customWidth="1"/>
    <col min="22" max="22" width="44.28515625" bestFit="1" customWidth="1"/>
    <col min="23" max="23" width="28.7109375" style="1" bestFit="1" customWidth="1"/>
    <col min="24" max="16384" width="8.85546875" style="1"/>
  </cols>
  <sheetData>
    <row r="1" spans="1:23" customFormat="1" ht="26.1" customHeight="1" thickBot="1">
      <c r="A1" s="44" t="s">
        <v>6904</v>
      </c>
      <c r="B1" s="44" t="s">
        <v>5578</v>
      </c>
      <c r="C1" s="44" t="s">
        <v>5579</v>
      </c>
      <c r="D1" s="44" t="s">
        <v>5580</v>
      </c>
      <c r="E1" s="44" t="s">
        <v>5581</v>
      </c>
      <c r="F1" s="44" t="s">
        <v>5582</v>
      </c>
      <c r="G1" s="44" t="s">
        <v>5583</v>
      </c>
      <c r="H1" s="44" t="s">
        <v>5584</v>
      </c>
      <c r="I1" s="44" t="s">
        <v>5585</v>
      </c>
      <c r="J1" s="44" t="s">
        <v>1038</v>
      </c>
      <c r="K1" s="44" t="s">
        <v>5586</v>
      </c>
      <c r="L1" s="44" t="s">
        <v>1821</v>
      </c>
      <c r="M1" s="44" t="s">
        <v>1822</v>
      </c>
      <c r="N1" s="44" t="s">
        <v>1823</v>
      </c>
      <c r="O1" s="44" t="s">
        <v>5587</v>
      </c>
      <c r="P1" s="44" t="s">
        <v>1824</v>
      </c>
      <c r="Q1" s="44" t="s">
        <v>2729</v>
      </c>
      <c r="R1" s="44" t="s">
        <v>2728</v>
      </c>
      <c r="S1" s="44" t="s">
        <v>8812</v>
      </c>
      <c r="T1" s="44" t="s">
        <v>2731</v>
      </c>
      <c r="U1" s="44" t="s">
        <v>4003</v>
      </c>
      <c r="V1" s="44" t="s">
        <v>5067</v>
      </c>
      <c r="W1" s="44" t="s">
        <v>2730</v>
      </c>
    </row>
    <row r="2" spans="1:23">
      <c r="A2" s="3">
        <v>1</v>
      </c>
      <c r="B2" s="1" t="s">
        <v>6915</v>
      </c>
      <c r="D2" s="1" t="s">
        <v>6916</v>
      </c>
      <c r="F2" s="1" t="s">
        <v>6917</v>
      </c>
      <c r="H2" s="1" t="s">
        <v>6918</v>
      </c>
      <c r="J2" s="1" t="s">
        <v>896</v>
      </c>
      <c r="L2" s="1" t="s">
        <v>897</v>
      </c>
      <c r="N2" s="1" t="s">
        <v>404</v>
      </c>
      <c r="P2" s="1" t="s">
        <v>405</v>
      </c>
      <c r="Q2" s="3">
        <v>1</v>
      </c>
      <c r="R2" s="22" t="s">
        <v>2721</v>
      </c>
      <c r="S2" s="42" t="s">
        <v>6910</v>
      </c>
      <c r="T2" s="3" t="s">
        <v>4868</v>
      </c>
      <c r="U2" s="45">
        <v>35</v>
      </c>
      <c r="V2" t="s">
        <v>6919</v>
      </c>
      <c r="W2" s="1" t="str">
        <f>HYPERLINK("http://ictvonline.org/taxonomy/p/taxonomy-history?taxnode_id=201901396","ICTVonline=201901396")</f>
        <v>ICTVonline=201901396</v>
      </c>
    </row>
    <row r="3" spans="1:23">
      <c r="A3" s="3">
        <v>2</v>
      </c>
      <c r="B3" s="1" t="s">
        <v>6915</v>
      </c>
      <c r="D3" s="1" t="s">
        <v>6916</v>
      </c>
      <c r="F3" s="1" t="s">
        <v>6917</v>
      </c>
      <c r="H3" s="1" t="s">
        <v>6918</v>
      </c>
      <c r="J3" s="1" t="s">
        <v>896</v>
      </c>
      <c r="L3" s="1" t="s">
        <v>897</v>
      </c>
      <c r="N3" s="1" t="s">
        <v>404</v>
      </c>
      <c r="P3" s="1" t="s">
        <v>1485</v>
      </c>
      <c r="Q3" s="3">
        <v>0</v>
      </c>
      <c r="R3" s="22" t="s">
        <v>2721</v>
      </c>
      <c r="S3" s="42" t="s">
        <v>6910</v>
      </c>
      <c r="T3" s="3" t="s">
        <v>4868</v>
      </c>
      <c r="U3" s="45">
        <v>35</v>
      </c>
      <c r="V3" t="s">
        <v>6919</v>
      </c>
      <c r="W3" s="1" t="str">
        <f>HYPERLINK("http://ictvonline.org/taxonomy/p/taxonomy-history?taxnode_id=201901397","ICTVonline=201901397")</f>
        <v>ICTVonline=201901397</v>
      </c>
    </row>
    <row r="4" spans="1:23">
      <c r="A4" s="3">
        <v>3</v>
      </c>
      <c r="B4" s="1" t="s">
        <v>6915</v>
      </c>
      <c r="D4" s="1" t="s">
        <v>6916</v>
      </c>
      <c r="F4" s="1" t="s">
        <v>6917</v>
      </c>
      <c r="H4" s="1" t="s">
        <v>6918</v>
      </c>
      <c r="J4" s="1" t="s">
        <v>896</v>
      </c>
      <c r="L4" s="1" t="s">
        <v>897</v>
      </c>
      <c r="N4" s="1" t="s">
        <v>404</v>
      </c>
      <c r="P4" s="1" t="s">
        <v>5032</v>
      </c>
      <c r="Q4" s="3">
        <v>0</v>
      </c>
      <c r="R4" s="22" t="s">
        <v>2721</v>
      </c>
      <c r="S4" s="42" t="s">
        <v>6910</v>
      </c>
      <c r="T4" s="3" t="s">
        <v>4868</v>
      </c>
      <c r="U4" s="45">
        <v>35</v>
      </c>
      <c r="V4" t="s">
        <v>6919</v>
      </c>
      <c r="W4" s="1" t="str">
        <f>HYPERLINK("http://ictvonline.org/taxonomy/p/taxonomy-history?taxnode_id=201905570","ICTVonline=201905570")</f>
        <v>ICTVonline=201905570</v>
      </c>
    </row>
    <row r="5" spans="1:23">
      <c r="A5" s="3">
        <v>4</v>
      </c>
      <c r="B5" s="1" t="s">
        <v>6915</v>
      </c>
      <c r="D5" s="1" t="s">
        <v>6916</v>
      </c>
      <c r="F5" s="1" t="s">
        <v>6917</v>
      </c>
      <c r="H5" s="1" t="s">
        <v>6918</v>
      </c>
      <c r="J5" s="1" t="s">
        <v>896</v>
      </c>
      <c r="L5" s="1" t="s">
        <v>897</v>
      </c>
      <c r="N5" s="1" t="s">
        <v>1486</v>
      </c>
      <c r="P5" s="1" t="s">
        <v>558</v>
      </c>
      <c r="Q5" s="3">
        <v>0</v>
      </c>
      <c r="R5" s="22" t="s">
        <v>2721</v>
      </c>
      <c r="S5" s="42" t="s">
        <v>6910</v>
      </c>
      <c r="T5" s="3" t="s">
        <v>4868</v>
      </c>
      <c r="U5" s="45">
        <v>35</v>
      </c>
      <c r="V5" t="s">
        <v>6919</v>
      </c>
      <c r="W5" s="1" t="str">
        <f>HYPERLINK("http://ictvonline.org/taxonomy/p/taxonomy-history?taxnode_id=201901399","ICTVonline=201901399")</f>
        <v>ICTVonline=201901399</v>
      </c>
    </row>
    <row r="6" spans="1:23">
      <c r="A6" s="3">
        <v>5</v>
      </c>
      <c r="B6" s="1" t="s">
        <v>6915</v>
      </c>
      <c r="D6" s="1" t="s">
        <v>6916</v>
      </c>
      <c r="F6" s="1" t="s">
        <v>6917</v>
      </c>
      <c r="H6" s="1" t="s">
        <v>6918</v>
      </c>
      <c r="J6" s="1" t="s">
        <v>896</v>
      </c>
      <c r="L6" s="1" t="s">
        <v>897</v>
      </c>
      <c r="N6" s="1" t="s">
        <v>1486</v>
      </c>
      <c r="P6" s="1" t="s">
        <v>1487</v>
      </c>
      <c r="Q6" s="3">
        <v>0</v>
      </c>
      <c r="R6" s="22" t="s">
        <v>2721</v>
      </c>
      <c r="S6" s="42" t="s">
        <v>6910</v>
      </c>
      <c r="T6" s="3" t="s">
        <v>4868</v>
      </c>
      <c r="U6" s="45">
        <v>35</v>
      </c>
      <c r="V6" t="s">
        <v>6919</v>
      </c>
      <c r="W6" s="1" t="str">
        <f>HYPERLINK("http://ictvonline.org/taxonomy/p/taxonomy-history?taxnode_id=201901400","ICTVonline=201901400")</f>
        <v>ICTVonline=201901400</v>
      </c>
    </row>
    <row r="7" spans="1:23">
      <c r="A7" s="3">
        <v>6</v>
      </c>
      <c r="B7" s="1" t="s">
        <v>6915</v>
      </c>
      <c r="D7" s="1" t="s">
        <v>6916</v>
      </c>
      <c r="F7" s="1" t="s">
        <v>6917</v>
      </c>
      <c r="H7" s="1" t="s">
        <v>6918</v>
      </c>
      <c r="J7" s="1" t="s">
        <v>896</v>
      </c>
      <c r="L7" s="1" t="s">
        <v>897</v>
      </c>
      <c r="N7" s="1" t="s">
        <v>1486</v>
      </c>
      <c r="P7" s="1" t="s">
        <v>1488</v>
      </c>
      <c r="Q7" s="3">
        <v>0</v>
      </c>
      <c r="R7" s="22" t="s">
        <v>2721</v>
      </c>
      <c r="S7" s="42" t="s">
        <v>6910</v>
      </c>
      <c r="T7" s="3" t="s">
        <v>4868</v>
      </c>
      <c r="U7" s="45">
        <v>35</v>
      </c>
      <c r="V7" t="s">
        <v>6919</v>
      </c>
      <c r="W7" s="1" t="str">
        <f>HYPERLINK("http://ictvonline.org/taxonomy/p/taxonomy-history?taxnode_id=201901401","ICTVonline=201901401")</f>
        <v>ICTVonline=201901401</v>
      </c>
    </row>
    <row r="8" spans="1:23">
      <c r="A8" s="3">
        <v>7</v>
      </c>
      <c r="B8" s="1" t="s">
        <v>6915</v>
      </c>
      <c r="D8" s="1" t="s">
        <v>6916</v>
      </c>
      <c r="F8" s="1" t="s">
        <v>6917</v>
      </c>
      <c r="H8" s="1" t="s">
        <v>6918</v>
      </c>
      <c r="J8" s="1" t="s">
        <v>896</v>
      </c>
      <c r="L8" s="1" t="s">
        <v>897</v>
      </c>
      <c r="N8" s="1" t="s">
        <v>1486</v>
      </c>
      <c r="P8" s="1" t="s">
        <v>899</v>
      </c>
      <c r="Q8" s="3">
        <v>1</v>
      </c>
      <c r="R8" s="22" t="s">
        <v>2721</v>
      </c>
      <c r="S8" s="42" t="s">
        <v>6910</v>
      </c>
      <c r="T8" s="3" t="s">
        <v>4868</v>
      </c>
      <c r="U8" s="45">
        <v>35</v>
      </c>
      <c r="V8" t="s">
        <v>6919</v>
      </c>
      <c r="W8" s="1" t="str">
        <f>HYPERLINK("http://ictvonline.org/taxonomy/p/taxonomy-history?taxnode_id=201901402","ICTVonline=201901402")</f>
        <v>ICTVonline=201901402</v>
      </c>
    </row>
    <row r="9" spans="1:23">
      <c r="A9" s="3">
        <v>8</v>
      </c>
      <c r="B9" s="1" t="s">
        <v>6915</v>
      </c>
      <c r="D9" s="1" t="s">
        <v>6916</v>
      </c>
      <c r="F9" s="1" t="s">
        <v>6917</v>
      </c>
      <c r="H9" s="1" t="s">
        <v>6918</v>
      </c>
      <c r="J9" s="1" t="s">
        <v>896</v>
      </c>
      <c r="L9" s="1" t="s">
        <v>897</v>
      </c>
      <c r="N9" s="1" t="s">
        <v>1341</v>
      </c>
      <c r="P9" s="1" t="s">
        <v>1507</v>
      </c>
      <c r="Q9" s="3">
        <v>0</v>
      </c>
      <c r="R9" s="22" t="s">
        <v>2721</v>
      </c>
      <c r="S9" s="42" t="s">
        <v>6910</v>
      </c>
      <c r="T9" s="3" t="s">
        <v>4868</v>
      </c>
      <c r="U9" s="45">
        <v>35</v>
      </c>
      <c r="V9" t="s">
        <v>6919</v>
      </c>
      <c r="W9" s="1" t="str">
        <f>HYPERLINK("http://ictvonline.org/taxonomy/p/taxonomy-history?taxnode_id=201901404","ICTVonline=201901404")</f>
        <v>ICTVonline=201901404</v>
      </c>
    </row>
    <row r="10" spans="1:23">
      <c r="A10" s="3">
        <v>9</v>
      </c>
      <c r="B10" s="1" t="s">
        <v>6915</v>
      </c>
      <c r="D10" s="1" t="s">
        <v>6916</v>
      </c>
      <c r="F10" s="1" t="s">
        <v>6917</v>
      </c>
      <c r="H10" s="1" t="s">
        <v>6918</v>
      </c>
      <c r="J10" s="1" t="s">
        <v>896</v>
      </c>
      <c r="L10" s="1" t="s">
        <v>897</v>
      </c>
      <c r="N10" s="1" t="s">
        <v>1341</v>
      </c>
      <c r="P10" s="1" t="s">
        <v>898</v>
      </c>
      <c r="Q10" s="3">
        <v>1</v>
      </c>
      <c r="R10" s="22" t="s">
        <v>2721</v>
      </c>
      <c r="S10" s="42" t="s">
        <v>6910</v>
      </c>
      <c r="T10" s="3" t="s">
        <v>4868</v>
      </c>
      <c r="U10" s="45">
        <v>35</v>
      </c>
      <c r="V10" t="s">
        <v>6919</v>
      </c>
      <c r="W10" s="1" t="str">
        <f>HYPERLINK("http://ictvonline.org/taxonomy/p/taxonomy-history?taxnode_id=201901405","ICTVonline=201901405")</f>
        <v>ICTVonline=201901405</v>
      </c>
    </row>
    <row r="11" spans="1:23">
      <c r="A11" s="3">
        <v>10</v>
      </c>
      <c r="B11" s="1" t="s">
        <v>6915</v>
      </c>
      <c r="D11" s="1" t="s">
        <v>6916</v>
      </c>
      <c r="F11" s="1" t="s">
        <v>6917</v>
      </c>
      <c r="H11" s="1" t="s">
        <v>6918</v>
      </c>
      <c r="J11" s="1" t="s">
        <v>896</v>
      </c>
      <c r="L11" s="1" t="s">
        <v>897</v>
      </c>
      <c r="N11" s="1" t="s">
        <v>1341</v>
      </c>
      <c r="P11" s="1" t="s">
        <v>1819</v>
      </c>
      <c r="Q11" s="3">
        <v>0</v>
      </c>
      <c r="R11" s="22" t="s">
        <v>2721</v>
      </c>
      <c r="S11" s="42" t="s">
        <v>6910</v>
      </c>
      <c r="T11" s="3" t="s">
        <v>4868</v>
      </c>
      <c r="U11" s="45">
        <v>35</v>
      </c>
      <c r="V11" t="s">
        <v>6919</v>
      </c>
      <c r="W11" s="1" t="str">
        <f>HYPERLINK("http://ictvonline.org/taxonomy/p/taxonomy-history?taxnode_id=201901406","ICTVonline=201901406")</f>
        <v>ICTVonline=201901406</v>
      </c>
    </row>
    <row r="12" spans="1:23">
      <c r="A12" s="3">
        <v>11</v>
      </c>
      <c r="B12" s="1" t="s">
        <v>6915</v>
      </c>
      <c r="D12" s="1" t="s">
        <v>6916</v>
      </c>
      <c r="F12" s="1" t="s">
        <v>6917</v>
      </c>
      <c r="H12" s="1" t="s">
        <v>6918</v>
      </c>
      <c r="J12" s="1" t="s">
        <v>896</v>
      </c>
      <c r="L12" s="1" t="s">
        <v>897</v>
      </c>
      <c r="N12" s="1" t="s">
        <v>1489</v>
      </c>
      <c r="P12" s="1" t="s">
        <v>1814</v>
      </c>
      <c r="Q12" s="3">
        <v>1</v>
      </c>
      <c r="R12" s="22" t="s">
        <v>2721</v>
      </c>
      <c r="S12" s="42" t="s">
        <v>6910</v>
      </c>
      <c r="T12" s="3" t="s">
        <v>4868</v>
      </c>
      <c r="U12" s="45">
        <v>35</v>
      </c>
      <c r="V12" t="s">
        <v>6919</v>
      </c>
      <c r="W12" s="1" t="str">
        <f>HYPERLINK("http://ictvonline.org/taxonomy/p/taxonomy-history?taxnode_id=201901408","ICTVonline=201901408")</f>
        <v>ICTVonline=201901408</v>
      </c>
    </row>
    <row r="13" spans="1:23">
      <c r="A13" s="3">
        <v>12</v>
      </c>
      <c r="B13" s="1" t="s">
        <v>6915</v>
      </c>
      <c r="D13" s="1" t="s">
        <v>6916</v>
      </c>
      <c r="F13" s="1" t="s">
        <v>6917</v>
      </c>
      <c r="H13" s="1" t="s">
        <v>6918</v>
      </c>
      <c r="J13" s="1" t="s">
        <v>896</v>
      </c>
      <c r="L13" s="1" t="s">
        <v>897</v>
      </c>
      <c r="N13" s="1" t="s">
        <v>1489</v>
      </c>
      <c r="P13" s="1" t="s">
        <v>2115</v>
      </c>
      <c r="Q13" s="3">
        <v>0</v>
      </c>
      <c r="R13" s="22" t="s">
        <v>2721</v>
      </c>
      <c r="S13" s="42" t="s">
        <v>6910</v>
      </c>
      <c r="T13" s="3" t="s">
        <v>4868</v>
      </c>
      <c r="U13" s="45">
        <v>35</v>
      </c>
      <c r="V13" t="s">
        <v>6919</v>
      </c>
      <c r="W13" s="1" t="str">
        <f>HYPERLINK("http://ictvonline.org/taxonomy/p/taxonomy-history?taxnode_id=201901409","ICTVonline=201901409")</f>
        <v>ICTVonline=201901409</v>
      </c>
    </row>
    <row r="14" spans="1:23">
      <c r="A14" s="3">
        <v>13</v>
      </c>
      <c r="B14" s="1" t="s">
        <v>6915</v>
      </c>
      <c r="D14" s="1" t="s">
        <v>6916</v>
      </c>
      <c r="F14" s="1" t="s">
        <v>6917</v>
      </c>
      <c r="H14" s="1" t="s">
        <v>6918</v>
      </c>
      <c r="J14" s="1" t="s">
        <v>896</v>
      </c>
      <c r="L14" s="1" t="s">
        <v>897</v>
      </c>
      <c r="N14" s="1" t="s">
        <v>1489</v>
      </c>
      <c r="P14" s="1" t="s">
        <v>1498</v>
      </c>
      <c r="Q14" s="3">
        <v>0</v>
      </c>
      <c r="R14" s="22" t="s">
        <v>2721</v>
      </c>
      <c r="S14" s="42" t="s">
        <v>6910</v>
      </c>
      <c r="T14" s="3" t="s">
        <v>4868</v>
      </c>
      <c r="U14" s="45">
        <v>35</v>
      </c>
      <c r="V14" t="s">
        <v>6919</v>
      </c>
      <c r="W14" s="1" t="str">
        <f>HYPERLINK("http://ictvonline.org/taxonomy/p/taxonomy-history?taxnode_id=201901410","ICTVonline=201901410")</f>
        <v>ICTVonline=201901410</v>
      </c>
    </row>
    <row r="15" spans="1:23">
      <c r="A15" s="3">
        <v>14</v>
      </c>
      <c r="B15" s="1" t="s">
        <v>6915</v>
      </c>
      <c r="D15" s="1" t="s">
        <v>6916</v>
      </c>
      <c r="F15" s="1" t="s">
        <v>6917</v>
      </c>
      <c r="H15" s="1" t="s">
        <v>6918</v>
      </c>
      <c r="J15" s="1" t="s">
        <v>896</v>
      </c>
      <c r="L15" s="1" t="s">
        <v>900</v>
      </c>
      <c r="M15" s="1" t="s">
        <v>901</v>
      </c>
      <c r="N15" s="1" t="s">
        <v>902</v>
      </c>
      <c r="P15" s="1" t="s">
        <v>3419</v>
      </c>
      <c r="Q15" s="3">
        <v>1</v>
      </c>
      <c r="R15" s="22" t="s">
        <v>2721</v>
      </c>
      <c r="S15" s="42" t="s">
        <v>6910</v>
      </c>
      <c r="T15" s="3" t="s">
        <v>4868</v>
      </c>
      <c r="U15" s="45">
        <v>35</v>
      </c>
      <c r="V15" t="s">
        <v>6919</v>
      </c>
      <c r="W15" s="1" t="str">
        <f>HYPERLINK("http://ictvonline.org/taxonomy/p/taxonomy-history?taxnode_id=201901414","ICTVonline=201901414")</f>
        <v>ICTVonline=201901414</v>
      </c>
    </row>
    <row r="16" spans="1:23">
      <c r="A16" s="3">
        <v>15</v>
      </c>
      <c r="B16" s="1" t="s">
        <v>6915</v>
      </c>
      <c r="D16" s="1" t="s">
        <v>6916</v>
      </c>
      <c r="F16" s="1" t="s">
        <v>6917</v>
      </c>
      <c r="H16" s="1" t="s">
        <v>6918</v>
      </c>
      <c r="J16" s="1" t="s">
        <v>896</v>
      </c>
      <c r="L16" s="1" t="s">
        <v>900</v>
      </c>
      <c r="M16" s="1" t="s">
        <v>901</v>
      </c>
      <c r="N16" s="1" t="s">
        <v>902</v>
      </c>
      <c r="P16" s="1" t="s">
        <v>3420</v>
      </c>
      <c r="Q16" s="3">
        <v>0</v>
      </c>
      <c r="R16" s="22" t="s">
        <v>2721</v>
      </c>
      <c r="S16" s="42" t="s">
        <v>6910</v>
      </c>
      <c r="T16" s="3" t="s">
        <v>4868</v>
      </c>
      <c r="U16" s="45">
        <v>35</v>
      </c>
      <c r="V16" t="s">
        <v>6919</v>
      </c>
      <c r="W16" s="1" t="str">
        <f>HYPERLINK("http://ictvonline.org/taxonomy/p/taxonomy-history?taxnode_id=201901415","ICTVonline=201901415")</f>
        <v>ICTVonline=201901415</v>
      </c>
    </row>
    <row r="17" spans="1:23">
      <c r="A17" s="3">
        <v>16</v>
      </c>
      <c r="B17" s="1" t="s">
        <v>6915</v>
      </c>
      <c r="D17" s="1" t="s">
        <v>6916</v>
      </c>
      <c r="F17" s="1" t="s">
        <v>6917</v>
      </c>
      <c r="H17" s="1" t="s">
        <v>6918</v>
      </c>
      <c r="J17" s="1" t="s">
        <v>896</v>
      </c>
      <c r="L17" s="1" t="s">
        <v>900</v>
      </c>
      <c r="M17" s="1" t="s">
        <v>901</v>
      </c>
      <c r="N17" s="1" t="s">
        <v>1372</v>
      </c>
      <c r="P17" s="1" t="s">
        <v>3421</v>
      </c>
      <c r="Q17" s="3">
        <v>0</v>
      </c>
      <c r="R17" s="22" t="s">
        <v>2721</v>
      </c>
      <c r="S17" s="42" t="s">
        <v>6910</v>
      </c>
      <c r="T17" s="3" t="s">
        <v>4868</v>
      </c>
      <c r="U17" s="45">
        <v>35</v>
      </c>
      <c r="V17" t="s">
        <v>6919</v>
      </c>
      <c r="W17" s="1" t="str">
        <f>HYPERLINK("http://ictvonline.org/taxonomy/p/taxonomy-history?taxnode_id=201901417","ICTVonline=201901417")</f>
        <v>ICTVonline=201901417</v>
      </c>
    </row>
    <row r="18" spans="1:23">
      <c r="A18" s="3">
        <v>17</v>
      </c>
      <c r="B18" s="1" t="s">
        <v>6915</v>
      </c>
      <c r="D18" s="1" t="s">
        <v>6916</v>
      </c>
      <c r="F18" s="1" t="s">
        <v>6917</v>
      </c>
      <c r="H18" s="1" t="s">
        <v>6918</v>
      </c>
      <c r="J18" s="1" t="s">
        <v>896</v>
      </c>
      <c r="L18" s="1" t="s">
        <v>900</v>
      </c>
      <c r="M18" s="1" t="s">
        <v>901</v>
      </c>
      <c r="N18" s="1" t="s">
        <v>1372</v>
      </c>
      <c r="P18" s="1" t="s">
        <v>3422</v>
      </c>
      <c r="Q18" s="3">
        <v>0</v>
      </c>
      <c r="R18" s="22" t="s">
        <v>2721</v>
      </c>
      <c r="S18" s="42" t="s">
        <v>6910</v>
      </c>
      <c r="T18" s="3" t="s">
        <v>4868</v>
      </c>
      <c r="U18" s="45">
        <v>35</v>
      </c>
      <c r="V18" t="s">
        <v>6919</v>
      </c>
      <c r="W18" s="1" t="str">
        <f>HYPERLINK("http://ictvonline.org/taxonomy/p/taxonomy-history?taxnode_id=201901418","ICTVonline=201901418")</f>
        <v>ICTVonline=201901418</v>
      </c>
    </row>
    <row r="19" spans="1:23">
      <c r="A19" s="3">
        <v>18</v>
      </c>
      <c r="B19" s="1" t="s">
        <v>6915</v>
      </c>
      <c r="D19" s="1" t="s">
        <v>6916</v>
      </c>
      <c r="F19" s="1" t="s">
        <v>6917</v>
      </c>
      <c r="H19" s="1" t="s">
        <v>6918</v>
      </c>
      <c r="J19" s="1" t="s">
        <v>896</v>
      </c>
      <c r="L19" s="1" t="s">
        <v>900</v>
      </c>
      <c r="M19" s="1" t="s">
        <v>901</v>
      </c>
      <c r="N19" s="1" t="s">
        <v>1372</v>
      </c>
      <c r="P19" s="1" t="s">
        <v>3423</v>
      </c>
      <c r="Q19" s="3">
        <v>1</v>
      </c>
      <c r="R19" s="22" t="s">
        <v>2721</v>
      </c>
      <c r="S19" s="42" t="s">
        <v>6910</v>
      </c>
      <c r="T19" s="3" t="s">
        <v>4868</v>
      </c>
      <c r="U19" s="45">
        <v>35</v>
      </c>
      <c r="V19" t="s">
        <v>6919</v>
      </c>
      <c r="W19" s="1" t="str">
        <f>HYPERLINK("http://ictvonline.org/taxonomy/p/taxonomy-history?taxnode_id=201901419","ICTVonline=201901419")</f>
        <v>ICTVonline=201901419</v>
      </c>
    </row>
    <row r="20" spans="1:23">
      <c r="A20" s="3">
        <v>19</v>
      </c>
      <c r="B20" s="1" t="s">
        <v>6915</v>
      </c>
      <c r="D20" s="1" t="s">
        <v>6916</v>
      </c>
      <c r="F20" s="1" t="s">
        <v>6917</v>
      </c>
      <c r="H20" s="1" t="s">
        <v>6918</v>
      </c>
      <c r="J20" s="1" t="s">
        <v>896</v>
      </c>
      <c r="L20" s="1" t="s">
        <v>900</v>
      </c>
      <c r="M20" s="1" t="s">
        <v>901</v>
      </c>
      <c r="N20" s="1" t="s">
        <v>1372</v>
      </c>
      <c r="P20" s="1" t="s">
        <v>3424</v>
      </c>
      <c r="Q20" s="3">
        <v>0</v>
      </c>
      <c r="R20" s="22" t="s">
        <v>2721</v>
      </c>
      <c r="S20" s="42" t="s">
        <v>6910</v>
      </c>
      <c r="T20" s="3" t="s">
        <v>4868</v>
      </c>
      <c r="U20" s="45">
        <v>35</v>
      </c>
      <c r="V20" t="s">
        <v>6919</v>
      </c>
      <c r="W20" s="1" t="str">
        <f>HYPERLINK("http://ictvonline.org/taxonomy/p/taxonomy-history?taxnode_id=201901420","ICTVonline=201901420")</f>
        <v>ICTVonline=201901420</v>
      </c>
    </row>
    <row r="21" spans="1:23">
      <c r="A21" s="3">
        <v>20</v>
      </c>
      <c r="B21" s="1" t="s">
        <v>6915</v>
      </c>
      <c r="D21" s="1" t="s">
        <v>6916</v>
      </c>
      <c r="F21" s="1" t="s">
        <v>6917</v>
      </c>
      <c r="H21" s="1" t="s">
        <v>6918</v>
      </c>
      <c r="J21" s="1" t="s">
        <v>896</v>
      </c>
      <c r="L21" s="1" t="s">
        <v>900</v>
      </c>
      <c r="M21" s="1" t="s">
        <v>901</v>
      </c>
      <c r="N21" s="1" t="s">
        <v>1372</v>
      </c>
      <c r="P21" s="1" t="s">
        <v>3425</v>
      </c>
      <c r="Q21" s="3">
        <v>0</v>
      </c>
      <c r="R21" s="22" t="s">
        <v>2721</v>
      </c>
      <c r="S21" s="42" t="s">
        <v>6910</v>
      </c>
      <c r="T21" s="3" t="s">
        <v>4868</v>
      </c>
      <c r="U21" s="45">
        <v>35</v>
      </c>
      <c r="V21" t="s">
        <v>6919</v>
      </c>
      <c r="W21" s="1" t="str">
        <f>HYPERLINK("http://ictvonline.org/taxonomy/p/taxonomy-history?taxnode_id=201901421","ICTVonline=201901421")</f>
        <v>ICTVonline=201901421</v>
      </c>
    </row>
    <row r="22" spans="1:23">
      <c r="A22" s="3">
        <v>21</v>
      </c>
      <c r="B22" s="1" t="s">
        <v>6915</v>
      </c>
      <c r="D22" s="1" t="s">
        <v>6916</v>
      </c>
      <c r="F22" s="1" t="s">
        <v>6917</v>
      </c>
      <c r="H22" s="1" t="s">
        <v>6918</v>
      </c>
      <c r="J22" s="1" t="s">
        <v>896</v>
      </c>
      <c r="L22" s="1" t="s">
        <v>900</v>
      </c>
      <c r="M22" s="1" t="s">
        <v>901</v>
      </c>
      <c r="N22" s="1" t="s">
        <v>1372</v>
      </c>
      <c r="P22" s="1" t="s">
        <v>6766</v>
      </c>
      <c r="Q22" s="3">
        <v>0</v>
      </c>
      <c r="R22" s="22" t="s">
        <v>2721</v>
      </c>
      <c r="S22" s="42" t="s">
        <v>6910</v>
      </c>
      <c r="T22" s="3" t="s">
        <v>4868</v>
      </c>
      <c r="U22" s="45">
        <v>35</v>
      </c>
      <c r="V22" t="s">
        <v>6919</v>
      </c>
      <c r="W22" s="1" t="str">
        <f>HYPERLINK("http://ictvonline.org/taxonomy/p/taxonomy-history?taxnode_id=201906397","ICTVonline=201906397")</f>
        <v>ICTVonline=201906397</v>
      </c>
    </row>
    <row r="23" spans="1:23">
      <c r="A23" s="3">
        <v>22</v>
      </c>
      <c r="B23" s="1" t="s">
        <v>6915</v>
      </c>
      <c r="D23" s="1" t="s">
        <v>6916</v>
      </c>
      <c r="F23" s="1" t="s">
        <v>6917</v>
      </c>
      <c r="H23" s="1" t="s">
        <v>6918</v>
      </c>
      <c r="J23" s="1" t="s">
        <v>896</v>
      </c>
      <c r="L23" s="1" t="s">
        <v>900</v>
      </c>
      <c r="M23" s="1" t="s">
        <v>901</v>
      </c>
      <c r="N23" s="1" t="s">
        <v>1336</v>
      </c>
      <c r="P23" s="1" t="s">
        <v>3426</v>
      </c>
      <c r="Q23" s="3">
        <v>1</v>
      </c>
      <c r="R23" s="22" t="s">
        <v>2721</v>
      </c>
      <c r="S23" s="42" t="s">
        <v>6910</v>
      </c>
      <c r="T23" s="3" t="s">
        <v>4868</v>
      </c>
      <c r="U23" s="45">
        <v>35</v>
      </c>
      <c r="V23" t="s">
        <v>6919</v>
      </c>
      <c r="W23" s="1" t="str">
        <f>HYPERLINK("http://ictvonline.org/taxonomy/p/taxonomy-history?taxnode_id=201901423","ICTVonline=201901423")</f>
        <v>ICTVonline=201901423</v>
      </c>
    </row>
    <row r="24" spans="1:23">
      <c r="A24" s="3">
        <v>23</v>
      </c>
      <c r="B24" s="1" t="s">
        <v>6915</v>
      </c>
      <c r="D24" s="1" t="s">
        <v>6916</v>
      </c>
      <c r="F24" s="1" t="s">
        <v>6917</v>
      </c>
      <c r="H24" s="1" t="s">
        <v>6918</v>
      </c>
      <c r="J24" s="1" t="s">
        <v>896</v>
      </c>
      <c r="L24" s="1" t="s">
        <v>900</v>
      </c>
      <c r="M24" s="1" t="s">
        <v>901</v>
      </c>
      <c r="N24" s="1" t="s">
        <v>1336</v>
      </c>
      <c r="P24" s="1" t="s">
        <v>6767</v>
      </c>
      <c r="Q24" s="3">
        <v>0</v>
      </c>
      <c r="R24" s="22" t="s">
        <v>2721</v>
      </c>
      <c r="S24" s="42" t="s">
        <v>6910</v>
      </c>
      <c r="T24" s="3" t="s">
        <v>4868</v>
      </c>
      <c r="U24" s="45">
        <v>35</v>
      </c>
      <c r="V24" t="s">
        <v>6919</v>
      </c>
      <c r="W24" s="1" t="str">
        <f>HYPERLINK("http://ictvonline.org/taxonomy/p/taxonomy-history?taxnode_id=201906398","ICTVonline=201906398")</f>
        <v>ICTVonline=201906398</v>
      </c>
    </row>
    <row r="25" spans="1:23">
      <c r="A25" s="3">
        <v>24</v>
      </c>
      <c r="B25" s="1" t="s">
        <v>6915</v>
      </c>
      <c r="D25" s="1" t="s">
        <v>6916</v>
      </c>
      <c r="F25" s="1" t="s">
        <v>6917</v>
      </c>
      <c r="H25" s="1" t="s">
        <v>6918</v>
      </c>
      <c r="J25" s="1" t="s">
        <v>896</v>
      </c>
      <c r="L25" s="1" t="s">
        <v>900</v>
      </c>
      <c r="M25" s="1" t="s">
        <v>901</v>
      </c>
      <c r="N25" s="1" t="s">
        <v>1286</v>
      </c>
      <c r="P25" s="1" t="s">
        <v>3427</v>
      </c>
      <c r="Q25" s="3">
        <v>0</v>
      </c>
      <c r="R25" s="22" t="s">
        <v>2721</v>
      </c>
      <c r="S25" s="42" t="s">
        <v>6910</v>
      </c>
      <c r="T25" s="3" t="s">
        <v>4868</v>
      </c>
      <c r="U25" s="45">
        <v>35</v>
      </c>
      <c r="V25" t="s">
        <v>6919</v>
      </c>
      <c r="W25" s="1" t="str">
        <f>HYPERLINK("http://ictvonline.org/taxonomy/p/taxonomy-history?taxnode_id=201901425","ICTVonline=201901425")</f>
        <v>ICTVonline=201901425</v>
      </c>
    </row>
    <row r="26" spans="1:23">
      <c r="A26" s="3">
        <v>25</v>
      </c>
      <c r="B26" s="1" t="s">
        <v>6915</v>
      </c>
      <c r="D26" s="1" t="s">
        <v>6916</v>
      </c>
      <c r="F26" s="1" t="s">
        <v>6917</v>
      </c>
      <c r="H26" s="1" t="s">
        <v>6918</v>
      </c>
      <c r="J26" s="1" t="s">
        <v>896</v>
      </c>
      <c r="L26" s="1" t="s">
        <v>900</v>
      </c>
      <c r="M26" s="1" t="s">
        <v>901</v>
      </c>
      <c r="N26" s="1" t="s">
        <v>1286</v>
      </c>
      <c r="P26" s="1" t="s">
        <v>3428</v>
      </c>
      <c r="Q26" s="3">
        <v>0</v>
      </c>
      <c r="R26" s="22" t="s">
        <v>2721</v>
      </c>
      <c r="S26" s="42" t="s">
        <v>6910</v>
      </c>
      <c r="T26" s="3" t="s">
        <v>4868</v>
      </c>
      <c r="U26" s="45">
        <v>35</v>
      </c>
      <c r="V26" t="s">
        <v>6919</v>
      </c>
      <c r="W26" s="1" t="str">
        <f>HYPERLINK("http://ictvonline.org/taxonomy/p/taxonomy-history?taxnode_id=201901426","ICTVonline=201901426")</f>
        <v>ICTVonline=201901426</v>
      </c>
    </row>
    <row r="27" spans="1:23">
      <c r="A27" s="3">
        <v>26</v>
      </c>
      <c r="B27" s="1" t="s">
        <v>6915</v>
      </c>
      <c r="D27" s="1" t="s">
        <v>6916</v>
      </c>
      <c r="F27" s="1" t="s">
        <v>6917</v>
      </c>
      <c r="H27" s="1" t="s">
        <v>6918</v>
      </c>
      <c r="J27" s="1" t="s">
        <v>896</v>
      </c>
      <c r="L27" s="1" t="s">
        <v>900</v>
      </c>
      <c r="M27" s="1" t="s">
        <v>901</v>
      </c>
      <c r="N27" s="1" t="s">
        <v>1286</v>
      </c>
      <c r="P27" s="1" t="s">
        <v>3429</v>
      </c>
      <c r="Q27" s="3">
        <v>0</v>
      </c>
      <c r="R27" s="22" t="s">
        <v>2721</v>
      </c>
      <c r="S27" s="42" t="s">
        <v>6910</v>
      </c>
      <c r="T27" s="3" t="s">
        <v>4868</v>
      </c>
      <c r="U27" s="45">
        <v>35</v>
      </c>
      <c r="V27" t="s">
        <v>6919</v>
      </c>
      <c r="W27" s="1" t="str">
        <f>HYPERLINK("http://ictvonline.org/taxonomy/p/taxonomy-history?taxnode_id=201901427","ICTVonline=201901427")</f>
        <v>ICTVonline=201901427</v>
      </c>
    </row>
    <row r="28" spans="1:23">
      <c r="A28" s="3">
        <v>27</v>
      </c>
      <c r="B28" s="1" t="s">
        <v>6915</v>
      </c>
      <c r="D28" s="1" t="s">
        <v>6916</v>
      </c>
      <c r="F28" s="1" t="s">
        <v>6917</v>
      </c>
      <c r="H28" s="1" t="s">
        <v>6918</v>
      </c>
      <c r="J28" s="1" t="s">
        <v>896</v>
      </c>
      <c r="L28" s="1" t="s">
        <v>900</v>
      </c>
      <c r="M28" s="1" t="s">
        <v>901</v>
      </c>
      <c r="N28" s="1" t="s">
        <v>1286</v>
      </c>
      <c r="P28" s="1" t="s">
        <v>3430</v>
      </c>
      <c r="Q28" s="3">
        <v>1</v>
      </c>
      <c r="R28" s="22" t="s">
        <v>2721</v>
      </c>
      <c r="S28" s="42" t="s">
        <v>6910</v>
      </c>
      <c r="T28" s="3" t="s">
        <v>4868</v>
      </c>
      <c r="U28" s="45">
        <v>35</v>
      </c>
      <c r="V28" t="s">
        <v>6919</v>
      </c>
      <c r="W28" s="1" t="str">
        <f>HYPERLINK("http://ictvonline.org/taxonomy/p/taxonomy-history?taxnode_id=201901428","ICTVonline=201901428")</f>
        <v>ICTVonline=201901428</v>
      </c>
    </row>
    <row r="29" spans="1:23">
      <c r="A29" s="3">
        <v>28</v>
      </c>
      <c r="B29" s="1" t="s">
        <v>6915</v>
      </c>
      <c r="D29" s="1" t="s">
        <v>6916</v>
      </c>
      <c r="F29" s="1" t="s">
        <v>6917</v>
      </c>
      <c r="H29" s="1" t="s">
        <v>6918</v>
      </c>
      <c r="J29" s="1" t="s">
        <v>896</v>
      </c>
      <c r="L29" s="1" t="s">
        <v>900</v>
      </c>
      <c r="M29" s="1" t="s">
        <v>901</v>
      </c>
      <c r="N29" s="1" t="s">
        <v>1286</v>
      </c>
      <c r="P29" s="1" t="s">
        <v>3431</v>
      </c>
      <c r="Q29" s="3">
        <v>0</v>
      </c>
      <c r="R29" s="22" t="s">
        <v>2721</v>
      </c>
      <c r="S29" s="42" t="s">
        <v>6910</v>
      </c>
      <c r="T29" s="3" t="s">
        <v>4868</v>
      </c>
      <c r="U29" s="45">
        <v>35</v>
      </c>
      <c r="V29" t="s">
        <v>6919</v>
      </c>
      <c r="W29" s="1" t="str">
        <f>HYPERLINK("http://ictvonline.org/taxonomy/p/taxonomy-history?taxnode_id=201901429","ICTVonline=201901429")</f>
        <v>ICTVonline=201901429</v>
      </c>
    </row>
    <row r="30" spans="1:23">
      <c r="A30" s="3">
        <v>29</v>
      </c>
      <c r="B30" s="1" t="s">
        <v>6915</v>
      </c>
      <c r="D30" s="1" t="s">
        <v>6916</v>
      </c>
      <c r="F30" s="1" t="s">
        <v>6917</v>
      </c>
      <c r="H30" s="1" t="s">
        <v>6918</v>
      </c>
      <c r="J30" s="1" t="s">
        <v>896</v>
      </c>
      <c r="L30" s="1" t="s">
        <v>900</v>
      </c>
      <c r="M30" s="1" t="s">
        <v>901</v>
      </c>
      <c r="N30" s="1" t="s">
        <v>1286</v>
      </c>
      <c r="P30" s="1" t="s">
        <v>3432</v>
      </c>
      <c r="Q30" s="3">
        <v>0</v>
      </c>
      <c r="R30" s="22" t="s">
        <v>2721</v>
      </c>
      <c r="S30" s="42" t="s">
        <v>6910</v>
      </c>
      <c r="T30" s="3" t="s">
        <v>4868</v>
      </c>
      <c r="U30" s="45">
        <v>35</v>
      </c>
      <c r="V30" t="s">
        <v>6919</v>
      </c>
      <c r="W30" s="1" t="str">
        <f>HYPERLINK("http://ictvonline.org/taxonomy/p/taxonomy-history?taxnode_id=201901430","ICTVonline=201901430")</f>
        <v>ICTVonline=201901430</v>
      </c>
    </row>
    <row r="31" spans="1:23">
      <c r="A31" s="3">
        <v>30</v>
      </c>
      <c r="B31" s="1" t="s">
        <v>6915</v>
      </c>
      <c r="D31" s="1" t="s">
        <v>6916</v>
      </c>
      <c r="F31" s="1" t="s">
        <v>6917</v>
      </c>
      <c r="H31" s="1" t="s">
        <v>6918</v>
      </c>
      <c r="J31" s="1" t="s">
        <v>896</v>
      </c>
      <c r="L31" s="1" t="s">
        <v>900</v>
      </c>
      <c r="M31" s="1" t="s">
        <v>901</v>
      </c>
      <c r="N31" s="1" t="s">
        <v>1286</v>
      </c>
      <c r="P31" s="1" t="s">
        <v>3433</v>
      </c>
      <c r="Q31" s="3">
        <v>0</v>
      </c>
      <c r="R31" s="22" t="s">
        <v>2721</v>
      </c>
      <c r="S31" s="42" t="s">
        <v>6910</v>
      </c>
      <c r="T31" s="3" t="s">
        <v>4868</v>
      </c>
      <c r="U31" s="45">
        <v>35</v>
      </c>
      <c r="V31" t="s">
        <v>6919</v>
      </c>
      <c r="W31" s="1" t="str">
        <f>HYPERLINK("http://ictvonline.org/taxonomy/p/taxonomy-history?taxnode_id=201901431","ICTVonline=201901431")</f>
        <v>ICTVonline=201901431</v>
      </c>
    </row>
    <row r="32" spans="1:23">
      <c r="A32" s="3">
        <v>31</v>
      </c>
      <c r="B32" s="1" t="s">
        <v>6915</v>
      </c>
      <c r="D32" s="1" t="s">
        <v>6916</v>
      </c>
      <c r="F32" s="1" t="s">
        <v>6917</v>
      </c>
      <c r="H32" s="1" t="s">
        <v>6918</v>
      </c>
      <c r="J32" s="1" t="s">
        <v>896</v>
      </c>
      <c r="L32" s="1" t="s">
        <v>900</v>
      </c>
      <c r="M32" s="1" t="s">
        <v>901</v>
      </c>
      <c r="N32" s="1" t="s">
        <v>1286</v>
      </c>
      <c r="P32" s="1" t="s">
        <v>3434</v>
      </c>
      <c r="Q32" s="3">
        <v>0</v>
      </c>
      <c r="R32" s="22" t="s">
        <v>2721</v>
      </c>
      <c r="S32" s="42" t="s">
        <v>6910</v>
      </c>
      <c r="T32" s="3" t="s">
        <v>4868</v>
      </c>
      <c r="U32" s="45">
        <v>35</v>
      </c>
      <c r="V32" t="s">
        <v>6919</v>
      </c>
      <c r="W32" s="1" t="str">
        <f>HYPERLINK("http://ictvonline.org/taxonomy/p/taxonomy-history?taxnode_id=201901432","ICTVonline=201901432")</f>
        <v>ICTVonline=201901432</v>
      </c>
    </row>
    <row r="33" spans="1:23">
      <c r="A33" s="3">
        <v>32</v>
      </c>
      <c r="B33" s="1" t="s">
        <v>6915</v>
      </c>
      <c r="D33" s="1" t="s">
        <v>6916</v>
      </c>
      <c r="F33" s="1" t="s">
        <v>6917</v>
      </c>
      <c r="H33" s="1" t="s">
        <v>6918</v>
      </c>
      <c r="J33" s="1" t="s">
        <v>896</v>
      </c>
      <c r="L33" s="1" t="s">
        <v>900</v>
      </c>
      <c r="M33" s="1" t="s">
        <v>901</v>
      </c>
      <c r="N33" s="1" t="s">
        <v>1286</v>
      </c>
      <c r="P33" s="1" t="s">
        <v>3435</v>
      </c>
      <c r="Q33" s="3">
        <v>0</v>
      </c>
      <c r="R33" s="22" t="s">
        <v>2721</v>
      </c>
      <c r="S33" s="42" t="s">
        <v>6910</v>
      </c>
      <c r="T33" s="3" t="s">
        <v>4868</v>
      </c>
      <c r="U33" s="45">
        <v>35</v>
      </c>
      <c r="V33" t="s">
        <v>6919</v>
      </c>
      <c r="W33" s="1" t="str">
        <f>HYPERLINK("http://ictvonline.org/taxonomy/p/taxonomy-history?taxnode_id=201901433","ICTVonline=201901433")</f>
        <v>ICTVonline=201901433</v>
      </c>
    </row>
    <row r="34" spans="1:23">
      <c r="A34" s="3">
        <v>33</v>
      </c>
      <c r="B34" s="1" t="s">
        <v>6915</v>
      </c>
      <c r="D34" s="1" t="s">
        <v>6916</v>
      </c>
      <c r="F34" s="1" t="s">
        <v>6917</v>
      </c>
      <c r="H34" s="1" t="s">
        <v>6918</v>
      </c>
      <c r="J34" s="1" t="s">
        <v>896</v>
      </c>
      <c r="L34" s="1" t="s">
        <v>900</v>
      </c>
      <c r="M34" s="1" t="s">
        <v>901</v>
      </c>
      <c r="N34" s="1" t="s">
        <v>1286</v>
      </c>
      <c r="P34" s="1" t="s">
        <v>3436</v>
      </c>
      <c r="Q34" s="3">
        <v>0</v>
      </c>
      <c r="R34" s="22" t="s">
        <v>2721</v>
      </c>
      <c r="S34" s="42" t="s">
        <v>6910</v>
      </c>
      <c r="T34" s="3" t="s">
        <v>4868</v>
      </c>
      <c r="U34" s="45">
        <v>35</v>
      </c>
      <c r="V34" t="s">
        <v>6919</v>
      </c>
      <c r="W34" s="1" t="str">
        <f>HYPERLINK("http://ictvonline.org/taxonomy/p/taxonomy-history?taxnode_id=201901434","ICTVonline=201901434")</f>
        <v>ICTVonline=201901434</v>
      </c>
    </row>
    <row r="35" spans="1:23">
      <c r="A35" s="3">
        <v>34</v>
      </c>
      <c r="B35" s="1" t="s">
        <v>6915</v>
      </c>
      <c r="D35" s="1" t="s">
        <v>6916</v>
      </c>
      <c r="F35" s="1" t="s">
        <v>6917</v>
      </c>
      <c r="H35" s="1" t="s">
        <v>6918</v>
      </c>
      <c r="J35" s="1" t="s">
        <v>896</v>
      </c>
      <c r="L35" s="1" t="s">
        <v>900</v>
      </c>
      <c r="M35" s="1" t="s">
        <v>901</v>
      </c>
      <c r="N35" s="1" t="s">
        <v>1286</v>
      </c>
      <c r="P35" s="1" t="s">
        <v>3437</v>
      </c>
      <c r="Q35" s="3">
        <v>0</v>
      </c>
      <c r="R35" s="22" t="s">
        <v>2721</v>
      </c>
      <c r="S35" s="42" t="s">
        <v>6910</v>
      </c>
      <c r="T35" s="3" t="s">
        <v>4868</v>
      </c>
      <c r="U35" s="45">
        <v>35</v>
      </c>
      <c r="V35" t="s">
        <v>6919</v>
      </c>
      <c r="W35" s="1" t="str">
        <f>HYPERLINK("http://ictvonline.org/taxonomy/p/taxonomy-history?taxnode_id=201901435","ICTVonline=201901435")</f>
        <v>ICTVonline=201901435</v>
      </c>
    </row>
    <row r="36" spans="1:23">
      <c r="A36" s="3">
        <v>35</v>
      </c>
      <c r="B36" s="1" t="s">
        <v>6915</v>
      </c>
      <c r="D36" s="1" t="s">
        <v>6916</v>
      </c>
      <c r="F36" s="1" t="s">
        <v>6917</v>
      </c>
      <c r="H36" s="1" t="s">
        <v>6918</v>
      </c>
      <c r="J36" s="1" t="s">
        <v>896</v>
      </c>
      <c r="L36" s="1" t="s">
        <v>900</v>
      </c>
      <c r="M36" s="1" t="s">
        <v>901</v>
      </c>
      <c r="N36" s="1" t="s">
        <v>1286</v>
      </c>
      <c r="P36" s="1" t="s">
        <v>6768</v>
      </c>
      <c r="Q36" s="3">
        <v>0</v>
      </c>
      <c r="R36" s="22" t="s">
        <v>2721</v>
      </c>
      <c r="S36" s="42" t="s">
        <v>6910</v>
      </c>
      <c r="T36" s="3" t="s">
        <v>4868</v>
      </c>
      <c r="U36" s="45">
        <v>35</v>
      </c>
      <c r="V36" t="s">
        <v>6919</v>
      </c>
      <c r="W36" s="1" t="str">
        <f>HYPERLINK("http://ictvonline.org/taxonomy/p/taxonomy-history?taxnode_id=201906395","ICTVonline=201906395")</f>
        <v>ICTVonline=201906395</v>
      </c>
    </row>
    <row r="37" spans="1:23">
      <c r="A37" s="3">
        <v>36</v>
      </c>
      <c r="B37" s="1" t="s">
        <v>6915</v>
      </c>
      <c r="D37" s="1" t="s">
        <v>6916</v>
      </c>
      <c r="F37" s="1" t="s">
        <v>6917</v>
      </c>
      <c r="H37" s="1" t="s">
        <v>6918</v>
      </c>
      <c r="J37" s="1" t="s">
        <v>896</v>
      </c>
      <c r="L37" s="1" t="s">
        <v>900</v>
      </c>
      <c r="M37" s="1" t="s">
        <v>901</v>
      </c>
      <c r="N37" s="1" t="s">
        <v>1286</v>
      </c>
      <c r="P37" s="1" t="s">
        <v>3438</v>
      </c>
      <c r="Q37" s="3">
        <v>0</v>
      </c>
      <c r="R37" s="22" t="s">
        <v>2721</v>
      </c>
      <c r="S37" s="42" t="s">
        <v>6910</v>
      </c>
      <c r="T37" s="3" t="s">
        <v>4868</v>
      </c>
      <c r="U37" s="45">
        <v>35</v>
      </c>
      <c r="V37" t="s">
        <v>6919</v>
      </c>
      <c r="W37" s="1" t="str">
        <f>HYPERLINK("http://ictvonline.org/taxonomy/p/taxonomy-history?taxnode_id=201901436","ICTVonline=201901436")</f>
        <v>ICTVonline=201901436</v>
      </c>
    </row>
    <row r="38" spans="1:23">
      <c r="A38" s="3">
        <v>37</v>
      </c>
      <c r="B38" s="1" t="s">
        <v>6915</v>
      </c>
      <c r="D38" s="1" t="s">
        <v>6916</v>
      </c>
      <c r="F38" s="1" t="s">
        <v>6917</v>
      </c>
      <c r="H38" s="1" t="s">
        <v>6918</v>
      </c>
      <c r="J38" s="1" t="s">
        <v>896</v>
      </c>
      <c r="L38" s="1" t="s">
        <v>900</v>
      </c>
      <c r="M38" s="1" t="s">
        <v>901</v>
      </c>
      <c r="N38" s="1" t="s">
        <v>1287</v>
      </c>
      <c r="P38" s="1" t="s">
        <v>3440</v>
      </c>
      <c r="Q38" s="3">
        <v>0</v>
      </c>
      <c r="R38" s="22" t="s">
        <v>2721</v>
      </c>
      <c r="S38" s="42" t="s">
        <v>6910</v>
      </c>
      <c r="T38" s="3" t="s">
        <v>4868</v>
      </c>
      <c r="U38" s="45">
        <v>35</v>
      </c>
      <c r="V38" t="s">
        <v>6919</v>
      </c>
      <c r="W38" s="1" t="str">
        <f>HYPERLINK("http://ictvonline.org/taxonomy/p/taxonomy-history?taxnode_id=201901440","ICTVonline=201901440")</f>
        <v>ICTVonline=201901440</v>
      </c>
    </row>
    <row r="39" spans="1:23">
      <c r="A39" s="3">
        <v>38</v>
      </c>
      <c r="B39" s="1" t="s">
        <v>6915</v>
      </c>
      <c r="D39" s="1" t="s">
        <v>6916</v>
      </c>
      <c r="F39" s="1" t="s">
        <v>6917</v>
      </c>
      <c r="H39" s="1" t="s">
        <v>6918</v>
      </c>
      <c r="J39" s="1" t="s">
        <v>896</v>
      </c>
      <c r="L39" s="1" t="s">
        <v>900</v>
      </c>
      <c r="M39" s="1" t="s">
        <v>901</v>
      </c>
      <c r="N39" s="1" t="s">
        <v>1287</v>
      </c>
      <c r="P39" s="1" t="s">
        <v>3441</v>
      </c>
      <c r="Q39" s="3">
        <v>0</v>
      </c>
      <c r="R39" s="22" t="s">
        <v>2721</v>
      </c>
      <c r="S39" s="42" t="s">
        <v>6910</v>
      </c>
      <c r="T39" s="3" t="s">
        <v>4868</v>
      </c>
      <c r="U39" s="45">
        <v>35</v>
      </c>
      <c r="V39" t="s">
        <v>6919</v>
      </c>
      <c r="W39" s="1" t="str">
        <f>HYPERLINK("http://ictvonline.org/taxonomy/p/taxonomy-history?taxnode_id=201901441","ICTVonline=201901441")</f>
        <v>ICTVonline=201901441</v>
      </c>
    </row>
    <row r="40" spans="1:23">
      <c r="A40" s="3">
        <v>39</v>
      </c>
      <c r="B40" s="1" t="s">
        <v>6915</v>
      </c>
      <c r="D40" s="1" t="s">
        <v>6916</v>
      </c>
      <c r="F40" s="1" t="s">
        <v>6917</v>
      </c>
      <c r="H40" s="1" t="s">
        <v>6918</v>
      </c>
      <c r="J40" s="1" t="s">
        <v>896</v>
      </c>
      <c r="L40" s="1" t="s">
        <v>900</v>
      </c>
      <c r="M40" s="1" t="s">
        <v>901</v>
      </c>
      <c r="N40" s="1" t="s">
        <v>1287</v>
      </c>
      <c r="P40" s="1" t="s">
        <v>3442</v>
      </c>
      <c r="Q40" s="3">
        <v>0</v>
      </c>
      <c r="R40" s="22" t="s">
        <v>2721</v>
      </c>
      <c r="S40" s="42" t="s">
        <v>6910</v>
      </c>
      <c r="T40" s="3" t="s">
        <v>4868</v>
      </c>
      <c r="U40" s="45">
        <v>35</v>
      </c>
      <c r="V40" t="s">
        <v>6919</v>
      </c>
      <c r="W40" s="1" t="str">
        <f>HYPERLINK("http://ictvonline.org/taxonomy/p/taxonomy-history?taxnode_id=201901442","ICTVonline=201901442")</f>
        <v>ICTVonline=201901442</v>
      </c>
    </row>
    <row r="41" spans="1:23">
      <c r="A41" s="3">
        <v>40</v>
      </c>
      <c r="B41" s="1" t="s">
        <v>6915</v>
      </c>
      <c r="D41" s="1" t="s">
        <v>6916</v>
      </c>
      <c r="F41" s="1" t="s">
        <v>6917</v>
      </c>
      <c r="H41" s="1" t="s">
        <v>6918</v>
      </c>
      <c r="J41" s="1" t="s">
        <v>896</v>
      </c>
      <c r="L41" s="1" t="s">
        <v>900</v>
      </c>
      <c r="M41" s="1" t="s">
        <v>901</v>
      </c>
      <c r="N41" s="1" t="s">
        <v>1287</v>
      </c>
      <c r="P41" s="1" t="s">
        <v>3443</v>
      </c>
      <c r="Q41" s="3">
        <v>0</v>
      </c>
      <c r="R41" s="22" t="s">
        <v>2721</v>
      </c>
      <c r="S41" s="42" t="s">
        <v>6910</v>
      </c>
      <c r="T41" s="3" t="s">
        <v>4868</v>
      </c>
      <c r="U41" s="45">
        <v>35</v>
      </c>
      <c r="V41" t="s">
        <v>6919</v>
      </c>
      <c r="W41" s="1" t="str">
        <f>HYPERLINK("http://ictvonline.org/taxonomy/p/taxonomy-history?taxnode_id=201901443","ICTVonline=201901443")</f>
        <v>ICTVonline=201901443</v>
      </c>
    </row>
    <row r="42" spans="1:23">
      <c r="A42" s="3">
        <v>41</v>
      </c>
      <c r="B42" s="1" t="s">
        <v>6915</v>
      </c>
      <c r="D42" s="1" t="s">
        <v>6916</v>
      </c>
      <c r="F42" s="1" t="s">
        <v>6917</v>
      </c>
      <c r="H42" s="1" t="s">
        <v>6918</v>
      </c>
      <c r="J42" s="1" t="s">
        <v>896</v>
      </c>
      <c r="L42" s="1" t="s">
        <v>900</v>
      </c>
      <c r="M42" s="1" t="s">
        <v>901</v>
      </c>
      <c r="N42" s="1" t="s">
        <v>1287</v>
      </c>
      <c r="P42" s="1" t="s">
        <v>3444</v>
      </c>
      <c r="Q42" s="3">
        <v>0</v>
      </c>
      <c r="R42" s="22" t="s">
        <v>2721</v>
      </c>
      <c r="S42" s="42" t="s">
        <v>6910</v>
      </c>
      <c r="T42" s="3" t="s">
        <v>4868</v>
      </c>
      <c r="U42" s="45">
        <v>35</v>
      </c>
      <c r="V42" t="s">
        <v>6919</v>
      </c>
      <c r="W42" s="1" t="str">
        <f>HYPERLINK("http://ictvonline.org/taxonomy/p/taxonomy-history?taxnode_id=201901444","ICTVonline=201901444")</f>
        <v>ICTVonline=201901444</v>
      </c>
    </row>
    <row r="43" spans="1:23">
      <c r="A43" s="3">
        <v>42</v>
      </c>
      <c r="B43" s="1" t="s">
        <v>6915</v>
      </c>
      <c r="D43" s="1" t="s">
        <v>6916</v>
      </c>
      <c r="F43" s="1" t="s">
        <v>6917</v>
      </c>
      <c r="H43" s="1" t="s">
        <v>6918</v>
      </c>
      <c r="J43" s="1" t="s">
        <v>896</v>
      </c>
      <c r="L43" s="1" t="s">
        <v>900</v>
      </c>
      <c r="M43" s="1" t="s">
        <v>901</v>
      </c>
      <c r="N43" s="1" t="s">
        <v>1287</v>
      </c>
      <c r="P43" s="1" t="s">
        <v>3445</v>
      </c>
      <c r="Q43" s="3">
        <v>0</v>
      </c>
      <c r="R43" s="22" t="s">
        <v>2721</v>
      </c>
      <c r="S43" s="42" t="s">
        <v>6910</v>
      </c>
      <c r="T43" s="3" t="s">
        <v>4868</v>
      </c>
      <c r="U43" s="45">
        <v>35</v>
      </c>
      <c r="V43" t="s">
        <v>6919</v>
      </c>
      <c r="W43" s="1" t="str">
        <f>HYPERLINK("http://ictvonline.org/taxonomy/p/taxonomy-history?taxnode_id=201901445","ICTVonline=201901445")</f>
        <v>ICTVonline=201901445</v>
      </c>
    </row>
    <row r="44" spans="1:23">
      <c r="A44" s="3">
        <v>43</v>
      </c>
      <c r="B44" s="1" t="s">
        <v>6915</v>
      </c>
      <c r="D44" s="1" t="s">
        <v>6916</v>
      </c>
      <c r="F44" s="1" t="s">
        <v>6917</v>
      </c>
      <c r="H44" s="1" t="s">
        <v>6918</v>
      </c>
      <c r="J44" s="1" t="s">
        <v>896</v>
      </c>
      <c r="L44" s="1" t="s">
        <v>900</v>
      </c>
      <c r="M44" s="1" t="s">
        <v>901</v>
      </c>
      <c r="N44" s="1" t="s">
        <v>1287</v>
      </c>
      <c r="P44" s="1" t="s">
        <v>3446</v>
      </c>
      <c r="Q44" s="3">
        <v>0</v>
      </c>
      <c r="R44" s="22" t="s">
        <v>2721</v>
      </c>
      <c r="S44" s="42" t="s">
        <v>6910</v>
      </c>
      <c r="T44" s="3" t="s">
        <v>4868</v>
      </c>
      <c r="U44" s="45">
        <v>35</v>
      </c>
      <c r="V44" t="s">
        <v>6919</v>
      </c>
      <c r="W44" s="1" t="str">
        <f>HYPERLINK("http://ictvonline.org/taxonomy/p/taxonomy-history?taxnode_id=201901446","ICTVonline=201901446")</f>
        <v>ICTVonline=201901446</v>
      </c>
    </row>
    <row r="45" spans="1:23">
      <c r="A45" s="3">
        <v>44</v>
      </c>
      <c r="B45" s="1" t="s">
        <v>6915</v>
      </c>
      <c r="D45" s="1" t="s">
        <v>6916</v>
      </c>
      <c r="F45" s="1" t="s">
        <v>6917</v>
      </c>
      <c r="H45" s="1" t="s">
        <v>6918</v>
      </c>
      <c r="J45" s="1" t="s">
        <v>896</v>
      </c>
      <c r="L45" s="1" t="s">
        <v>900</v>
      </c>
      <c r="M45" s="1" t="s">
        <v>901</v>
      </c>
      <c r="N45" s="1" t="s">
        <v>1287</v>
      </c>
      <c r="P45" s="1" t="s">
        <v>3447</v>
      </c>
      <c r="Q45" s="3">
        <v>0</v>
      </c>
      <c r="R45" s="22" t="s">
        <v>2721</v>
      </c>
      <c r="S45" s="42" t="s">
        <v>6910</v>
      </c>
      <c r="T45" s="3" t="s">
        <v>4868</v>
      </c>
      <c r="U45" s="45">
        <v>35</v>
      </c>
      <c r="V45" t="s">
        <v>6919</v>
      </c>
      <c r="W45" s="1" t="str">
        <f>HYPERLINK("http://ictvonline.org/taxonomy/p/taxonomy-history?taxnode_id=201901447","ICTVonline=201901447")</f>
        <v>ICTVonline=201901447</v>
      </c>
    </row>
    <row r="46" spans="1:23">
      <c r="A46" s="3">
        <v>45</v>
      </c>
      <c r="B46" s="1" t="s">
        <v>6915</v>
      </c>
      <c r="D46" s="1" t="s">
        <v>6916</v>
      </c>
      <c r="F46" s="1" t="s">
        <v>6917</v>
      </c>
      <c r="H46" s="1" t="s">
        <v>6918</v>
      </c>
      <c r="J46" s="1" t="s">
        <v>896</v>
      </c>
      <c r="L46" s="1" t="s">
        <v>900</v>
      </c>
      <c r="M46" s="1" t="s">
        <v>901</v>
      </c>
      <c r="N46" s="1" t="s">
        <v>1287</v>
      </c>
      <c r="P46" s="1" t="s">
        <v>3448</v>
      </c>
      <c r="Q46" s="3">
        <v>0</v>
      </c>
      <c r="R46" s="22" t="s">
        <v>2721</v>
      </c>
      <c r="S46" s="42" t="s">
        <v>6910</v>
      </c>
      <c r="T46" s="3" t="s">
        <v>4868</v>
      </c>
      <c r="U46" s="45">
        <v>35</v>
      </c>
      <c r="V46" t="s">
        <v>6919</v>
      </c>
      <c r="W46" s="1" t="str">
        <f>HYPERLINK("http://ictvonline.org/taxonomy/p/taxonomy-history?taxnode_id=201901448","ICTVonline=201901448")</f>
        <v>ICTVonline=201901448</v>
      </c>
    </row>
    <row r="47" spans="1:23">
      <c r="A47" s="3">
        <v>46</v>
      </c>
      <c r="B47" s="1" t="s">
        <v>6915</v>
      </c>
      <c r="D47" s="1" t="s">
        <v>6916</v>
      </c>
      <c r="F47" s="1" t="s">
        <v>6917</v>
      </c>
      <c r="H47" s="1" t="s">
        <v>6918</v>
      </c>
      <c r="J47" s="1" t="s">
        <v>896</v>
      </c>
      <c r="L47" s="1" t="s">
        <v>900</v>
      </c>
      <c r="M47" s="1" t="s">
        <v>901</v>
      </c>
      <c r="N47" s="1" t="s">
        <v>1287</v>
      </c>
      <c r="P47" s="1" t="s">
        <v>3449</v>
      </c>
      <c r="Q47" s="3">
        <v>0</v>
      </c>
      <c r="R47" s="22" t="s">
        <v>2721</v>
      </c>
      <c r="S47" s="42" t="s">
        <v>6910</v>
      </c>
      <c r="T47" s="3" t="s">
        <v>4868</v>
      </c>
      <c r="U47" s="45">
        <v>35</v>
      </c>
      <c r="V47" t="s">
        <v>6919</v>
      </c>
      <c r="W47" s="1" t="str">
        <f>HYPERLINK("http://ictvonline.org/taxonomy/p/taxonomy-history?taxnode_id=201901449","ICTVonline=201901449")</f>
        <v>ICTVonline=201901449</v>
      </c>
    </row>
    <row r="48" spans="1:23">
      <c r="A48" s="3">
        <v>47</v>
      </c>
      <c r="B48" s="1" t="s">
        <v>6915</v>
      </c>
      <c r="D48" s="1" t="s">
        <v>6916</v>
      </c>
      <c r="F48" s="1" t="s">
        <v>6917</v>
      </c>
      <c r="H48" s="1" t="s">
        <v>6918</v>
      </c>
      <c r="J48" s="1" t="s">
        <v>896</v>
      </c>
      <c r="L48" s="1" t="s">
        <v>900</v>
      </c>
      <c r="M48" s="1" t="s">
        <v>901</v>
      </c>
      <c r="N48" s="1" t="s">
        <v>1287</v>
      </c>
      <c r="P48" s="1" t="s">
        <v>3450</v>
      </c>
      <c r="Q48" s="3">
        <v>0</v>
      </c>
      <c r="R48" s="22" t="s">
        <v>2721</v>
      </c>
      <c r="S48" s="42" t="s">
        <v>6910</v>
      </c>
      <c r="T48" s="3" t="s">
        <v>4868</v>
      </c>
      <c r="U48" s="45">
        <v>35</v>
      </c>
      <c r="V48" t="s">
        <v>6919</v>
      </c>
      <c r="W48" s="1" t="str">
        <f>HYPERLINK("http://ictvonline.org/taxonomy/p/taxonomy-history?taxnode_id=201901450","ICTVonline=201901450")</f>
        <v>ICTVonline=201901450</v>
      </c>
    </row>
    <row r="49" spans="1:23">
      <c r="A49" s="3">
        <v>48</v>
      </c>
      <c r="B49" s="1" t="s">
        <v>6915</v>
      </c>
      <c r="D49" s="1" t="s">
        <v>6916</v>
      </c>
      <c r="F49" s="1" t="s">
        <v>6917</v>
      </c>
      <c r="H49" s="1" t="s">
        <v>6918</v>
      </c>
      <c r="J49" s="1" t="s">
        <v>896</v>
      </c>
      <c r="L49" s="1" t="s">
        <v>900</v>
      </c>
      <c r="M49" s="1" t="s">
        <v>901</v>
      </c>
      <c r="N49" s="1" t="s">
        <v>1287</v>
      </c>
      <c r="P49" s="1" t="s">
        <v>3451</v>
      </c>
      <c r="Q49" s="3">
        <v>0</v>
      </c>
      <c r="R49" s="22" t="s">
        <v>2721</v>
      </c>
      <c r="S49" s="42" t="s">
        <v>6910</v>
      </c>
      <c r="T49" s="3" t="s">
        <v>4868</v>
      </c>
      <c r="U49" s="45">
        <v>35</v>
      </c>
      <c r="V49" t="s">
        <v>6919</v>
      </c>
      <c r="W49" s="1" t="str">
        <f>HYPERLINK("http://ictvonline.org/taxonomy/p/taxonomy-history?taxnode_id=201901451","ICTVonline=201901451")</f>
        <v>ICTVonline=201901451</v>
      </c>
    </row>
    <row r="50" spans="1:23">
      <c r="A50" s="3">
        <v>49</v>
      </c>
      <c r="B50" s="1" t="s">
        <v>6915</v>
      </c>
      <c r="D50" s="1" t="s">
        <v>6916</v>
      </c>
      <c r="F50" s="1" t="s">
        <v>6917</v>
      </c>
      <c r="H50" s="1" t="s">
        <v>6918</v>
      </c>
      <c r="J50" s="1" t="s">
        <v>896</v>
      </c>
      <c r="L50" s="1" t="s">
        <v>900</v>
      </c>
      <c r="M50" s="1" t="s">
        <v>901</v>
      </c>
      <c r="N50" s="1" t="s">
        <v>1287</v>
      </c>
      <c r="P50" s="1" t="s">
        <v>3452</v>
      </c>
      <c r="Q50" s="3">
        <v>0</v>
      </c>
      <c r="R50" s="22" t="s">
        <v>2721</v>
      </c>
      <c r="S50" s="42" t="s">
        <v>6910</v>
      </c>
      <c r="T50" s="3" t="s">
        <v>4868</v>
      </c>
      <c r="U50" s="45">
        <v>35</v>
      </c>
      <c r="V50" t="s">
        <v>6919</v>
      </c>
      <c r="W50" s="1" t="str">
        <f>HYPERLINK("http://ictvonline.org/taxonomy/p/taxonomy-history?taxnode_id=201901452","ICTVonline=201901452")</f>
        <v>ICTVonline=201901452</v>
      </c>
    </row>
    <row r="51" spans="1:23">
      <c r="A51" s="3">
        <v>50</v>
      </c>
      <c r="B51" s="1" t="s">
        <v>6915</v>
      </c>
      <c r="D51" s="1" t="s">
        <v>6916</v>
      </c>
      <c r="F51" s="1" t="s">
        <v>6917</v>
      </c>
      <c r="H51" s="1" t="s">
        <v>6918</v>
      </c>
      <c r="J51" s="1" t="s">
        <v>896</v>
      </c>
      <c r="L51" s="1" t="s">
        <v>900</v>
      </c>
      <c r="M51" s="1" t="s">
        <v>901</v>
      </c>
      <c r="N51" s="1" t="s">
        <v>1287</v>
      </c>
      <c r="P51" s="1" t="s">
        <v>3453</v>
      </c>
      <c r="Q51" s="3">
        <v>0</v>
      </c>
      <c r="R51" s="22" t="s">
        <v>2721</v>
      </c>
      <c r="S51" s="42" t="s">
        <v>6910</v>
      </c>
      <c r="T51" s="3" t="s">
        <v>4868</v>
      </c>
      <c r="U51" s="45">
        <v>35</v>
      </c>
      <c r="V51" t="s">
        <v>6919</v>
      </c>
      <c r="W51" s="1" t="str">
        <f>HYPERLINK("http://ictvonline.org/taxonomy/p/taxonomy-history?taxnode_id=201901453","ICTVonline=201901453")</f>
        <v>ICTVonline=201901453</v>
      </c>
    </row>
    <row r="52" spans="1:23">
      <c r="A52" s="3">
        <v>51</v>
      </c>
      <c r="B52" s="1" t="s">
        <v>6915</v>
      </c>
      <c r="D52" s="1" t="s">
        <v>6916</v>
      </c>
      <c r="F52" s="1" t="s">
        <v>6917</v>
      </c>
      <c r="H52" s="1" t="s">
        <v>6918</v>
      </c>
      <c r="J52" s="1" t="s">
        <v>896</v>
      </c>
      <c r="L52" s="1" t="s">
        <v>900</v>
      </c>
      <c r="M52" s="1" t="s">
        <v>901</v>
      </c>
      <c r="N52" s="1" t="s">
        <v>1287</v>
      </c>
      <c r="P52" s="1" t="s">
        <v>3454</v>
      </c>
      <c r="Q52" s="3">
        <v>1</v>
      </c>
      <c r="R52" s="22" t="s">
        <v>2721</v>
      </c>
      <c r="S52" s="42" t="s">
        <v>6910</v>
      </c>
      <c r="T52" s="3" t="s">
        <v>4868</v>
      </c>
      <c r="U52" s="45">
        <v>35</v>
      </c>
      <c r="V52" t="s">
        <v>6919</v>
      </c>
      <c r="W52" s="1" t="str">
        <f>HYPERLINK("http://ictvonline.org/taxonomy/p/taxonomy-history?taxnode_id=201901454","ICTVonline=201901454")</f>
        <v>ICTVonline=201901454</v>
      </c>
    </row>
    <row r="53" spans="1:23">
      <c r="A53" s="3">
        <v>52</v>
      </c>
      <c r="B53" s="1" t="s">
        <v>6915</v>
      </c>
      <c r="D53" s="1" t="s">
        <v>6916</v>
      </c>
      <c r="F53" s="1" t="s">
        <v>6917</v>
      </c>
      <c r="H53" s="1" t="s">
        <v>6918</v>
      </c>
      <c r="J53" s="1" t="s">
        <v>896</v>
      </c>
      <c r="L53" s="1" t="s">
        <v>900</v>
      </c>
      <c r="M53" s="1" t="s">
        <v>901</v>
      </c>
      <c r="N53" s="1" t="s">
        <v>1287</v>
      </c>
      <c r="P53" s="1" t="s">
        <v>6769</v>
      </c>
      <c r="Q53" s="3">
        <v>0</v>
      </c>
      <c r="R53" s="22" t="s">
        <v>2721</v>
      </c>
      <c r="S53" s="42" t="s">
        <v>6910</v>
      </c>
      <c r="T53" s="3" t="s">
        <v>4868</v>
      </c>
      <c r="U53" s="45">
        <v>35</v>
      </c>
      <c r="V53" t="s">
        <v>6919</v>
      </c>
      <c r="W53" s="1" t="str">
        <f>HYPERLINK("http://ictvonline.org/taxonomy/p/taxonomy-history?taxnode_id=201906396","ICTVonline=201906396")</f>
        <v>ICTVonline=201906396</v>
      </c>
    </row>
    <row r="54" spans="1:23">
      <c r="A54" s="3">
        <v>53</v>
      </c>
      <c r="B54" s="1" t="s">
        <v>6915</v>
      </c>
      <c r="D54" s="1" t="s">
        <v>6916</v>
      </c>
      <c r="F54" s="1" t="s">
        <v>6917</v>
      </c>
      <c r="H54" s="1" t="s">
        <v>6918</v>
      </c>
      <c r="J54" s="1" t="s">
        <v>896</v>
      </c>
      <c r="L54" s="1" t="s">
        <v>900</v>
      </c>
      <c r="M54" s="1" t="s">
        <v>901</v>
      </c>
      <c r="N54" s="1" t="s">
        <v>1287</v>
      </c>
      <c r="P54" s="1" t="s">
        <v>3455</v>
      </c>
      <c r="Q54" s="3">
        <v>0</v>
      </c>
      <c r="R54" s="22" t="s">
        <v>2721</v>
      </c>
      <c r="S54" s="42" t="s">
        <v>6910</v>
      </c>
      <c r="T54" s="3" t="s">
        <v>4868</v>
      </c>
      <c r="U54" s="45">
        <v>35</v>
      </c>
      <c r="V54" t="s">
        <v>6919</v>
      </c>
      <c r="W54" s="1" t="str">
        <f>HYPERLINK("http://ictvonline.org/taxonomy/p/taxonomy-history?taxnode_id=201901455","ICTVonline=201901455")</f>
        <v>ICTVonline=201901455</v>
      </c>
    </row>
    <row r="55" spans="1:23">
      <c r="A55" s="3">
        <v>54</v>
      </c>
      <c r="B55" s="1" t="s">
        <v>6915</v>
      </c>
      <c r="D55" s="1" t="s">
        <v>6916</v>
      </c>
      <c r="F55" s="1" t="s">
        <v>6917</v>
      </c>
      <c r="H55" s="1" t="s">
        <v>6918</v>
      </c>
      <c r="J55" s="1" t="s">
        <v>896</v>
      </c>
      <c r="L55" s="1" t="s">
        <v>900</v>
      </c>
      <c r="M55" s="1" t="s">
        <v>901</v>
      </c>
      <c r="N55" s="1" t="s">
        <v>1287</v>
      </c>
      <c r="P55" s="1" t="s">
        <v>3456</v>
      </c>
      <c r="Q55" s="3">
        <v>0</v>
      </c>
      <c r="R55" s="22" t="s">
        <v>2721</v>
      </c>
      <c r="S55" s="42" t="s">
        <v>6910</v>
      </c>
      <c r="T55" s="3" t="s">
        <v>4868</v>
      </c>
      <c r="U55" s="45">
        <v>35</v>
      </c>
      <c r="V55" t="s">
        <v>6919</v>
      </c>
      <c r="W55" s="1" t="str">
        <f>HYPERLINK("http://ictvonline.org/taxonomy/p/taxonomy-history?taxnode_id=201901456","ICTVonline=201901456")</f>
        <v>ICTVonline=201901456</v>
      </c>
    </row>
    <row r="56" spans="1:23">
      <c r="A56" s="3">
        <v>55</v>
      </c>
      <c r="B56" s="1" t="s">
        <v>6915</v>
      </c>
      <c r="D56" s="1" t="s">
        <v>6916</v>
      </c>
      <c r="F56" s="1" t="s">
        <v>6917</v>
      </c>
      <c r="H56" s="1" t="s">
        <v>6918</v>
      </c>
      <c r="J56" s="1" t="s">
        <v>896</v>
      </c>
      <c r="L56" s="1" t="s">
        <v>900</v>
      </c>
      <c r="M56" s="1" t="s">
        <v>901</v>
      </c>
      <c r="P56" s="1" t="s">
        <v>3439</v>
      </c>
      <c r="Q56" s="3">
        <v>0</v>
      </c>
      <c r="R56" s="22" t="s">
        <v>2721</v>
      </c>
      <c r="S56" s="42" t="s">
        <v>6910</v>
      </c>
      <c r="T56" s="3" t="s">
        <v>4868</v>
      </c>
      <c r="U56" s="45">
        <v>35</v>
      </c>
      <c r="V56" t="s">
        <v>6919</v>
      </c>
      <c r="W56" s="1" t="str">
        <f>HYPERLINK("http://ictvonline.org/taxonomy/p/taxonomy-history?taxnode_id=201901438","ICTVonline=201901438")</f>
        <v>ICTVonline=201901438</v>
      </c>
    </row>
    <row r="57" spans="1:23">
      <c r="A57" s="3">
        <v>56</v>
      </c>
      <c r="B57" s="1" t="s">
        <v>6915</v>
      </c>
      <c r="D57" s="1" t="s">
        <v>6916</v>
      </c>
      <c r="F57" s="1" t="s">
        <v>6917</v>
      </c>
      <c r="H57" s="1" t="s">
        <v>6918</v>
      </c>
      <c r="J57" s="1" t="s">
        <v>896</v>
      </c>
      <c r="L57" s="1" t="s">
        <v>900</v>
      </c>
      <c r="M57" s="1" t="s">
        <v>1386</v>
      </c>
      <c r="N57" s="1" t="s">
        <v>683</v>
      </c>
      <c r="P57" s="1" t="s">
        <v>3457</v>
      </c>
      <c r="Q57" s="3">
        <v>0</v>
      </c>
      <c r="R57" s="22" t="s">
        <v>2721</v>
      </c>
      <c r="S57" s="42" t="s">
        <v>6910</v>
      </c>
      <c r="T57" s="3" t="s">
        <v>4868</v>
      </c>
      <c r="U57" s="45">
        <v>35</v>
      </c>
      <c r="V57" t="s">
        <v>6919</v>
      </c>
      <c r="W57" s="1" t="str">
        <f>HYPERLINK("http://ictvonline.org/taxonomy/p/taxonomy-history?taxnode_id=201901459","ICTVonline=201901459")</f>
        <v>ICTVonline=201901459</v>
      </c>
    </row>
    <row r="58" spans="1:23">
      <c r="A58" s="3">
        <v>57</v>
      </c>
      <c r="B58" s="1" t="s">
        <v>6915</v>
      </c>
      <c r="D58" s="1" t="s">
        <v>6916</v>
      </c>
      <c r="F58" s="1" t="s">
        <v>6917</v>
      </c>
      <c r="H58" s="1" t="s">
        <v>6918</v>
      </c>
      <c r="J58" s="1" t="s">
        <v>896</v>
      </c>
      <c r="L58" s="1" t="s">
        <v>900</v>
      </c>
      <c r="M58" s="1" t="s">
        <v>1386</v>
      </c>
      <c r="N58" s="1" t="s">
        <v>683</v>
      </c>
      <c r="P58" s="1" t="s">
        <v>3458</v>
      </c>
      <c r="Q58" s="3">
        <v>0</v>
      </c>
      <c r="R58" s="22" t="s">
        <v>2721</v>
      </c>
      <c r="S58" s="42" t="s">
        <v>6910</v>
      </c>
      <c r="T58" s="3" t="s">
        <v>4868</v>
      </c>
      <c r="U58" s="45">
        <v>35</v>
      </c>
      <c r="V58" t="s">
        <v>6919</v>
      </c>
      <c r="W58" s="1" t="str">
        <f>HYPERLINK("http://ictvonline.org/taxonomy/p/taxonomy-history?taxnode_id=201901460","ICTVonline=201901460")</f>
        <v>ICTVonline=201901460</v>
      </c>
    </row>
    <row r="59" spans="1:23">
      <c r="A59" s="3">
        <v>58</v>
      </c>
      <c r="B59" s="1" t="s">
        <v>6915</v>
      </c>
      <c r="D59" s="1" t="s">
        <v>6916</v>
      </c>
      <c r="F59" s="1" t="s">
        <v>6917</v>
      </c>
      <c r="H59" s="1" t="s">
        <v>6918</v>
      </c>
      <c r="J59" s="1" t="s">
        <v>896</v>
      </c>
      <c r="L59" s="1" t="s">
        <v>900</v>
      </c>
      <c r="M59" s="1" t="s">
        <v>1386</v>
      </c>
      <c r="N59" s="1" t="s">
        <v>683</v>
      </c>
      <c r="P59" s="1" t="s">
        <v>3459</v>
      </c>
      <c r="Q59" s="3">
        <v>0</v>
      </c>
      <c r="R59" s="22" t="s">
        <v>2721</v>
      </c>
      <c r="S59" s="42" t="s">
        <v>6910</v>
      </c>
      <c r="T59" s="3" t="s">
        <v>4868</v>
      </c>
      <c r="U59" s="45">
        <v>35</v>
      </c>
      <c r="V59" t="s">
        <v>6919</v>
      </c>
      <c r="W59" s="1" t="str">
        <f>HYPERLINK("http://ictvonline.org/taxonomy/p/taxonomy-history?taxnode_id=201901461","ICTVonline=201901461")</f>
        <v>ICTVonline=201901461</v>
      </c>
    </row>
    <row r="60" spans="1:23">
      <c r="A60" s="3">
        <v>59</v>
      </c>
      <c r="B60" s="1" t="s">
        <v>6915</v>
      </c>
      <c r="D60" s="1" t="s">
        <v>6916</v>
      </c>
      <c r="F60" s="1" t="s">
        <v>6917</v>
      </c>
      <c r="H60" s="1" t="s">
        <v>6918</v>
      </c>
      <c r="J60" s="1" t="s">
        <v>896</v>
      </c>
      <c r="L60" s="1" t="s">
        <v>900</v>
      </c>
      <c r="M60" s="1" t="s">
        <v>1386</v>
      </c>
      <c r="N60" s="1" t="s">
        <v>683</v>
      </c>
      <c r="P60" s="1" t="s">
        <v>3460</v>
      </c>
      <c r="Q60" s="3">
        <v>1</v>
      </c>
      <c r="R60" s="22" t="s">
        <v>2721</v>
      </c>
      <c r="S60" s="42" t="s">
        <v>6910</v>
      </c>
      <c r="T60" s="3" t="s">
        <v>4868</v>
      </c>
      <c r="U60" s="45">
        <v>35</v>
      </c>
      <c r="V60" t="s">
        <v>6919</v>
      </c>
      <c r="W60" s="1" t="str">
        <f>HYPERLINK("http://ictvonline.org/taxonomy/p/taxonomy-history?taxnode_id=201901462","ICTVonline=201901462")</f>
        <v>ICTVonline=201901462</v>
      </c>
    </row>
    <row r="61" spans="1:23">
      <c r="A61" s="3">
        <v>60</v>
      </c>
      <c r="B61" s="1" t="s">
        <v>6915</v>
      </c>
      <c r="D61" s="1" t="s">
        <v>6916</v>
      </c>
      <c r="F61" s="1" t="s">
        <v>6917</v>
      </c>
      <c r="H61" s="1" t="s">
        <v>6918</v>
      </c>
      <c r="J61" s="1" t="s">
        <v>896</v>
      </c>
      <c r="L61" s="1" t="s">
        <v>900</v>
      </c>
      <c r="M61" s="1" t="s">
        <v>1386</v>
      </c>
      <c r="N61" s="1" t="s">
        <v>683</v>
      </c>
      <c r="P61" s="1" t="s">
        <v>3461</v>
      </c>
      <c r="Q61" s="3">
        <v>0</v>
      </c>
      <c r="R61" s="22" t="s">
        <v>2721</v>
      </c>
      <c r="S61" s="42" t="s">
        <v>6910</v>
      </c>
      <c r="T61" s="3" t="s">
        <v>4868</v>
      </c>
      <c r="U61" s="45">
        <v>35</v>
      </c>
      <c r="V61" t="s">
        <v>6919</v>
      </c>
      <c r="W61" s="1" t="str">
        <f>HYPERLINK("http://ictvonline.org/taxonomy/p/taxonomy-history?taxnode_id=201901463","ICTVonline=201901463")</f>
        <v>ICTVonline=201901463</v>
      </c>
    </row>
    <row r="62" spans="1:23">
      <c r="A62" s="3">
        <v>61</v>
      </c>
      <c r="B62" s="1" t="s">
        <v>6915</v>
      </c>
      <c r="D62" s="1" t="s">
        <v>6916</v>
      </c>
      <c r="F62" s="1" t="s">
        <v>6917</v>
      </c>
      <c r="H62" s="1" t="s">
        <v>6918</v>
      </c>
      <c r="J62" s="1" t="s">
        <v>896</v>
      </c>
      <c r="L62" s="1" t="s">
        <v>900</v>
      </c>
      <c r="M62" s="1" t="s">
        <v>1386</v>
      </c>
      <c r="N62" s="1" t="s">
        <v>683</v>
      </c>
      <c r="P62" s="1" t="s">
        <v>6770</v>
      </c>
      <c r="Q62" s="3">
        <v>0</v>
      </c>
      <c r="R62" s="22" t="s">
        <v>2721</v>
      </c>
      <c r="S62" s="42" t="s">
        <v>6910</v>
      </c>
      <c r="T62" s="3" t="s">
        <v>4868</v>
      </c>
      <c r="U62" s="45">
        <v>35</v>
      </c>
      <c r="V62" t="s">
        <v>6919</v>
      </c>
      <c r="W62" s="1" t="str">
        <f>HYPERLINK("http://ictvonline.org/taxonomy/p/taxonomy-history?taxnode_id=201906399","ICTVonline=201906399")</f>
        <v>ICTVonline=201906399</v>
      </c>
    </row>
    <row r="63" spans="1:23">
      <c r="A63" s="3">
        <v>62</v>
      </c>
      <c r="B63" s="1" t="s">
        <v>6915</v>
      </c>
      <c r="D63" s="1" t="s">
        <v>6916</v>
      </c>
      <c r="F63" s="1" t="s">
        <v>6917</v>
      </c>
      <c r="H63" s="1" t="s">
        <v>6918</v>
      </c>
      <c r="J63" s="1" t="s">
        <v>896</v>
      </c>
      <c r="L63" s="1" t="s">
        <v>900</v>
      </c>
      <c r="M63" s="1" t="s">
        <v>1386</v>
      </c>
      <c r="N63" s="1" t="s">
        <v>683</v>
      </c>
      <c r="P63" s="1" t="s">
        <v>6771</v>
      </c>
      <c r="Q63" s="3">
        <v>0</v>
      </c>
      <c r="R63" s="22" t="s">
        <v>2721</v>
      </c>
      <c r="S63" s="42" t="s">
        <v>6910</v>
      </c>
      <c r="T63" s="3" t="s">
        <v>4868</v>
      </c>
      <c r="U63" s="45">
        <v>35</v>
      </c>
      <c r="V63" t="s">
        <v>6919</v>
      </c>
      <c r="W63" s="1" t="str">
        <f>HYPERLINK("http://ictvonline.org/taxonomy/p/taxonomy-history?taxnode_id=201906400","ICTVonline=201906400")</f>
        <v>ICTVonline=201906400</v>
      </c>
    </row>
    <row r="64" spans="1:23">
      <c r="A64" s="3">
        <v>63</v>
      </c>
      <c r="B64" s="1" t="s">
        <v>6915</v>
      </c>
      <c r="D64" s="1" t="s">
        <v>6916</v>
      </c>
      <c r="F64" s="1" t="s">
        <v>6917</v>
      </c>
      <c r="H64" s="1" t="s">
        <v>6918</v>
      </c>
      <c r="J64" s="1" t="s">
        <v>896</v>
      </c>
      <c r="L64" s="1" t="s">
        <v>900</v>
      </c>
      <c r="M64" s="1" t="s">
        <v>1386</v>
      </c>
      <c r="N64" s="1" t="s">
        <v>683</v>
      </c>
      <c r="P64" s="1" t="s">
        <v>3462</v>
      </c>
      <c r="Q64" s="3">
        <v>0</v>
      </c>
      <c r="R64" s="22" t="s">
        <v>2721</v>
      </c>
      <c r="S64" s="42" t="s">
        <v>6910</v>
      </c>
      <c r="T64" s="3" t="s">
        <v>4868</v>
      </c>
      <c r="U64" s="45">
        <v>35</v>
      </c>
      <c r="V64" t="s">
        <v>6919</v>
      </c>
      <c r="W64" s="1" t="str">
        <f>HYPERLINK("http://ictvonline.org/taxonomy/p/taxonomy-history?taxnode_id=201901464","ICTVonline=201901464")</f>
        <v>ICTVonline=201901464</v>
      </c>
    </row>
    <row r="65" spans="1:23">
      <c r="A65" s="3">
        <v>64</v>
      </c>
      <c r="B65" s="1" t="s">
        <v>6915</v>
      </c>
      <c r="D65" s="1" t="s">
        <v>6916</v>
      </c>
      <c r="F65" s="1" t="s">
        <v>6917</v>
      </c>
      <c r="H65" s="1" t="s">
        <v>6918</v>
      </c>
      <c r="J65" s="1" t="s">
        <v>896</v>
      </c>
      <c r="L65" s="1" t="s">
        <v>900</v>
      </c>
      <c r="M65" s="1" t="s">
        <v>1386</v>
      </c>
      <c r="N65" s="1" t="s">
        <v>683</v>
      </c>
      <c r="P65" s="1" t="s">
        <v>3463</v>
      </c>
      <c r="Q65" s="3">
        <v>0</v>
      </c>
      <c r="R65" s="22" t="s">
        <v>2721</v>
      </c>
      <c r="S65" s="42" t="s">
        <v>6910</v>
      </c>
      <c r="T65" s="3" t="s">
        <v>4868</v>
      </c>
      <c r="U65" s="45">
        <v>35</v>
      </c>
      <c r="V65" t="s">
        <v>6919</v>
      </c>
      <c r="W65" s="1" t="str">
        <f>HYPERLINK("http://ictvonline.org/taxonomy/p/taxonomy-history?taxnode_id=201901465","ICTVonline=201901465")</f>
        <v>ICTVonline=201901465</v>
      </c>
    </row>
    <row r="66" spans="1:23">
      <c r="A66" s="3">
        <v>65</v>
      </c>
      <c r="B66" s="1" t="s">
        <v>6915</v>
      </c>
      <c r="D66" s="1" t="s">
        <v>6916</v>
      </c>
      <c r="F66" s="1" t="s">
        <v>6917</v>
      </c>
      <c r="H66" s="1" t="s">
        <v>6918</v>
      </c>
      <c r="J66" s="1" t="s">
        <v>896</v>
      </c>
      <c r="L66" s="1" t="s">
        <v>900</v>
      </c>
      <c r="M66" s="1" t="s">
        <v>1386</v>
      </c>
      <c r="N66" s="1" t="s">
        <v>683</v>
      </c>
      <c r="P66" s="1" t="s">
        <v>6772</v>
      </c>
      <c r="Q66" s="3">
        <v>0</v>
      </c>
      <c r="R66" s="22" t="s">
        <v>2721</v>
      </c>
      <c r="S66" s="42" t="s">
        <v>6910</v>
      </c>
      <c r="T66" s="3" t="s">
        <v>4868</v>
      </c>
      <c r="U66" s="45">
        <v>35</v>
      </c>
      <c r="V66" t="s">
        <v>6919</v>
      </c>
      <c r="W66" s="1" t="str">
        <f>HYPERLINK("http://ictvonline.org/taxonomy/p/taxonomy-history?taxnode_id=201906401","ICTVonline=201906401")</f>
        <v>ICTVonline=201906401</v>
      </c>
    </row>
    <row r="67" spans="1:23">
      <c r="A67" s="3">
        <v>66</v>
      </c>
      <c r="B67" s="1" t="s">
        <v>6915</v>
      </c>
      <c r="D67" s="1" t="s">
        <v>6916</v>
      </c>
      <c r="F67" s="1" t="s">
        <v>6917</v>
      </c>
      <c r="H67" s="1" t="s">
        <v>6918</v>
      </c>
      <c r="J67" s="1" t="s">
        <v>896</v>
      </c>
      <c r="L67" s="1" t="s">
        <v>900</v>
      </c>
      <c r="M67" s="1" t="s">
        <v>1386</v>
      </c>
      <c r="N67" s="1" t="s">
        <v>683</v>
      </c>
      <c r="P67" s="1" t="s">
        <v>3464</v>
      </c>
      <c r="Q67" s="3">
        <v>0</v>
      </c>
      <c r="R67" s="22" t="s">
        <v>2721</v>
      </c>
      <c r="S67" s="42" t="s">
        <v>6910</v>
      </c>
      <c r="T67" s="3" t="s">
        <v>4868</v>
      </c>
      <c r="U67" s="45">
        <v>35</v>
      </c>
      <c r="V67" t="s">
        <v>6919</v>
      </c>
      <c r="W67" s="1" t="str">
        <f>HYPERLINK("http://ictvonline.org/taxonomy/p/taxonomy-history?taxnode_id=201901466","ICTVonline=201901466")</f>
        <v>ICTVonline=201901466</v>
      </c>
    </row>
    <row r="68" spans="1:23">
      <c r="A68" s="3">
        <v>67</v>
      </c>
      <c r="B68" s="1" t="s">
        <v>6915</v>
      </c>
      <c r="D68" s="1" t="s">
        <v>6916</v>
      </c>
      <c r="F68" s="1" t="s">
        <v>6917</v>
      </c>
      <c r="H68" s="1" t="s">
        <v>6918</v>
      </c>
      <c r="J68" s="1" t="s">
        <v>896</v>
      </c>
      <c r="L68" s="1" t="s">
        <v>900</v>
      </c>
      <c r="M68" s="1" t="s">
        <v>1386</v>
      </c>
      <c r="N68" s="1" t="s">
        <v>684</v>
      </c>
      <c r="P68" s="1" t="s">
        <v>3465</v>
      </c>
      <c r="Q68" s="3">
        <v>1</v>
      </c>
      <c r="R68" s="22" t="s">
        <v>2721</v>
      </c>
      <c r="S68" s="42" t="s">
        <v>6910</v>
      </c>
      <c r="T68" s="3" t="s">
        <v>4868</v>
      </c>
      <c r="U68" s="45">
        <v>35</v>
      </c>
      <c r="V68" t="s">
        <v>6919</v>
      </c>
      <c r="W68" s="1" t="str">
        <f>HYPERLINK("http://ictvonline.org/taxonomy/p/taxonomy-history?taxnode_id=201901468","ICTVonline=201901468")</f>
        <v>ICTVonline=201901468</v>
      </c>
    </row>
    <row r="69" spans="1:23">
      <c r="A69" s="3">
        <v>68</v>
      </c>
      <c r="B69" s="1" t="s">
        <v>6915</v>
      </c>
      <c r="D69" s="1" t="s">
        <v>6916</v>
      </c>
      <c r="F69" s="1" t="s">
        <v>6917</v>
      </c>
      <c r="H69" s="1" t="s">
        <v>6918</v>
      </c>
      <c r="J69" s="1" t="s">
        <v>896</v>
      </c>
      <c r="L69" s="1" t="s">
        <v>900</v>
      </c>
      <c r="M69" s="1" t="s">
        <v>1386</v>
      </c>
      <c r="N69" s="1" t="s">
        <v>684</v>
      </c>
      <c r="P69" s="1" t="s">
        <v>3466</v>
      </c>
      <c r="Q69" s="3">
        <v>0</v>
      </c>
      <c r="R69" s="22" t="s">
        <v>2721</v>
      </c>
      <c r="S69" s="42" t="s">
        <v>6910</v>
      </c>
      <c r="T69" s="3" t="s">
        <v>4868</v>
      </c>
      <c r="U69" s="45">
        <v>35</v>
      </c>
      <c r="V69" t="s">
        <v>6919</v>
      </c>
      <c r="W69" s="1" t="str">
        <f>HYPERLINK("http://ictvonline.org/taxonomy/p/taxonomy-history?taxnode_id=201901469","ICTVonline=201901469")</f>
        <v>ICTVonline=201901469</v>
      </c>
    </row>
    <row r="70" spans="1:23">
      <c r="A70" s="3">
        <v>69</v>
      </c>
      <c r="B70" s="1" t="s">
        <v>6915</v>
      </c>
      <c r="D70" s="1" t="s">
        <v>6916</v>
      </c>
      <c r="F70" s="1" t="s">
        <v>6917</v>
      </c>
      <c r="H70" s="1" t="s">
        <v>6918</v>
      </c>
      <c r="J70" s="1" t="s">
        <v>896</v>
      </c>
      <c r="L70" s="1" t="s">
        <v>900</v>
      </c>
      <c r="M70" s="1" t="s">
        <v>1386</v>
      </c>
      <c r="N70" s="1" t="s">
        <v>684</v>
      </c>
      <c r="P70" s="1" t="s">
        <v>3467</v>
      </c>
      <c r="Q70" s="3">
        <v>0</v>
      </c>
      <c r="R70" s="22" t="s">
        <v>2721</v>
      </c>
      <c r="S70" s="42" t="s">
        <v>6910</v>
      </c>
      <c r="T70" s="3" t="s">
        <v>4868</v>
      </c>
      <c r="U70" s="45">
        <v>35</v>
      </c>
      <c r="V70" t="s">
        <v>6919</v>
      </c>
      <c r="W70" s="1" t="str">
        <f>HYPERLINK("http://ictvonline.org/taxonomy/p/taxonomy-history?taxnode_id=201901470","ICTVonline=201901470")</f>
        <v>ICTVonline=201901470</v>
      </c>
    </row>
    <row r="71" spans="1:23">
      <c r="A71" s="3">
        <v>70</v>
      </c>
      <c r="B71" s="1" t="s">
        <v>6915</v>
      </c>
      <c r="D71" s="1" t="s">
        <v>6916</v>
      </c>
      <c r="F71" s="1" t="s">
        <v>6917</v>
      </c>
      <c r="H71" s="1" t="s">
        <v>6918</v>
      </c>
      <c r="J71" s="1" t="s">
        <v>896</v>
      </c>
      <c r="L71" s="1" t="s">
        <v>900</v>
      </c>
      <c r="M71" s="1" t="s">
        <v>1386</v>
      </c>
      <c r="N71" s="1" t="s">
        <v>1388</v>
      </c>
      <c r="P71" s="1" t="s">
        <v>3468</v>
      </c>
      <c r="Q71" s="3">
        <v>1</v>
      </c>
      <c r="R71" s="22" t="s">
        <v>2721</v>
      </c>
      <c r="S71" s="42" t="s">
        <v>6910</v>
      </c>
      <c r="T71" s="3" t="s">
        <v>4868</v>
      </c>
      <c r="U71" s="45">
        <v>35</v>
      </c>
      <c r="V71" t="s">
        <v>6919</v>
      </c>
      <c r="W71" s="1" t="str">
        <f>HYPERLINK("http://ictvonline.org/taxonomy/p/taxonomy-history?taxnode_id=201901472","ICTVonline=201901472")</f>
        <v>ICTVonline=201901472</v>
      </c>
    </row>
    <row r="72" spans="1:23">
      <c r="A72" s="3">
        <v>71</v>
      </c>
      <c r="B72" s="1" t="s">
        <v>6915</v>
      </c>
      <c r="D72" s="1" t="s">
        <v>6916</v>
      </c>
      <c r="F72" s="1" t="s">
        <v>6917</v>
      </c>
      <c r="H72" s="1" t="s">
        <v>6918</v>
      </c>
      <c r="J72" s="1" t="s">
        <v>896</v>
      </c>
      <c r="L72" s="1" t="s">
        <v>900</v>
      </c>
      <c r="M72" s="1" t="s">
        <v>1386</v>
      </c>
      <c r="N72" s="1" t="s">
        <v>1388</v>
      </c>
      <c r="P72" s="1" t="s">
        <v>6773</v>
      </c>
      <c r="Q72" s="3">
        <v>0</v>
      </c>
      <c r="R72" s="22" t="s">
        <v>2721</v>
      </c>
      <c r="S72" s="42" t="s">
        <v>6910</v>
      </c>
      <c r="T72" s="3" t="s">
        <v>4868</v>
      </c>
      <c r="U72" s="45">
        <v>35</v>
      </c>
      <c r="V72" t="s">
        <v>6919</v>
      </c>
      <c r="W72" s="1" t="str">
        <f>HYPERLINK("http://ictvonline.org/taxonomy/p/taxonomy-history?taxnode_id=201906404","ICTVonline=201906404")</f>
        <v>ICTVonline=201906404</v>
      </c>
    </row>
    <row r="73" spans="1:23">
      <c r="A73" s="3">
        <v>72</v>
      </c>
      <c r="B73" s="1" t="s">
        <v>6915</v>
      </c>
      <c r="D73" s="1" t="s">
        <v>6916</v>
      </c>
      <c r="F73" s="1" t="s">
        <v>6917</v>
      </c>
      <c r="H73" s="1" t="s">
        <v>6918</v>
      </c>
      <c r="J73" s="1" t="s">
        <v>896</v>
      </c>
      <c r="L73" s="1" t="s">
        <v>900</v>
      </c>
      <c r="M73" s="1" t="s">
        <v>1386</v>
      </c>
      <c r="N73" s="1" t="s">
        <v>1388</v>
      </c>
      <c r="P73" s="1" t="s">
        <v>6774</v>
      </c>
      <c r="Q73" s="3">
        <v>0</v>
      </c>
      <c r="R73" s="22" t="s">
        <v>2721</v>
      </c>
      <c r="S73" s="42" t="s">
        <v>6910</v>
      </c>
      <c r="T73" s="3" t="s">
        <v>4868</v>
      </c>
      <c r="U73" s="45">
        <v>35</v>
      </c>
      <c r="V73" t="s">
        <v>6919</v>
      </c>
      <c r="W73" s="1" t="str">
        <f>HYPERLINK("http://ictvonline.org/taxonomy/p/taxonomy-history?taxnode_id=201906405","ICTVonline=201906405")</f>
        <v>ICTVonline=201906405</v>
      </c>
    </row>
    <row r="74" spans="1:23">
      <c r="A74" s="3">
        <v>73</v>
      </c>
      <c r="B74" s="1" t="s">
        <v>6915</v>
      </c>
      <c r="D74" s="1" t="s">
        <v>6916</v>
      </c>
      <c r="F74" s="1" t="s">
        <v>6917</v>
      </c>
      <c r="H74" s="1" t="s">
        <v>6918</v>
      </c>
      <c r="J74" s="1" t="s">
        <v>896</v>
      </c>
      <c r="L74" s="1" t="s">
        <v>900</v>
      </c>
      <c r="M74" s="1" t="s">
        <v>1386</v>
      </c>
      <c r="N74" s="1" t="s">
        <v>1389</v>
      </c>
      <c r="P74" s="1" t="s">
        <v>3469</v>
      </c>
      <c r="Q74" s="3">
        <v>0</v>
      </c>
      <c r="R74" s="22" t="s">
        <v>2721</v>
      </c>
      <c r="S74" s="42" t="s">
        <v>6910</v>
      </c>
      <c r="T74" s="3" t="s">
        <v>4868</v>
      </c>
      <c r="U74" s="45">
        <v>35</v>
      </c>
      <c r="V74" t="s">
        <v>6919</v>
      </c>
      <c r="W74" s="1" t="str">
        <f>HYPERLINK("http://ictvonline.org/taxonomy/p/taxonomy-history?taxnode_id=201901474","ICTVonline=201901474")</f>
        <v>ICTVonline=201901474</v>
      </c>
    </row>
    <row r="75" spans="1:23">
      <c r="A75" s="3">
        <v>74</v>
      </c>
      <c r="B75" s="1" t="s">
        <v>6915</v>
      </c>
      <c r="D75" s="1" t="s">
        <v>6916</v>
      </c>
      <c r="F75" s="1" t="s">
        <v>6917</v>
      </c>
      <c r="H75" s="1" t="s">
        <v>6918</v>
      </c>
      <c r="J75" s="1" t="s">
        <v>896</v>
      </c>
      <c r="L75" s="1" t="s">
        <v>900</v>
      </c>
      <c r="M75" s="1" t="s">
        <v>1386</v>
      </c>
      <c r="N75" s="1" t="s">
        <v>1389</v>
      </c>
      <c r="P75" s="1" t="s">
        <v>3470</v>
      </c>
      <c r="Q75" s="3">
        <v>1</v>
      </c>
      <c r="R75" s="22" t="s">
        <v>2721</v>
      </c>
      <c r="S75" s="42" t="s">
        <v>6910</v>
      </c>
      <c r="T75" s="3" t="s">
        <v>4868</v>
      </c>
      <c r="U75" s="45">
        <v>35</v>
      </c>
      <c r="V75" t="s">
        <v>6919</v>
      </c>
      <c r="W75" s="1" t="str">
        <f>HYPERLINK("http://ictvonline.org/taxonomy/p/taxonomy-history?taxnode_id=201901475","ICTVonline=201901475")</f>
        <v>ICTVonline=201901475</v>
      </c>
    </row>
    <row r="76" spans="1:23">
      <c r="A76" s="3">
        <v>75</v>
      </c>
      <c r="B76" s="1" t="s">
        <v>6915</v>
      </c>
      <c r="D76" s="1" t="s">
        <v>6916</v>
      </c>
      <c r="F76" s="1" t="s">
        <v>6917</v>
      </c>
      <c r="H76" s="1" t="s">
        <v>6918</v>
      </c>
      <c r="J76" s="1" t="s">
        <v>896</v>
      </c>
      <c r="L76" s="1" t="s">
        <v>900</v>
      </c>
      <c r="M76" s="1" t="s">
        <v>1386</v>
      </c>
      <c r="N76" s="1" t="s">
        <v>1389</v>
      </c>
      <c r="P76" s="1" t="s">
        <v>3471</v>
      </c>
      <c r="Q76" s="3">
        <v>0</v>
      </c>
      <c r="R76" s="22" t="s">
        <v>2721</v>
      </c>
      <c r="S76" s="42" t="s">
        <v>6910</v>
      </c>
      <c r="T76" s="3" t="s">
        <v>4868</v>
      </c>
      <c r="U76" s="45">
        <v>35</v>
      </c>
      <c r="V76" t="s">
        <v>6919</v>
      </c>
      <c r="W76" s="1" t="str">
        <f>HYPERLINK("http://ictvonline.org/taxonomy/p/taxonomy-history?taxnode_id=201901476","ICTVonline=201901476")</f>
        <v>ICTVonline=201901476</v>
      </c>
    </row>
    <row r="77" spans="1:23">
      <c r="A77" s="3">
        <v>76</v>
      </c>
      <c r="B77" s="1" t="s">
        <v>6915</v>
      </c>
      <c r="D77" s="1" t="s">
        <v>6916</v>
      </c>
      <c r="F77" s="1" t="s">
        <v>6917</v>
      </c>
      <c r="H77" s="1" t="s">
        <v>6918</v>
      </c>
      <c r="J77" s="1" t="s">
        <v>896</v>
      </c>
      <c r="L77" s="1" t="s">
        <v>900</v>
      </c>
      <c r="M77" s="1" t="s">
        <v>1386</v>
      </c>
      <c r="N77" s="1" t="s">
        <v>1389</v>
      </c>
      <c r="P77" s="1" t="s">
        <v>6775</v>
      </c>
      <c r="Q77" s="3">
        <v>0</v>
      </c>
      <c r="R77" s="22" t="s">
        <v>2721</v>
      </c>
      <c r="S77" s="42" t="s">
        <v>6910</v>
      </c>
      <c r="T77" s="3" t="s">
        <v>4868</v>
      </c>
      <c r="U77" s="45">
        <v>35</v>
      </c>
      <c r="V77" t="s">
        <v>6919</v>
      </c>
      <c r="W77" s="1" t="str">
        <f>HYPERLINK("http://ictvonline.org/taxonomy/p/taxonomy-history?taxnode_id=201906402","ICTVonline=201906402")</f>
        <v>ICTVonline=201906402</v>
      </c>
    </row>
    <row r="78" spans="1:23">
      <c r="A78" s="3">
        <v>77</v>
      </c>
      <c r="B78" s="1" t="s">
        <v>6915</v>
      </c>
      <c r="D78" s="1" t="s">
        <v>6916</v>
      </c>
      <c r="F78" s="1" t="s">
        <v>6917</v>
      </c>
      <c r="H78" s="1" t="s">
        <v>6918</v>
      </c>
      <c r="J78" s="1" t="s">
        <v>896</v>
      </c>
      <c r="L78" s="1" t="s">
        <v>900</v>
      </c>
      <c r="M78" s="1" t="s">
        <v>1386</v>
      </c>
      <c r="N78" s="1" t="s">
        <v>1389</v>
      </c>
      <c r="P78" s="1" t="s">
        <v>6776</v>
      </c>
      <c r="Q78" s="3">
        <v>0</v>
      </c>
      <c r="R78" s="22" t="s">
        <v>2721</v>
      </c>
      <c r="S78" s="42" t="s">
        <v>6910</v>
      </c>
      <c r="T78" s="3" t="s">
        <v>4868</v>
      </c>
      <c r="U78" s="45">
        <v>35</v>
      </c>
      <c r="V78" t="s">
        <v>6919</v>
      </c>
      <c r="W78" s="1" t="str">
        <f>HYPERLINK("http://ictvonline.org/taxonomy/p/taxonomy-history?taxnode_id=201906403","ICTVonline=201906403")</f>
        <v>ICTVonline=201906403</v>
      </c>
    </row>
    <row r="79" spans="1:23">
      <c r="A79" s="3">
        <v>78</v>
      </c>
      <c r="B79" s="1" t="s">
        <v>6915</v>
      </c>
      <c r="D79" s="1" t="s">
        <v>6916</v>
      </c>
      <c r="F79" s="1" t="s">
        <v>6917</v>
      </c>
      <c r="H79" s="1" t="s">
        <v>6918</v>
      </c>
      <c r="J79" s="1" t="s">
        <v>896</v>
      </c>
      <c r="L79" s="1" t="s">
        <v>900</v>
      </c>
      <c r="M79" s="1" t="s">
        <v>1386</v>
      </c>
      <c r="N79" s="1" t="s">
        <v>1389</v>
      </c>
      <c r="P79" s="1" t="s">
        <v>3473</v>
      </c>
      <c r="Q79" s="3">
        <v>0</v>
      </c>
      <c r="R79" s="22" t="s">
        <v>2721</v>
      </c>
      <c r="S79" s="42" t="s">
        <v>6910</v>
      </c>
      <c r="T79" s="3" t="s">
        <v>4868</v>
      </c>
      <c r="U79" s="45">
        <v>35</v>
      </c>
      <c r="V79" t="s">
        <v>6919</v>
      </c>
      <c r="W79" s="1" t="str">
        <f>HYPERLINK("http://ictvonline.org/taxonomy/p/taxonomy-history?taxnode_id=201901479","ICTVonline=201901479")</f>
        <v>ICTVonline=201901479</v>
      </c>
    </row>
    <row r="80" spans="1:23">
      <c r="A80" s="3">
        <v>79</v>
      </c>
      <c r="B80" s="1" t="s">
        <v>6915</v>
      </c>
      <c r="D80" s="1" t="s">
        <v>6916</v>
      </c>
      <c r="F80" s="1" t="s">
        <v>6917</v>
      </c>
      <c r="H80" s="1" t="s">
        <v>6918</v>
      </c>
      <c r="J80" s="1" t="s">
        <v>896</v>
      </c>
      <c r="L80" s="1" t="s">
        <v>900</v>
      </c>
      <c r="M80" s="1" t="s">
        <v>1386</v>
      </c>
      <c r="P80" s="1" t="s">
        <v>3472</v>
      </c>
      <c r="Q80" s="3">
        <v>0</v>
      </c>
      <c r="R80" s="22" t="s">
        <v>2721</v>
      </c>
      <c r="S80" s="42" t="s">
        <v>6910</v>
      </c>
      <c r="T80" s="3" t="s">
        <v>4868</v>
      </c>
      <c r="U80" s="45">
        <v>35</v>
      </c>
      <c r="V80" t="s">
        <v>6919</v>
      </c>
      <c r="W80" s="1" t="str">
        <f>HYPERLINK("http://ictvonline.org/taxonomy/p/taxonomy-history?taxnode_id=201901478","ICTVonline=201901478")</f>
        <v>ICTVonline=201901478</v>
      </c>
    </row>
    <row r="81" spans="1:23">
      <c r="A81" s="3">
        <v>80</v>
      </c>
      <c r="B81" s="1" t="s">
        <v>6915</v>
      </c>
      <c r="D81" s="1" t="s">
        <v>6916</v>
      </c>
      <c r="F81" s="1" t="s">
        <v>6917</v>
      </c>
      <c r="H81" s="1" t="s">
        <v>6918</v>
      </c>
      <c r="J81" s="1" t="s">
        <v>896</v>
      </c>
      <c r="L81" s="1" t="s">
        <v>900</v>
      </c>
      <c r="M81" s="1" t="s">
        <v>1386</v>
      </c>
      <c r="P81" s="1" t="s">
        <v>3474</v>
      </c>
      <c r="Q81" s="3">
        <v>0</v>
      </c>
      <c r="R81" s="22" t="s">
        <v>2721</v>
      </c>
      <c r="S81" s="42" t="s">
        <v>6910</v>
      </c>
      <c r="T81" s="3" t="s">
        <v>4868</v>
      </c>
      <c r="U81" s="45">
        <v>35</v>
      </c>
      <c r="V81" t="s">
        <v>6919</v>
      </c>
      <c r="W81" s="1" t="str">
        <f>HYPERLINK("http://ictvonline.org/taxonomy/p/taxonomy-history?taxnode_id=201901480","ICTVonline=201901480")</f>
        <v>ICTVonline=201901480</v>
      </c>
    </row>
    <row r="82" spans="1:23">
      <c r="A82" s="3">
        <v>81</v>
      </c>
      <c r="B82" s="1" t="s">
        <v>6915</v>
      </c>
      <c r="D82" s="1" t="s">
        <v>6916</v>
      </c>
      <c r="F82" s="1" t="s">
        <v>6917</v>
      </c>
      <c r="H82" s="1" t="s">
        <v>6918</v>
      </c>
      <c r="J82" s="1" t="s">
        <v>896</v>
      </c>
      <c r="L82" s="1" t="s">
        <v>900</v>
      </c>
      <c r="M82" s="1" t="s">
        <v>1393</v>
      </c>
      <c r="N82" s="1" t="s">
        <v>1291</v>
      </c>
      <c r="P82" s="1" t="s">
        <v>3475</v>
      </c>
      <c r="Q82" s="3">
        <v>0</v>
      </c>
      <c r="R82" s="22" t="s">
        <v>2721</v>
      </c>
      <c r="S82" s="42" t="s">
        <v>6910</v>
      </c>
      <c r="T82" s="3" t="s">
        <v>4868</v>
      </c>
      <c r="U82" s="45">
        <v>35</v>
      </c>
      <c r="V82" t="s">
        <v>6919</v>
      </c>
      <c r="W82" s="1" t="str">
        <f>HYPERLINK("http://ictvonline.org/taxonomy/p/taxonomy-history?taxnode_id=201901483","ICTVonline=201901483")</f>
        <v>ICTVonline=201901483</v>
      </c>
    </row>
    <row r="83" spans="1:23">
      <c r="A83" s="3">
        <v>82</v>
      </c>
      <c r="B83" s="1" t="s">
        <v>6915</v>
      </c>
      <c r="D83" s="1" t="s">
        <v>6916</v>
      </c>
      <c r="F83" s="1" t="s">
        <v>6917</v>
      </c>
      <c r="H83" s="1" t="s">
        <v>6918</v>
      </c>
      <c r="J83" s="1" t="s">
        <v>896</v>
      </c>
      <c r="L83" s="1" t="s">
        <v>900</v>
      </c>
      <c r="M83" s="1" t="s">
        <v>1393</v>
      </c>
      <c r="N83" s="1" t="s">
        <v>1291</v>
      </c>
      <c r="P83" s="1" t="s">
        <v>3476</v>
      </c>
      <c r="Q83" s="3">
        <v>0</v>
      </c>
      <c r="R83" s="22" t="s">
        <v>2721</v>
      </c>
      <c r="S83" s="42" t="s">
        <v>6910</v>
      </c>
      <c r="T83" s="3" t="s">
        <v>4868</v>
      </c>
      <c r="U83" s="45">
        <v>35</v>
      </c>
      <c r="V83" t="s">
        <v>6919</v>
      </c>
      <c r="W83" s="1" t="str">
        <f>HYPERLINK("http://ictvonline.org/taxonomy/p/taxonomy-history?taxnode_id=201901484","ICTVonline=201901484")</f>
        <v>ICTVonline=201901484</v>
      </c>
    </row>
    <row r="84" spans="1:23">
      <c r="A84" s="3">
        <v>83</v>
      </c>
      <c r="B84" s="1" t="s">
        <v>6915</v>
      </c>
      <c r="D84" s="1" t="s">
        <v>6916</v>
      </c>
      <c r="F84" s="1" t="s">
        <v>6917</v>
      </c>
      <c r="H84" s="1" t="s">
        <v>6918</v>
      </c>
      <c r="J84" s="1" t="s">
        <v>896</v>
      </c>
      <c r="L84" s="1" t="s">
        <v>900</v>
      </c>
      <c r="M84" s="1" t="s">
        <v>1393</v>
      </c>
      <c r="N84" s="1" t="s">
        <v>1291</v>
      </c>
      <c r="P84" s="1" t="s">
        <v>3477</v>
      </c>
      <c r="Q84" s="3">
        <v>0</v>
      </c>
      <c r="R84" s="22" t="s">
        <v>2721</v>
      </c>
      <c r="S84" s="42" t="s">
        <v>6910</v>
      </c>
      <c r="T84" s="3" t="s">
        <v>4868</v>
      </c>
      <c r="U84" s="45">
        <v>35</v>
      </c>
      <c r="V84" t="s">
        <v>6919</v>
      </c>
      <c r="W84" s="1" t="str">
        <f>HYPERLINK("http://ictvonline.org/taxonomy/p/taxonomy-history?taxnode_id=201901485","ICTVonline=201901485")</f>
        <v>ICTVonline=201901485</v>
      </c>
    </row>
    <row r="85" spans="1:23">
      <c r="A85" s="3">
        <v>84</v>
      </c>
      <c r="B85" s="1" t="s">
        <v>6915</v>
      </c>
      <c r="D85" s="1" t="s">
        <v>6916</v>
      </c>
      <c r="F85" s="1" t="s">
        <v>6917</v>
      </c>
      <c r="H85" s="1" t="s">
        <v>6918</v>
      </c>
      <c r="J85" s="1" t="s">
        <v>896</v>
      </c>
      <c r="L85" s="1" t="s">
        <v>900</v>
      </c>
      <c r="M85" s="1" t="s">
        <v>1393</v>
      </c>
      <c r="N85" s="1" t="s">
        <v>1291</v>
      </c>
      <c r="P85" s="1" t="s">
        <v>3478</v>
      </c>
      <c r="Q85" s="3">
        <v>1</v>
      </c>
      <c r="R85" s="22" t="s">
        <v>2721</v>
      </c>
      <c r="S85" s="42" t="s">
        <v>6910</v>
      </c>
      <c r="T85" s="3" t="s">
        <v>4868</v>
      </c>
      <c r="U85" s="45">
        <v>35</v>
      </c>
      <c r="V85" t="s">
        <v>6919</v>
      </c>
      <c r="W85" s="1" t="str">
        <f>HYPERLINK("http://ictvonline.org/taxonomy/p/taxonomy-history?taxnode_id=201901486","ICTVonline=201901486")</f>
        <v>ICTVonline=201901486</v>
      </c>
    </row>
    <row r="86" spans="1:23">
      <c r="A86" s="3">
        <v>85</v>
      </c>
      <c r="B86" s="1" t="s">
        <v>6915</v>
      </c>
      <c r="D86" s="1" t="s">
        <v>6916</v>
      </c>
      <c r="F86" s="1" t="s">
        <v>6917</v>
      </c>
      <c r="H86" s="1" t="s">
        <v>6918</v>
      </c>
      <c r="J86" s="1" t="s">
        <v>896</v>
      </c>
      <c r="L86" s="1" t="s">
        <v>900</v>
      </c>
      <c r="M86" s="1" t="s">
        <v>1393</v>
      </c>
      <c r="N86" s="1" t="s">
        <v>1291</v>
      </c>
      <c r="P86" s="1" t="s">
        <v>3479</v>
      </c>
      <c r="Q86" s="3">
        <v>0</v>
      </c>
      <c r="R86" s="22" t="s">
        <v>2721</v>
      </c>
      <c r="S86" s="42" t="s">
        <v>6910</v>
      </c>
      <c r="T86" s="3" t="s">
        <v>4868</v>
      </c>
      <c r="U86" s="45">
        <v>35</v>
      </c>
      <c r="V86" t="s">
        <v>6919</v>
      </c>
      <c r="W86" s="1" t="str">
        <f>HYPERLINK("http://ictvonline.org/taxonomy/p/taxonomy-history?taxnode_id=201901487","ICTVonline=201901487")</f>
        <v>ICTVonline=201901487</v>
      </c>
    </row>
    <row r="87" spans="1:23">
      <c r="A87" s="3">
        <v>86</v>
      </c>
      <c r="B87" s="1" t="s">
        <v>6915</v>
      </c>
      <c r="D87" s="1" t="s">
        <v>6916</v>
      </c>
      <c r="F87" s="1" t="s">
        <v>6917</v>
      </c>
      <c r="H87" s="1" t="s">
        <v>6918</v>
      </c>
      <c r="J87" s="1" t="s">
        <v>896</v>
      </c>
      <c r="L87" s="1" t="s">
        <v>900</v>
      </c>
      <c r="M87" s="1" t="s">
        <v>1393</v>
      </c>
      <c r="N87" s="1" t="s">
        <v>1291</v>
      </c>
      <c r="P87" s="1" t="s">
        <v>6777</v>
      </c>
      <c r="Q87" s="3">
        <v>0</v>
      </c>
      <c r="R87" s="22" t="s">
        <v>2721</v>
      </c>
      <c r="S87" s="42" t="s">
        <v>6910</v>
      </c>
      <c r="T87" s="3" t="s">
        <v>4868</v>
      </c>
      <c r="U87" s="45">
        <v>35</v>
      </c>
      <c r="V87" t="s">
        <v>6919</v>
      </c>
      <c r="W87" s="1" t="str">
        <f>HYPERLINK("http://ictvonline.org/taxonomy/p/taxonomy-history?taxnode_id=201906406","ICTVonline=201906406")</f>
        <v>ICTVonline=201906406</v>
      </c>
    </row>
    <row r="88" spans="1:23">
      <c r="A88" s="3">
        <v>87</v>
      </c>
      <c r="B88" s="1" t="s">
        <v>6915</v>
      </c>
      <c r="D88" s="1" t="s">
        <v>6916</v>
      </c>
      <c r="F88" s="1" t="s">
        <v>6917</v>
      </c>
      <c r="H88" s="1" t="s">
        <v>6918</v>
      </c>
      <c r="J88" s="1" t="s">
        <v>896</v>
      </c>
      <c r="L88" s="1" t="s">
        <v>900</v>
      </c>
      <c r="M88" s="1" t="s">
        <v>1393</v>
      </c>
      <c r="N88" s="1" t="s">
        <v>1291</v>
      </c>
      <c r="P88" s="1" t="s">
        <v>3480</v>
      </c>
      <c r="Q88" s="3">
        <v>0</v>
      </c>
      <c r="R88" s="22" t="s">
        <v>2721</v>
      </c>
      <c r="S88" s="42" t="s">
        <v>6910</v>
      </c>
      <c r="T88" s="3" t="s">
        <v>4868</v>
      </c>
      <c r="U88" s="45">
        <v>35</v>
      </c>
      <c r="V88" t="s">
        <v>6919</v>
      </c>
      <c r="W88" s="1" t="str">
        <f>HYPERLINK("http://ictvonline.org/taxonomy/p/taxonomy-history?taxnode_id=201901488","ICTVonline=201901488")</f>
        <v>ICTVonline=201901488</v>
      </c>
    </row>
    <row r="89" spans="1:23">
      <c r="A89" s="3">
        <v>88</v>
      </c>
      <c r="B89" s="1" t="s">
        <v>6915</v>
      </c>
      <c r="D89" s="1" t="s">
        <v>6916</v>
      </c>
      <c r="F89" s="1" t="s">
        <v>6917</v>
      </c>
      <c r="H89" s="1" t="s">
        <v>6918</v>
      </c>
      <c r="J89" s="1" t="s">
        <v>896</v>
      </c>
      <c r="L89" s="1" t="s">
        <v>900</v>
      </c>
      <c r="M89" s="1" t="s">
        <v>1393</v>
      </c>
      <c r="N89" s="1" t="s">
        <v>1291</v>
      </c>
      <c r="P89" s="1" t="s">
        <v>3481</v>
      </c>
      <c r="Q89" s="3">
        <v>0</v>
      </c>
      <c r="R89" s="22" t="s">
        <v>2721</v>
      </c>
      <c r="S89" s="42" t="s">
        <v>6910</v>
      </c>
      <c r="T89" s="3" t="s">
        <v>4868</v>
      </c>
      <c r="U89" s="45">
        <v>35</v>
      </c>
      <c r="V89" t="s">
        <v>6919</v>
      </c>
      <c r="W89" s="1" t="str">
        <f>HYPERLINK("http://ictvonline.org/taxonomy/p/taxonomy-history?taxnode_id=201901489","ICTVonline=201901489")</f>
        <v>ICTVonline=201901489</v>
      </c>
    </row>
    <row r="90" spans="1:23">
      <c r="A90" s="3">
        <v>89</v>
      </c>
      <c r="B90" s="1" t="s">
        <v>6915</v>
      </c>
      <c r="D90" s="1" t="s">
        <v>6916</v>
      </c>
      <c r="F90" s="1" t="s">
        <v>6917</v>
      </c>
      <c r="H90" s="1" t="s">
        <v>6918</v>
      </c>
      <c r="J90" s="1" t="s">
        <v>896</v>
      </c>
      <c r="L90" s="1" t="s">
        <v>900</v>
      </c>
      <c r="M90" s="1" t="s">
        <v>1393</v>
      </c>
      <c r="N90" s="1" t="s">
        <v>1291</v>
      </c>
      <c r="P90" s="1" t="s">
        <v>3482</v>
      </c>
      <c r="Q90" s="3">
        <v>0</v>
      </c>
      <c r="R90" s="22" t="s">
        <v>2721</v>
      </c>
      <c r="S90" s="42" t="s">
        <v>6910</v>
      </c>
      <c r="T90" s="3" t="s">
        <v>4868</v>
      </c>
      <c r="U90" s="45">
        <v>35</v>
      </c>
      <c r="V90" t="s">
        <v>6919</v>
      </c>
      <c r="W90" s="1" t="str">
        <f>HYPERLINK("http://ictvonline.org/taxonomy/p/taxonomy-history?taxnode_id=201901490","ICTVonline=201901490")</f>
        <v>ICTVonline=201901490</v>
      </c>
    </row>
    <row r="91" spans="1:23">
      <c r="A91" s="3">
        <v>90</v>
      </c>
      <c r="B91" s="1" t="s">
        <v>6915</v>
      </c>
      <c r="D91" s="1" t="s">
        <v>6916</v>
      </c>
      <c r="F91" s="1" t="s">
        <v>6917</v>
      </c>
      <c r="H91" s="1" t="s">
        <v>6918</v>
      </c>
      <c r="J91" s="1" t="s">
        <v>896</v>
      </c>
      <c r="L91" s="1" t="s">
        <v>900</v>
      </c>
      <c r="M91" s="1" t="s">
        <v>1393</v>
      </c>
      <c r="N91" s="1" t="s">
        <v>1315</v>
      </c>
      <c r="P91" s="1" t="s">
        <v>3483</v>
      </c>
      <c r="Q91" s="3">
        <v>1</v>
      </c>
      <c r="R91" s="22" t="s">
        <v>2721</v>
      </c>
      <c r="S91" s="42" t="s">
        <v>6910</v>
      </c>
      <c r="T91" s="3" t="s">
        <v>4868</v>
      </c>
      <c r="U91" s="45">
        <v>35</v>
      </c>
      <c r="V91" t="s">
        <v>6919</v>
      </c>
      <c r="W91" s="1" t="str">
        <f>HYPERLINK("http://ictvonline.org/taxonomy/p/taxonomy-history?taxnode_id=201901492","ICTVonline=201901492")</f>
        <v>ICTVonline=201901492</v>
      </c>
    </row>
    <row r="92" spans="1:23">
      <c r="A92" s="3">
        <v>91</v>
      </c>
      <c r="B92" s="1" t="s">
        <v>6915</v>
      </c>
      <c r="D92" s="1" t="s">
        <v>6916</v>
      </c>
      <c r="F92" s="1" t="s">
        <v>6917</v>
      </c>
      <c r="H92" s="1" t="s">
        <v>6918</v>
      </c>
      <c r="J92" s="1" t="s">
        <v>896</v>
      </c>
      <c r="L92" s="1" t="s">
        <v>900</v>
      </c>
      <c r="M92" s="1" t="s">
        <v>1393</v>
      </c>
      <c r="N92" s="1" t="s">
        <v>1315</v>
      </c>
      <c r="P92" s="1" t="s">
        <v>3484</v>
      </c>
      <c r="Q92" s="3">
        <v>0</v>
      </c>
      <c r="R92" s="22" t="s">
        <v>2721</v>
      </c>
      <c r="S92" s="42" t="s">
        <v>6910</v>
      </c>
      <c r="T92" s="3" t="s">
        <v>4868</v>
      </c>
      <c r="U92" s="45">
        <v>35</v>
      </c>
      <c r="V92" t="s">
        <v>6919</v>
      </c>
      <c r="W92" s="1" t="str">
        <f>HYPERLINK("http://ictvonline.org/taxonomy/p/taxonomy-history?taxnode_id=201901493","ICTVonline=201901493")</f>
        <v>ICTVonline=201901493</v>
      </c>
    </row>
    <row r="93" spans="1:23">
      <c r="A93" s="3">
        <v>92</v>
      </c>
      <c r="B93" s="1" t="s">
        <v>6915</v>
      </c>
      <c r="D93" s="1" t="s">
        <v>6916</v>
      </c>
      <c r="F93" s="1" t="s">
        <v>6917</v>
      </c>
      <c r="H93" s="1" t="s">
        <v>6918</v>
      </c>
      <c r="J93" s="1" t="s">
        <v>896</v>
      </c>
      <c r="L93" s="1" t="s">
        <v>900</v>
      </c>
      <c r="M93" s="1" t="s">
        <v>1393</v>
      </c>
      <c r="N93" s="1" t="s">
        <v>1315</v>
      </c>
      <c r="P93" s="1" t="s">
        <v>3485</v>
      </c>
      <c r="Q93" s="3">
        <v>0</v>
      </c>
      <c r="R93" s="22" t="s">
        <v>2721</v>
      </c>
      <c r="S93" s="42" t="s">
        <v>6910</v>
      </c>
      <c r="T93" s="3" t="s">
        <v>4868</v>
      </c>
      <c r="U93" s="45">
        <v>35</v>
      </c>
      <c r="V93" t="s">
        <v>6919</v>
      </c>
      <c r="W93" s="1" t="str">
        <f>HYPERLINK("http://ictvonline.org/taxonomy/p/taxonomy-history?taxnode_id=201901494","ICTVonline=201901494")</f>
        <v>ICTVonline=201901494</v>
      </c>
    </row>
    <row r="94" spans="1:23">
      <c r="A94" s="3">
        <v>93</v>
      </c>
      <c r="B94" s="1" t="s">
        <v>6915</v>
      </c>
      <c r="D94" s="1" t="s">
        <v>6916</v>
      </c>
      <c r="F94" s="1" t="s">
        <v>6917</v>
      </c>
      <c r="H94" s="1" t="s">
        <v>6918</v>
      </c>
      <c r="J94" s="1" t="s">
        <v>896</v>
      </c>
      <c r="L94" s="1" t="s">
        <v>900</v>
      </c>
      <c r="M94" s="1" t="s">
        <v>1393</v>
      </c>
      <c r="N94" s="1" t="s">
        <v>1315</v>
      </c>
      <c r="P94" s="1" t="s">
        <v>3486</v>
      </c>
      <c r="Q94" s="3">
        <v>0</v>
      </c>
      <c r="R94" s="22" t="s">
        <v>2721</v>
      </c>
      <c r="S94" s="42" t="s">
        <v>6910</v>
      </c>
      <c r="T94" s="3" t="s">
        <v>4868</v>
      </c>
      <c r="U94" s="45">
        <v>35</v>
      </c>
      <c r="V94" t="s">
        <v>6919</v>
      </c>
      <c r="W94" s="1" t="str">
        <f>HYPERLINK("http://ictvonline.org/taxonomy/p/taxonomy-history?taxnode_id=201901495","ICTVonline=201901495")</f>
        <v>ICTVonline=201901495</v>
      </c>
    </row>
    <row r="95" spans="1:23">
      <c r="A95" s="3">
        <v>94</v>
      </c>
      <c r="B95" s="1" t="s">
        <v>6915</v>
      </c>
      <c r="D95" s="1" t="s">
        <v>6916</v>
      </c>
      <c r="F95" s="1" t="s">
        <v>6917</v>
      </c>
      <c r="H95" s="1" t="s">
        <v>6918</v>
      </c>
      <c r="J95" s="1" t="s">
        <v>896</v>
      </c>
      <c r="L95" s="1" t="s">
        <v>900</v>
      </c>
      <c r="M95" s="1" t="s">
        <v>1393</v>
      </c>
      <c r="N95" s="1" t="s">
        <v>1315</v>
      </c>
      <c r="P95" s="1" t="s">
        <v>3487</v>
      </c>
      <c r="Q95" s="3">
        <v>0</v>
      </c>
      <c r="R95" s="22" t="s">
        <v>2721</v>
      </c>
      <c r="S95" s="42" t="s">
        <v>6910</v>
      </c>
      <c r="T95" s="3" t="s">
        <v>4868</v>
      </c>
      <c r="U95" s="45">
        <v>35</v>
      </c>
      <c r="V95" t="s">
        <v>6919</v>
      </c>
      <c r="W95" s="1" t="str">
        <f>HYPERLINK("http://ictvonline.org/taxonomy/p/taxonomy-history?taxnode_id=201901496","ICTVonline=201901496")</f>
        <v>ICTVonline=201901496</v>
      </c>
    </row>
    <row r="96" spans="1:23">
      <c r="A96" s="3">
        <v>95</v>
      </c>
      <c r="B96" s="1" t="s">
        <v>6915</v>
      </c>
      <c r="D96" s="1" t="s">
        <v>6916</v>
      </c>
      <c r="F96" s="1" t="s">
        <v>6917</v>
      </c>
      <c r="H96" s="1" t="s">
        <v>6918</v>
      </c>
      <c r="J96" s="1" t="s">
        <v>896</v>
      </c>
      <c r="L96" s="1" t="s">
        <v>900</v>
      </c>
      <c r="M96" s="1" t="s">
        <v>1393</v>
      </c>
      <c r="N96" s="1" t="s">
        <v>1315</v>
      </c>
      <c r="P96" s="1" t="s">
        <v>3488</v>
      </c>
      <c r="Q96" s="3">
        <v>0</v>
      </c>
      <c r="R96" s="22" t="s">
        <v>2721</v>
      </c>
      <c r="S96" s="42" t="s">
        <v>6910</v>
      </c>
      <c r="T96" s="3" t="s">
        <v>4868</v>
      </c>
      <c r="U96" s="45">
        <v>35</v>
      </c>
      <c r="V96" t="s">
        <v>6919</v>
      </c>
      <c r="W96" s="1" t="str">
        <f>HYPERLINK("http://ictvonline.org/taxonomy/p/taxonomy-history?taxnode_id=201901497","ICTVonline=201901497")</f>
        <v>ICTVonline=201901497</v>
      </c>
    </row>
    <row r="97" spans="1:23">
      <c r="A97" s="3">
        <v>96</v>
      </c>
      <c r="B97" s="1" t="s">
        <v>6915</v>
      </c>
      <c r="D97" s="1" t="s">
        <v>6916</v>
      </c>
      <c r="F97" s="1" t="s">
        <v>6917</v>
      </c>
      <c r="H97" s="1" t="s">
        <v>6918</v>
      </c>
      <c r="J97" s="1" t="s">
        <v>896</v>
      </c>
      <c r="L97" s="1" t="s">
        <v>900</v>
      </c>
      <c r="M97" s="1" t="s">
        <v>1393</v>
      </c>
      <c r="N97" s="1" t="s">
        <v>1315</v>
      </c>
      <c r="P97" s="1" t="s">
        <v>3489</v>
      </c>
      <c r="Q97" s="3">
        <v>0</v>
      </c>
      <c r="R97" s="22" t="s">
        <v>2721</v>
      </c>
      <c r="S97" s="42" t="s">
        <v>6910</v>
      </c>
      <c r="T97" s="3" t="s">
        <v>4868</v>
      </c>
      <c r="U97" s="45">
        <v>35</v>
      </c>
      <c r="V97" t="s">
        <v>6919</v>
      </c>
      <c r="W97" s="1" t="str">
        <f>HYPERLINK("http://ictvonline.org/taxonomy/p/taxonomy-history?taxnode_id=201901498","ICTVonline=201901498")</f>
        <v>ICTVonline=201901498</v>
      </c>
    </row>
    <row r="98" spans="1:23">
      <c r="A98" s="3">
        <v>97</v>
      </c>
      <c r="B98" s="1" t="s">
        <v>6915</v>
      </c>
      <c r="D98" s="1" t="s">
        <v>6916</v>
      </c>
      <c r="F98" s="1" t="s">
        <v>6917</v>
      </c>
      <c r="H98" s="1" t="s">
        <v>6918</v>
      </c>
      <c r="J98" s="1" t="s">
        <v>896</v>
      </c>
      <c r="L98" s="1" t="s">
        <v>900</v>
      </c>
      <c r="M98" s="1" t="s">
        <v>1393</v>
      </c>
      <c r="N98" s="1" t="s">
        <v>1315</v>
      </c>
      <c r="P98" s="1" t="s">
        <v>3490</v>
      </c>
      <c r="Q98" s="3">
        <v>0</v>
      </c>
      <c r="R98" s="22" t="s">
        <v>2721</v>
      </c>
      <c r="S98" s="42" t="s">
        <v>6910</v>
      </c>
      <c r="T98" s="3" t="s">
        <v>4868</v>
      </c>
      <c r="U98" s="45">
        <v>35</v>
      </c>
      <c r="V98" t="s">
        <v>6919</v>
      </c>
      <c r="W98" s="1" t="str">
        <f>HYPERLINK("http://ictvonline.org/taxonomy/p/taxonomy-history?taxnode_id=201901499","ICTVonline=201901499")</f>
        <v>ICTVonline=201901499</v>
      </c>
    </row>
    <row r="99" spans="1:23">
      <c r="A99" s="3">
        <v>98</v>
      </c>
      <c r="B99" s="1" t="s">
        <v>6915</v>
      </c>
      <c r="D99" s="1" t="s">
        <v>6916</v>
      </c>
      <c r="F99" s="1" t="s">
        <v>6917</v>
      </c>
      <c r="H99" s="1" t="s">
        <v>6918</v>
      </c>
      <c r="J99" s="1" t="s">
        <v>896</v>
      </c>
      <c r="L99" s="1" t="s">
        <v>900</v>
      </c>
      <c r="M99" s="1" t="s">
        <v>1393</v>
      </c>
      <c r="N99" s="1" t="s">
        <v>1315</v>
      </c>
      <c r="P99" s="1" t="s">
        <v>3491</v>
      </c>
      <c r="Q99" s="3">
        <v>0</v>
      </c>
      <c r="R99" s="22" t="s">
        <v>2721</v>
      </c>
      <c r="S99" s="42" t="s">
        <v>6910</v>
      </c>
      <c r="T99" s="3" t="s">
        <v>4868</v>
      </c>
      <c r="U99" s="45">
        <v>35</v>
      </c>
      <c r="V99" t="s">
        <v>6919</v>
      </c>
      <c r="W99" s="1" t="str">
        <f>HYPERLINK("http://ictvonline.org/taxonomy/p/taxonomy-history?taxnode_id=201901500","ICTVonline=201901500")</f>
        <v>ICTVonline=201901500</v>
      </c>
    </row>
    <row r="100" spans="1:23">
      <c r="A100" s="3">
        <v>99</v>
      </c>
      <c r="B100" s="1" t="s">
        <v>6915</v>
      </c>
      <c r="D100" s="1" t="s">
        <v>6916</v>
      </c>
      <c r="F100" s="1" t="s">
        <v>6917</v>
      </c>
      <c r="H100" s="1" t="s">
        <v>6918</v>
      </c>
      <c r="J100" s="1" t="s">
        <v>896</v>
      </c>
      <c r="L100" s="1" t="s">
        <v>900</v>
      </c>
      <c r="M100" s="1" t="s">
        <v>1393</v>
      </c>
      <c r="N100" s="1" t="s">
        <v>1284</v>
      </c>
      <c r="P100" s="1" t="s">
        <v>3492</v>
      </c>
      <c r="Q100" s="3">
        <v>1</v>
      </c>
      <c r="R100" s="22" t="s">
        <v>2721</v>
      </c>
      <c r="S100" s="42" t="s">
        <v>6910</v>
      </c>
      <c r="T100" s="3" t="s">
        <v>4868</v>
      </c>
      <c r="U100" s="45">
        <v>35</v>
      </c>
      <c r="V100" t="s">
        <v>6919</v>
      </c>
      <c r="W100" s="1" t="str">
        <f>HYPERLINK("http://ictvonline.org/taxonomy/p/taxonomy-history?taxnode_id=201901502","ICTVonline=201901502")</f>
        <v>ICTVonline=201901502</v>
      </c>
    </row>
    <row r="101" spans="1:23">
      <c r="A101" s="3">
        <v>100</v>
      </c>
      <c r="B101" s="1" t="s">
        <v>6915</v>
      </c>
      <c r="D101" s="1" t="s">
        <v>6916</v>
      </c>
      <c r="F101" s="1" t="s">
        <v>6917</v>
      </c>
      <c r="H101" s="1" t="s">
        <v>6918</v>
      </c>
      <c r="J101" s="1" t="s">
        <v>896</v>
      </c>
      <c r="L101" s="1" t="s">
        <v>900</v>
      </c>
      <c r="M101" s="1" t="s">
        <v>1393</v>
      </c>
      <c r="N101" s="1" t="s">
        <v>1284</v>
      </c>
      <c r="P101" s="1" t="s">
        <v>3493</v>
      </c>
      <c r="Q101" s="3">
        <v>0</v>
      </c>
      <c r="R101" s="22" t="s">
        <v>2721</v>
      </c>
      <c r="S101" s="42" t="s">
        <v>6910</v>
      </c>
      <c r="T101" s="3" t="s">
        <v>4868</v>
      </c>
      <c r="U101" s="45">
        <v>35</v>
      </c>
      <c r="V101" t="s">
        <v>6919</v>
      </c>
      <c r="W101" s="1" t="str">
        <f>HYPERLINK("http://ictvonline.org/taxonomy/p/taxonomy-history?taxnode_id=201901503","ICTVonline=201901503")</f>
        <v>ICTVonline=201901503</v>
      </c>
    </row>
    <row r="102" spans="1:23">
      <c r="A102" s="3">
        <v>101</v>
      </c>
      <c r="B102" s="1" t="s">
        <v>6915</v>
      </c>
      <c r="D102" s="1" t="s">
        <v>6916</v>
      </c>
      <c r="F102" s="1" t="s">
        <v>6917</v>
      </c>
      <c r="H102" s="1" t="s">
        <v>6918</v>
      </c>
      <c r="J102" s="1" t="s">
        <v>896</v>
      </c>
      <c r="L102" s="1" t="s">
        <v>900</v>
      </c>
      <c r="M102" s="1" t="s">
        <v>1393</v>
      </c>
      <c r="N102" s="1" t="s">
        <v>1284</v>
      </c>
      <c r="P102" s="1" t="s">
        <v>6778</v>
      </c>
      <c r="Q102" s="3">
        <v>0</v>
      </c>
      <c r="R102" s="22" t="s">
        <v>2721</v>
      </c>
      <c r="S102" s="42" t="s">
        <v>6910</v>
      </c>
      <c r="T102" s="3" t="s">
        <v>4868</v>
      </c>
      <c r="U102" s="45">
        <v>35</v>
      </c>
      <c r="V102" t="s">
        <v>6919</v>
      </c>
      <c r="W102" s="1" t="str">
        <f>HYPERLINK("http://ictvonline.org/taxonomy/p/taxonomy-history?taxnode_id=201906410","ICTVonline=201906410")</f>
        <v>ICTVonline=201906410</v>
      </c>
    </row>
    <row r="103" spans="1:23">
      <c r="A103" s="3">
        <v>102</v>
      </c>
      <c r="B103" s="1" t="s">
        <v>6915</v>
      </c>
      <c r="D103" s="1" t="s">
        <v>6916</v>
      </c>
      <c r="F103" s="1" t="s">
        <v>6917</v>
      </c>
      <c r="H103" s="1" t="s">
        <v>6918</v>
      </c>
      <c r="J103" s="1" t="s">
        <v>896</v>
      </c>
      <c r="L103" s="1" t="s">
        <v>900</v>
      </c>
      <c r="M103" s="1" t="s">
        <v>1393</v>
      </c>
      <c r="N103" s="1" t="s">
        <v>1284</v>
      </c>
      <c r="P103" s="1" t="s">
        <v>3494</v>
      </c>
      <c r="Q103" s="3">
        <v>0</v>
      </c>
      <c r="R103" s="22" t="s">
        <v>2721</v>
      </c>
      <c r="S103" s="42" t="s">
        <v>6910</v>
      </c>
      <c r="T103" s="3" t="s">
        <v>4868</v>
      </c>
      <c r="U103" s="45">
        <v>35</v>
      </c>
      <c r="V103" t="s">
        <v>6919</v>
      </c>
      <c r="W103" s="1" t="str">
        <f>HYPERLINK("http://ictvonline.org/taxonomy/p/taxonomy-history?taxnode_id=201901504","ICTVonline=201901504")</f>
        <v>ICTVonline=201901504</v>
      </c>
    </row>
    <row r="104" spans="1:23">
      <c r="A104" s="3">
        <v>103</v>
      </c>
      <c r="B104" s="1" t="s">
        <v>6915</v>
      </c>
      <c r="D104" s="1" t="s">
        <v>6916</v>
      </c>
      <c r="F104" s="1" t="s">
        <v>6917</v>
      </c>
      <c r="H104" s="1" t="s">
        <v>6918</v>
      </c>
      <c r="J104" s="1" t="s">
        <v>896</v>
      </c>
      <c r="L104" s="1" t="s">
        <v>900</v>
      </c>
      <c r="M104" s="1" t="s">
        <v>1393</v>
      </c>
      <c r="N104" s="1" t="s">
        <v>1284</v>
      </c>
      <c r="P104" s="1" t="s">
        <v>6779</v>
      </c>
      <c r="Q104" s="3">
        <v>0</v>
      </c>
      <c r="R104" s="22" t="s">
        <v>2721</v>
      </c>
      <c r="S104" s="42" t="s">
        <v>6910</v>
      </c>
      <c r="T104" s="3" t="s">
        <v>4868</v>
      </c>
      <c r="U104" s="45">
        <v>35</v>
      </c>
      <c r="V104" t="s">
        <v>6919</v>
      </c>
      <c r="W104" s="1" t="str">
        <f>HYPERLINK("http://ictvonline.org/taxonomy/p/taxonomy-history?taxnode_id=201906411","ICTVonline=201906411")</f>
        <v>ICTVonline=201906411</v>
      </c>
    </row>
    <row r="105" spans="1:23">
      <c r="A105" s="3">
        <v>104</v>
      </c>
      <c r="B105" s="1" t="s">
        <v>6915</v>
      </c>
      <c r="D105" s="1" t="s">
        <v>6916</v>
      </c>
      <c r="F105" s="1" t="s">
        <v>6917</v>
      </c>
      <c r="H105" s="1" t="s">
        <v>6918</v>
      </c>
      <c r="J105" s="1" t="s">
        <v>896</v>
      </c>
      <c r="L105" s="1" t="s">
        <v>900</v>
      </c>
      <c r="M105" s="1" t="s">
        <v>1393</v>
      </c>
      <c r="N105" s="1" t="s">
        <v>1284</v>
      </c>
      <c r="P105" s="1" t="s">
        <v>6780</v>
      </c>
      <c r="Q105" s="3">
        <v>0</v>
      </c>
      <c r="R105" s="22" t="s">
        <v>2721</v>
      </c>
      <c r="S105" s="42" t="s">
        <v>6910</v>
      </c>
      <c r="T105" s="3" t="s">
        <v>4868</v>
      </c>
      <c r="U105" s="45">
        <v>35</v>
      </c>
      <c r="V105" t="s">
        <v>6919</v>
      </c>
      <c r="W105" s="1" t="str">
        <f>HYPERLINK("http://ictvonline.org/taxonomy/p/taxonomy-history?taxnode_id=201906412","ICTVonline=201906412")</f>
        <v>ICTVonline=201906412</v>
      </c>
    </row>
    <row r="106" spans="1:23">
      <c r="A106" s="3">
        <v>105</v>
      </c>
      <c r="B106" s="1" t="s">
        <v>6915</v>
      </c>
      <c r="D106" s="1" t="s">
        <v>6916</v>
      </c>
      <c r="F106" s="1" t="s">
        <v>6917</v>
      </c>
      <c r="H106" s="1" t="s">
        <v>6918</v>
      </c>
      <c r="J106" s="1" t="s">
        <v>896</v>
      </c>
      <c r="L106" s="1" t="s">
        <v>900</v>
      </c>
      <c r="M106" s="1" t="s">
        <v>1393</v>
      </c>
      <c r="N106" s="1" t="s">
        <v>1285</v>
      </c>
      <c r="P106" s="1" t="s">
        <v>3495</v>
      </c>
      <c r="Q106" s="3">
        <v>0</v>
      </c>
      <c r="R106" s="22" t="s">
        <v>2721</v>
      </c>
      <c r="S106" s="42" t="s">
        <v>6910</v>
      </c>
      <c r="T106" s="3" t="s">
        <v>4868</v>
      </c>
      <c r="U106" s="45">
        <v>35</v>
      </c>
      <c r="V106" t="s">
        <v>6919</v>
      </c>
      <c r="W106" s="1" t="str">
        <f>HYPERLINK("http://ictvonline.org/taxonomy/p/taxonomy-history?taxnode_id=201901506","ICTVonline=201901506")</f>
        <v>ICTVonline=201901506</v>
      </c>
    </row>
    <row r="107" spans="1:23">
      <c r="A107" s="3">
        <v>106</v>
      </c>
      <c r="B107" s="1" t="s">
        <v>6915</v>
      </c>
      <c r="D107" s="1" t="s">
        <v>6916</v>
      </c>
      <c r="F107" s="1" t="s">
        <v>6917</v>
      </c>
      <c r="H107" s="1" t="s">
        <v>6918</v>
      </c>
      <c r="J107" s="1" t="s">
        <v>896</v>
      </c>
      <c r="L107" s="1" t="s">
        <v>900</v>
      </c>
      <c r="M107" s="1" t="s">
        <v>1393</v>
      </c>
      <c r="N107" s="1" t="s">
        <v>1285</v>
      </c>
      <c r="P107" s="1" t="s">
        <v>3496</v>
      </c>
      <c r="Q107" s="3">
        <v>0</v>
      </c>
      <c r="R107" s="22" t="s">
        <v>2721</v>
      </c>
      <c r="S107" s="42" t="s">
        <v>6910</v>
      </c>
      <c r="T107" s="3" t="s">
        <v>4868</v>
      </c>
      <c r="U107" s="45">
        <v>35</v>
      </c>
      <c r="V107" t="s">
        <v>6919</v>
      </c>
      <c r="W107" s="1" t="str">
        <f>HYPERLINK("http://ictvonline.org/taxonomy/p/taxonomy-history?taxnode_id=201901507","ICTVonline=201901507")</f>
        <v>ICTVonline=201901507</v>
      </c>
    </row>
    <row r="108" spans="1:23">
      <c r="A108" s="3">
        <v>107</v>
      </c>
      <c r="B108" s="1" t="s">
        <v>6915</v>
      </c>
      <c r="D108" s="1" t="s">
        <v>6916</v>
      </c>
      <c r="F108" s="1" t="s">
        <v>6917</v>
      </c>
      <c r="H108" s="1" t="s">
        <v>6918</v>
      </c>
      <c r="J108" s="1" t="s">
        <v>896</v>
      </c>
      <c r="L108" s="1" t="s">
        <v>900</v>
      </c>
      <c r="M108" s="1" t="s">
        <v>1393</v>
      </c>
      <c r="N108" s="1" t="s">
        <v>1285</v>
      </c>
      <c r="P108" s="1" t="s">
        <v>3497</v>
      </c>
      <c r="Q108" s="3">
        <v>0</v>
      </c>
      <c r="R108" s="22" t="s">
        <v>2721</v>
      </c>
      <c r="S108" s="42" t="s">
        <v>6910</v>
      </c>
      <c r="T108" s="3" t="s">
        <v>4868</v>
      </c>
      <c r="U108" s="45">
        <v>35</v>
      </c>
      <c r="V108" t="s">
        <v>6919</v>
      </c>
      <c r="W108" s="1" t="str">
        <f>HYPERLINK("http://ictvonline.org/taxonomy/p/taxonomy-history?taxnode_id=201901508","ICTVonline=201901508")</f>
        <v>ICTVonline=201901508</v>
      </c>
    </row>
    <row r="109" spans="1:23">
      <c r="A109" s="3">
        <v>108</v>
      </c>
      <c r="B109" s="1" t="s">
        <v>6915</v>
      </c>
      <c r="D109" s="1" t="s">
        <v>6916</v>
      </c>
      <c r="F109" s="1" t="s">
        <v>6917</v>
      </c>
      <c r="H109" s="1" t="s">
        <v>6918</v>
      </c>
      <c r="J109" s="1" t="s">
        <v>896</v>
      </c>
      <c r="L109" s="1" t="s">
        <v>900</v>
      </c>
      <c r="M109" s="1" t="s">
        <v>1393</v>
      </c>
      <c r="N109" s="1" t="s">
        <v>1285</v>
      </c>
      <c r="P109" s="1" t="s">
        <v>3498</v>
      </c>
      <c r="Q109" s="3">
        <v>0</v>
      </c>
      <c r="R109" s="22" t="s">
        <v>2721</v>
      </c>
      <c r="S109" s="42" t="s">
        <v>6910</v>
      </c>
      <c r="T109" s="3" t="s">
        <v>4868</v>
      </c>
      <c r="U109" s="45">
        <v>35</v>
      </c>
      <c r="V109" t="s">
        <v>6919</v>
      </c>
      <c r="W109" s="1" t="str">
        <f>HYPERLINK("http://ictvonline.org/taxonomy/p/taxonomy-history?taxnode_id=201901509","ICTVonline=201901509")</f>
        <v>ICTVonline=201901509</v>
      </c>
    </row>
    <row r="110" spans="1:23">
      <c r="A110" s="3">
        <v>109</v>
      </c>
      <c r="B110" s="1" t="s">
        <v>6915</v>
      </c>
      <c r="D110" s="1" t="s">
        <v>6916</v>
      </c>
      <c r="F110" s="1" t="s">
        <v>6917</v>
      </c>
      <c r="H110" s="1" t="s">
        <v>6918</v>
      </c>
      <c r="J110" s="1" t="s">
        <v>896</v>
      </c>
      <c r="L110" s="1" t="s">
        <v>900</v>
      </c>
      <c r="M110" s="1" t="s">
        <v>1393</v>
      </c>
      <c r="N110" s="1" t="s">
        <v>1285</v>
      </c>
      <c r="P110" s="1" t="s">
        <v>3499</v>
      </c>
      <c r="Q110" s="3">
        <v>0</v>
      </c>
      <c r="R110" s="22" t="s">
        <v>2721</v>
      </c>
      <c r="S110" s="42" t="s">
        <v>6910</v>
      </c>
      <c r="T110" s="3" t="s">
        <v>4868</v>
      </c>
      <c r="U110" s="45">
        <v>35</v>
      </c>
      <c r="V110" t="s">
        <v>6919</v>
      </c>
      <c r="W110" s="1" t="str">
        <f>HYPERLINK("http://ictvonline.org/taxonomy/p/taxonomy-history?taxnode_id=201901510","ICTVonline=201901510")</f>
        <v>ICTVonline=201901510</v>
      </c>
    </row>
    <row r="111" spans="1:23">
      <c r="A111" s="3">
        <v>110</v>
      </c>
      <c r="B111" s="1" t="s">
        <v>6915</v>
      </c>
      <c r="D111" s="1" t="s">
        <v>6916</v>
      </c>
      <c r="F111" s="1" t="s">
        <v>6917</v>
      </c>
      <c r="H111" s="1" t="s">
        <v>6918</v>
      </c>
      <c r="J111" s="1" t="s">
        <v>896</v>
      </c>
      <c r="L111" s="1" t="s">
        <v>900</v>
      </c>
      <c r="M111" s="1" t="s">
        <v>1393</v>
      </c>
      <c r="N111" s="1" t="s">
        <v>1285</v>
      </c>
      <c r="P111" s="1" t="s">
        <v>3500</v>
      </c>
      <c r="Q111" s="3">
        <v>0</v>
      </c>
      <c r="R111" s="22" t="s">
        <v>2721</v>
      </c>
      <c r="S111" s="42" t="s">
        <v>6910</v>
      </c>
      <c r="T111" s="3" t="s">
        <v>4868</v>
      </c>
      <c r="U111" s="45">
        <v>35</v>
      </c>
      <c r="V111" t="s">
        <v>6919</v>
      </c>
      <c r="W111" s="1" t="str">
        <f>HYPERLINK("http://ictvonline.org/taxonomy/p/taxonomy-history?taxnode_id=201901511","ICTVonline=201901511")</f>
        <v>ICTVonline=201901511</v>
      </c>
    </row>
    <row r="112" spans="1:23">
      <c r="A112" s="3">
        <v>111</v>
      </c>
      <c r="B112" s="1" t="s">
        <v>6915</v>
      </c>
      <c r="D112" s="1" t="s">
        <v>6916</v>
      </c>
      <c r="F112" s="1" t="s">
        <v>6917</v>
      </c>
      <c r="H112" s="1" t="s">
        <v>6918</v>
      </c>
      <c r="J112" s="1" t="s">
        <v>896</v>
      </c>
      <c r="L112" s="1" t="s">
        <v>900</v>
      </c>
      <c r="M112" s="1" t="s">
        <v>1393</v>
      </c>
      <c r="N112" s="1" t="s">
        <v>1285</v>
      </c>
      <c r="P112" s="1" t="s">
        <v>6781</v>
      </c>
      <c r="Q112" s="3">
        <v>0</v>
      </c>
      <c r="R112" s="22" t="s">
        <v>2721</v>
      </c>
      <c r="S112" s="42" t="s">
        <v>6910</v>
      </c>
      <c r="T112" s="3" t="s">
        <v>4868</v>
      </c>
      <c r="U112" s="45">
        <v>35</v>
      </c>
      <c r="V112" t="s">
        <v>6919</v>
      </c>
      <c r="W112" s="1" t="str">
        <f>HYPERLINK("http://ictvonline.org/taxonomy/p/taxonomy-history?taxnode_id=201906407","ICTVonline=201906407")</f>
        <v>ICTVonline=201906407</v>
      </c>
    </row>
    <row r="113" spans="1:23">
      <c r="A113" s="3">
        <v>112</v>
      </c>
      <c r="B113" s="1" t="s">
        <v>6915</v>
      </c>
      <c r="D113" s="1" t="s">
        <v>6916</v>
      </c>
      <c r="F113" s="1" t="s">
        <v>6917</v>
      </c>
      <c r="H113" s="1" t="s">
        <v>6918</v>
      </c>
      <c r="J113" s="1" t="s">
        <v>896</v>
      </c>
      <c r="L113" s="1" t="s">
        <v>900</v>
      </c>
      <c r="M113" s="1" t="s">
        <v>1393</v>
      </c>
      <c r="N113" s="1" t="s">
        <v>1285</v>
      </c>
      <c r="P113" s="1" t="s">
        <v>6782</v>
      </c>
      <c r="Q113" s="3">
        <v>0</v>
      </c>
      <c r="R113" s="22" t="s">
        <v>2721</v>
      </c>
      <c r="S113" s="42" t="s">
        <v>6910</v>
      </c>
      <c r="T113" s="3" t="s">
        <v>4868</v>
      </c>
      <c r="U113" s="45">
        <v>35</v>
      </c>
      <c r="V113" t="s">
        <v>6919</v>
      </c>
      <c r="W113" s="1" t="str">
        <f>HYPERLINK("http://ictvonline.org/taxonomy/p/taxonomy-history?taxnode_id=201906408","ICTVonline=201906408")</f>
        <v>ICTVonline=201906408</v>
      </c>
    </row>
    <row r="114" spans="1:23">
      <c r="A114" s="3">
        <v>113</v>
      </c>
      <c r="B114" s="1" t="s">
        <v>6915</v>
      </c>
      <c r="D114" s="1" t="s">
        <v>6916</v>
      </c>
      <c r="F114" s="1" t="s">
        <v>6917</v>
      </c>
      <c r="H114" s="1" t="s">
        <v>6918</v>
      </c>
      <c r="J114" s="1" t="s">
        <v>896</v>
      </c>
      <c r="L114" s="1" t="s">
        <v>900</v>
      </c>
      <c r="M114" s="1" t="s">
        <v>1393</v>
      </c>
      <c r="N114" s="1" t="s">
        <v>1285</v>
      </c>
      <c r="P114" s="1" t="s">
        <v>6783</v>
      </c>
      <c r="Q114" s="3">
        <v>0</v>
      </c>
      <c r="R114" s="22" t="s">
        <v>2721</v>
      </c>
      <c r="S114" s="42" t="s">
        <v>6910</v>
      </c>
      <c r="T114" s="3" t="s">
        <v>4868</v>
      </c>
      <c r="U114" s="45">
        <v>35</v>
      </c>
      <c r="V114" t="s">
        <v>6919</v>
      </c>
      <c r="W114" s="1" t="str">
        <f>HYPERLINK("http://ictvonline.org/taxonomy/p/taxonomy-history?taxnode_id=201906409","ICTVonline=201906409")</f>
        <v>ICTVonline=201906409</v>
      </c>
    </row>
    <row r="115" spans="1:23">
      <c r="A115" s="3">
        <v>114</v>
      </c>
      <c r="B115" s="1" t="s">
        <v>6915</v>
      </c>
      <c r="D115" s="1" t="s">
        <v>6916</v>
      </c>
      <c r="F115" s="1" t="s">
        <v>6917</v>
      </c>
      <c r="H115" s="1" t="s">
        <v>6918</v>
      </c>
      <c r="J115" s="1" t="s">
        <v>896</v>
      </c>
      <c r="L115" s="1" t="s">
        <v>900</v>
      </c>
      <c r="M115" s="1" t="s">
        <v>1393</v>
      </c>
      <c r="N115" s="1" t="s">
        <v>1285</v>
      </c>
      <c r="P115" s="4" t="s">
        <v>3501</v>
      </c>
      <c r="Q115" s="3">
        <v>0</v>
      </c>
      <c r="R115" s="23" t="s">
        <v>2721</v>
      </c>
      <c r="S115" s="42" t="s">
        <v>6910</v>
      </c>
      <c r="T115" s="3" t="s">
        <v>4868</v>
      </c>
      <c r="U115" s="45">
        <v>35</v>
      </c>
      <c r="V115" t="s">
        <v>6919</v>
      </c>
      <c r="W115" s="1" t="str">
        <f>HYPERLINK("http://ictvonline.org/taxonomy/p/taxonomy-history?taxnode_id=201901512","ICTVonline=201901512")</f>
        <v>ICTVonline=201901512</v>
      </c>
    </row>
    <row r="116" spans="1:23">
      <c r="A116" s="3">
        <v>115</v>
      </c>
      <c r="B116" s="1" t="s">
        <v>6915</v>
      </c>
      <c r="D116" s="1" t="s">
        <v>6916</v>
      </c>
      <c r="F116" s="1" t="s">
        <v>6917</v>
      </c>
      <c r="H116" s="1" t="s">
        <v>6918</v>
      </c>
      <c r="J116" s="1" t="s">
        <v>896</v>
      </c>
      <c r="L116" s="1" t="s">
        <v>900</v>
      </c>
      <c r="M116" s="1" t="s">
        <v>1393</v>
      </c>
      <c r="N116" s="1" t="s">
        <v>1285</v>
      </c>
      <c r="P116" s="1" t="s">
        <v>3502</v>
      </c>
      <c r="Q116" s="3">
        <v>0</v>
      </c>
      <c r="R116" s="22" t="s">
        <v>2721</v>
      </c>
      <c r="S116" s="42" t="s">
        <v>6910</v>
      </c>
      <c r="T116" s="3" t="s">
        <v>4868</v>
      </c>
      <c r="U116" s="45">
        <v>35</v>
      </c>
      <c r="V116" t="s">
        <v>6919</v>
      </c>
      <c r="W116" s="1" t="str">
        <f>HYPERLINK("http://ictvonline.org/taxonomy/p/taxonomy-history?taxnode_id=201901513","ICTVonline=201901513")</f>
        <v>ICTVonline=201901513</v>
      </c>
    </row>
    <row r="117" spans="1:23">
      <c r="A117" s="3">
        <v>116</v>
      </c>
      <c r="B117" s="1" t="s">
        <v>6915</v>
      </c>
      <c r="D117" s="1" t="s">
        <v>6916</v>
      </c>
      <c r="F117" s="1" t="s">
        <v>6917</v>
      </c>
      <c r="H117" s="1" t="s">
        <v>6918</v>
      </c>
      <c r="J117" s="1" t="s">
        <v>896</v>
      </c>
      <c r="L117" s="1" t="s">
        <v>900</v>
      </c>
      <c r="M117" s="1" t="s">
        <v>1393</v>
      </c>
      <c r="N117" s="1" t="s">
        <v>1285</v>
      </c>
      <c r="P117" s="1" t="s">
        <v>3503</v>
      </c>
      <c r="Q117" s="3">
        <v>1</v>
      </c>
      <c r="R117" s="22" t="s">
        <v>2721</v>
      </c>
      <c r="S117" s="42" t="s">
        <v>6910</v>
      </c>
      <c r="T117" s="3" t="s">
        <v>4868</v>
      </c>
      <c r="U117" s="45">
        <v>35</v>
      </c>
      <c r="V117" t="s">
        <v>6919</v>
      </c>
      <c r="W117" s="1" t="str">
        <f>HYPERLINK("http://ictvonline.org/taxonomy/p/taxonomy-history?taxnode_id=201901514","ICTVonline=201901514")</f>
        <v>ICTVonline=201901514</v>
      </c>
    </row>
    <row r="118" spans="1:23">
      <c r="A118" s="3">
        <v>117</v>
      </c>
      <c r="B118" s="1" t="s">
        <v>6915</v>
      </c>
      <c r="D118" s="1" t="s">
        <v>6916</v>
      </c>
      <c r="F118" s="1" t="s">
        <v>6917</v>
      </c>
      <c r="H118" s="1" t="s">
        <v>6918</v>
      </c>
      <c r="J118" s="1" t="s">
        <v>896</v>
      </c>
      <c r="L118" s="1" t="s">
        <v>900</v>
      </c>
      <c r="M118" s="1" t="s">
        <v>1393</v>
      </c>
      <c r="P118" s="1" t="s">
        <v>3504</v>
      </c>
      <c r="Q118" s="3">
        <v>0</v>
      </c>
      <c r="R118" s="22" t="s">
        <v>2721</v>
      </c>
      <c r="S118" s="42" t="s">
        <v>6910</v>
      </c>
      <c r="T118" s="3" t="s">
        <v>4868</v>
      </c>
      <c r="U118" s="45">
        <v>35</v>
      </c>
      <c r="V118" t="s">
        <v>6919</v>
      </c>
      <c r="W118" s="1" t="str">
        <f>HYPERLINK("http://ictvonline.org/taxonomy/p/taxonomy-history?taxnode_id=201901516","ICTVonline=201901516")</f>
        <v>ICTVonline=201901516</v>
      </c>
    </row>
    <row r="119" spans="1:23">
      <c r="A119" s="3">
        <v>118</v>
      </c>
      <c r="B119" s="1" t="s">
        <v>6915</v>
      </c>
      <c r="D119" s="1" t="s">
        <v>6916</v>
      </c>
      <c r="F119" s="1" t="s">
        <v>6917</v>
      </c>
      <c r="H119" s="1" t="s">
        <v>6918</v>
      </c>
      <c r="J119" s="1" t="s">
        <v>896</v>
      </c>
      <c r="L119" s="1" t="s">
        <v>900</v>
      </c>
      <c r="M119" s="1" t="s">
        <v>1393</v>
      </c>
      <c r="P119" s="1" t="s">
        <v>3505</v>
      </c>
      <c r="Q119" s="3">
        <v>0</v>
      </c>
      <c r="R119" s="22" t="s">
        <v>2721</v>
      </c>
      <c r="S119" s="42" t="s">
        <v>6910</v>
      </c>
      <c r="T119" s="3" t="s">
        <v>4868</v>
      </c>
      <c r="U119" s="45">
        <v>35</v>
      </c>
      <c r="V119" t="s">
        <v>6919</v>
      </c>
      <c r="W119" s="1" t="str">
        <f>HYPERLINK("http://ictvonline.org/taxonomy/p/taxonomy-history?taxnode_id=201901517","ICTVonline=201901517")</f>
        <v>ICTVonline=201901517</v>
      </c>
    </row>
    <row r="120" spans="1:23">
      <c r="A120" s="3">
        <v>119</v>
      </c>
      <c r="B120" s="1" t="s">
        <v>6915</v>
      </c>
      <c r="D120" s="1" t="s">
        <v>6916</v>
      </c>
      <c r="F120" s="1" t="s">
        <v>6917</v>
      </c>
      <c r="H120" s="1" t="s">
        <v>6918</v>
      </c>
      <c r="J120" s="1" t="s">
        <v>896</v>
      </c>
      <c r="L120" s="1" t="s">
        <v>900</v>
      </c>
      <c r="M120" s="1" t="s">
        <v>1393</v>
      </c>
      <c r="P120" s="1" t="s">
        <v>3506</v>
      </c>
      <c r="Q120" s="3">
        <v>0</v>
      </c>
      <c r="R120" s="22" t="s">
        <v>2721</v>
      </c>
      <c r="S120" s="42" t="s">
        <v>6910</v>
      </c>
      <c r="T120" s="3" t="s">
        <v>4868</v>
      </c>
      <c r="U120" s="45">
        <v>35</v>
      </c>
      <c r="V120" t="s">
        <v>6919</v>
      </c>
      <c r="W120" s="1" t="str">
        <f>HYPERLINK("http://ictvonline.org/taxonomy/p/taxonomy-history?taxnode_id=201901518","ICTVonline=201901518")</f>
        <v>ICTVonline=201901518</v>
      </c>
    </row>
    <row r="121" spans="1:23">
      <c r="A121" s="3">
        <v>120</v>
      </c>
      <c r="B121" s="1" t="s">
        <v>6915</v>
      </c>
      <c r="D121" s="1" t="s">
        <v>6916</v>
      </c>
      <c r="F121" s="1" t="s">
        <v>6917</v>
      </c>
      <c r="H121" s="1" t="s">
        <v>6918</v>
      </c>
      <c r="J121" s="1" t="s">
        <v>896</v>
      </c>
      <c r="L121" s="1" t="s">
        <v>900</v>
      </c>
      <c r="P121" s="1" t="s">
        <v>996</v>
      </c>
      <c r="Q121" s="3">
        <v>0</v>
      </c>
      <c r="R121" s="22" t="s">
        <v>2721</v>
      </c>
      <c r="S121" s="42" t="s">
        <v>6910</v>
      </c>
      <c r="T121" s="3" t="s">
        <v>4868</v>
      </c>
      <c r="U121" s="45">
        <v>35</v>
      </c>
      <c r="V121" t="s">
        <v>6919</v>
      </c>
      <c r="W121" s="1" t="str">
        <f>HYPERLINK("http://ictvonline.org/taxonomy/p/taxonomy-history?taxnode_id=201901521","ICTVonline=201901521")</f>
        <v>ICTVonline=201901521</v>
      </c>
    </row>
    <row r="122" spans="1:23">
      <c r="A122" s="3">
        <v>121</v>
      </c>
      <c r="B122" s="1" t="s">
        <v>6915</v>
      </c>
      <c r="D122" s="1" t="s">
        <v>6916</v>
      </c>
      <c r="F122" s="1" t="s">
        <v>6917</v>
      </c>
      <c r="H122" s="1" t="s">
        <v>6918</v>
      </c>
      <c r="J122" s="1" t="s">
        <v>896</v>
      </c>
      <c r="L122" s="1" t="s">
        <v>1071</v>
      </c>
      <c r="N122" s="1" t="s">
        <v>2141</v>
      </c>
      <c r="P122" s="1" t="s">
        <v>2142</v>
      </c>
      <c r="Q122" s="3">
        <v>1</v>
      </c>
      <c r="R122" s="22" t="s">
        <v>2721</v>
      </c>
      <c r="S122" s="42" t="s">
        <v>6910</v>
      </c>
      <c r="T122" s="3" t="s">
        <v>4868</v>
      </c>
      <c r="U122" s="45">
        <v>35</v>
      </c>
      <c r="V122" t="s">
        <v>6919</v>
      </c>
      <c r="W122" s="1" t="str">
        <f>HYPERLINK("http://ictvonline.org/taxonomy/p/taxonomy-history?taxnode_id=201901525","ICTVonline=201901525")</f>
        <v>ICTVonline=201901525</v>
      </c>
    </row>
    <row r="123" spans="1:23">
      <c r="A123" s="3">
        <v>122</v>
      </c>
      <c r="B123" s="1" t="s">
        <v>6915</v>
      </c>
      <c r="D123" s="1" t="s">
        <v>6916</v>
      </c>
      <c r="F123" s="1" t="s">
        <v>6917</v>
      </c>
      <c r="H123" s="1" t="s">
        <v>6918</v>
      </c>
      <c r="J123" s="1" t="s">
        <v>896</v>
      </c>
      <c r="L123" s="1" t="s">
        <v>1071</v>
      </c>
      <c r="N123" s="1" t="s">
        <v>997</v>
      </c>
      <c r="P123" s="1" t="s">
        <v>998</v>
      </c>
      <c r="Q123" s="3">
        <v>1</v>
      </c>
      <c r="R123" s="22" t="s">
        <v>2721</v>
      </c>
      <c r="S123" s="42" t="s">
        <v>6910</v>
      </c>
      <c r="T123" s="3" t="s">
        <v>4868</v>
      </c>
      <c r="U123" s="45">
        <v>35</v>
      </c>
      <c r="V123" t="s">
        <v>6919</v>
      </c>
      <c r="W123" s="1" t="str">
        <f>HYPERLINK("http://ictvonline.org/taxonomy/p/taxonomy-history?taxnode_id=201901527","ICTVonline=201901527")</f>
        <v>ICTVonline=201901527</v>
      </c>
    </row>
    <row r="124" spans="1:23">
      <c r="A124" s="3">
        <v>123</v>
      </c>
      <c r="B124" s="1" t="s">
        <v>6915</v>
      </c>
      <c r="D124" s="1" t="s">
        <v>6916</v>
      </c>
      <c r="F124" s="1" t="s">
        <v>6920</v>
      </c>
      <c r="H124" s="1" t="s">
        <v>6921</v>
      </c>
      <c r="J124" s="1" t="s">
        <v>1324</v>
      </c>
      <c r="L124" s="1" t="s">
        <v>4936</v>
      </c>
      <c r="M124" s="1" t="s">
        <v>4937</v>
      </c>
      <c r="N124" s="1" t="s">
        <v>6211</v>
      </c>
      <c r="P124" s="1" t="s">
        <v>4938</v>
      </c>
      <c r="Q124" s="3">
        <v>0</v>
      </c>
      <c r="R124" s="22" t="s">
        <v>2721</v>
      </c>
      <c r="S124" s="42" t="s">
        <v>6910</v>
      </c>
      <c r="T124" s="3" t="s">
        <v>4868</v>
      </c>
      <c r="U124" s="45">
        <v>35</v>
      </c>
      <c r="V124" t="s">
        <v>6919</v>
      </c>
      <c r="W124" s="1" t="str">
        <f>HYPERLINK("http://ictvonline.org/taxonomy/p/taxonomy-history?taxnode_id=201905465","ICTVonline=201905465")</f>
        <v>ICTVonline=201905465</v>
      </c>
    </row>
    <row r="125" spans="1:23">
      <c r="A125" s="3">
        <v>124</v>
      </c>
      <c r="B125" s="1" t="s">
        <v>6915</v>
      </c>
      <c r="D125" s="1" t="s">
        <v>6916</v>
      </c>
      <c r="F125" s="1" t="s">
        <v>6920</v>
      </c>
      <c r="H125" s="1" t="s">
        <v>6921</v>
      </c>
      <c r="J125" s="1" t="s">
        <v>1324</v>
      </c>
      <c r="L125" s="1" t="s">
        <v>4936</v>
      </c>
      <c r="M125" s="1" t="s">
        <v>4937</v>
      </c>
      <c r="N125" s="1" t="s">
        <v>6211</v>
      </c>
      <c r="P125" s="1" t="s">
        <v>2942</v>
      </c>
      <c r="Q125" s="3">
        <v>1</v>
      </c>
      <c r="R125" s="22" t="s">
        <v>2721</v>
      </c>
      <c r="S125" s="42" t="s">
        <v>6910</v>
      </c>
      <c r="T125" s="3" t="s">
        <v>4868</v>
      </c>
      <c r="U125" s="45">
        <v>35</v>
      </c>
      <c r="V125" t="s">
        <v>6919</v>
      </c>
      <c r="W125" s="1" t="str">
        <f>HYPERLINK("http://ictvonline.org/taxonomy/p/taxonomy-history?taxnode_id=201900534","ICTVonline=201900534")</f>
        <v>ICTVonline=201900534</v>
      </c>
    </row>
    <row r="126" spans="1:23">
      <c r="A126" s="3">
        <v>125</v>
      </c>
      <c r="B126" s="1" t="s">
        <v>6915</v>
      </c>
      <c r="D126" s="1" t="s">
        <v>6916</v>
      </c>
      <c r="F126" s="1" t="s">
        <v>6920</v>
      </c>
      <c r="H126" s="1" t="s">
        <v>6921</v>
      </c>
      <c r="J126" s="1" t="s">
        <v>1324</v>
      </c>
      <c r="L126" s="1" t="s">
        <v>4936</v>
      </c>
      <c r="M126" s="1" t="s">
        <v>4937</v>
      </c>
      <c r="N126" s="1" t="s">
        <v>4939</v>
      </c>
      <c r="P126" s="1" t="s">
        <v>2929</v>
      </c>
      <c r="Q126" s="3">
        <v>1</v>
      </c>
      <c r="R126" s="22" t="s">
        <v>2721</v>
      </c>
      <c r="S126" s="42" t="s">
        <v>6910</v>
      </c>
      <c r="T126" s="3" t="s">
        <v>4868</v>
      </c>
      <c r="U126" s="45">
        <v>35</v>
      </c>
      <c r="V126" t="s">
        <v>6919</v>
      </c>
      <c r="W126" s="1" t="str">
        <f>HYPERLINK("http://ictvonline.org/taxonomy/p/taxonomy-history?taxnode_id=201900521","ICTVonline=201900521")</f>
        <v>ICTVonline=201900521</v>
      </c>
    </row>
    <row r="127" spans="1:23">
      <c r="A127" s="3">
        <v>126</v>
      </c>
      <c r="B127" s="1" t="s">
        <v>6915</v>
      </c>
      <c r="D127" s="1" t="s">
        <v>6916</v>
      </c>
      <c r="F127" s="1" t="s">
        <v>6920</v>
      </c>
      <c r="H127" s="1" t="s">
        <v>6921</v>
      </c>
      <c r="J127" s="1" t="s">
        <v>1324</v>
      </c>
      <c r="L127" s="1" t="s">
        <v>4936</v>
      </c>
      <c r="M127" s="1" t="s">
        <v>4937</v>
      </c>
      <c r="N127" s="1" t="s">
        <v>4939</v>
      </c>
      <c r="P127" s="1" t="s">
        <v>4940</v>
      </c>
      <c r="Q127" s="3">
        <v>0</v>
      </c>
      <c r="R127" s="22" t="s">
        <v>2721</v>
      </c>
      <c r="S127" s="42" t="s">
        <v>6910</v>
      </c>
      <c r="T127" s="3" t="s">
        <v>4868</v>
      </c>
      <c r="U127" s="45">
        <v>35</v>
      </c>
      <c r="V127" t="s">
        <v>6919</v>
      </c>
      <c r="W127" s="1" t="str">
        <f>HYPERLINK("http://ictvonline.org/taxonomy/p/taxonomy-history?taxnode_id=201905467","ICTVonline=201905467")</f>
        <v>ICTVonline=201905467</v>
      </c>
    </row>
    <row r="128" spans="1:23">
      <c r="A128" s="3">
        <v>127</v>
      </c>
      <c r="B128" s="1" t="s">
        <v>6915</v>
      </c>
      <c r="D128" s="1" t="s">
        <v>6916</v>
      </c>
      <c r="F128" s="1" t="s">
        <v>6920</v>
      </c>
      <c r="H128" s="1" t="s">
        <v>6921</v>
      </c>
      <c r="J128" s="1" t="s">
        <v>1324</v>
      </c>
      <c r="L128" s="1" t="s">
        <v>4936</v>
      </c>
      <c r="M128" s="1" t="s">
        <v>4941</v>
      </c>
      <c r="N128" s="1" t="s">
        <v>6212</v>
      </c>
      <c r="P128" s="1" t="s">
        <v>2930</v>
      </c>
      <c r="Q128" s="3">
        <v>1</v>
      </c>
      <c r="R128" s="22" t="s">
        <v>2721</v>
      </c>
      <c r="S128" s="42" t="s">
        <v>6910</v>
      </c>
      <c r="T128" s="3" t="s">
        <v>4868</v>
      </c>
      <c r="U128" s="45">
        <v>35</v>
      </c>
      <c r="V128" t="s">
        <v>6919</v>
      </c>
      <c r="W128" s="1" t="str">
        <f>HYPERLINK("http://ictvonline.org/taxonomy/p/taxonomy-history?taxnode_id=201900522","ICTVonline=201900522")</f>
        <v>ICTVonline=201900522</v>
      </c>
    </row>
    <row r="129" spans="1:23">
      <c r="A129" s="3">
        <v>128</v>
      </c>
      <c r="B129" s="1" t="s">
        <v>6915</v>
      </c>
      <c r="D129" s="1" t="s">
        <v>6916</v>
      </c>
      <c r="F129" s="1" t="s">
        <v>6920</v>
      </c>
      <c r="H129" s="1" t="s">
        <v>6921</v>
      </c>
      <c r="J129" s="1" t="s">
        <v>1324</v>
      </c>
      <c r="L129" s="1" t="s">
        <v>4936</v>
      </c>
      <c r="M129" s="1" t="s">
        <v>4941</v>
      </c>
      <c r="N129" s="1" t="s">
        <v>6212</v>
      </c>
      <c r="P129" s="1" t="s">
        <v>2932</v>
      </c>
      <c r="Q129" s="3">
        <v>0</v>
      </c>
      <c r="R129" s="22" t="s">
        <v>2721</v>
      </c>
      <c r="S129" s="42" t="s">
        <v>6910</v>
      </c>
      <c r="T129" s="3" t="s">
        <v>4868</v>
      </c>
      <c r="U129" s="45">
        <v>35</v>
      </c>
      <c r="V129" t="s">
        <v>6919</v>
      </c>
      <c r="W129" s="1" t="str">
        <f>HYPERLINK("http://ictvonline.org/taxonomy/p/taxonomy-history?taxnode_id=201900524","ICTVonline=201900524")</f>
        <v>ICTVonline=201900524</v>
      </c>
    </row>
    <row r="130" spans="1:23">
      <c r="A130" s="3">
        <v>129</v>
      </c>
      <c r="B130" s="1" t="s">
        <v>6915</v>
      </c>
      <c r="D130" s="1" t="s">
        <v>6916</v>
      </c>
      <c r="F130" s="1" t="s">
        <v>6920</v>
      </c>
      <c r="H130" s="1" t="s">
        <v>6921</v>
      </c>
      <c r="J130" s="1" t="s">
        <v>1324</v>
      </c>
      <c r="L130" s="1" t="s">
        <v>4936</v>
      </c>
      <c r="M130" s="1" t="s">
        <v>4941</v>
      </c>
      <c r="N130" s="1" t="s">
        <v>6212</v>
      </c>
      <c r="P130" s="1" t="s">
        <v>4942</v>
      </c>
      <c r="Q130" s="3">
        <v>0</v>
      </c>
      <c r="R130" s="22" t="s">
        <v>2721</v>
      </c>
      <c r="S130" s="42" t="s">
        <v>6910</v>
      </c>
      <c r="T130" s="3" t="s">
        <v>4868</v>
      </c>
      <c r="U130" s="45">
        <v>35</v>
      </c>
      <c r="V130" t="s">
        <v>6919</v>
      </c>
      <c r="W130" s="1" t="str">
        <f>HYPERLINK("http://ictvonline.org/taxonomy/p/taxonomy-history?taxnode_id=201905470","ICTVonline=201905470")</f>
        <v>ICTVonline=201905470</v>
      </c>
    </row>
    <row r="131" spans="1:23">
      <c r="A131" s="3">
        <v>130</v>
      </c>
      <c r="B131" s="1" t="s">
        <v>6915</v>
      </c>
      <c r="D131" s="1" t="s">
        <v>6916</v>
      </c>
      <c r="F131" s="1" t="s">
        <v>6920</v>
      </c>
      <c r="H131" s="1" t="s">
        <v>6921</v>
      </c>
      <c r="J131" s="1" t="s">
        <v>1324</v>
      </c>
      <c r="L131" s="1" t="s">
        <v>4936</v>
      </c>
      <c r="M131" s="1" t="s">
        <v>4941</v>
      </c>
      <c r="N131" s="1" t="s">
        <v>6212</v>
      </c>
      <c r="P131" s="1" t="s">
        <v>2933</v>
      </c>
      <c r="Q131" s="3">
        <v>0</v>
      </c>
      <c r="R131" s="22" t="s">
        <v>2721</v>
      </c>
      <c r="S131" s="42" t="s">
        <v>6910</v>
      </c>
      <c r="T131" s="3" t="s">
        <v>4868</v>
      </c>
      <c r="U131" s="45">
        <v>35</v>
      </c>
      <c r="V131" t="s">
        <v>6919</v>
      </c>
      <c r="W131" s="1" t="str">
        <f>HYPERLINK("http://ictvonline.org/taxonomy/p/taxonomy-history?taxnode_id=201900525","ICTVonline=201900525")</f>
        <v>ICTVonline=201900525</v>
      </c>
    </row>
    <row r="132" spans="1:23">
      <c r="A132" s="3">
        <v>131</v>
      </c>
      <c r="B132" s="1" t="s">
        <v>6915</v>
      </c>
      <c r="D132" s="1" t="s">
        <v>6916</v>
      </c>
      <c r="F132" s="1" t="s">
        <v>6920</v>
      </c>
      <c r="H132" s="1" t="s">
        <v>6921</v>
      </c>
      <c r="J132" s="1" t="s">
        <v>1324</v>
      </c>
      <c r="L132" s="1" t="s">
        <v>4936</v>
      </c>
      <c r="M132" s="1" t="s">
        <v>4941</v>
      </c>
      <c r="N132" s="1" t="s">
        <v>6212</v>
      </c>
      <c r="P132" s="1" t="s">
        <v>4943</v>
      </c>
      <c r="Q132" s="3">
        <v>0</v>
      </c>
      <c r="R132" s="22" t="s">
        <v>2721</v>
      </c>
      <c r="S132" s="42" t="s">
        <v>6910</v>
      </c>
      <c r="T132" s="3" t="s">
        <v>4868</v>
      </c>
      <c r="U132" s="45">
        <v>35</v>
      </c>
      <c r="V132" t="s">
        <v>6919</v>
      </c>
      <c r="W132" s="1" t="str">
        <f>HYPERLINK("http://ictvonline.org/taxonomy/p/taxonomy-history?taxnode_id=201905471","ICTVonline=201905471")</f>
        <v>ICTVonline=201905471</v>
      </c>
    </row>
    <row r="133" spans="1:23">
      <c r="A133" s="3">
        <v>132</v>
      </c>
      <c r="B133" s="1" t="s">
        <v>6915</v>
      </c>
      <c r="D133" s="1" t="s">
        <v>6916</v>
      </c>
      <c r="F133" s="1" t="s">
        <v>6920</v>
      </c>
      <c r="H133" s="1" t="s">
        <v>6921</v>
      </c>
      <c r="J133" s="1" t="s">
        <v>1324</v>
      </c>
      <c r="L133" s="1" t="s">
        <v>4936</v>
      </c>
      <c r="M133" s="1" t="s">
        <v>4941</v>
      </c>
      <c r="N133" s="1" t="s">
        <v>6212</v>
      </c>
      <c r="P133" s="1" t="s">
        <v>4944</v>
      </c>
      <c r="Q133" s="3">
        <v>0</v>
      </c>
      <c r="R133" s="22" t="s">
        <v>2721</v>
      </c>
      <c r="S133" s="42" t="s">
        <v>6910</v>
      </c>
      <c r="T133" s="3" t="s">
        <v>4868</v>
      </c>
      <c r="U133" s="45">
        <v>35</v>
      </c>
      <c r="V133" t="s">
        <v>6919</v>
      </c>
      <c r="W133" s="1" t="str">
        <f>HYPERLINK("http://ictvonline.org/taxonomy/p/taxonomy-history?taxnode_id=201905472","ICTVonline=201905472")</f>
        <v>ICTVonline=201905472</v>
      </c>
    </row>
    <row r="134" spans="1:23">
      <c r="A134" s="3">
        <v>133</v>
      </c>
      <c r="B134" s="1" t="s">
        <v>6915</v>
      </c>
      <c r="D134" s="1" t="s">
        <v>6916</v>
      </c>
      <c r="F134" s="1" t="s">
        <v>6920</v>
      </c>
      <c r="H134" s="1" t="s">
        <v>6921</v>
      </c>
      <c r="J134" s="1" t="s">
        <v>1324</v>
      </c>
      <c r="L134" s="1" t="s">
        <v>4936</v>
      </c>
      <c r="M134" s="1" t="s">
        <v>4941</v>
      </c>
      <c r="N134" s="1" t="s">
        <v>6212</v>
      </c>
      <c r="P134" s="1" t="s">
        <v>2936</v>
      </c>
      <c r="Q134" s="3">
        <v>0</v>
      </c>
      <c r="R134" s="22" t="s">
        <v>2721</v>
      </c>
      <c r="S134" s="42" t="s">
        <v>6910</v>
      </c>
      <c r="T134" s="3" t="s">
        <v>4868</v>
      </c>
      <c r="U134" s="45">
        <v>35</v>
      </c>
      <c r="V134" t="s">
        <v>6919</v>
      </c>
      <c r="W134" s="1" t="str">
        <f>HYPERLINK("http://ictvonline.org/taxonomy/p/taxonomy-history?taxnode_id=201900528","ICTVonline=201900528")</f>
        <v>ICTVonline=201900528</v>
      </c>
    </row>
    <row r="135" spans="1:23">
      <c r="A135" s="3">
        <v>134</v>
      </c>
      <c r="B135" s="1" t="s">
        <v>6915</v>
      </c>
      <c r="D135" s="1" t="s">
        <v>6916</v>
      </c>
      <c r="F135" s="1" t="s">
        <v>6920</v>
      </c>
      <c r="H135" s="1" t="s">
        <v>6921</v>
      </c>
      <c r="J135" s="1" t="s">
        <v>1324</v>
      </c>
      <c r="L135" s="1" t="s">
        <v>4936</v>
      </c>
      <c r="M135" s="1" t="s">
        <v>4941</v>
      </c>
      <c r="N135" s="1" t="s">
        <v>6212</v>
      </c>
      <c r="P135" s="1" t="s">
        <v>2937</v>
      </c>
      <c r="Q135" s="3">
        <v>0</v>
      </c>
      <c r="R135" s="22" t="s">
        <v>2721</v>
      </c>
      <c r="S135" s="42" t="s">
        <v>6910</v>
      </c>
      <c r="T135" s="3" t="s">
        <v>4868</v>
      </c>
      <c r="U135" s="45">
        <v>35</v>
      </c>
      <c r="V135" t="s">
        <v>6919</v>
      </c>
      <c r="W135" s="1" t="str">
        <f>HYPERLINK("http://ictvonline.org/taxonomy/p/taxonomy-history?taxnode_id=201900529","ICTVonline=201900529")</f>
        <v>ICTVonline=201900529</v>
      </c>
    </row>
    <row r="136" spans="1:23">
      <c r="A136" s="3">
        <v>135</v>
      </c>
      <c r="B136" s="1" t="s">
        <v>6915</v>
      </c>
      <c r="D136" s="1" t="s">
        <v>6916</v>
      </c>
      <c r="F136" s="1" t="s">
        <v>6920</v>
      </c>
      <c r="H136" s="1" t="s">
        <v>6921</v>
      </c>
      <c r="J136" s="1" t="s">
        <v>1324</v>
      </c>
      <c r="L136" s="1" t="s">
        <v>4936</v>
      </c>
      <c r="M136" s="1" t="s">
        <v>4941</v>
      </c>
      <c r="N136" s="1" t="s">
        <v>6212</v>
      </c>
      <c r="P136" s="1" t="s">
        <v>2939</v>
      </c>
      <c r="Q136" s="3">
        <v>0</v>
      </c>
      <c r="R136" s="22" t="s">
        <v>2721</v>
      </c>
      <c r="S136" s="42" t="s">
        <v>6910</v>
      </c>
      <c r="T136" s="3" t="s">
        <v>4868</v>
      </c>
      <c r="U136" s="45">
        <v>35</v>
      </c>
      <c r="V136" t="s">
        <v>6919</v>
      </c>
      <c r="W136" s="1" t="str">
        <f>HYPERLINK("http://ictvonline.org/taxonomy/p/taxonomy-history?taxnode_id=201900531","ICTVonline=201900531")</f>
        <v>ICTVonline=201900531</v>
      </c>
    </row>
    <row r="137" spans="1:23">
      <c r="A137" s="3">
        <v>136</v>
      </c>
      <c r="B137" s="1" t="s">
        <v>6915</v>
      </c>
      <c r="D137" s="1" t="s">
        <v>6916</v>
      </c>
      <c r="F137" s="1" t="s">
        <v>6920</v>
      </c>
      <c r="H137" s="1" t="s">
        <v>6921</v>
      </c>
      <c r="J137" s="1" t="s">
        <v>1324</v>
      </c>
      <c r="L137" s="1" t="s">
        <v>4936</v>
      </c>
      <c r="N137" s="1" t="s">
        <v>6922</v>
      </c>
      <c r="P137" s="1" t="s">
        <v>6923</v>
      </c>
      <c r="Q137" s="3">
        <v>0</v>
      </c>
      <c r="R137" s="22" t="s">
        <v>2721</v>
      </c>
      <c r="S137" s="42" t="s">
        <v>6914</v>
      </c>
      <c r="T137" s="3" t="s">
        <v>4866</v>
      </c>
      <c r="U137" s="45">
        <v>35</v>
      </c>
      <c r="V137" t="s">
        <v>6924</v>
      </c>
      <c r="W137" s="1" t="str">
        <f>HYPERLINK("http://ictvonline.org/taxonomy/p/taxonomy-history?taxnode_id=201908037","ICTVonline=201908037")</f>
        <v>ICTVonline=201908037</v>
      </c>
    </row>
    <row r="138" spans="1:23">
      <c r="A138" s="3">
        <v>137</v>
      </c>
      <c r="B138" s="1" t="s">
        <v>6915</v>
      </c>
      <c r="D138" s="1" t="s">
        <v>6916</v>
      </c>
      <c r="F138" s="1" t="s">
        <v>6920</v>
      </c>
      <c r="H138" s="1" t="s">
        <v>6921</v>
      </c>
      <c r="J138" s="1" t="s">
        <v>1324</v>
      </c>
      <c r="L138" s="1" t="s">
        <v>4936</v>
      </c>
      <c r="N138" s="1" t="s">
        <v>6922</v>
      </c>
      <c r="P138" s="1" t="s">
        <v>4946</v>
      </c>
      <c r="Q138" s="3">
        <v>1</v>
      </c>
      <c r="R138" s="22" t="s">
        <v>2721</v>
      </c>
      <c r="S138" s="42" t="s">
        <v>6914</v>
      </c>
      <c r="T138" s="3" t="s">
        <v>4871</v>
      </c>
      <c r="U138" s="45">
        <v>35</v>
      </c>
      <c r="V138" t="s">
        <v>6924</v>
      </c>
      <c r="W138" s="1" t="str">
        <f>HYPERLINK("http://ictvonline.org/taxonomy/p/taxonomy-history?taxnode_id=201905476","ICTVonline=201905476")</f>
        <v>ICTVonline=201905476</v>
      </c>
    </row>
    <row r="139" spans="1:23">
      <c r="A139" s="3">
        <v>138</v>
      </c>
      <c r="B139" s="1" t="s">
        <v>6915</v>
      </c>
      <c r="D139" s="1" t="s">
        <v>6916</v>
      </c>
      <c r="F139" s="1" t="s">
        <v>6920</v>
      </c>
      <c r="H139" s="1" t="s">
        <v>6921</v>
      </c>
      <c r="J139" s="1" t="s">
        <v>1324</v>
      </c>
      <c r="L139" s="1" t="s">
        <v>4936</v>
      </c>
      <c r="N139" s="1" t="s">
        <v>6922</v>
      </c>
      <c r="P139" s="1" t="s">
        <v>6925</v>
      </c>
      <c r="Q139" s="3">
        <v>0</v>
      </c>
      <c r="R139" s="22" t="s">
        <v>2721</v>
      </c>
      <c r="S139" s="42" t="s">
        <v>6914</v>
      </c>
      <c r="T139" s="3" t="s">
        <v>4866</v>
      </c>
      <c r="U139" s="45">
        <v>35</v>
      </c>
      <c r="V139" t="s">
        <v>6924</v>
      </c>
      <c r="W139" s="1" t="str">
        <f>HYPERLINK("http://ictvonline.org/taxonomy/p/taxonomy-history?taxnode_id=201908040","ICTVonline=201908040")</f>
        <v>ICTVonline=201908040</v>
      </c>
    </row>
    <row r="140" spans="1:23">
      <c r="A140" s="3">
        <v>139</v>
      </c>
      <c r="B140" s="1" t="s">
        <v>6915</v>
      </c>
      <c r="D140" s="1" t="s">
        <v>6916</v>
      </c>
      <c r="F140" s="1" t="s">
        <v>6920</v>
      </c>
      <c r="H140" s="1" t="s">
        <v>6921</v>
      </c>
      <c r="J140" s="1" t="s">
        <v>1324</v>
      </c>
      <c r="L140" s="1" t="s">
        <v>4936</v>
      </c>
      <c r="N140" s="1" t="s">
        <v>6922</v>
      </c>
      <c r="P140" s="1" t="s">
        <v>6926</v>
      </c>
      <c r="Q140" s="3">
        <v>0</v>
      </c>
      <c r="R140" s="22" t="s">
        <v>2721</v>
      </c>
      <c r="S140" s="42" t="s">
        <v>6914</v>
      </c>
      <c r="T140" s="3" t="s">
        <v>4866</v>
      </c>
      <c r="U140" s="45">
        <v>35</v>
      </c>
      <c r="V140" t="s">
        <v>6924</v>
      </c>
      <c r="W140" s="1" t="str">
        <f>HYPERLINK("http://ictvonline.org/taxonomy/p/taxonomy-history?taxnode_id=201908038","ICTVonline=201908038")</f>
        <v>ICTVonline=201908038</v>
      </c>
    </row>
    <row r="141" spans="1:23">
      <c r="A141" s="3">
        <v>140</v>
      </c>
      <c r="B141" s="1" t="s">
        <v>6915</v>
      </c>
      <c r="D141" s="1" t="s">
        <v>6916</v>
      </c>
      <c r="F141" s="1" t="s">
        <v>6920</v>
      </c>
      <c r="H141" s="1" t="s">
        <v>6921</v>
      </c>
      <c r="J141" s="1" t="s">
        <v>1324</v>
      </c>
      <c r="L141" s="1" t="s">
        <v>4936</v>
      </c>
      <c r="N141" s="1" t="s">
        <v>6922</v>
      </c>
      <c r="P141" s="1" t="s">
        <v>6927</v>
      </c>
      <c r="Q141" s="3">
        <v>0</v>
      </c>
      <c r="R141" s="22" t="s">
        <v>2721</v>
      </c>
      <c r="S141" s="42" t="s">
        <v>6914</v>
      </c>
      <c r="T141" s="3" t="s">
        <v>4866</v>
      </c>
      <c r="U141" s="45">
        <v>35</v>
      </c>
      <c r="V141" t="s">
        <v>6924</v>
      </c>
      <c r="W141" s="1" t="str">
        <f>HYPERLINK("http://ictvonline.org/taxonomy/p/taxonomy-history?taxnode_id=201908039","ICTVonline=201908039")</f>
        <v>ICTVonline=201908039</v>
      </c>
    </row>
    <row r="142" spans="1:23">
      <c r="A142" s="3">
        <v>141</v>
      </c>
      <c r="B142" s="1" t="s">
        <v>6915</v>
      </c>
      <c r="D142" s="1" t="s">
        <v>6916</v>
      </c>
      <c r="F142" s="1" t="s">
        <v>6920</v>
      </c>
      <c r="H142" s="1" t="s">
        <v>6921</v>
      </c>
      <c r="J142" s="1" t="s">
        <v>1324</v>
      </c>
      <c r="L142" s="1" t="s">
        <v>4936</v>
      </c>
      <c r="N142" s="1" t="s">
        <v>6922</v>
      </c>
      <c r="P142" s="1" t="s">
        <v>4947</v>
      </c>
      <c r="Q142" s="3">
        <v>0</v>
      </c>
      <c r="R142" s="22" t="s">
        <v>2721</v>
      </c>
      <c r="S142" s="42" t="s">
        <v>6914</v>
      </c>
      <c r="T142" s="3" t="s">
        <v>4868</v>
      </c>
      <c r="U142" s="45">
        <v>35</v>
      </c>
      <c r="V142" t="s">
        <v>6924</v>
      </c>
      <c r="W142" s="1" t="str">
        <f>HYPERLINK("http://ictvonline.org/taxonomy/p/taxonomy-history?taxnode_id=201905477","ICTVonline=201905477")</f>
        <v>ICTVonline=201905477</v>
      </c>
    </row>
    <row r="143" spans="1:23">
      <c r="A143" s="3">
        <v>142</v>
      </c>
      <c r="B143" s="1" t="s">
        <v>6915</v>
      </c>
      <c r="D143" s="1" t="s">
        <v>6916</v>
      </c>
      <c r="F143" s="1" t="s">
        <v>6920</v>
      </c>
      <c r="H143" s="1" t="s">
        <v>6921</v>
      </c>
      <c r="J143" s="1" t="s">
        <v>1324</v>
      </c>
      <c r="L143" s="1" t="s">
        <v>4936</v>
      </c>
      <c r="P143" s="1" t="s">
        <v>4945</v>
      </c>
      <c r="Q143" s="3">
        <v>0</v>
      </c>
      <c r="R143" s="22" t="s">
        <v>2721</v>
      </c>
      <c r="S143" s="42" t="s">
        <v>6910</v>
      </c>
      <c r="T143" s="3" t="s">
        <v>4868</v>
      </c>
      <c r="U143" s="45">
        <v>35</v>
      </c>
      <c r="V143" t="s">
        <v>6919</v>
      </c>
      <c r="W143" s="1" t="str">
        <f>HYPERLINK("http://ictvonline.org/taxonomy/p/taxonomy-history?taxnode_id=201905475","ICTVonline=201905475")</f>
        <v>ICTVonline=201905475</v>
      </c>
    </row>
    <row r="144" spans="1:23">
      <c r="A144" s="3">
        <v>143</v>
      </c>
      <c r="B144" s="1" t="s">
        <v>6915</v>
      </c>
      <c r="D144" s="1" t="s">
        <v>6916</v>
      </c>
      <c r="F144" s="1" t="s">
        <v>6920</v>
      </c>
      <c r="H144" s="1" t="s">
        <v>6921</v>
      </c>
      <c r="J144" s="1" t="s">
        <v>1324</v>
      </c>
      <c r="L144" s="1" t="s">
        <v>4936</v>
      </c>
      <c r="P144" s="1" t="s">
        <v>4948</v>
      </c>
      <c r="Q144" s="3">
        <v>0</v>
      </c>
      <c r="R144" s="22" t="s">
        <v>2721</v>
      </c>
      <c r="S144" s="42" t="s">
        <v>6910</v>
      </c>
      <c r="T144" s="3" t="s">
        <v>4868</v>
      </c>
      <c r="U144" s="45">
        <v>35</v>
      </c>
      <c r="V144" t="s">
        <v>6919</v>
      </c>
      <c r="W144" s="1" t="str">
        <f>HYPERLINK("http://ictvonline.org/taxonomy/p/taxonomy-history?taxnode_id=201905478","ICTVonline=201905478")</f>
        <v>ICTVonline=201905478</v>
      </c>
    </row>
    <row r="145" spans="1:23">
      <c r="A145" s="3">
        <v>144</v>
      </c>
      <c r="B145" s="1" t="s">
        <v>6915</v>
      </c>
      <c r="D145" s="1" t="s">
        <v>6916</v>
      </c>
      <c r="F145" s="1" t="s">
        <v>6920</v>
      </c>
      <c r="H145" s="1" t="s">
        <v>6921</v>
      </c>
      <c r="J145" s="1" t="s">
        <v>1324</v>
      </c>
      <c r="L145" s="1" t="s">
        <v>6928</v>
      </c>
      <c r="M145" s="1" t="s">
        <v>6929</v>
      </c>
      <c r="N145" s="1" t="s">
        <v>6930</v>
      </c>
      <c r="P145" s="1" t="s">
        <v>6931</v>
      </c>
      <c r="Q145" s="3">
        <v>1</v>
      </c>
      <c r="R145" s="22" t="s">
        <v>2721</v>
      </c>
      <c r="S145" s="42" t="s">
        <v>6914</v>
      </c>
      <c r="T145" s="3" t="s">
        <v>4866</v>
      </c>
      <c r="U145" s="45">
        <v>35</v>
      </c>
      <c r="V145" t="s">
        <v>6932</v>
      </c>
      <c r="W145" s="1" t="str">
        <f>HYPERLINK("http://ictvonline.org/taxonomy/p/taxonomy-history?taxnode_id=201908513","ICTVonline=201908513")</f>
        <v>ICTVonline=201908513</v>
      </c>
    </row>
    <row r="146" spans="1:23">
      <c r="A146" s="3">
        <v>145</v>
      </c>
      <c r="B146" s="1" t="s">
        <v>6915</v>
      </c>
      <c r="D146" s="1" t="s">
        <v>6916</v>
      </c>
      <c r="F146" s="1" t="s">
        <v>6920</v>
      </c>
      <c r="H146" s="1" t="s">
        <v>6921</v>
      </c>
      <c r="J146" s="1" t="s">
        <v>1324</v>
      </c>
      <c r="L146" s="1" t="s">
        <v>6928</v>
      </c>
      <c r="M146" s="1" t="s">
        <v>6929</v>
      </c>
      <c r="N146" s="1" t="s">
        <v>6428</v>
      </c>
      <c r="P146" s="1" t="s">
        <v>4205</v>
      </c>
      <c r="Q146" s="3">
        <v>0</v>
      </c>
      <c r="R146" s="22" t="s">
        <v>2721</v>
      </c>
      <c r="S146" s="42" t="s">
        <v>6910</v>
      </c>
      <c r="T146" s="3" t="s">
        <v>4868</v>
      </c>
      <c r="U146" s="45">
        <v>35</v>
      </c>
      <c r="V146" t="s">
        <v>6932</v>
      </c>
      <c r="W146" s="1" t="str">
        <f>HYPERLINK("http://ictvonline.org/taxonomy/p/taxonomy-history?taxnode_id=201900543","ICTVonline=201900543")</f>
        <v>ICTVonline=201900543</v>
      </c>
    </row>
    <row r="147" spans="1:23">
      <c r="A147" s="3">
        <v>146</v>
      </c>
      <c r="B147" s="1" t="s">
        <v>6915</v>
      </c>
      <c r="D147" s="1" t="s">
        <v>6916</v>
      </c>
      <c r="F147" s="1" t="s">
        <v>6920</v>
      </c>
      <c r="H147" s="1" t="s">
        <v>6921</v>
      </c>
      <c r="J147" s="1" t="s">
        <v>1324</v>
      </c>
      <c r="L147" s="1" t="s">
        <v>6928</v>
      </c>
      <c r="M147" s="1" t="s">
        <v>6929</v>
      </c>
      <c r="N147" s="1" t="s">
        <v>6428</v>
      </c>
      <c r="P147" s="1" t="s">
        <v>6933</v>
      </c>
      <c r="Q147" s="3">
        <v>0</v>
      </c>
      <c r="R147" s="22" t="s">
        <v>2721</v>
      </c>
      <c r="S147" s="42" t="s">
        <v>6914</v>
      </c>
      <c r="T147" s="3" t="s">
        <v>4866</v>
      </c>
      <c r="U147" s="45">
        <v>35</v>
      </c>
      <c r="V147" t="s">
        <v>6932</v>
      </c>
      <c r="W147" s="1" t="str">
        <f>HYPERLINK("http://ictvonline.org/taxonomy/p/taxonomy-history?taxnode_id=201908507","ICTVonline=201908507")</f>
        <v>ICTVonline=201908507</v>
      </c>
    </row>
    <row r="148" spans="1:23">
      <c r="A148" s="3">
        <v>147</v>
      </c>
      <c r="B148" s="1" t="s">
        <v>6915</v>
      </c>
      <c r="D148" s="1" t="s">
        <v>6916</v>
      </c>
      <c r="F148" s="1" t="s">
        <v>6920</v>
      </c>
      <c r="H148" s="1" t="s">
        <v>6921</v>
      </c>
      <c r="J148" s="1" t="s">
        <v>1324</v>
      </c>
      <c r="L148" s="1" t="s">
        <v>6928</v>
      </c>
      <c r="M148" s="1" t="s">
        <v>6929</v>
      </c>
      <c r="N148" s="1" t="s">
        <v>6428</v>
      </c>
      <c r="P148" s="1" t="s">
        <v>4206</v>
      </c>
      <c r="Q148" s="3">
        <v>0</v>
      </c>
      <c r="R148" s="22" t="s">
        <v>2721</v>
      </c>
      <c r="S148" s="42" t="s">
        <v>6910</v>
      </c>
      <c r="T148" s="3" t="s">
        <v>4868</v>
      </c>
      <c r="U148" s="45">
        <v>35</v>
      </c>
      <c r="V148" t="s">
        <v>6932</v>
      </c>
      <c r="W148" s="1" t="str">
        <f>HYPERLINK("http://ictvonline.org/taxonomy/p/taxonomy-history?taxnode_id=201900544","ICTVonline=201900544")</f>
        <v>ICTVonline=201900544</v>
      </c>
    </row>
    <row r="149" spans="1:23">
      <c r="A149" s="3">
        <v>148</v>
      </c>
      <c r="B149" s="1" t="s">
        <v>6915</v>
      </c>
      <c r="D149" s="1" t="s">
        <v>6916</v>
      </c>
      <c r="F149" s="1" t="s">
        <v>6920</v>
      </c>
      <c r="H149" s="1" t="s">
        <v>6921</v>
      </c>
      <c r="J149" s="1" t="s">
        <v>1324</v>
      </c>
      <c r="L149" s="1" t="s">
        <v>6928</v>
      </c>
      <c r="M149" s="1" t="s">
        <v>6929</v>
      </c>
      <c r="N149" s="1" t="s">
        <v>6428</v>
      </c>
      <c r="P149" s="1" t="s">
        <v>6934</v>
      </c>
      <c r="Q149" s="3">
        <v>0</v>
      </c>
      <c r="R149" s="22" t="s">
        <v>2721</v>
      </c>
      <c r="S149" s="42" t="s">
        <v>6914</v>
      </c>
      <c r="T149" s="3" t="s">
        <v>4866</v>
      </c>
      <c r="U149" s="45">
        <v>35</v>
      </c>
      <c r="V149" t="s">
        <v>6932</v>
      </c>
      <c r="W149" s="1" t="str">
        <f>HYPERLINK("http://ictvonline.org/taxonomy/p/taxonomy-history?taxnode_id=201908506","ICTVonline=201908506")</f>
        <v>ICTVonline=201908506</v>
      </c>
    </row>
    <row r="150" spans="1:23">
      <c r="A150" s="3">
        <v>149</v>
      </c>
      <c r="B150" s="1" t="s">
        <v>6915</v>
      </c>
      <c r="D150" s="1" t="s">
        <v>6916</v>
      </c>
      <c r="F150" s="1" t="s">
        <v>6920</v>
      </c>
      <c r="H150" s="1" t="s">
        <v>6921</v>
      </c>
      <c r="J150" s="1" t="s">
        <v>1324</v>
      </c>
      <c r="L150" s="1" t="s">
        <v>6928</v>
      </c>
      <c r="M150" s="1" t="s">
        <v>6929</v>
      </c>
      <c r="N150" s="1" t="s">
        <v>6428</v>
      </c>
      <c r="P150" s="1" t="s">
        <v>6935</v>
      </c>
      <c r="Q150" s="3">
        <v>0</v>
      </c>
      <c r="R150" s="22" t="s">
        <v>2721</v>
      </c>
      <c r="S150" s="42" t="s">
        <v>6914</v>
      </c>
      <c r="T150" s="3" t="s">
        <v>4866</v>
      </c>
      <c r="U150" s="45">
        <v>35</v>
      </c>
      <c r="V150" t="s">
        <v>6932</v>
      </c>
      <c r="W150" s="1" t="str">
        <f>HYPERLINK("http://ictvonline.org/taxonomy/p/taxonomy-history?taxnode_id=201908505","ICTVonline=201908505")</f>
        <v>ICTVonline=201908505</v>
      </c>
    </row>
    <row r="151" spans="1:23">
      <c r="A151" s="3">
        <v>150</v>
      </c>
      <c r="B151" s="1" t="s">
        <v>6915</v>
      </c>
      <c r="D151" s="1" t="s">
        <v>6916</v>
      </c>
      <c r="F151" s="1" t="s">
        <v>6920</v>
      </c>
      <c r="H151" s="1" t="s">
        <v>6921</v>
      </c>
      <c r="J151" s="1" t="s">
        <v>1324</v>
      </c>
      <c r="L151" s="1" t="s">
        <v>6928</v>
      </c>
      <c r="M151" s="1" t="s">
        <v>6929</v>
      </c>
      <c r="N151" s="1" t="s">
        <v>6428</v>
      </c>
      <c r="P151" s="1" t="s">
        <v>6429</v>
      </c>
      <c r="Q151" s="3">
        <v>0</v>
      </c>
      <c r="R151" s="22" t="s">
        <v>2721</v>
      </c>
      <c r="S151" s="42" t="s">
        <v>6910</v>
      </c>
      <c r="T151" s="3" t="s">
        <v>4868</v>
      </c>
      <c r="U151" s="45">
        <v>35</v>
      </c>
      <c r="V151" t="s">
        <v>6932</v>
      </c>
      <c r="W151" s="1" t="str">
        <f>HYPERLINK("http://ictvonline.org/taxonomy/p/taxonomy-history?taxnode_id=201906909","ICTVonline=201906909")</f>
        <v>ICTVonline=201906909</v>
      </c>
    </row>
    <row r="152" spans="1:23">
      <c r="A152" s="3">
        <v>151</v>
      </c>
      <c r="B152" s="1" t="s">
        <v>6915</v>
      </c>
      <c r="D152" s="1" t="s">
        <v>6916</v>
      </c>
      <c r="F152" s="1" t="s">
        <v>6920</v>
      </c>
      <c r="H152" s="1" t="s">
        <v>6921</v>
      </c>
      <c r="J152" s="1" t="s">
        <v>1324</v>
      </c>
      <c r="L152" s="1" t="s">
        <v>6928</v>
      </c>
      <c r="M152" s="1" t="s">
        <v>6929</v>
      </c>
      <c r="N152" s="1" t="s">
        <v>6428</v>
      </c>
      <c r="P152" s="1" t="s">
        <v>6430</v>
      </c>
      <c r="Q152" s="3">
        <v>0</v>
      </c>
      <c r="R152" s="22" t="s">
        <v>2721</v>
      </c>
      <c r="S152" s="42" t="s">
        <v>6910</v>
      </c>
      <c r="T152" s="3" t="s">
        <v>4868</v>
      </c>
      <c r="U152" s="45">
        <v>35</v>
      </c>
      <c r="V152" t="s">
        <v>6932</v>
      </c>
      <c r="W152" s="1" t="str">
        <f>HYPERLINK("http://ictvonline.org/taxonomy/p/taxonomy-history?taxnode_id=201906910","ICTVonline=201906910")</f>
        <v>ICTVonline=201906910</v>
      </c>
    </row>
    <row r="153" spans="1:23">
      <c r="A153" s="3">
        <v>152</v>
      </c>
      <c r="B153" s="1" t="s">
        <v>6915</v>
      </c>
      <c r="D153" s="1" t="s">
        <v>6916</v>
      </c>
      <c r="F153" s="1" t="s">
        <v>6920</v>
      </c>
      <c r="H153" s="1" t="s">
        <v>6921</v>
      </c>
      <c r="J153" s="1" t="s">
        <v>1324</v>
      </c>
      <c r="L153" s="1" t="s">
        <v>6928</v>
      </c>
      <c r="M153" s="1" t="s">
        <v>6929</v>
      </c>
      <c r="N153" s="1" t="s">
        <v>6428</v>
      </c>
      <c r="P153" s="1" t="s">
        <v>4207</v>
      </c>
      <c r="Q153" s="3">
        <v>1</v>
      </c>
      <c r="R153" s="22" t="s">
        <v>2721</v>
      </c>
      <c r="S153" s="42" t="s">
        <v>6910</v>
      </c>
      <c r="T153" s="3" t="s">
        <v>4868</v>
      </c>
      <c r="U153" s="45">
        <v>35</v>
      </c>
      <c r="V153" t="s">
        <v>6932</v>
      </c>
      <c r="W153" s="1" t="str">
        <f>HYPERLINK("http://ictvonline.org/taxonomy/p/taxonomy-history?taxnode_id=201900545","ICTVonline=201900545")</f>
        <v>ICTVonline=201900545</v>
      </c>
    </row>
    <row r="154" spans="1:23">
      <c r="A154" s="3">
        <v>153</v>
      </c>
      <c r="B154" s="1" t="s">
        <v>6915</v>
      </c>
      <c r="D154" s="1" t="s">
        <v>6916</v>
      </c>
      <c r="F154" s="1" t="s">
        <v>6920</v>
      </c>
      <c r="H154" s="1" t="s">
        <v>6921</v>
      </c>
      <c r="J154" s="1" t="s">
        <v>1324</v>
      </c>
      <c r="L154" s="1" t="s">
        <v>6928</v>
      </c>
      <c r="M154" s="1" t="s">
        <v>6929</v>
      </c>
      <c r="N154" s="1" t="s">
        <v>6428</v>
      </c>
      <c r="P154" s="1" t="s">
        <v>4208</v>
      </c>
      <c r="Q154" s="3">
        <v>0</v>
      </c>
      <c r="R154" s="22" t="s">
        <v>2721</v>
      </c>
      <c r="S154" s="42" t="s">
        <v>6910</v>
      </c>
      <c r="T154" s="3" t="s">
        <v>4868</v>
      </c>
      <c r="U154" s="45">
        <v>35</v>
      </c>
      <c r="V154" t="s">
        <v>6932</v>
      </c>
      <c r="W154" s="1" t="str">
        <f>HYPERLINK("http://ictvonline.org/taxonomy/p/taxonomy-history?taxnode_id=201900546","ICTVonline=201900546")</f>
        <v>ICTVonline=201900546</v>
      </c>
    </row>
    <row r="155" spans="1:23">
      <c r="A155" s="3">
        <v>154</v>
      </c>
      <c r="B155" s="1" t="s">
        <v>6915</v>
      </c>
      <c r="D155" s="1" t="s">
        <v>6916</v>
      </c>
      <c r="F155" s="1" t="s">
        <v>6920</v>
      </c>
      <c r="H155" s="1" t="s">
        <v>6921</v>
      </c>
      <c r="J155" s="1" t="s">
        <v>1324</v>
      </c>
      <c r="L155" s="1" t="s">
        <v>6928</v>
      </c>
      <c r="M155" s="1" t="s">
        <v>6929</v>
      </c>
      <c r="N155" s="1" t="s">
        <v>6428</v>
      </c>
      <c r="P155" s="1" t="s">
        <v>4209</v>
      </c>
      <c r="Q155" s="3">
        <v>0</v>
      </c>
      <c r="R155" s="22" t="s">
        <v>2721</v>
      </c>
      <c r="S155" s="42" t="s">
        <v>6910</v>
      </c>
      <c r="T155" s="3" t="s">
        <v>4868</v>
      </c>
      <c r="U155" s="45">
        <v>35</v>
      </c>
      <c r="V155" t="s">
        <v>6932</v>
      </c>
      <c r="W155" s="1" t="str">
        <f>HYPERLINK("http://ictvonline.org/taxonomy/p/taxonomy-history?taxnode_id=201900547","ICTVonline=201900547")</f>
        <v>ICTVonline=201900547</v>
      </c>
    </row>
    <row r="156" spans="1:23">
      <c r="A156" s="3">
        <v>155</v>
      </c>
      <c r="B156" s="1" t="s">
        <v>6915</v>
      </c>
      <c r="D156" s="1" t="s">
        <v>6916</v>
      </c>
      <c r="F156" s="1" t="s">
        <v>6920</v>
      </c>
      <c r="H156" s="1" t="s">
        <v>6921</v>
      </c>
      <c r="J156" s="1" t="s">
        <v>1324</v>
      </c>
      <c r="L156" s="1" t="s">
        <v>6928</v>
      </c>
      <c r="M156" s="1" t="s">
        <v>6929</v>
      </c>
      <c r="N156" s="1" t="s">
        <v>6428</v>
      </c>
      <c r="P156" s="1" t="s">
        <v>4210</v>
      </c>
      <c r="Q156" s="3">
        <v>0</v>
      </c>
      <c r="R156" s="22" t="s">
        <v>2721</v>
      </c>
      <c r="S156" s="42" t="s">
        <v>6910</v>
      </c>
      <c r="T156" s="3" t="s">
        <v>4868</v>
      </c>
      <c r="U156" s="45">
        <v>35</v>
      </c>
      <c r="V156" t="s">
        <v>6932</v>
      </c>
      <c r="W156" s="1" t="str">
        <f>HYPERLINK("http://ictvonline.org/taxonomy/p/taxonomy-history?taxnode_id=201900548","ICTVonline=201900548")</f>
        <v>ICTVonline=201900548</v>
      </c>
    </row>
    <row r="157" spans="1:23">
      <c r="A157" s="3">
        <v>156</v>
      </c>
      <c r="B157" s="1" t="s">
        <v>6915</v>
      </c>
      <c r="D157" s="1" t="s">
        <v>6916</v>
      </c>
      <c r="F157" s="1" t="s">
        <v>6920</v>
      </c>
      <c r="H157" s="1" t="s">
        <v>6921</v>
      </c>
      <c r="J157" s="1" t="s">
        <v>1324</v>
      </c>
      <c r="L157" s="1" t="s">
        <v>6928</v>
      </c>
      <c r="M157" s="1" t="s">
        <v>6929</v>
      </c>
      <c r="N157" s="1" t="s">
        <v>6428</v>
      </c>
      <c r="P157" s="1" t="s">
        <v>4211</v>
      </c>
      <c r="Q157" s="3">
        <v>0</v>
      </c>
      <c r="R157" s="22" t="s">
        <v>2721</v>
      </c>
      <c r="S157" s="42" t="s">
        <v>6910</v>
      </c>
      <c r="T157" s="3" t="s">
        <v>4868</v>
      </c>
      <c r="U157" s="45">
        <v>35</v>
      </c>
      <c r="V157" t="s">
        <v>6932</v>
      </c>
      <c r="W157" s="1" t="str">
        <f>HYPERLINK("http://ictvonline.org/taxonomy/p/taxonomy-history?taxnode_id=201900549","ICTVonline=201900549")</f>
        <v>ICTVonline=201900549</v>
      </c>
    </row>
    <row r="158" spans="1:23">
      <c r="A158" s="3">
        <v>157</v>
      </c>
      <c r="B158" s="1" t="s">
        <v>6915</v>
      </c>
      <c r="D158" s="1" t="s">
        <v>6916</v>
      </c>
      <c r="F158" s="1" t="s">
        <v>6920</v>
      </c>
      <c r="H158" s="1" t="s">
        <v>6921</v>
      </c>
      <c r="J158" s="1" t="s">
        <v>1324</v>
      </c>
      <c r="L158" s="1" t="s">
        <v>6928</v>
      </c>
      <c r="M158" s="1" t="s">
        <v>6929</v>
      </c>
      <c r="N158" s="1" t="s">
        <v>6428</v>
      </c>
      <c r="P158" s="1" t="s">
        <v>6431</v>
      </c>
      <c r="Q158" s="3">
        <v>0</v>
      </c>
      <c r="R158" s="22" t="s">
        <v>2721</v>
      </c>
      <c r="S158" s="42" t="s">
        <v>6910</v>
      </c>
      <c r="T158" s="3" t="s">
        <v>4868</v>
      </c>
      <c r="U158" s="45">
        <v>35</v>
      </c>
      <c r="V158" t="s">
        <v>6932</v>
      </c>
      <c r="W158" s="1" t="str">
        <f>HYPERLINK("http://ictvonline.org/taxonomy/p/taxonomy-history?taxnode_id=201906911","ICTVonline=201906911")</f>
        <v>ICTVonline=201906911</v>
      </c>
    </row>
    <row r="159" spans="1:23">
      <c r="A159" s="3">
        <v>158</v>
      </c>
      <c r="B159" s="1" t="s">
        <v>6915</v>
      </c>
      <c r="D159" s="1" t="s">
        <v>6916</v>
      </c>
      <c r="F159" s="1" t="s">
        <v>6920</v>
      </c>
      <c r="H159" s="1" t="s">
        <v>6921</v>
      </c>
      <c r="J159" s="1" t="s">
        <v>1324</v>
      </c>
      <c r="L159" s="1" t="s">
        <v>6928</v>
      </c>
      <c r="M159" s="1" t="s">
        <v>6929</v>
      </c>
      <c r="N159" s="1" t="s">
        <v>6428</v>
      </c>
      <c r="P159" s="1" t="s">
        <v>6936</v>
      </c>
      <c r="Q159" s="3">
        <v>0</v>
      </c>
      <c r="R159" s="22" t="s">
        <v>2721</v>
      </c>
      <c r="S159" s="42" t="s">
        <v>6914</v>
      </c>
      <c r="T159" s="3" t="s">
        <v>4866</v>
      </c>
      <c r="U159" s="45">
        <v>35</v>
      </c>
      <c r="V159" t="s">
        <v>6932</v>
      </c>
      <c r="W159" s="1" t="str">
        <f>HYPERLINK("http://ictvonline.org/taxonomy/p/taxonomy-history?taxnode_id=201908508","ICTVonline=201908508")</f>
        <v>ICTVonline=201908508</v>
      </c>
    </row>
    <row r="160" spans="1:23">
      <c r="A160" s="3">
        <v>159</v>
      </c>
      <c r="B160" s="1" t="s">
        <v>6915</v>
      </c>
      <c r="D160" s="1" t="s">
        <v>6916</v>
      </c>
      <c r="F160" s="1" t="s">
        <v>6920</v>
      </c>
      <c r="H160" s="1" t="s">
        <v>6921</v>
      </c>
      <c r="J160" s="1" t="s">
        <v>1324</v>
      </c>
      <c r="L160" s="1" t="s">
        <v>6928</v>
      </c>
      <c r="M160" s="1" t="s">
        <v>6929</v>
      </c>
      <c r="N160" s="1" t="s">
        <v>6428</v>
      </c>
      <c r="P160" s="1" t="s">
        <v>6937</v>
      </c>
      <c r="Q160" s="3">
        <v>0</v>
      </c>
      <c r="R160" s="22" t="s">
        <v>2721</v>
      </c>
      <c r="S160" s="42" t="s">
        <v>6914</v>
      </c>
      <c r="T160" s="3" t="s">
        <v>4866</v>
      </c>
      <c r="U160" s="45">
        <v>35</v>
      </c>
      <c r="V160" t="s">
        <v>6932</v>
      </c>
      <c r="W160" s="1" t="str">
        <f>HYPERLINK("http://ictvonline.org/taxonomy/p/taxonomy-history?taxnode_id=201908509","ICTVonline=201908509")</f>
        <v>ICTVonline=201908509</v>
      </c>
    </row>
    <row r="161" spans="1:23">
      <c r="A161" s="3">
        <v>160</v>
      </c>
      <c r="B161" s="1" t="s">
        <v>6915</v>
      </c>
      <c r="D161" s="1" t="s">
        <v>6916</v>
      </c>
      <c r="F161" s="1" t="s">
        <v>6920</v>
      </c>
      <c r="H161" s="1" t="s">
        <v>6921</v>
      </c>
      <c r="J161" s="1" t="s">
        <v>1324</v>
      </c>
      <c r="L161" s="1" t="s">
        <v>6928</v>
      </c>
      <c r="M161" s="1" t="s">
        <v>6929</v>
      </c>
      <c r="N161" s="1" t="s">
        <v>6428</v>
      </c>
      <c r="P161" s="1" t="s">
        <v>6432</v>
      </c>
      <c r="Q161" s="3">
        <v>0</v>
      </c>
      <c r="R161" s="22" t="s">
        <v>2721</v>
      </c>
      <c r="S161" s="42" t="s">
        <v>6910</v>
      </c>
      <c r="T161" s="3" t="s">
        <v>4868</v>
      </c>
      <c r="U161" s="45">
        <v>35</v>
      </c>
      <c r="V161" t="s">
        <v>6932</v>
      </c>
      <c r="W161" s="1" t="str">
        <f>HYPERLINK("http://ictvonline.org/taxonomy/p/taxonomy-history?taxnode_id=201906908","ICTVonline=201906908")</f>
        <v>ICTVonline=201906908</v>
      </c>
    </row>
    <row r="162" spans="1:23">
      <c r="A162" s="3">
        <v>161</v>
      </c>
      <c r="B162" s="1" t="s">
        <v>6915</v>
      </c>
      <c r="D162" s="1" t="s">
        <v>6916</v>
      </c>
      <c r="F162" s="1" t="s">
        <v>6920</v>
      </c>
      <c r="H162" s="1" t="s">
        <v>6921</v>
      </c>
      <c r="J162" s="1" t="s">
        <v>1324</v>
      </c>
      <c r="L162" s="1" t="s">
        <v>6928</v>
      </c>
      <c r="M162" s="1" t="s">
        <v>6929</v>
      </c>
      <c r="N162" s="1" t="s">
        <v>6428</v>
      </c>
      <c r="P162" s="1" t="s">
        <v>6433</v>
      </c>
      <c r="Q162" s="3">
        <v>0</v>
      </c>
      <c r="R162" s="22" t="s">
        <v>2721</v>
      </c>
      <c r="S162" s="42" t="s">
        <v>6910</v>
      </c>
      <c r="T162" s="3" t="s">
        <v>4868</v>
      </c>
      <c r="U162" s="45">
        <v>35</v>
      </c>
      <c r="V162" t="s">
        <v>6932</v>
      </c>
      <c r="W162" s="1" t="str">
        <f>HYPERLINK("http://ictvonline.org/taxonomy/p/taxonomy-history?taxnode_id=201906903","ICTVonline=201906903")</f>
        <v>ICTVonline=201906903</v>
      </c>
    </row>
    <row r="163" spans="1:23">
      <c r="A163" s="3">
        <v>162</v>
      </c>
      <c r="B163" s="1" t="s">
        <v>6915</v>
      </c>
      <c r="D163" s="1" t="s">
        <v>6916</v>
      </c>
      <c r="F163" s="1" t="s">
        <v>6920</v>
      </c>
      <c r="H163" s="1" t="s">
        <v>6921</v>
      </c>
      <c r="J163" s="1" t="s">
        <v>1324</v>
      </c>
      <c r="L163" s="1" t="s">
        <v>6928</v>
      </c>
      <c r="M163" s="1" t="s">
        <v>6929</v>
      </c>
      <c r="N163" s="1" t="s">
        <v>6428</v>
      </c>
      <c r="P163" s="1" t="s">
        <v>6434</v>
      </c>
      <c r="Q163" s="3">
        <v>0</v>
      </c>
      <c r="R163" s="22" t="s">
        <v>2721</v>
      </c>
      <c r="S163" s="42" t="s">
        <v>6910</v>
      </c>
      <c r="T163" s="3" t="s">
        <v>4868</v>
      </c>
      <c r="U163" s="45">
        <v>35</v>
      </c>
      <c r="V163" t="s">
        <v>6932</v>
      </c>
      <c r="W163" s="1" t="str">
        <f>HYPERLINK("http://ictvonline.org/taxonomy/p/taxonomy-history?taxnode_id=201906904","ICTVonline=201906904")</f>
        <v>ICTVonline=201906904</v>
      </c>
    </row>
    <row r="164" spans="1:23">
      <c r="A164" s="3">
        <v>163</v>
      </c>
      <c r="B164" s="1" t="s">
        <v>6915</v>
      </c>
      <c r="D164" s="1" t="s">
        <v>6916</v>
      </c>
      <c r="F164" s="1" t="s">
        <v>6920</v>
      </c>
      <c r="H164" s="1" t="s">
        <v>6921</v>
      </c>
      <c r="J164" s="1" t="s">
        <v>1324</v>
      </c>
      <c r="L164" s="1" t="s">
        <v>6928</v>
      </c>
      <c r="M164" s="1" t="s">
        <v>6929</v>
      </c>
      <c r="N164" s="1" t="s">
        <v>6428</v>
      </c>
      <c r="P164" s="1" t="s">
        <v>6435</v>
      </c>
      <c r="Q164" s="3">
        <v>0</v>
      </c>
      <c r="R164" s="22" t="s">
        <v>2721</v>
      </c>
      <c r="S164" s="42" t="s">
        <v>6910</v>
      </c>
      <c r="T164" s="3" t="s">
        <v>4868</v>
      </c>
      <c r="U164" s="45">
        <v>35</v>
      </c>
      <c r="V164" t="s">
        <v>6932</v>
      </c>
      <c r="W164" s="1" t="str">
        <f>HYPERLINK("http://ictvonline.org/taxonomy/p/taxonomy-history?taxnode_id=201906905","ICTVonline=201906905")</f>
        <v>ICTVonline=201906905</v>
      </c>
    </row>
    <row r="165" spans="1:23">
      <c r="A165" s="3">
        <v>164</v>
      </c>
      <c r="B165" s="1" t="s">
        <v>6915</v>
      </c>
      <c r="D165" s="1" t="s">
        <v>6916</v>
      </c>
      <c r="F165" s="1" t="s">
        <v>6920</v>
      </c>
      <c r="H165" s="1" t="s">
        <v>6921</v>
      </c>
      <c r="J165" s="1" t="s">
        <v>1324</v>
      </c>
      <c r="L165" s="1" t="s">
        <v>6928</v>
      </c>
      <c r="M165" s="1" t="s">
        <v>6929</v>
      </c>
      <c r="N165" s="1" t="s">
        <v>6428</v>
      </c>
      <c r="P165" s="1" t="s">
        <v>6436</v>
      </c>
      <c r="Q165" s="3">
        <v>0</v>
      </c>
      <c r="R165" s="22" t="s">
        <v>2721</v>
      </c>
      <c r="S165" s="42" t="s">
        <v>6910</v>
      </c>
      <c r="T165" s="3" t="s">
        <v>4868</v>
      </c>
      <c r="U165" s="45">
        <v>35</v>
      </c>
      <c r="V165" t="s">
        <v>6932</v>
      </c>
      <c r="W165" s="1" t="str">
        <f>HYPERLINK("http://ictvonline.org/taxonomy/p/taxonomy-history?taxnode_id=201906912","ICTVonline=201906912")</f>
        <v>ICTVonline=201906912</v>
      </c>
    </row>
    <row r="166" spans="1:23">
      <c r="A166" s="3">
        <v>165</v>
      </c>
      <c r="B166" s="1" t="s">
        <v>6915</v>
      </c>
      <c r="D166" s="1" t="s">
        <v>6916</v>
      </c>
      <c r="F166" s="1" t="s">
        <v>6920</v>
      </c>
      <c r="H166" s="1" t="s">
        <v>6921</v>
      </c>
      <c r="J166" s="1" t="s">
        <v>1324</v>
      </c>
      <c r="L166" s="1" t="s">
        <v>6928</v>
      </c>
      <c r="M166" s="1" t="s">
        <v>6929</v>
      </c>
      <c r="N166" s="1" t="s">
        <v>6428</v>
      </c>
      <c r="P166" s="1" t="s">
        <v>6437</v>
      </c>
      <c r="Q166" s="3">
        <v>0</v>
      </c>
      <c r="R166" s="22" t="s">
        <v>2721</v>
      </c>
      <c r="S166" s="42" t="s">
        <v>6910</v>
      </c>
      <c r="T166" s="3" t="s">
        <v>4868</v>
      </c>
      <c r="U166" s="45">
        <v>35</v>
      </c>
      <c r="V166" t="s">
        <v>6932</v>
      </c>
      <c r="W166" s="1" t="str">
        <f>HYPERLINK("http://ictvonline.org/taxonomy/p/taxonomy-history?taxnode_id=201906906","ICTVonline=201906906")</f>
        <v>ICTVonline=201906906</v>
      </c>
    </row>
    <row r="167" spans="1:23">
      <c r="A167" s="3">
        <v>166</v>
      </c>
      <c r="B167" s="1" t="s">
        <v>6915</v>
      </c>
      <c r="D167" s="1" t="s">
        <v>6916</v>
      </c>
      <c r="F167" s="1" t="s">
        <v>6920</v>
      </c>
      <c r="H167" s="1" t="s">
        <v>6921</v>
      </c>
      <c r="J167" s="1" t="s">
        <v>1324</v>
      </c>
      <c r="L167" s="1" t="s">
        <v>6928</v>
      </c>
      <c r="M167" s="1" t="s">
        <v>6929</v>
      </c>
      <c r="N167" s="1" t="s">
        <v>6428</v>
      </c>
      <c r="P167" s="1" t="s">
        <v>6438</v>
      </c>
      <c r="Q167" s="3">
        <v>0</v>
      </c>
      <c r="R167" s="22" t="s">
        <v>2721</v>
      </c>
      <c r="S167" s="42" t="s">
        <v>6910</v>
      </c>
      <c r="T167" s="3" t="s">
        <v>4868</v>
      </c>
      <c r="U167" s="45">
        <v>35</v>
      </c>
      <c r="V167" t="s">
        <v>6932</v>
      </c>
      <c r="W167" s="1" t="str">
        <f>HYPERLINK("http://ictvonline.org/taxonomy/p/taxonomy-history?taxnode_id=201906907","ICTVonline=201906907")</f>
        <v>ICTVonline=201906907</v>
      </c>
    </row>
    <row r="168" spans="1:23">
      <c r="A168" s="3">
        <v>167</v>
      </c>
      <c r="B168" s="1" t="s">
        <v>6915</v>
      </c>
      <c r="D168" s="1" t="s">
        <v>6916</v>
      </c>
      <c r="F168" s="1" t="s">
        <v>6920</v>
      </c>
      <c r="H168" s="1" t="s">
        <v>6921</v>
      </c>
      <c r="J168" s="1" t="s">
        <v>1324</v>
      </c>
      <c r="L168" s="1" t="s">
        <v>6928</v>
      </c>
      <c r="M168" s="1" t="s">
        <v>6929</v>
      </c>
      <c r="N168" s="1" t="s">
        <v>6428</v>
      </c>
      <c r="P168" s="1" t="s">
        <v>6439</v>
      </c>
      <c r="Q168" s="3">
        <v>0</v>
      </c>
      <c r="R168" s="22" t="s">
        <v>2721</v>
      </c>
      <c r="S168" s="42" t="s">
        <v>6910</v>
      </c>
      <c r="T168" s="3" t="s">
        <v>4868</v>
      </c>
      <c r="U168" s="45">
        <v>35</v>
      </c>
      <c r="V168" t="s">
        <v>6932</v>
      </c>
      <c r="W168" s="1" t="str">
        <f>HYPERLINK("http://ictvonline.org/taxonomy/p/taxonomy-history?taxnode_id=201906913","ICTVonline=201906913")</f>
        <v>ICTVonline=201906913</v>
      </c>
    </row>
    <row r="169" spans="1:23">
      <c r="A169" s="3">
        <v>168</v>
      </c>
      <c r="B169" s="1" t="s">
        <v>6915</v>
      </c>
      <c r="D169" s="1" t="s">
        <v>6916</v>
      </c>
      <c r="F169" s="1" t="s">
        <v>6920</v>
      </c>
      <c r="H169" s="1" t="s">
        <v>6921</v>
      </c>
      <c r="J169" s="1" t="s">
        <v>1324</v>
      </c>
      <c r="L169" s="1" t="s">
        <v>6928</v>
      </c>
      <c r="M169" s="1" t="s">
        <v>6929</v>
      </c>
      <c r="N169" s="1" t="s">
        <v>6938</v>
      </c>
      <c r="P169" s="1" t="s">
        <v>6939</v>
      </c>
      <c r="Q169" s="3">
        <v>1</v>
      </c>
      <c r="R169" s="22" t="s">
        <v>2721</v>
      </c>
      <c r="S169" s="42" t="s">
        <v>6914</v>
      </c>
      <c r="T169" s="3" t="s">
        <v>4866</v>
      </c>
      <c r="U169" s="45">
        <v>35</v>
      </c>
      <c r="V169" t="s">
        <v>6932</v>
      </c>
      <c r="W169" s="1" t="str">
        <f>HYPERLINK("http://ictvonline.org/taxonomy/p/taxonomy-history?taxnode_id=201908511","ICTVonline=201908511")</f>
        <v>ICTVonline=201908511</v>
      </c>
    </row>
    <row r="170" spans="1:23">
      <c r="A170" s="3">
        <v>169</v>
      </c>
      <c r="B170" s="1" t="s">
        <v>6915</v>
      </c>
      <c r="D170" s="1" t="s">
        <v>6916</v>
      </c>
      <c r="F170" s="1" t="s">
        <v>6920</v>
      </c>
      <c r="H170" s="1" t="s">
        <v>6921</v>
      </c>
      <c r="J170" s="1" t="s">
        <v>1324</v>
      </c>
      <c r="L170" s="1" t="s">
        <v>6928</v>
      </c>
      <c r="M170" s="1" t="s">
        <v>6940</v>
      </c>
      <c r="N170" s="1" t="s">
        <v>6941</v>
      </c>
      <c r="P170" s="1" t="s">
        <v>6942</v>
      </c>
      <c r="Q170" s="3">
        <v>1</v>
      </c>
      <c r="R170" s="22" t="s">
        <v>2721</v>
      </c>
      <c r="S170" s="42" t="s">
        <v>6914</v>
      </c>
      <c r="T170" s="3" t="s">
        <v>4866</v>
      </c>
      <c r="U170" s="45">
        <v>35</v>
      </c>
      <c r="V170" t="s">
        <v>6932</v>
      </c>
      <c r="W170" s="1" t="str">
        <f>HYPERLINK("http://ictvonline.org/taxonomy/p/taxonomy-history?taxnode_id=201908634","ICTVonline=201908634")</f>
        <v>ICTVonline=201908634</v>
      </c>
    </row>
    <row r="171" spans="1:23">
      <c r="A171" s="3">
        <v>170</v>
      </c>
      <c r="B171" s="1" t="s">
        <v>6915</v>
      </c>
      <c r="D171" s="1" t="s">
        <v>6916</v>
      </c>
      <c r="F171" s="1" t="s">
        <v>6920</v>
      </c>
      <c r="H171" s="1" t="s">
        <v>6921</v>
      </c>
      <c r="J171" s="1" t="s">
        <v>1324</v>
      </c>
      <c r="L171" s="1" t="s">
        <v>6928</v>
      </c>
      <c r="M171" s="1" t="s">
        <v>6940</v>
      </c>
      <c r="N171" s="1" t="s">
        <v>6943</v>
      </c>
      <c r="P171" s="1" t="s">
        <v>6944</v>
      </c>
      <c r="Q171" s="3">
        <v>1</v>
      </c>
      <c r="R171" s="22" t="s">
        <v>2721</v>
      </c>
      <c r="S171" s="42" t="s">
        <v>6914</v>
      </c>
      <c r="T171" s="3" t="s">
        <v>4866</v>
      </c>
      <c r="U171" s="45">
        <v>35</v>
      </c>
      <c r="V171" t="s">
        <v>6932</v>
      </c>
      <c r="W171" s="1" t="str">
        <f>HYPERLINK("http://ictvonline.org/taxonomy/p/taxonomy-history?taxnode_id=201908619","ICTVonline=201908619")</f>
        <v>ICTVonline=201908619</v>
      </c>
    </row>
    <row r="172" spans="1:23">
      <c r="A172" s="3">
        <v>171</v>
      </c>
      <c r="B172" s="1" t="s">
        <v>6915</v>
      </c>
      <c r="D172" s="1" t="s">
        <v>6916</v>
      </c>
      <c r="F172" s="1" t="s">
        <v>6920</v>
      </c>
      <c r="H172" s="1" t="s">
        <v>6921</v>
      </c>
      <c r="J172" s="1" t="s">
        <v>1324</v>
      </c>
      <c r="L172" s="1" t="s">
        <v>6928</v>
      </c>
      <c r="M172" s="1" t="s">
        <v>6940</v>
      </c>
      <c r="N172" s="1" t="s">
        <v>6943</v>
      </c>
      <c r="P172" s="1" t="s">
        <v>6945</v>
      </c>
      <c r="Q172" s="3">
        <v>0</v>
      </c>
      <c r="R172" s="22" t="s">
        <v>2721</v>
      </c>
      <c r="S172" s="42" t="s">
        <v>6914</v>
      </c>
      <c r="T172" s="3" t="s">
        <v>4866</v>
      </c>
      <c r="U172" s="45">
        <v>35</v>
      </c>
      <c r="V172" t="s">
        <v>6932</v>
      </c>
      <c r="W172" s="1" t="str">
        <f>HYPERLINK("http://ictvonline.org/taxonomy/p/taxonomy-history?taxnode_id=201908620","ICTVonline=201908620")</f>
        <v>ICTVonline=201908620</v>
      </c>
    </row>
    <row r="173" spans="1:23">
      <c r="A173" s="3">
        <v>172</v>
      </c>
      <c r="B173" s="1" t="s">
        <v>6915</v>
      </c>
      <c r="D173" s="1" t="s">
        <v>6916</v>
      </c>
      <c r="F173" s="1" t="s">
        <v>6920</v>
      </c>
      <c r="H173" s="1" t="s">
        <v>6921</v>
      </c>
      <c r="J173" s="1" t="s">
        <v>1324</v>
      </c>
      <c r="L173" s="1" t="s">
        <v>6928</v>
      </c>
      <c r="M173" s="1" t="s">
        <v>6940</v>
      </c>
      <c r="N173" s="1" t="s">
        <v>6943</v>
      </c>
      <c r="P173" s="1" t="s">
        <v>6946</v>
      </c>
      <c r="Q173" s="3">
        <v>0</v>
      </c>
      <c r="R173" s="22" t="s">
        <v>2721</v>
      </c>
      <c r="S173" s="42" t="s">
        <v>6914</v>
      </c>
      <c r="T173" s="3" t="s">
        <v>4866</v>
      </c>
      <c r="U173" s="45">
        <v>35</v>
      </c>
      <c r="V173" t="s">
        <v>6932</v>
      </c>
      <c r="W173" s="1" t="str">
        <f>HYPERLINK("http://ictvonline.org/taxonomy/p/taxonomy-history?taxnode_id=201908621","ICTVonline=201908621")</f>
        <v>ICTVonline=201908621</v>
      </c>
    </row>
    <row r="174" spans="1:23">
      <c r="A174" s="3">
        <v>173</v>
      </c>
      <c r="B174" s="1" t="s">
        <v>6915</v>
      </c>
      <c r="D174" s="1" t="s">
        <v>6916</v>
      </c>
      <c r="F174" s="1" t="s">
        <v>6920</v>
      </c>
      <c r="H174" s="1" t="s">
        <v>6921</v>
      </c>
      <c r="J174" s="1" t="s">
        <v>1324</v>
      </c>
      <c r="L174" s="1" t="s">
        <v>6928</v>
      </c>
      <c r="M174" s="1" t="s">
        <v>6940</v>
      </c>
      <c r="N174" s="1" t="s">
        <v>6947</v>
      </c>
      <c r="P174" s="1" t="s">
        <v>6948</v>
      </c>
      <c r="Q174" s="3">
        <v>1</v>
      </c>
      <c r="R174" s="22" t="s">
        <v>2721</v>
      </c>
      <c r="S174" s="42" t="s">
        <v>6914</v>
      </c>
      <c r="T174" s="3" t="s">
        <v>4866</v>
      </c>
      <c r="U174" s="45">
        <v>35</v>
      </c>
      <c r="V174" t="s">
        <v>6932</v>
      </c>
      <c r="W174" s="1" t="str">
        <f>HYPERLINK("http://ictvonline.org/taxonomy/p/taxonomy-history?taxnode_id=201908624","ICTVonline=201908624")</f>
        <v>ICTVonline=201908624</v>
      </c>
    </row>
    <row r="175" spans="1:23">
      <c r="A175" s="3">
        <v>174</v>
      </c>
      <c r="B175" s="1" t="s">
        <v>6915</v>
      </c>
      <c r="D175" s="1" t="s">
        <v>6916</v>
      </c>
      <c r="F175" s="1" t="s">
        <v>6920</v>
      </c>
      <c r="H175" s="1" t="s">
        <v>6921</v>
      </c>
      <c r="J175" s="1" t="s">
        <v>1324</v>
      </c>
      <c r="L175" s="1" t="s">
        <v>6928</v>
      </c>
      <c r="M175" s="1" t="s">
        <v>6940</v>
      </c>
      <c r="N175" s="1" t="s">
        <v>6947</v>
      </c>
      <c r="P175" s="1" t="s">
        <v>6949</v>
      </c>
      <c r="Q175" s="3">
        <v>0</v>
      </c>
      <c r="R175" s="22" t="s">
        <v>2721</v>
      </c>
      <c r="S175" s="42" t="s">
        <v>6914</v>
      </c>
      <c r="T175" s="3" t="s">
        <v>4866</v>
      </c>
      <c r="U175" s="45">
        <v>35</v>
      </c>
      <c r="V175" t="s">
        <v>6932</v>
      </c>
      <c r="W175" s="1" t="str">
        <f>HYPERLINK("http://ictvonline.org/taxonomy/p/taxonomy-history?taxnode_id=201908623","ICTVonline=201908623")</f>
        <v>ICTVonline=201908623</v>
      </c>
    </row>
    <row r="176" spans="1:23">
      <c r="A176" s="3">
        <v>175</v>
      </c>
      <c r="B176" s="1" t="s">
        <v>6915</v>
      </c>
      <c r="D176" s="1" t="s">
        <v>6916</v>
      </c>
      <c r="F176" s="1" t="s">
        <v>6920</v>
      </c>
      <c r="H176" s="1" t="s">
        <v>6921</v>
      </c>
      <c r="J176" s="1" t="s">
        <v>1324</v>
      </c>
      <c r="L176" s="1" t="s">
        <v>6928</v>
      </c>
      <c r="M176" s="1" t="s">
        <v>6940</v>
      </c>
      <c r="N176" s="1" t="s">
        <v>6950</v>
      </c>
      <c r="P176" s="1" t="s">
        <v>6951</v>
      </c>
      <c r="Q176" s="3">
        <v>1</v>
      </c>
      <c r="R176" s="22" t="s">
        <v>2721</v>
      </c>
      <c r="S176" s="42" t="s">
        <v>6914</v>
      </c>
      <c r="T176" s="3" t="s">
        <v>4866</v>
      </c>
      <c r="U176" s="45">
        <v>35</v>
      </c>
      <c r="V176" t="s">
        <v>6932</v>
      </c>
      <c r="W176" s="1" t="str">
        <f>HYPERLINK("http://ictvonline.org/taxonomy/p/taxonomy-history?taxnode_id=201908632","ICTVonline=201908632")</f>
        <v>ICTVonline=201908632</v>
      </c>
    </row>
    <row r="177" spans="1:23">
      <c r="A177" s="3">
        <v>176</v>
      </c>
      <c r="B177" s="1" t="s">
        <v>6915</v>
      </c>
      <c r="D177" s="1" t="s">
        <v>6916</v>
      </c>
      <c r="F177" s="1" t="s">
        <v>6920</v>
      </c>
      <c r="H177" s="1" t="s">
        <v>6921</v>
      </c>
      <c r="J177" s="1" t="s">
        <v>1324</v>
      </c>
      <c r="L177" s="1" t="s">
        <v>6928</v>
      </c>
      <c r="M177" s="1" t="s">
        <v>6940</v>
      </c>
      <c r="N177" s="1" t="s">
        <v>6952</v>
      </c>
      <c r="P177" s="1" t="s">
        <v>6953</v>
      </c>
      <c r="Q177" s="3">
        <v>0</v>
      </c>
      <c r="R177" s="22" t="s">
        <v>2721</v>
      </c>
      <c r="S177" s="42" t="s">
        <v>6914</v>
      </c>
      <c r="T177" s="3" t="s">
        <v>4866</v>
      </c>
      <c r="U177" s="45">
        <v>35</v>
      </c>
      <c r="V177" t="s">
        <v>6932</v>
      </c>
      <c r="W177" s="1" t="str">
        <f>HYPERLINK("http://ictvonline.org/taxonomy/p/taxonomy-history?taxnode_id=201908628","ICTVonline=201908628")</f>
        <v>ICTVonline=201908628</v>
      </c>
    </row>
    <row r="178" spans="1:23">
      <c r="A178" s="3">
        <v>177</v>
      </c>
      <c r="B178" s="1" t="s">
        <v>6915</v>
      </c>
      <c r="D178" s="1" t="s">
        <v>6916</v>
      </c>
      <c r="F178" s="1" t="s">
        <v>6920</v>
      </c>
      <c r="H178" s="1" t="s">
        <v>6921</v>
      </c>
      <c r="J178" s="1" t="s">
        <v>1324</v>
      </c>
      <c r="L178" s="1" t="s">
        <v>6928</v>
      </c>
      <c r="M178" s="1" t="s">
        <v>6940</v>
      </c>
      <c r="N178" s="1" t="s">
        <v>6952</v>
      </c>
      <c r="P178" s="1" t="s">
        <v>6954</v>
      </c>
      <c r="Q178" s="3">
        <v>0</v>
      </c>
      <c r="R178" s="22" t="s">
        <v>2721</v>
      </c>
      <c r="S178" s="42" t="s">
        <v>6914</v>
      </c>
      <c r="T178" s="3" t="s">
        <v>4866</v>
      </c>
      <c r="U178" s="45">
        <v>35</v>
      </c>
      <c r="V178" t="s">
        <v>6932</v>
      </c>
      <c r="W178" s="1" t="str">
        <f>HYPERLINK("http://ictvonline.org/taxonomy/p/taxonomy-history?taxnode_id=201908629","ICTVonline=201908629")</f>
        <v>ICTVonline=201908629</v>
      </c>
    </row>
    <row r="179" spans="1:23">
      <c r="A179" s="3">
        <v>178</v>
      </c>
      <c r="B179" s="1" t="s">
        <v>6915</v>
      </c>
      <c r="D179" s="1" t="s">
        <v>6916</v>
      </c>
      <c r="F179" s="1" t="s">
        <v>6920</v>
      </c>
      <c r="H179" s="1" t="s">
        <v>6921</v>
      </c>
      <c r="J179" s="1" t="s">
        <v>1324</v>
      </c>
      <c r="L179" s="1" t="s">
        <v>6928</v>
      </c>
      <c r="M179" s="1" t="s">
        <v>6940</v>
      </c>
      <c r="N179" s="1" t="s">
        <v>6952</v>
      </c>
      <c r="P179" s="1" t="s">
        <v>6955</v>
      </c>
      <c r="Q179" s="3">
        <v>0</v>
      </c>
      <c r="R179" s="22" t="s">
        <v>2721</v>
      </c>
      <c r="S179" s="42" t="s">
        <v>6914</v>
      </c>
      <c r="T179" s="3" t="s">
        <v>4866</v>
      </c>
      <c r="U179" s="45">
        <v>35</v>
      </c>
      <c r="V179" t="s">
        <v>6932</v>
      </c>
      <c r="W179" s="1" t="str">
        <f>HYPERLINK("http://ictvonline.org/taxonomy/p/taxonomy-history?taxnode_id=201908627","ICTVonline=201908627")</f>
        <v>ICTVonline=201908627</v>
      </c>
    </row>
    <row r="180" spans="1:23">
      <c r="A180" s="3">
        <v>179</v>
      </c>
      <c r="B180" s="1" t="s">
        <v>6915</v>
      </c>
      <c r="D180" s="1" t="s">
        <v>6916</v>
      </c>
      <c r="F180" s="1" t="s">
        <v>6920</v>
      </c>
      <c r="H180" s="1" t="s">
        <v>6921</v>
      </c>
      <c r="J180" s="1" t="s">
        <v>1324</v>
      </c>
      <c r="L180" s="1" t="s">
        <v>6928</v>
      </c>
      <c r="M180" s="1" t="s">
        <v>6940</v>
      </c>
      <c r="N180" s="1" t="s">
        <v>6952</v>
      </c>
      <c r="P180" s="1" t="s">
        <v>6956</v>
      </c>
      <c r="Q180" s="3">
        <v>0</v>
      </c>
      <c r="R180" s="22" t="s">
        <v>2721</v>
      </c>
      <c r="S180" s="42" t="s">
        <v>6914</v>
      </c>
      <c r="T180" s="3" t="s">
        <v>4866</v>
      </c>
      <c r="U180" s="45">
        <v>35</v>
      </c>
      <c r="V180" t="s">
        <v>6932</v>
      </c>
      <c r="W180" s="1" t="str">
        <f>HYPERLINK("http://ictvonline.org/taxonomy/p/taxonomy-history?taxnode_id=201908626","ICTVonline=201908626")</f>
        <v>ICTVonline=201908626</v>
      </c>
    </row>
    <row r="181" spans="1:23">
      <c r="A181" s="3">
        <v>180</v>
      </c>
      <c r="B181" s="1" t="s">
        <v>6915</v>
      </c>
      <c r="D181" s="1" t="s">
        <v>6916</v>
      </c>
      <c r="F181" s="1" t="s">
        <v>6920</v>
      </c>
      <c r="H181" s="1" t="s">
        <v>6921</v>
      </c>
      <c r="J181" s="1" t="s">
        <v>1324</v>
      </c>
      <c r="L181" s="1" t="s">
        <v>6928</v>
      </c>
      <c r="M181" s="1" t="s">
        <v>6940</v>
      </c>
      <c r="N181" s="1" t="s">
        <v>6952</v>
      </c>
      <c r="P181" s="1" t="s">
        <v>6957</v>
      </c>
      <c r="Q181" s="3">
        <v>1</v>
      </c>
      <c r="R181" s="22" t="s">
        <v>2721</v>
      </c>
      <c r="S181" s="42" t="s">
        <v>6914</v>
      </c>
      <c r="T181" s="3" t="s">
        <v>4866</v>
      </c>
      <c r="U181" s="45">
        <v>35</v>
      </c>
      <c r="V181" t="s">
        <v>6932</v>
      </c>
      <c r="W181" s="1" t="str">
        <f>HYPERLINK("http://ictvonline.org/taxonomy/p/taxonomy-history?taxnode_id=201908630","ICTVonline=201908630")</f>
        <v>ICTVonline=201908630</v>
      </c>
    </row>
    <row r="182" spans="1:23">
      <c r="A182" s="3">
        <v>181</v>
      </c>
      <c r="B182" s="1" t="s">
        <v>6915</v>
      </c>
      <c r="D182" s="1" t="s">
        <v>6916</v>
      </c>
      <c r="F182" s="1" t="s">
        <v>6920</v>
      </c>
      <c r="H182" s="1" t="s">
        <v>6921</v>
      </c>
      <c r="J182" s="1" t="s">
        <v>1324</v>
      </c>
      <c r="L182" s="1" t="s">
        <v>6928</v>
      </c>
      <c r="M182" s="1" t="s">
        <v>6958</v>
      </c>
      <c r="N182" s="1" t="s">
        <v>6959</v>
      </c>
      <c r="P182" s="1" t="s">
        <v>6960</v>
      </c>
      <c r="Q182" s="3">
        <v>1</v>
      </c>
      <c r="R182" s="22" t="s">
        <v>2721</v>
      </c>
      <c r="S182" s="42" t="s">
        <v>6914</v>
      </c>
      <c r="T182" s="3" t="s">
        <v>4866</v>
      </c>
      <c r="U182" s="45">
        <v>35</v>
      </c>
      <c r="V182" t="s">
        <v>6932</v>
      </c>
      <c r="W182" s="1" t="str">
        <f>HYPERLINK("http://ictvonline.org/taxonomy/p/taxonomy-history?taxnode_id=201908569","ICTVonline=201908569")</f>
        <v>ICTVonline=201908569</v>
      </c>
    </row>
    <row r="183" spans="1:23">
      <c r="A183" s="3">
        <v>182</v>
      </c>
      <c r="B183" s="1" t="s">
        <v>6915</v>
      </c>
      <c r="D183" s="1" t="s">
        <v>6916</v>
      </c>
      <c r="F183" s="1" t="s">
        <v>6920</v>
      </c>
      <c r="H183" s="1" t="s">
        <v>6921</v>
      </c>
      <c r="J183" s="1" t="s">
        <v>1324</v>
      </c>
      <c r="L183" s="1" t="s">
        <v>6928</v>
      </c>
      <c r="M183" s="1" t="s">
        <v>6958</v>
      </c>
      <c r="N183" s="1" t="s">
        <v>6961</v>
      </c>
      <c r="P183" s="1" t="s">
        <v>6962</v>
      </c>
      <c r="Q183" s="3">
        <v>1</v>
      </c>
      <c r="R183" s="22" t="s">
        <v>2721</v>
      </c>
      <c r="S183" s="42" t="s">
        <v>6914</v>
      </c>
      <c r="T183" s="3" t="s">
        <v>4866</v>
      </c>
      <c r="U183" s="45">
        <v>35</v>
      </c>
      <c r="V183" t="s">
        <v>6932</v>
      </c>
      <c r="W183" s="1" t="str">
        <f>HYPERLINK("http://ictvonline.org/taxonomy/p/taxonomy-history?taxnode_id=201908557","ICTVonline=201908557")</f>
        <v>ICTVonline=201908557</v>
      </c>
    </row>
    <row r="184" spans="1:23">
      <c r="A184" s="3">
        <v>183</v>
      </c>
      <c r="B184" s="1" t="s">
        <v>6915</v>
      </c>
      <c r="D184" s="1" t="s">
        <v>6916</v>
      </c>
      <c r="F184" s="1" t="s">
        <v>6920</v>
      </c>
      <c r="H184" s="1" t="s">
        <v>6921</v>
      </c>
      <c r="J184" s="1" t="s">
        <v>1324</v>
      </c>
      <c r="L184" s="1" t="s">
        <v>6928</v>
      </c>
      <c r="M184" s="1" t="s">
        <v>6958</v>
      </c>
      <c r="N184" s="1" t="s">
        <v>6961</v>
      </c>
      <c r="P184" s="1" t="s">
        <v>6963</v>
      </c>
      <c r="Q184" s="3">
        <v>0</v>
      </c>
      <c r="R184" s="22" t="s">
        <v>2721</v>
      </c>
      <c r="S184" s="42" t="s">
        <v>6914</v>
      </c>
      <c r="T184" s="3" t="s">
        <v>4866</v>
      </c>
      <c r="U184" s="45">
        <v>35</v>
      </c>
      <c r="V184" t="s">
        <v>6932</v>
      </c>
      <c r="W184" s="1" t="str">
        <f>HYPERLINK("http://ictvonline.org/taxonomy/p/taxonomy-history?taxnode_id=201908555","ICTVonline=201908555")</f>
        <v>ICTVonline=201908555</v>
      </c>
    </row>
    <row r="185" spans="1:23">
      <c r="A185" s="3">
        <v>184</v>
      </c>
      <c r="B185" s="1" t="s">
        <v>6915</v>
      </c>
      <c r="D185" s="1" t="s">
        <v>6916</v>
      </c>
      <c r="F185" s="1" t="s">
        <v>6920</v>
      </c>
      <c r="H185" s="1" t="s">
        <v>6921</v>
      </c>
      <c r="J185" s="1" t="s">
        <v>1324</v>
      </c>
      <c r="L185" s="1" t="s">
        <v>6928</v>
      </c>
      <c r="M185" s="1" t="s">
        <v>6958</v>
      </c>
      <c r="N185" s="1" t="s">
        <v>6961</v>
      </c>
      <c r="P185" s="1" t="s">
        <v>6964</v>
      </c>
      <c r="Q185" s="3">
        <v>0</v>
      </c>
      <c r="R185" s="22" t="s">
        <v>2721</v>
      </c>
      <c r="S185" s="42" t="s">
        <v>6914</v>
      </c>
      <c r="T185" s="3" t="s">
        <v>4866</v>
      </c>
      <c r="U185" s="45">
        <v>35</v>
      </c>
      <c r="V185" t="s">
        <v>6932</v>
      </c>
      <c r="W185" s="1" t="str">
        <f>HYPERLINK("http://ictvonline.org/taxonomy/p/taxonomy-history?taxnode_id=201908556","ICTVonline=201908556")</f>
        <v>ICTVonline=201908556</v>
      </c>
    </row>
    <row r="186" spans="1:23">
      <c r="A186" s="3">
        <v>185</v>
      </c>
      <c r="B186" s="1" t="s">
        <v>6915</v>
      </c>
      <c r="D186" s="1" t="s">
        <v>6916</v>
      </c>
      <c r="F186" s="1" t="s">
        <v>6920</v>
      </c>
      <c r="H186" s="1" t="s">
        <v>6921</v>
      </c>
      <c r="J186" s="1" t="s">
        <v>1324</v>
      </c>
      <c r="L186" s="1" t="s">
        <v>6928</v>
      </c>
      <c r="M186" s="1" t="s">
        <v>6958</v>
      </c>
      <c r="N186" s="1" t="s">
        <v>6442</v>
      </c>
      <c r="P186" s="1" t="s">
        <v>6443</v>
      </c>
      <c r="Q186" s="3">
        <v>0</v>
      </c>
      <c r="R186" s="22" t="s">
        <v>2721</v>
      </c>
      <c r="S186" s="42" t="s">
        <v>6910</v>
      </c>
      <c r="T186" s="3" t="s">
        <v>4868</v>
      </c>
      <c r="U186" s="45">
        <v>35</v>
      </c>
      <c r="V186" t="s">
        <v>6932</v>
      </c>
      <c r="W186" s="1" t="str">
        <f>HYPERLINK("http://ictvonline.org/taxonomy/p/taxonomy-history?taxnode_id=201906925","ICTVonline=201906925")</f>
        <v>ICTVonline=201906925</v>
      </c>
    </row>
    <row r="187" spans="1:23">
      <c r="A187" s="3">
        <v>186</v>
      </c>
      <c r="B187" s="1" t="s">
        <v>6915</v>
      </c>
      <c r="D187" s="1" t="s">
        <v>6916</v>
      </c>
      <c r="F187" s="1" t="s">
        <v>6920</v>
      </c>
      <c r="H187" s="1" t="s">
        <v>6921</v>
      </c>
      <c r="J187" s="1" t="s">
        <v>1324</v>
      </c>
      <c r="L187" s="1" t="s">
        <v>6928</v>
      </c>
      <c r="M187" s="1" t="s">
        <v>6958</v>
      </c>
      <c r="N187" s="1" t="s">
        <v>6442</v>
      </c>
      <c r="P187" s="1" t="s">
        <v>6965</v>
      </c>
      <c r="Q187" s="3">
        <v>0</v>
      </c>
      <c r="R187" s="22" t="s">
        <v>2721</v>
      </c>
      <c r="S187" s="42" t="s">
        <v>6914</v>
      </c>
      <c r="T187" s="3" t="s">
        <v>4866</v>
      </c>
      <c r="U187" s="45">
        <v>35</v>
      </c>
      <c r="V187" t="s">
        <v>6932</v>
      </c>
      <c r="W187" s="1" t="str">
        <f>HYPERLINK("http://ictvonline.org/taxonomy/p/taxonomy-history?taxnode_id=201908561","ICTVonline=201908561")</f>
        <v>ICTVonline=201908561</v>
      </c>
    </row>
    <row r="188" spans="1:23">
      <c r="A188" s="3">
        <v>187</v>
      </c>
      <c r="B188" s="1" t="s">
        <v>6915</v>
      </c>
      <c r="D188" s="1" t="s">
        <v>6916</v>
      </c>
      <c r="F188" s="1" t="s">
        <v>6920</v>
      </c>
      <c r="H188" s="1" t="s">
        <v>6921</v>
      </c>
      <c r="J188" s="1" t="s">
        <v>1324</v>
      </c>
      <c r="L188" s="1" t="s">
        <v>6928</v>
      </c>
      <c r="M188" s="1" t="s">
        <v>6958</v>
      </c>
      <c r="N188" s="1" t="s">
        <v>6442</v>
      </c>
      <c r="P188" s="1" t="s">
        <v>6444</v>
      </c>
      <c r="Q188" s="3">
        <v>1</v>
      </c>
      <c r="R188" s="22" t="s">
        <v>2721</v>
      </c>
      <c r="S188" s="42" t="s">
        <v>6910</v>
      </c>
      <c r="T188" s="3" t="s">
        <v>4868</v>
      </c>
      <c r="U188" s="45">
        <v>35</v>
      </c>
      <c r="V188" t="s">
        <v>6932</v>
      </c>
      <c r="W188" s="1" t="str">
        <f>HYPERLINK("http://ictvonline.org/taxonomy/p/taxonomy-history?taxnode_id=201906924","ICTVonline=201906924")</f>
        <v>ICTVonline=201906924</v>
      </c>
    </row>
    <row r="189" spans="1:23">
      <c r="A189" s="3">
        <v>188</v>
      </c>
      <c r="B189" s="1" t="s">
        <v>6915</v>
      </c>
      <c r="D189" s="1" t="s">
        <v>6916</v>
      </c>
      <c r="F189" s="1" t="s">
        <v>6920</v>
      </c>
      <c r="H189" s="1" t="s">
        <v>6921</v>
      </c>
      <c r="J189" s="1" t="s">
        <v>1324</v>
      </c>
      <c r="L189" s="1" t="s">
        <v>6928</v>
      </c>
      <c r="M189" s="1" t="s">
        <v>6958</v>
      </c>
      <c r="N189" s="1" t="s">
        <v>6442</v>
      </c>
      <c r="P189" s="1" t="s">
        <v>6966</v>
      </c>
      <c r="Q189" s="3">
        <v>0</v>
      </c>
      <c r="R189" s="22" t="s">
        <v>2721</v>
      </c>
      <c r="S189" s="42" t="s">
        <v>6914</v>
      </c>
      <c r="T189" s="3" t="s">
        <v>4866</v>
      </c>
      <c r="U189" s="45">
        <v>35</v>
      </c>
      <c r="V189" t="s">
        <v>6932</v>
      </c>
      <c r="W189" s="1" t="str">
        <f>HYPERLINK("http://ictvonline.org/taxonomy/p/taxonomy-history?taxnode_id=201908558","ICTVonline=201908558")</f>
        <v>ICTVonline=201908558</v>
      </c>
    </row>
    <row r="190" spans="1:23">
      <c r="A190" s="3">
        <v>189</v>
      </c>
      <c r="B190" s="1" t="s">
        <v>6915</v>
      </c>
      <c r="D190" s="1" t="s">
        <v>6916</v>
      </c>
      <c r="F190" s="1" t="s">
        <v>6920</v>
      </c>
      <c r="H190" s="1" t="s">
        <v>6921</v>
      </c>
      <c r="J190" s="1" t="s">
        <v>1324</v>
      </c>
      <c r="L190" s="1" t="s">
        <v>6928</v>
      </c>
      <c r="M190" s="1" t="s">
        <v>6958</v>
      </c>
      <c r="N190" s="1" t="s">
        <v>6442</v>
      </c>
      <c r="P190" s="1" t="s">
        <v>6967</v>
      </c>
      <c r="Q190" s="3">
        <v>0</v>
      </c>
      <c r="R190" s="22" t="s">
        <v>2721</v>
      </c>
      <c r="S190" s="42" t="s">
        <v>6914</v>
      </c>
      <c r="T190" s="3" t="s">
        <v>4866</v>
      </c>
      <c r="U190" s="45">
        <v>35</v>
      </c>
      <c r="V190" t="s">
        <v>6932</v>
      </c>
      <c r="W190" s="1" t="str">
        <f>HYPERLINK("http://ictvonline.org/taxonomy/p/taxonomy-history?taxnode_id=201908562","ICTVonline=201908562")</f>
        <v>ICTVonline=201908562</v>
      </c>
    </row>
    <row r="191" spans="1:23">
      <c r="A191" s="3">
        <v>190</v>
      </c>
      <c r="B191" s="1" t="s">
        <v>6915</v>
      </c>
      <c r="D191" s="1" t="s">
        <v>6916</v>
      </c>
      <c r="F191" s="1" t="s">
        <v>6920</v>
      </c>
      <c r="H191" s="1" t="s">
        <v>6921</v>
      </c>
      <c r="J191" s="1" t="s">
        <v>1324</v>
      </c>
      <c r="L191" s="1" t="s">
        <v>6928</v>
      </c>
      <c r="M191" s="1" t="s">
        <v>6958</v>
      </c>
      <c r="N191" s="1" t="s">
        <v>6442</v>
      </c>
      <c r="P191" s="1" t="s">
        <v>6968</v>
      </c>
      <c r="Q191" s="3">
        <v>0</v>
      </c>
      <c r="R191" s="22" t="s">
        <v>2721</v>
      </c>
      <c r="S191" s="42" t="s">
        <v>6914</v>
      </c>
      <c r="T191" s="3" t="s">
        <v>4866</v>
      </c>
      <c r="U191" s="45">
        <v>35</v>
      </c>
      <c r="V191" t="s">
        <v>6932</v>
      </c>
      <c r="W191" s="1" t="str">
        <f>HYPERLINK("http://ictvonline.org/taxonomy/p/taxonomy-history?taxnode_id=201908563","ICTVonline=201908563")</f>
        <v>ICTVonline=201908563</v>
      </c>
    </row>
    <row r="192" spans="1:23">
      <c r="A192" s="3">
        <v>191</v>
      </c>
      <c r="B192" s="1" t="s">
        <v>6915</v>
      </c>
      <c r="D192" s="1" t="s">
        <v>6916</v>
      </c>
      <c r="F192" s="1" t="s">
        <v>6920</v>
      </c>
      <c r="H192" s="1" t="s">
        <v>6921</v>
      </c>
      <c r="J192" s="1" t="s">
        <v>1324</v>
      </c>
      <c r="L192" s="1" t="s">
        <v>6928</v>
      </c>
      <c r="M192" s="1" t="s">
        <v>6958</v>
      </c>
      <c r="N192" s="1" t="s">
        <v>6442</v>
      </c>
      <c r="P192" s="1" t="s">
        <v>6969</v>
      </c>
      <c r="Q192" s="3">
        <v>0</v>
      </c>
      <c r="R192" s="22" t="s">
        <v>2721</v>
      </c>
      <c r="S192" s="42" t="s">
        <v>6914</v>
      </c>
      <c r="T192" s="3" t="s">
        <v>4866</v>
      </c>
      <c r="U192" s="45">
        <v>35</v>
      </c>
      <c r="V192" t="s">
        <v>6932</v>
      </c>
      <c r="W192" s="1" t="str">
        <f>HYPERLINK("http://ictvonline.org/taxonomy/p/taxonomy-history?taxnode_id=201908559","ICTVonline=201908559")</f>
        <v>ICTVonline=201908559</v>
      </c>
    </row>
    <row r="193" spans="1:23">
      <c r="A193" s="3">
        <v>192</v>
      </c>
      <c r="B193" s="1" t="s">
        <v>6915</v>
      </c>
      <c r="D193" s="1" t="s">
        <v>6916</v>
      </c>
      <c r="F193" s="1" t="s">
        <v>6920</v>
      </c>
      <c r="H193" s="1" t="s">
        <v>6921</v>
      </c>
      <c r="J193" s="1" t="s">
        <v>1324</v>
      </c>
      <c r="L193" s="1" t="s">
        <v>6928</v>
      </c>
      <c r="M193" s="1" t="s">
        <v>6958</v>
      </c>
      <c r="N193" s="1" t="s">
        <v>6442</v>
      </c>
      <c r="P193" s="1" t="s">
        <v>6970</v>
      </c>
      <c r="Q193" s="3">
        <v>0</v>
      </c>
      <c r="R193" s="22" t="s">
        <v>2721</v>
      </c>
      <c r="S193" s="42" t="s">
        <v>6914</v>
      </c>
      <c r="T193" s="3" t="s">
        <v>4866</v>
      </c>
      <c r="U193" s="45">
        <v>35</v>
      </c>
      <c r="V193" t="s">
        <v>6932</v>
      </c>
      <c r="W193" s="1" t="str">
        <f>HYPERLINK("http://ictvonline.org/taxonomy/p/taxonomy-history?taxnode_id=201908560","ICTVonline=201908560")</f>
        <v>ICTVonline=201908560</v>
      </c>
    </row>
    <row r="194" spans="1:23">
      <c r="A194" s="3">
        <v>193</v>
      </c>
      <c r="B194" s="1" t="s">
        <v>6915</v>
      </c>
      <c r="D194" s="1" t="s">
        <v>6916</v>
      </c>
      <c r="F194" s="1" t="s">
        <v>6920</v>
      </c>
      <c r="H194" s="1" t="s">
        <v>6921</v>
      </c>
      <c r="J194" s="1" t="s">
        <v>1324</v>
      </c>
      <c r="L194" s="1" t="s">
        <v>6928</v>
      </c>
      <c r="M194" s="1" t="s">
        <v>6958</v>
      </c>
      <c r="N194" s="1" t="s">
        <v>6442</v>
      </c>
      <c r="P194" s="1" t="s">
        <v>6445</v>
      </c>
      <c r="Q194" s="3">
        <v>0</v>
      </c>
      <c r="R194" s="22" t="s">
        <v>2721</v>
      </c>
      <c r="S194" s="42" t="s">
        <v>6910</v>
      </c>
      <c r="T194" s="3" t="s">
        <v>4868</v>
      </c>
      <c r="U194" s="45">
        <v>35</v>
      </c>
      <c r="V194" t="s">
        <v>6932</v>
      </c>
      <c r="W194" s="1" t="str">
        <f>HYPERLINK("http://ictvonline.org/taxonomy/p/taxonomy-history?taxnode_id=201906926","ICTVonline=201906926")</f>
        <v>ICTVonline=201906926</v>
      </c>
    </row>
    <row r="195" spans="1:23">
      <c r="A195" s="3">
        <v>194</v>
      </c>
      <c r="B195" s="1" t="s">
        <v>6915</v>
      </c>
      <c r="D195" s="1" t="s">
        <v>6916</v>
      </c>
      <c r="F195" s="1" t="s">
        <v>6920</v>
      </c>
      <c r="H195" s="1" t="s">
        <v>6921</v>
      </c>
      <c r="J195" s="1" t="s">
        <v>1324</v>
      </c>
      <c r="L195" s="1" t="s">
        <v>6928</v>
      </c>
      <c r="M195" s="1" t="s">
        <v>6958</v>
      </c>
      <c r="N195" s="1" t="s">
        <v>6442</v>
      </c>
      <c r="P195" s="1" t="s">
        <v>6971</v>
      </c>
      <c r="Q195" s="3">
        <v>0</v>
      </c>
      <c r="R195" s="22" t="s">
        <v>2721</v>
      </c>
      <c r="S195" s="42" t="s">
        <v>6914</v>
      </c>
      <c r="T195" s="3" t="s">
        <v>4866</v>
      </c>
      <c r="U195" s="45">
        <v>35</v>
      </c>
      <c r="V195" t="s">
        <v>6932</v>
      </c>
      <c r="W195" s="1" t="str">
        <f>HYPERLINK("http://ictvonline.org/taxonomy/p/taxonomy-history?taxnode_id=201908564","ICTVonline=201908564")</f>
        <v>ICTVonline=201908564</v>
      </c>
    </row>
    <row r="196" spans="1:23">
      <c r="A196" s="3">
        <v>195</v>
      </c>
      <c r="B196" s="1" t="s">
        <v>6915</v>
      </c>
      <c r="D196" s="1" t="s">
        <v>6916</v>
      </c>
      <c r="F196" s="1" t="s">
        <v>6920</v>
      </c>
      <c r="H196" s="1" t="s">
        <v>6921</v>
      </c>
      <c r="J196" s="1" t="s">
        <v>1324</v>
      </c>
      <c r="L196" s="1" t="s">
        <v>6928</v>
      </c>
      <c r="M196" s="1" t="s">
        <v>6958</v>
      </c>
      <c r="N196" s="1" t="s">
        <v>6442</v>
      </c>
      <c r="P196" s="1" t="s">
        <v>6446</v>
      </c>
      <c r="Q196" s="3">
        <v>0</v>
      </c>
      <c r="R196" s="22" t="s">
        <v>2721</v>
      </c>
      <c r="S196" s="42" t="s">
        <v>6910</v>
      </c>
      <c r="T196" s="3" t="s">
        <v>4868</v>
      </c>
      <c r="U196" s="45">
        <v>35</v>
      </c>
      <c r="V196" t="s">
        <v>6932</v>
      </c>
      <c r="W196" s="1" t="str">
        <f>HYPERLINK("http://ictvonline.org/taxonomy/p/taxonomy-history?taxnode_id=201906927","ICTVonline=201906927")</f>
        <v>ICTVonline=201906927</v>
      </c>
    </row>
    <row r="197" spans="1:23">
      <c r="A197" s="3">
        <v>196</v>
      </c>
      <c r="B197" s="1" t="s">
        <v>6915</v>
      </c>
      <c r="D197" s="1" t="s">
        <v>6916</v>
      </c>
      <c r="F197" s="1" t="s">
        <v>6920</v>
      </c>
      <c r="H197" s="1" t="s">
        <v>6921</v>
      </c>
      <c r="J197" s="1" t="s">
        <v>1324</v>
      </c>
      <c r="L197" s="1" t="s">
        <v>6928</v>
      </c>
      <c r="M197" s="1" t="s">
        <v>6958</v>
      </c>
      <c r="N197" s="1" t="s">
        <v>6442</v>
      </c>
      <c r="P197" s="1" t="s">
        <v>6972</v>
      </c>
      <c r="Q197" s="3">
        <v>0</v>
      </c>
      <c r="R197" s="22" t="s">
        <v>2721</v>
      </c>
      <c r="S197" s="42" t="s">
        <v>6914</v>
      </c>
      <c r="T197" s="3" t="s">
        <v>4866</v>
      </c>
      <c r="U197" s="45">
        <v>35</v>
      </c>
      <c r="V197" t="s">
        <v>6932</v>
      </c>
      <c r="W197" s="1" t="str">
        <f>HYPERLINK("http://ictvonline.org/taxonomy/p/taxonomy-history?taxnode_id=201908565","ICTVonline=201908565")</f>
        <v>ICTVonline=201908565</v>
      </c>
    </row>
    <row r="198" spans="1:23">
      <c r="A198" s="3">
        <v>197</v>
      </c>
      <c r="B198" s="1" t="s">
        <v>6915</v>
      </c>
      <c r="D198" s="1" t="s">
        <v>6916</v>
      </c>
      <c r="F198" s="1" t="s">
        <v>6920</v>
      </c>
      <c r="H198" s="1" t="s">
        <v>6921</v>
      </c>
      <c r="J198" s="1" t="s">
        <v>1324</v>
      </c>
      <c r="L198" s="1" t="s">
        <v>6928</v>
      </c>
      <c r="M198" s="1" t="s">
        <v>6958</v>
      </c>
      <c r="N198" s="1" t="s">
        <v>6973</v>
      </c>
      <c r="P198" s="1" t="s">
        <v>6974</v>
      </c>
      <c r="Q198" s="3">
        <v>1</v>
      </c>
      <c r="R198" s="22" t="s">
        <v>2721</v>
      </c>
      <c r="S198" s="42" t="s">
        <v>6914</v>
      </c>
      <c r="T198" s="3" t="s">
        <v>4866</v>
      </c>
      <c r="U198" s="45">
        <v>35</v>
      </c>
      <c r="V198" t="s">
        <v>6932</v>
      </c>
      <c r="W198" s="1" t="str">
        <f>HYPERLINK("http://ictvonline.org/taxonomy/p/taxonomy-history?taxnode_id=201908567","ICTVonline=201908567")</f>
        <v>ICTVonline=201908567</v>
      </c>
    </row>
    <row r="199" spans="1:23">
      <c r="A199" s="3">
        <v>198</v>
      </c>
      <c r="B199" s="1" t="s">
        <v>6915</v>
      </c>
      <c r="D199" s="1" t="s">
        <v>6916</v>
      </c>
      <c r="F199" s="1" t="s">
        <v>6920</v>
      </c>
      <c r="H199" s="1" t="s">
        <v>6921</v>
      </c>
      <c r="J199" s="1" t="s">
        <v>1324</v>
      </c>
      <c r="L199" s="1" t="s">
        <v>6928</v>
      </c>
      <c r="M199" s="1" t="s">
        <v>6975</v>
      </c>
      <c r="N199" s="1" t="s">
        <v>6976</v>
      </c>
      <c r="P199" s="1" t="s">
        <v>6977</v>
      </c>
      <c r="Q199" s="3">
        <v>1</v>
      </c>
      <c r="R199" s="22" t="s">
        <v>2721</v>
      </c>
      <c r="S199" s="42" t="s">
        <v>6914</v>
      </c>
      <c r="T199" s="3" t="s">
        <v>4866</v>
      </c>
      <c r="U199" s="45">
        <v>35</v>
      </c>
      <c r="V199" t="s">
        <v>6932</v>
      </c>
      <c r="W199" s="1" t="str">
        <f>HYPERLINK("http://ictvonline.org/taxonomy/p/taxonomy-history?taxnode_id=201908534","ICTVonline=201908534")</f>
        <v>ICTVonline=201908534</v>
      </c>
    </row>
    <row r="200" spans="1:23">
      <c r="A200" s="3">
        <v>199</v>
      </c>
      <c r="B200" s="1" t="s">
        <v>6915</v>
      </c>
      <c r="D200" s="1" t="s">
        <v>6916</v>
      </c>
      <c r="F200" s="1" t="s">
        <v>6920</v>
      </c>
      <c r="H200" s="1" t="s">
        <v>6921</v>
      </c>
      <c r="J200" s="1" t="s">
        <v>1324</v>
      </c>
      <c r="L200" s="1" t="s">
        <v>6928</v>
      </c>
      <c r="M200" s="1" t="s">
        <v>6975</v>
      </c>
      <c r="N200" s="1" t="s">
        <v>2950</v>
      </c>
      <c r="P200" s="1" t="s">
        <v>6978</v>
      </c>
      <c r="Q200" s="3">
        <v>0</v>
      </c>
      <c r="R200" s="22" t="s">
        <v>2721</v>
      </c>
      <c r="S200" s="42" t="s">
        <v>6914</v>
      </c>
      <c r="T200" s="3" t="s">
        <v>4866</v>
      </c>
      <c r="U200" s="45">
        <v>35</v>
      </c>
      <c r="V200" t="s">
        <v>6932</v>
      </c>
      <c r="W200" s="1" t="str">
        <f>HYPERLINK("http://ictvonline.org/taxonomy/p/taxonomy-history?taxnode_id=201908528","ICTVonline=201908528")</f>
        <v>ICTVonline=201908528</v>
      </c>
    </row>
    <row r="201" spans="1:23">
      <c r="A201" s="3">
        <v>200</v>
      </c>
      <c r="B201" s="1" t="s">
        <v>6915</v>
      </c>
      <c r="D201" s="1" t="s">
        <v>6916</v>
      </c>
      <c r="F201" s="1" t="s">
        <v>6920</v>
      </c>
      <c r="H201" s="1" t="s">
        <v>6921</v>
      </c>
      <c r="J201" s="1" t="s">
        <v>1324</v>
      </c>
      <c r="L201" s="1" t="s">
        <v>6928</v>
      </c>
      <c r="M201" s="1" t="s">
        <v>6975</v>
      </c>
      <c r="N201" s="1" t="s">
        <v>2950</v>
      </c>
      <c r="P201" s="1" t="s">
        <v>6979</v>
      </c>
      <c r="Q201" s="3">
        <v>0</v>
      </c>
      <c r="R201" s="22" t="s">
        <v>2721</v>
      </c>
      <c r="S201" s="42" t="s">
        <v>6914</v>
      </c>
      <c r="T201" s="3" t="s">
        <v>4866</v>
      </c>
      <c r="U201" s="45">
        <v>35</v>
      </c>
      <c r="V201" t="s">
        <v>6932</v>
      </c>
      <c r="W201" s="1" t="str">
        <f>HYPERLINK("http://ictvonline.org/taxonomy/p/taxonomy-history?taxnode_id=201908527","ICTVonline=201908527")</f>
        <v>ICTVonline=201908527</v>
      </c>
    </row>
    <row r="202" spans="1:23">
      <c r="A202" s="3">
        <v>201</v>
      </c>
      <c r="B202" s="1" t="s">
        <v>6915</v>
      </c>
      <c r="D202" s="1" t="s">
        <v>6916</v>
      </c>
      <c r="F202" s="1" t="s">
        <v>6920</v>
      </c>
      <c r="H202" s="1" t="s">
        <v>6921</v>
      </c>
      <c r="J202" s="1" t="s">
        <v>1324</v>
      </c>
      <c r="L202" s="1" t="s">
        <v>6928</v>
      </c>
      <c r="M202" s="1" t="s">
        <v>6975</v>
      </c>
      <c r="N202" s="1" t="s">
        <v>2950</v>
      </c>
      <c r="P202" s="1" t="s">
        <v>6980</v>
      </c>
      <c r="Q202" s="3">
        <v>0</v>
      </c>
      <c r="R202" s="22" t="s">
        <v>2721</v>
      </c>
      <c r="S202" s="42" t="s">
        <v>6914</v>
      </c>
      <c r="T202" s="3" t="s">
        <v>4866</v>
      </c>
      <c r="U202" s="45">
        <v>35</v>
      </c>
      <c r="V202" t="s">
        <v>6932</v>
      </c>
      <c r="W202" s="1" t="str">
        <f>HYPERLINK("http://ictvonline.org/taxonomy/p/taxonomy-history?taxnode_id=201908526","ICTVonline=201908526")</f>
        <v>ICTVonline=201908526</v>
      </c>
    </row>
    <row r="203" spans="1:23">
      <c r="A203" s="3">
        <v>202</v>
      </c>
      <c r="B203" s="1" t="s">
        <v>6915</v>
      </c>
      <c r="D203" s="1" t="s">
        <v>6916</v>
      </c>
      <c r="F203" s="1" t="s">
        <v>6920</v>
      </c>
      <c r="H203" s="1" t="s">
        <v>6921</v>
      </c>
      <c r="J203" s="1" t="s">
        <v>1324</v>
      </c>
      <c r="L203" s="1" t="s">
        <v>6928</v>
      </c>
      <c r="M203" s="1" t="s">
        <v>6975</v>
      </c>
      <c r="N203" s="1" t="s">
        <v>2950</v>
      </c>
      <c r="P203" s="1" t="s">
        <v>6981</v>
      </c>
      <c r="Q203" s="3">
        <v>0</v>
      </c>
      <c r="R203" s="22" t="s">
        <v>2721</v>
      </c>
      <c r="S203" s="42" t="s">
        <v>6914</v>
      </c>
      <c r="T203" s="3" t="s">
        <v>4866</v>
      </c>
      <c r="U203" s="45">
        <v>35</v>
      </c>
      <c r="V203" t="s">
        <v>6932</v>
      </c>
      <c r="W203" s="1" t="str">
        <f>HYPERLINK("http://ictvonline.org/taxonomy/p/taxonomy-history?taxnode_id=201908522","ICTVonline=201908522")</f>
        <v>ICTVonline=201908522</v>
      </c>
    </row>
    <row r="204" spans="1:23">
      <c r="A204" s="3">
        <v>203</v>
      </c>
      <c r="B204" s="1" t="s">
        <v>6915</v>
      </c>
      <c r="D204" s="1" t="s">
        <v>6916</v>
      </c>
      <c r="F204" s="1" t="s">
        <v>6920</v>
      </c>
      <c r="H204" s="1" t="s">
        <v>6921</v>
      </c>
      <c r="J204" s="1" t="s">
        <v>1324</v>
      </c>
      <c r="L204" s="1" t="s">
        <v>6928</v>
      </c>
      <c r="M204" s="1" t="s">
        <v>6975</v>
      </c>
      <c r="N204" s="1" t="s">
        <v>2950</v>
      </c>
      <c r="P204" s="1" t="s">
        <v>6982</v>
      </c>
      <c r="Q204" s="3">
        <v>0</v>
      </c>
      <c r="R204" s="22" t="s">
        <v>2721</v>
      </c>
      <c r="S204" s="42" t="s">
        <v>6914</v>
      </c>
      <c r="T204" s="3" t="s">
        <v>4866</v>
      </c>
      <c r="U204" s="45">
        <v>35</v>
      </c>
      <c r="V204" t="s">
        <v>6932</v>
      </c>
      <c r="W204" s="1" t="str">
        <f>HYPERLINK("http://ictvonline.org/taxonomy/p/taxonomy-history?taxnode_id=201908523","ICTVonline=201908523")</f>
        <v>ICTVonline=201908523</v>
      </c>
    </row>
    <row r="205" spans="1:23">
      <c r="A205" s="3">
        <v>204</v>
      </c>
      <c r="B205" s="1" t="s">
        <v>6915</v>
      </c>
      <c r="D205" s="1" t="s">
        <v>6916</v>
      </c>
      <c r="F205" s="1" t="s">
        <v>6920</v>
      </c>
      <c r="H205" s="1" t="s">
        <v>6921</v>
      </c>
      <c r="J205" s="1" t="s">
        <v>1324</v>
      </c>
      <c r="L205" s="1" t="s">
        <v>6928</v>
      </c>
      <c r="M205" s="1" t="s">
        <v>6975</v>
      </c>
      <c r="N205" s="1" t="s">
        <v>2950</v>
      </c>
      <c r="P205" s="1" t="s">
        <v>6983</v>
      </c>
      <c r="Q205" s="3">
        <v>0</v>
      </c>
      <c r="R205" s="22" t="s">
        <v>2721</v>
      </c>
      <c r="S205" s="42" t="s">
        <v>6914</v>
      </c>
      <c r="T205" s="3" t="s">
        <v>4866</v>
      </c>
      <c r="U205" s="45">
        <v>35</v>
      </c>
      <c r="V205" t="s">
        <v>6932</v>
      </c>
      <c r="W205" s="1" t="str">
        <f>HYPERLINK("http://ictvonline.org/taxonomy/p/taxonomy-history?taxnode_id=201908519","ICTVonline=201908519")</f>
        <v>ICTVonline=201908519</v>
      </c>
    </row>
    <row r="206" spans="1:23">
      <c r="A206" s="3">
        <v>205</v>
      </c>
      <c r="B206" s="1" t="s">
        <v>6915</v>
      </c>
      <c r="D206" s="1" t="s">
        <v>6916</v>
      </c>
      <c r="F206" s="1" t="s">
        <v>6920</v>
      </c>
      <c r="H206" s="1" t="s">
        <v>6921</v>
      </c>
      <c r="J206" s="1" t="s">
        <v>1324</v>
      </c>
      <c r="L206" s="1" t="s">
        <v>6928</v>
      </c>
      <c r="M206" s="1" t="s">
        <v>6975</v>
      </c>
      <c r="N206" s="1" t="s">
        <v>2950</v>
      </c>
      <c r="P206" s="1" t="s">
        <v>6984</v>
      </c>
      <c r="Q206" s="3">
        <v>0</v>
      </c>
      <c r="R206" s="22" t="s">
        <v>2721</v>
      </c>
      <c r="S206" s="42" t="s">
        <v>6914</v>
      </c>
      <c r="T206" s="3" t="s">
        <v>4866</v>
      </c>
      <c r="U206" s="45">
        <v>35</v>
      </c>
      <c r="V206" t="s">
        <v>6932</v>
      </c>
      <c r="W206" s="1" t="str">
        <f>HYPERLINK("http://ictvonline.org/taxonomy/p/taxonomy-history?taxnode_id=201908515","ICTVonline=201908515")</f>
        <v>ICTVonline=201908515</v>
      </c>
    </row>
    <row r="207" spans="1:23">
      <c r="A207" s="3">
        <v>206</v>
      </c>
      <c r="B207" s="1" t="s">
        <v>6915</v>
      </c>
      <c r="D207" s="1" t="s">
        <v>6916</v>
      </c>
      <c r="F207" s="1" t="s">
        <v>6920</v>
      </c>
      <c r="H207" s="1" t="s">
        <v>6921</v>
      </c>
      <c r="J207" s="1" t="s">
        <v>1324</v>
      </c>
      <c r="L207" s="1" t="s">
        <v>6928</v>
      </c>
      <c r="M207" s="1" t="s">
        <v>6975</v>
      </c>
      <c r="N207" s="1" t="s">
        <v>2950</v>
      </c>
      <c r="P207" s="1" t="s">
        <v>6985</v>
      </c>
      <c r="Q207" s="3">
        <v>0</v>
      </c>
      <c r="R207" s="22" t="s">
        <v>2721</v>
      </c>
      <c r="S207" s="42" t="s">
        <v>6914</v>
      </c>
      <c r="T207" s="3" t="s">
        <v>4866</v>
      </c>
      <c r="U207" s="45">
        <v>35</v>
      </c>
      <c r="V207" t="s">
        <v>6932</v>
      </c>
      <c r="W207" s="1" t="str">
        <f>HYPERLINK("http://ictvonline.org/taxonomy/p/taxonomy-history?taxnode_id=201908516","ICTVonline=201908516")</f>
        <v>ICTVonline=201908516</v>
      </c>
    </row>
    <row r="208" spans="1:23">
      <c r="A208" s="3">
        <v>207</v>
      </c>
      <c r="B208" s="1" t="s">
        <v>6915</v>
      </c>
      <c r="D208" s="1" t="s">
        <v>6916</v>
      </c>
      <c r="F208" s="1" t="s">
        <v>6920</v>
      </c>
      <c r="H208" s="1" t="s">
        <v>6921</v>
      </c>
      <c r="J208" s="1" t="s">
        <v>1324</v>
      </c>
      <c r="L208" s="1" t="s">
        <v>6928</v>
      </c>
      <c r="M208" s="1" t="s">
        <v>6975</v>
      </c>
      <c r="N208" s="1" t="s">
        <v>2950</v>
      </c>
      <c r="P208" s="1" t="s">
        <v>6986</v>
      </c>
      <c r="Q208" s="3">
        <v>0</v>
      </c>
      <c r="R208" s="22" t="s">
        <v>2721</v>
      </c>
      <c r="S208" s="42" t="s">
        <v>6914</v>
      </c>
      <c r="T208" s="3" t="s">
        <v>4866</v>
      </c>
      <c r="U208" s="45">
        <v>35</v>
      </c>
      <c r="V208" t="s">
        <v>6932</v>
      </c>
      <c r="W208" s="1" t="str">
        <f>HYPERLINK("http://ictvonline.org/taxonomy/p/taxonomy-history?taxnode_id=201908521","ICTVonline=201908521")</f>
        <v>ICTVonline=201908521</v>
      </c>
    </row>
    <row r="209" spans="1:23">
      <c r="A209" s="3">
        <v>208</v>
      </c>
      <c r="B209" s="1" t="s">
        <v>6915</v>
      </c>
      <c r="D209" s="1" t="s">
        <v>6916</v>
      </c>
      <c r="F209" s="1" t="s">
        <v>6920</v>
      </c>
      <c r="H209" s="1" t="s">
        <v>6921</v>
      </c>
      <c r="J209" s="1" t="s">
        <v>1324</v>
      </c>
      <c r="L209" s="1" t="s">
        <v>6928</v>
      </c>
      <c r="M209" s="1" t="s">
        <v>6975</v>
      </c>
      <c r="N209" s="1" t="s">
        <v>2950</v>
      </c>
      <c r="P209" s="1" t="s">
        <v>6987</v>
      </c>
      <c r="Q209" s="3">
        <v>0</v>
      </c>
      <c r="R209" s="22" t="s">
        <v>2721</v>
      </c>
      <c r="S209" s="42" t="s">
        <v>6914</v>
      </c>
      <c r="T209" s="3" t="s">
        <v>4866</v>
      </c>
      <c r="U209" s="45">
        <v>35</v>
      </c>
      <c r="V209" t="s">
        <v>6932</v>
      </c>
      <c r="W209" s="1" t="str">
        <f>HYPERLINK("http://ictvonline.org/taxonomy/p/taxonomy-history?taxnode_id=201908520","ICTVonline=201908520")</f>
        <v>ICTVonline=201908520</v>
      </c>
    </row>
    <row r="210" spans="1:23">
      <c r="A210" s="3">
        <v>209</v>
      </c>
      <c r="B210" s="1" t="s">
        <v>6915</v>
      </c>
      <c r="D210" s="1" t="s">
        <v>6916</v>
      </c>
      <c r="F210" s="1" t="s">
        <v>6920</v>
      </c>
      <c r="H210" s="1" t="s">
        <v>6921</v>
      </c>
      <c r="J210" s="1" t="s">
        <v>1324</v>
      </c>
      <c r="L210" s="1" t="s">
        <v>6928</v>
      </c>
      <c r="M210" s="1" t="s">
        <v>6975</v>
      </c>
      <c r="N210" s="1" t="s">
        <v>2950</v>
      </c>
      <c r="P210" s="1" t="s">
        <v>6988</v>
      </c>
      <c r="Q210" s="3">
        <v>0</v>
      </c>
      <c r="R210" s="22" t="s">
        <v>2721</v>
      </c>
      <c r="S210" s="42" t="s">
        <v>6914</v>
      </c>
      <c r="T210" s="3" t="s">
        <v>4866</v>
      </c>
      <c r="U210" s="45">
        <v>35</v>
      </c>
      <c r="V210" t="s">
        <v>6932</v>
      </c>
      <c r="W210" s="1" t="str">
        <f>HYPERLINK("http://ictvonline.org/taxonomy/p/taxonomy-history?taxnode_id=201908524","ICTVonline=201908524")</f>
        <v>ICTVonline=201908524</v>
      </c>
    </row>
    <row r="211" spans="1:23">
      <c r="A211" s="3">
        <v>210</v>
      </c>
      <c r="B211" s="1" t="s">
        <v>6915</v>
      </c>
      <c r="D211" s="1" t="s">
        <v>6916</v>
      </c>
      <c r="F211" s="1" t="s">
        <v>6920</v>
      </c>
      <c r="H211" s="1" t="s">
        <v>6921</v>
      </c>
      <c r="J211" s="1" t="s">
        <v>1324</v>
      </c>
      <c r="L211" s="1" t="s">
        <v>6928</v>
      </c>
      <c r="M211" s="1" t="s">
        <v>6975</v>
      </c>
      <c r="N211" s="1" t="s">
        <v>2950</v>
      </c>
      <c r="P211" s="1" t="s">
        <v>6989</v>
      </c>
      <c r="Q211" s="3">
        <v>0</v>
      </c>
      <c r="R211" s="22" t="s">
        <v>2721</v>
      </c>
      <c r="S211" s="42" t="s">
        <v>6914</v>
      </c>
      <c r="T211" s="3" t="s">
        <v>4866</v>
      </c>
      <c r="U211" s="45">
        <v>35</v>
      </c>
      <c r="V211" t="s">
        <v>6932</v>
      </c>
      <c r="W211" s="1" t="str">
        <f>HYPERLINK("http://ictvonline.org/taxonomy/p/taxonomy-history?taxnode_id=201908525","ICTVonline=201908525")</f>
        <v>ICTVonline=201908525</v>
      </c>
    </row>
    <row r="212" spans="1:23">
      <c r="A212" s="3">
        <v>211</v>
      </c>
      <c r="B212" s="1" t="s">
        <v>6915</v>
      </c>
      <c r="D212" s="1" t="s">
        <v>6916</v>
      </c>
      <c r="F212" s="1" t="s">
        <v>6920</v>
      </c>
      <c r="H212" s="1" t="s">
        <v>6921</v>
      </c>
      <c r="J212" s="1" t="s">
        <v>1324</v>
      </c>
      <c r="L212" s="1" t="s">
        <v>6928</v>
      </c>
      <c r="M212" s="1" t="s">
        <v>6975</v>
      </c>
      <c r="N212" s="1" t="s">
        <v>2950</v>
      </c>
      <c r="P212" s="1" t="s">
        <v>2952</v>
      </c>
      <c r="Q212" s="3">
        <v>1</v>
      </c>
      <c r="R212" s="22" t="s">
        <v>2721</v>
      </c>
      <c r="S212" s="42" t="s">
        <v>6910</v>
      </c>
      <c r="T212" s="3" t="s">
        <v>4868</v>
      </c>
      <c r="U212" s="45">
        <v>35</v>
      </c>
      <c r="V212" t="s">
        <v>6932</v>
      </c>
      <c r="W212" s="1" t="str">
        <f>HYPERLINK("http://ictvonline.org/taxonomy/p/taxonomy-history?taxnode_id=201900571","ICTVonline=201900571")</f>
        <v>ICTVonline=201900571</v>
      </c>
    </row>
    <row r="213" spans="1:23">
      <c r="A213" s="3">
        <v>212</v>
      </c>
      <c r="B213" s="1" t="s">
        <v>6915</v>
      </c>
      <c r="D213" s="1" t="s">
        <v>6916</v>
      </c>
      <c r="F213" s="1" t="s">
        <v>6920</v>
      </c>
      <c r="H213" s="1" t="s">
        <v>6921</v>
      </c>
      <c r="J213" s="1" t="s">
        <v>1324</v>
      </c>
      <c r="L213" s="1" t="s">
        <v>6928</v>
      </c>
      <c r="M213" s="1" t="s">
        <v>6975</v>
      </c>
      <c r="N213" s="1" t="s">
        <v>2950</v>
      </c>
      <c r="P213" s="1" t="s">
        <v>6990</v>
      </c>
      <c r="Q213" s="3">
        <v>0</v>
      </c>
      <c r="R213" s="22" t="s">
        <v>2721</v>
      </c>
      <c r="S213" s="42" t="s">
        <v>6914</v>
      </c>
      <c r="T213" s="3" t="s">
        <v>4866</v>
      </c>
      <c r="U213" s="45">
        <v>35</v>
      </c>
      <c r="V213" t="s">
        <v>6932</v>
      </c>
      <c r="W213" s="1" t="str">
        <f>HYPERLINK("http://ictvonline.org/taxonomy/p/taxonomy-history?taxnode_id=201908518","ICTVonline=201908518")</f>
        <v>ICTVonline=201908518</v>
      </c>
    </row>
    <row r="214" spans="1:23">
      <c r="A214" s="3">
        <v>213</v>
      </c>
      <c r="B214" s="1" t="s">
        <v>6915</v>
      </c>
      <c r="D214" s="1" t="s">
        <v>6916</v>
      </c>
      <c r="F214" s="1" t="s">
        <v>6920</v>
      </c>
      <c r="H214" s="1" t="s">
        <v>6921</v>
      </c>
      <c r="J214" s="1" t="s">
        <v>1324</v>
      </c>
      <c r="L214" s="1" t="s">
        <v>6928</v>
      </c>
      <c r="M214" s="1" t="s">
        <v>6975</v>
      </c>
      <c r="N214" s="1" t="s">
        <v>2950</v>
      </c>
      <c r="P214" s="1" t="s">
        <v>6991</v>
      </c>
      <c r="Q214" s="3">
        <v>0</v>
      </c>
      <c r="R214" s="22" t="s">
        <v>2721</v>
      </c>
      <c r="S214" s="42" t="s">
        <v>6914</v>
      </c>
      <c r="T214" s="3" t="s">
        <v>4866</v>
      </c>
      <c r="U214" s="45">
        <v>35</v>
      </c>
      <c r="V214" t="s">
        <v>6932</v>
      </c>
      <c r="W214" s="1" t="str">
        <f>HYPERLINK("http://ictvonline.org/taxonomy/p/taxonomy-history?taxnode_id=201908517","ICTVonline=201908517")</f>
        <v>ICTVonline=201908517</v>
      </c>
    </row>
    <row r="215" spans="1:23">
      <c r="A215" s="3">
        <v>214</v>
      </c>
      <c r="B215" s="1" t="s">
        <v>6915</v>
      </c>
      <c r="D215" s="1" t="s">
        <v>6916</v>
      </c>
      <c r="F215" s="1" t="s">
        <v>6920</v>
      </c>
      <c r="H215" s="1" t="s">
        <v>6921</v>
      </c>
      <c r="J215" s="1" t="s">
        <v>1324</v>
      </c>
      <c r="L215" s="1" t="s">
        <v>6928</v>
      </c>
      <c r="M215" s="1" t="s">
        <v>6975</v>
      </c>
      <c r="N215" s="1" t="s">
        <v>2950</v>
      </c>
      <c r="P215" s="1" t="s">
        <v>6992</v>
      </c>
      <c r="Q215" s="3">
        <v>0</v>
      </c>
      <c r="R215" s="22" t="s">
        <v>2721</v>
      </c>
      <c r="S215" s="42" t="s">
        <v>6914</v>
      </c>
      <c r="T215" s="3" t="s">
        <v>4866</v>
      </c>
      <c r="U215" s="45">
        <v>35</v>
      </c>
      <c r="V215" t="s">
        <v>6932</v>
      </c>
      <c r="W215" s="1" t="str">
        <f>HYPERLINK("http://ictvonline.org/taxonomy/p/taxonomy-history?taxnode_id=201908529","ICTVonline=201908529")</f>
        <v>ICTVonline=201908529</v>
      </c>
    </row>
    <row r="216" spans="1:23">
      <c r="A216" s="3">
        <v>215</v>
      </c>
      <c r="B216" s="1" t="s">
        <v>6915</v>
      </c>
      <c r="D216" s="1" t="s">
        <v>6916</v>
      </c>
      <c r="F216" s="1" t="s">
        <v>6920</v>
      </c>
      <c r="H216" s="1" t="s">
        <v>6921</v>
      </c>
      <c r="J216" s="1" t="s">
        <v>1324</v>
      </c>
      <c r="L216" s="1" t="s">
        <v>6928</v>
      </c>
      <c r="M216" s="1" t="s">
        <v>6975</v>
      </c>
      <c r="N216" s="1" t="s">
        <v>6993</v>
      </c>
      <c r="P216" s="1" t="s">
        <v>2951</v>
      </c>
      <c r="Q216" s="3">
        <v>1</v>
      </c>
      <c r="R216" s="22" t="s">
        <v>2721</v>
      </c>
      <c r="S216" s="42" t="s">
        <v>6914</v>
      </c>
      <c r="T216" s="3" t="s">
        <v>4871</v>
      </c>
      <c r="U216" s="45">
        <v>35</v>
      </c>
      <c r="V216" t="s">
        <v>6932</v>
      </c>
      <c r="W216" s="1" t="str">
        <f>HYPERLINK("http://ictvonline.org/taxonomy/p/taxonomy-history?taxnode_id=201900570","ICTVonline=201900570")</f>
        <v>ICTVonline=201900570</v>
      </c>
    </row>
    <row r="217" spans="1:23">
      <c r="A217" s="3">
        <v>216</v>
      </c>
      <c r="B217" s="1" t="s">
        <v>6915</v>
      </c>
      <c r="D217" s="1" t="s">
        <v>6916</v>
      </c>
      <c r="F217" s="1" t="s">
        <v>6920</v>
      </c>
      <c r="H217" s="1" t="s">
        <v>6921</v>
      </c>
      <c r="J217" s="1" t="s">
        <v>1324</v>
      </c>
      <c r="L217" s="1" t="s">
        <v>6928</v>
      </c>
      <c r="M217" s="1" t="s">
        <v>6975</v>
      </c>
      <c r="N217" s="1" t="s">
        <v>6994</v>
      </c>
      <c r="P217" s="1" t="s">
        <v>6995</v>
      </c>
      <c r="Q217" s="3">
        <v>1</v>
      </c>
      <c r="R217" s="22" t="s">
        <v>2721</v>
      </c>
      <c r="S217" s="42" t="s">
        <v>6914</v>
      </c>
      <c r="T217" s="3" t="s">
        <v>4866</v>
      </c>
      <c r="U217" s="45">
        <v>35</v>
      </c>
      <c r="V217" t="s">
        <v>6932</v>
      </c>
      <c r="W217" s="1" t="str">
        <f>HYPERLINK("http://ictvonline.org/taxonomy/p/taxonomy-history?taxnode_id=201908532","ICTVonline=201908532")</f>
        <v>ICTVonline=201908532</v>
      </c>
    </row>
    <row r="218" spans="1:23">
      <c r="A218" s="3">
        <v>217</v>
      </c>
      <c r="B218" s="1" t="s">
        <v>6915</v>
      </c>
      <c r="D218" s="1" t="s">
        <v>6916</v>
      </c>
      <c r="F218" s="1" t="s">
        <v>6920</v>
      </c>
      <c r="H218" s="1" t="s">
        <v>6921</v>
      </c>
      <c r="J218" s="1" t="s">
        <v>1324</v>
      </c>
      <c r="L218" s="1" t="s">
        <v>6928</v>
      </c>
      <c r="M218" s="1" t="s">
        <v>6996</v>
      </c>
      <c r="N218" s="1" t="s">
        <v>6997</v>
      </c>
      <c r="P218" s="1" t="s">
        <v>6998</v>
      </c>
      <c r="Q218" s="3">
        <v>0</v>
      </c>
      <c r="R218" s="22" t="s">
        <v>2721</v>
      </c>
      <c r="S218" s="42" t="s">
        <v>6914</v>
      </c>
      <c r="T218" s="3" t="s">
        <v>4866</v>
      </c>
      <c r="U218" s="45">
        <v>35</v>
      </c>
      <c r="V218" t="s">
        <v>6932</v>
      </c>
      <c r="W218" s="1" t="str">
        <f>HYPERLINK("http://ictvonline.org/taxonomy/p/taxonomy-history?taxnode_id=201908602","ICTVonline=201908602")</f>
        <v>ICTVonline=201908602</v>
      </c>
    </row>
    <row r="219" spans="1:23">
      <c r="A219" s="3">
        <v>218</v>
      </c>
      <c r="B219" s="1" t="s">
        <v>6915</v>
      </c>
      <c r="D219" s="1" t="s">
        <v>6916</v>
      </c>
      <c r="F219" s="1" t="s">
        <v>6920</v>
      </c>
      <c r="H219" s="1" t="s">
        <v>6921</v>
      </c>
      <c r="J219" s="1" t="s">
        <v>1324</v>
      </c>
      <c r="L219" s="1" t="s">
        <v>6928</v>
      </c>
      <c r="M219" s="1" t="s">
        <v>6996</v>
      </c>
      <c r="N219" s="1" t="s">
        <v>6997</v>
      </c>
      <c r="P219" s="1" t="s">
        <v>6999</v>
      </c>
      <c r="Q219" s="3">
        <v>1</v>
      </c>
      <c r="R219" s="22" t="s">
        <v>2721</v>
      </c>
      <c r="S219" s="42" t="s">
        <v>6914</v>
      </c>
      <c r="T219" s="3" t="s">
        <v>4866</v>
      </c>
      <c r="U219" s="45">
        <v>35</v>
      </c>
      <c r="V219" t="s">
        <v>6932</v>
      </c>
      <c r="W219" s="1" t="str">
        <f>HYPERLINK("http://ictvonline.org/taxonomy/p/taxonomy-history?taxnode_id=201908604","ICTVonline=201908604")</f>
        <v>ICTVonline=201908604</v>
      </c>
    </row>
    <row r="220" spans="1:23">
      <c r="A220" s="3">
        <v>219</v>
      </c>
      <c r="B220" s="1" t="s">
        <v>6915</v>
      </c>
      <c r="D220" s="1" t="s">
        <v>6916</v>
      </c>
      <c r="F220" s="1" t="s">
        <v>6920</v>
      </c>
      <c r="H220" s="1" t="s">
        <v>6921</v>
      </c>
      <c r="J220" s="1" t="s">
        <v>1324</v>
      </c>
      <c r="L220" s="1" t="s">
        <v>6928</v>
      </c>
      <c r="M220" s="1" t="s">
        <v>6996</v>
      </c>
      <c r="N220" s="1" t="s">
        <v>6997</v>
      </c>
      <c r="P220" s="1" t="s">
        <v>7000</v>
      </c>
      <c r="Q220" s="3">
        <v>0</v>
      </c>
      <c r="R220" s="22" t="s">
        <v>2721</v>
      </c>
      <c r="S220" s="42" t="s">
        <v>6914</v>
      </c>
      <c r="T220" s="3" t="s">
        <v>4866</v>
      </c>
      <c r="U220" s="45">
        <v>35</v>
      </c>
      <c r="V220" t="s">
        <v>6932</v>
      </c>
      <c r="W220" s="1" t="str">
        <f>HYPERLINK("http://ictvonline.org/taxonomy/p/taxonomy-history?taxnode_id=201908603","ICTVonline=201908603")</f>
        <v>ICTVonline=201908603</v>
      </c>
    </row>
    <row r="221" spans="1:23">
      <c r="A221" s="3">
        <v>220</v>
      </c>
      <c r="B221" s="1" t="s">
        <v>6915</v>
      </c>
      <c r="D221" s="1" t="s">
        <v>6916</v>
      </c>
      <c r="F221" s="1" t="s">
        <v>6920</v>
      </c>
      <c r="H221" s="1" t="s">
        <v>6921</v>
      </c>
      <c r="J221" s="1" t="s">
        <v>1324</v>
      </c>
      <c r="L221" s="1" t="s">
        <v>6928</v>
      </c>
      <c r="M221" s="1" t="s">
        <v>6996</v>
      </c>
      <c r="N221" s="1" t="s">
        <v>7001</v>
      </c>
      <c r="P221" s="1" t="s">
        <v>7002</v>
      </c>
      <c r="Q221" s="3">
        <v>1</v>
      </c>
      <c r="R221" s="22" t="s">
        <v>2721</v>
      </c>
      <c r="S221" s="42" t="s">
        <v>6914</v>
      </c>
      <c r="T221" s="3" t="s">
        <v>4866</v>
      </c>
      <c r="U221" s="45">
        <v>35</v>
      </c>
      <c r="V221" t="s">
        <v>6932</v>
      </c>
      <c r="W221" s="1" t="str">
        <f>HYPERLINK("http://ictvonline.org/taxonomy/p/taxonomy-history?taxnode_id=201908612","ICTVonline=201908612")</f>
        <v>ICTVonline=201908612</v>
      </c>
    </row>
    <row r="222" spans="1:23">
      <c r="A222" s="3">
        <v>221</v>
      </c>
      <c r="B222" s="1" t="s">
        <v>6915</v>
      </c>
      <c r="D222" s="1" t="s">
        <v>6916</v>
      </c>
      <c r="F222" s="1" t="s">
        <v>6920</v>
      </c>
      <c r="H222" s="1" t="s">
        <v>6921</v>
      </c>
      <c r="J222" s="1" t="s">
        <v>1324</v>
      </c>
      <c r="L222" s="1" t="s">
        <v>6928</v>
      </c>
      <c r="M222" s="1" t="s">
        <v>6996</v>
      </c>
      <c r="N222" s="1" t="s">
        <v>7003</v>
      </c>
      <c r="P222" s="1" t="s">
        <v>7004</v>
      </c>
      <c r="Q222" s="3">
        <v>1</v>
      </c>
      <c r="R222" s="22" t="s">
        <v>2721</v>
      </c>
      <c r="S222" s="42" t="s">
        <v>6914</v>
      </c>
      <c r="T222" s="3" t="s">
        <v>4866</v>
      </c>
      <c r="U222" s="45">
        <v>35</v>
      </c>
      <c r="V222" t="s">
        <v>6932</v>
      </c>
      <c r="W222" s="1" t="str">
        <f>HYPERLINK("http://ictvonline.org/taxonomy/p/taxonomy-history?taxnode_id=201908597","ICTVonline=201908597")</f>
        <v>ICTVonline=201908597</v>
      </c>
    </row>
    <row r="223" spans="1:23">
      <c r="A223" s="3">
        <v>222</v>
      </c>
      <c r="B223" s="1" t="s">
        <v>6915</v>
      </c>
      <c r="D223" s="1" t="s">
        <v>6916</v>
      </c>
      <c r="F223" s="1" t="s">
        <v>6920</v>
      </c>
      <c r="H223" s="1" t="s">
        <v>6921</v>
      </c>
      <c r="J223" s="1" t="s">
        <v>1324</v>
      </c>
      <c r="L223" s="1" t="s">
        <v>6928</v>
      </c>
      <c r="M223" s="1" t="s">
        <v>6996</v>
      </c>
      <c r="N223" s="1" t="s">
        <v>7003</v>
      </c>
      <c r="P223" s="1" t="s">
        <v>7005</v>
      </c>
      <c r="Q223" s="3">
        <v>0</v>
      </c>
      <c r="R223" s="22" t="s">
        <v>2721</v>
      </c>
      <c r="S223" s="42" t="s">
        <v>6914</v>
      </c>
      <c r="T223" s="3" t="s">
        <v>4866</v>
      </c>
      <c r="U223" s="45">
        <v>35</v>
      </c>
      <c r="V223" t="s">
        <v>6932</v>
      </c>
      <c r="W223" s="1" t="str">
        <f>HYPERLINK("http://ictvonline.org/taxonomy/p/taxonomy-history?taxnode_id=201908596","ICTVonline=201908596")</f>
        <v>ICTVonline=201908596</v>
      </c>
    </row>
    <row r="224" spans="1:23">
      <c r="A224" s="3">
        <v>223</v>
      </c>
      <c r="B224" s="1" t="s">
        <v>6915</v>
      </c>
      <c r="D224" s="1" t="s">
        <v>6916</v>
      </c>
      <c r="F224" s="1" t="s">
        <v>6920</v>
      </c>
      <c r="H224" s="1" t="s">
        <v>6921</v>
      </c>
      <c r="J224" s="1" t="s">
        <v>1324</v>
      </c>
      <c r="L224" s="1" t="s">
        <v>6928</v>
      </c>
      <c r="M224" s="1" t="s">
        <v>6996</v>
      </c>
      <c r="N224" s="1" t="s">
        <v>7006</v>
      </c>
      <c r="P224" s="1" t="s">
        <v>7007</v>
      </c>
      <c r="Q224" s="3">
        <v>0</v>
      </c>
      <c r="R224" s="22" t="s">
        <v>2721</v>
      </c>
      <c r="S224" s="42" t="s">
        <v>6914</v>
      </c>
      <c r="T224" s="3" t="s">
        <v>4866</v>
      </c>
      <c r="U224" s="45">
        <v>35</v>
      </c>
      <c r="V224" t="s">
        <v>6932</v>
      </c>
      <c r="W224" s="1" t="str">
        <f>HYPERLINK("http://ictvonline.org/taxonomy/p/taxonomy-history?taxnode_id=201908606","ICTVonline=201908606")</f>
        <v>ICTVonline=201908606</v>
      </c>
    </row>
    <row r="225" spans="1:23">
      <c r="A225" s="3">
        <v>224</v>
      </c>
      <c r="B225" s="1" t="s">
        <v>6915</v>
      </c>
      <c r="D225" s="1" t="s">
        <v>6916</v>
      </c>
      <c r="F225" s="1" t="s">
        <v>6920</v>
      </c>
      <c r="H225" s="1" t="s">
        <v>6921</v>
      </c>
      <c r="J225" s="1" t="s">
        <v>1324</v>
      </c>
      <c r="L225" s="1" t="s">
        <v>6928</v>
      </c>
      <c r="M225" s="1" t="s">
        <v>6996</v>
      </c>
      <c r="N225" s="1" t="s">
        <v>7006</v>
      </c>
      <c r="P225" s="1" t="s">
        <v>7008</v>
      </c>
      <c r="Q225" s="3">
        <v>1</v>
      </c>
      <c r="R225" s="22" t="s">
        <v>2721</v>
      </c>
      <c r="S225" s="42" t="s">
        <v>6914</v>
      </c>
      <c r="T225" s="3" t="s">
        <v>4866</v>
      </c>
      <c r="U225" s="45">
        <v>35</v>
      </c>
      <c r="V225" t="s">
        <v>6932</v>
      </c>
      <c r="W225" s="1" t="str">
        <f>HYPERLINK("http://ictvonline.org/taxonomy/p/taxonomy-history?taxnode_id=201908607","ICTVonline=201908607")</f>
        <v>ICTVonline=201908607</v>
      </c>
    </row>
    <row r="226" spans="1:23">
      <c r="A226" s="3">
        <v>225</v>
      </c>
      <c r="B226" s="1" t="s">
        <v>6915</v>
      </c>
      <c r="D226" s="1" t="s">
        <v>6916</v>
      </c>
      <c r="F226" s="1" t="s">
        <v>6920</v>
      </c>
      <c r="H226" s="1" t="s">
        <v>6921</v>
      </c>
      <c r="J226" s="1" t="s">
        <v>1324</v>
      </c>
      <c r="L226" s="1" t="s">
        <v>6928</v>
      </c>
      <c r="M226" s="1" t="s">
        <v>6996</v>
      </c>
      <c r="N226" s="1" t="s">
        <v>7009</v>
      </c>
      <c r="P226" s="1" t="s">
        <v>7010</v>
      </c>
      <c r="Q226" s="3">
        <v>1</v>
      </c>
      <c r="R226" s="22" t="s">
        <v>2721</v>
      </c>
      <c r="S226" s="42" t="s">
        <v>6914</v>
      </c>
      <c r="T226" s="3" t="s">
        <v>4866</v>
      </c>
      <c r="U226" s="45">
        <v>35</v>
      </c>
      <c r="V226" t="s">
        <v>6932</v>
      </c>
      <c r="W226" s="1" t="str">
        <f>HYPERLINK("http://ictvonline.org/taxonomy/p/taxonomy-history?taxnode_id=201908616","ICTVonline=201908616")</f>
        <v>ICTVonline=201908616</v>
      </c>
    </row>
    <row r="227" spans="1:23">
      <c r="A227" s="3">
        <v>226</v>
      </c>
      <c r="B227" s="1" t="s">
        <v>6915</v>
      </c>
      <c r="D227" s="1" t="s">
        <v>6916</v>
      </c>
      <c r="F227" s="1" t="s">
        <v>6920</v>
      </c>
      <c r="H227" s="1" t="s">
        <v>6921</v>
      </c>
      <c r="J227" s="1" t="s">
        <v>1324</v>
      </c>
      <c r="L227" s="1" t="s">
        <v>6928</v>
      </c>
      <c r="M227" s="1" t="s">
        <v>6996</v>
      </c>
      <c r="N227" s="1" t="s">
        <v>7011</v>
      </c>
      <c r="P227" s="1" t="s">
        <v>7012</v>
      </c>
      <c r="Q227" s="3">
        <v>1</v>
      </c>
      <c r="R227" s="22" t="s">
        <v>2721</v>
      </c>
      <c r="S227" s="42" t="s">
        <v>6914</v>
      </c>
      <c r="T227" s="3" t="s">
        <v>4866</v>
      </c>
      <c r="U227" s="45">
        <v>35</v>
      </c>
      <c r="V227" t="s">
        <v>6932</v>
      </c>
      <c r="W227" s="1" t="str">
        <f>HYPERLINK("http://ictvonline.org/taxonomy/p/taxonomy-history?taxnode_id=201908614","ICTVonline=201908614")</f>
        <v>ICTVonline=201908614</v>
      </c>
    </row>
    <row r="228" spans="1:23">
      <c r="A228" s="3">
        <v>227</v>
      </c>
      <c r="B228" s="1" t="s">
        <v>6915</v>
      </c>
      <c r="D228" s="1" t="s">
        <v>6916</v>
      </c>
      <c r="F228" s="1" t="s">
        <v>6920</v>
      </c>
      <c r="H228" s="1" t="s">
        <v>6921</v>
      </c>
      <c r="J228" s="1" t="s">
        <v>1324</v>
      </c>
      <c r="L228" s="1" t="s">
        <v>6928</v>
      </c>
      <c r="M228" s="1" t="s">
        <v>6996</v>
      </c>
      <c r="N228" s="1" t="s">
        <v>7013</v>
      </c>
      <c r="P228" s="1" t="s">
        <v>7014</v>
      </c>
      <c r="Q228" s="3">
        <v>0</v>
      </c>
      <c r="R228" s="22" t="s">
        <v>2721</v>
      </c>
      <c r="S228" s="42" t="s">
        <v>6914</v>
      </c>
      <c r="T228" s="3" t="s">
        <v>4866</v>
      </c>
      <c r="U228" s="45">
        <v>35</v>
      </c>
      <c r="V228" t="s">
        <v>6932</v>
      </c>
      <c r="W228" s="1" t="str">
        <f>HYPERLINK("http://ictvonline.org/taxonomy/p/taxonomy-history?taxnode_id=201908599","ICTVonline=201908599")</f>
        <v>ICTVonline=201908599</v>
      </c>
    </row>
    <row r="229" spans="1:23">
      <c r="A229" s="3">
        <v>228</v>
      </c>
      <c r="B229" s="1" t="s">
        <v>6915</v>
      </c>
      <c r="D229" s="1" t="s">
        <v>6916</v>
      </c>
      <c r="F229" s="1" t="s">
        <v>6920</v>
      </c>
      <c r="H229" s="1" t="s">
        <v>6921</v>
      </c>
      <c r="J229" s="1" t="s">
        <v>1324</v>
      </c>
      <c r="L229" s="1" t="s">
        <v>6928</v>
      </c>
      <c r="M229" s="1" t="s">
        <v>6996</v>
      </c>
      <c r="N229" s="1" t="s">
        <v>7013</v>
      </c>
      <c r="P229" s="1" t="s">
        <v>7015</v>
      </c>
      <c r="Q229" s="3">
        <v>1</v>
      </c>
      <c r="R229" s="22" t="s">
        <v>2721</v>
      </c>
      <c r="S229" s="42" t="s">
        <v>6914</v>
      </c>
      <c r="T229" s="3" t="s">
        <v>4866</v>
      </c>
      <c r="U229" s="45">
        <v>35</v>
      </c>
      <c r="V229" t="s">
        <v>6932</v>
      </c>
      <c r="W229" s="1" t="str">
        <f>HYPERLINK("http://ictvonline.org/taxonomy/p/taxonomy-history?taxnode_id=201908600","ICTVonline=201908600")</f>
        <v>ICTVonline=201908600</v>
      </c>
    </row>
    <row r="230" spans="1:23">
      <c r="A230" s="3">
        <v>229</v>
      </c>
      <c r="B230" s="1" t="s">
        <v>6915</v>
      </c>
      <c r="D230" s="1" t="s">
        <v>6916</v>
      </c>
      <c r="F230" s="1" t="s">
        <v>6920</v>
      </c>
      <c r="H230" s="1" t="s">
        <v>6921</v>
      </c>
      <c r="J230" s="1" t="s">
        <v>1324</v>
      </c>
      <c r="L230" s="1" t="s">
        <v>6928</v>
      </c>
      <c r="M230" s="1" t="s">
        <v>6996</v>
      </c>
      <c r="N230" s="1" t="s">
        <v>7016</v>
      </c>
      <c r="P230" s="1" t="s">
        <v>7017</v>
      </c>
      <c r="Q230" s="3">
        <v>0</v>
      </c>
      <c r="R230" s="22" t="s">
        <v>2721</v>
      </c>
      <c r="S230" s="42" t="s">
        <v>6914</v>
      </c>
      <c r="T230" s="3" t="s">
        <v>4866</v>
      </c>
      <c r="U230" s="45">
        <v>35</v>
      </c>
      <c r="V230" t="s">
        <v>6932</v>
      </c>
      <c r="W230" s="1" t="str">
        <f>HYPERLINK("http://ictvonline.org/taxonomy/p/taxonomy-history?taxnode_id=201908609","ICTVonline=201908609")</f>
        <v>ICTVonline=201908609</v>
      </c>
    </row>
    <row r="231" spans="1:23">
      <c r="A231" s="3">
        <v>230</v>
      </c>
      <c r="B231" s="1" t="s">
        <v>6915</v>
      </c>
      <c r="D231" s="1" t="s">
        <v>6916</v>
      </c>
      <c r="F231" s="1" t="s">
        <v>6920</v>
      </c>
      <c r="H231" s="1" t="s">
        <v>6921</v>
      </c>
      <c r="J231" s="1" t="s">
        <v>1324</v>
      </c>
      <c r="L231" s="1" t="s">
        <v>6928</v>
      </c>
      <c r="M231" s="1" t="s">
        <v>6996</v>
      </c>
      <c r="N231" s="1" t="s">
        <v>7016</v>
      </c>
      <c r="P231" s="1" t="s">
        <v>7018</v>
      </c>
      <c r="Q231" s="3">
        <v>1</v>
      </c>
      <c r="R231" s="22" t="s">
        <v>2721</v>
      </c>
      <c r="S231" s="42" t="s">
        <v>6914</v>
      </c>
      <c r="T231" s="3" t="s">
        <v>4866</v>
      </c>
      <c r="U231" s="45">
        <v>35</v>
      </c>
      <c r="V231" t="s">
        <v>6932</v>
      </c>
      <c r="W231" s="1" t="str">
        <f>HYPERLINK("http://ictvonline.org/taxonomy/p/taxonomy-history?taxnode_id=201908610","ICTVonline=201908610")</f>
        <v>ICTVonline=201908610</v>
      </c>
    </row>
    <row r="232" spans="1:23">
      <c r="A232" s="3">
        <v>231</v>
      </c>
      <c r="B232" s="1" t="s">
        <v>6915</v>
      </c>
      <c r="D232" s="1" t="s">
        <v>6916</v>
      </c>
      <c r="F232" s="1" t="s">
        <v>6920</v>
      </c>
      <c r="H232" s="1" t="s">
        <v>6921</v>
      </c>
      <c r="J232" s="1" t="s">
        <v>1324</v>
      </c>
      <c r="L232" s="1" t="s">
        <v>6928</v>
      </c>
      <c r="M232" s="1" t="s">
        <v>7019</v>
      </c>
      <c r="N232" s="1" t="s">
        <v>7020</v>
      </c>
      <c r="P232" s="1" t="s">
        <v>7021</v>
      </c>
      <c r="Q232" s="3">
        <v>1</v>
      </c>
      <c r="R232" s="22" t="s">
        <v>2721</v>
      </c>
      <c r="S232" s="42" t="s">
        <v>6914</v>
      </c>
      <c r="T232" s="3" t="s">
        <v>4866</v>
      </c>
      <c r="U232" s="45">
        <v>35</v>
      </c>
      <c r="V232" t="s">
        <v>6932</v>
      </c>
      <c r="W232" s="1" t="str">
        <f>HYPERLINK("http://ictvonline.org/taxonomy/p/taxonomy-history?taxnode_id=201908579","ICTVonline=201908579")</f>
        <v>ICTVonline=201908579</v>
      </c>
    </row>
    <row r="233" spans="1:23">
      <c r="A233" s="3">
        <v>232</v>
      </c>
      <c r="B233" s="1" t="s">
        <v>6915</v>
      </c>
      <c r="D233" s="1" t="s">
        <v>6916</v>
      </c>
      <c r="F233" s="1" t="s">
        <v>6920</v>
      </c>
      <c r="H233" s="1" t="s">
        <v>6921</v>
      </c>
      <c r="J233" s="1" t="s">
        <v>1324</v>
      </c>
      <c r="L233" s="1" t="s">
        <v>6928</v>
      </c>
      <c r="M233" s="1" t="s">
        <v>7019</v>
      </c>
      <c r="N233" s="1" t="s">
        <v>7020</v>
      </c>
      <c r="P233" s="1" t="s">
        <v>7022</v>
      </c>
      <c r="Q233" s="3">
        <v>0</v>
      </c>
      <c r="R233" s="22" t="s">
        <v>2721</v>
      </c>
      <c r="S233" s="42" t="s">
        <v>6914</v>
      </c>
      <c r="T233" s="3" t="s">
        <v>4866</v>
      </c>
      <c r="U233" s="45">
        <v>35</v>
      </c>
      <c r="V233" t="s">
        <v>6932</v>
      </c>
      <c r="W233" s="1" t="str">
        <f>HYPERLINK("http://ictvonline.org/taxonomy/p/taxonomy-history?taxnode_id=201908576","ICTVonline=201908576")</f>
        <v>ICTVonline=201908576</v>
      </c>
    </row>
    <row r="234" spans="1:23">
      <c r="A234" s="3">
        <v>233</v>
      </c>
      <c r="B234" s="1" t="s">
        <v>6915</v>
      </c>
      <c r="D234" s="1" t="s">
        <v>6916</v>
      </c>
      <c r="F234" s="1" t="s">
        <v>6920</v>
      </c>
      <c r="H234" s="1" t="s">
        <v>6921</v>
      </c>
      <c r="J234" s="1" t="s">
        <v>1324</v>
      </c>
      <c r="L234" s="1" t="s">
        <v>6928</v>
      </c>
      <c r="M234" s="1" t="s">
        <v>7019</v>
      </c>
      <c r="N234" s="1" t="s">
        <v>7020</v>
      </c>
      <c r="P234" s="1" t="s">
        <v>7023</v>
      </c>
      <c r="Q234" s="3">
        <v>0</v>
      </c>
      <c r="R234" s="22" t="s">
        <v>2721</v>
      </c>
      <c r="S234" s="42" t="s">
        <v>6914</v>
      </c>
      <c r="T234" s="3" t="s">
        <v>4866</v>
      </c>
      <c r="U234" s="45">
        <v>35</v>
      </c>
      <c r="V234" t="s">
        <v>6932</v>
      </c>
      <c r="W234" s="1" t="str">
        <f>HYPERLINK("http://ictvonline.org/taxonomy/p/taxonomy-history?taxnode_id=201908578","ICTVonline=201908578")</f>
        <v>ICTVonline=201908578</v>
      </c>
    </row>
    <row r="235" spans="1:23">
      <c r="A235" s="3">
        <v>234</v>
      </c>
      <c r="B235" s="1" t="s">
        <v>6915</v>
      </c>
      <c r="D235" s="1" t="s">
        <v>6916</v>
      </c>
      <c r="F235" s="1" t="s">
        <v>6920</v>
      </c>
      <c r="H235" s="1" t="s">
        <v>6921</v>
      </c>
      <c r="J235" s="1" t="s">
        <v>1324</v>
      </c>
      <c r="L235" s="1" t="s">
        <v>6928</v>
      </c>
      <c r="M235" s="1" t="s">
        <v>7019</v>
      </c>
      <c r="N235" s="1" t="s">
        <v>7020</v>
      </c>
      <c r="P235" s="1" t="s">
        <v>7024</v>
      </c>
      <c r="Q235" s="3">
        <v>0</v>
      </c>
      <c r="R235" s="22" t="s">
        <v>2721</v>
      </c>
      <c r="S235" s="42" t="s">
        <v>6914</v>
      </c>
      <c r="T235" s="3" t="s">
        <v>4866</v>
      </c>
      <c r="U235" s="45">
        <v>35</v>
      </c>
      <c r="V235" t="s">
        <v>6932</v>
      </c>
      <c r="W235" s="1" t="str">
        <f>HYPERLINK("http://ictvonline.org/taxonomy/p/taxonomy-history?taxnode_id=201908577","ICTVonline=201908577")</f>
        <v>ICTVonline=201908577</v>
      </c>
    </row>
    <row r="236" spans="1:23">
      <c r="A236" s="3">
        <v>235</v>
      </c>
      <c r="B236" s="1" t="s">
        <v>6915</v>
      </c>
      <c r="D236" s="1" t="s">
        <v>6916</v>
      </c>
      <c r="F236" s="1" t="s">
        <v>6920</v>
      </c>
      <c r="H236" s="1" t="s">
        <v>6921</v>
      </c>
      <c r="J236" s="1" t="s">
        <v>1324</v>
      </c>
      <c r="L236" s="1" t="s">
        <v>6928</v>
      </c>
      <c r="M236" s="1" t="s">
        <v>7019</v>
      </c>
      <c r="N236" s="1" t="s">
        <v>7025</v>
      </c>
      <c r="P236" s="1" t="s">
        <v>7026</v>
      </c>
      <c r="Q236" s="3">
        <v>1</v>
      </c>
      <c r="R236" s="22" t="s">
        <v>2721</v>
      </c>
      <c r="S236" s="42" t="s">
        <v>6914</v>
      </c>
      <c r="T236" s="3" t="s">
        <v>4866</v>
      </c>
      <c r="U236" s="45">
        <v>35</v>
      </c>
      <c r="V236" t="s">
        <v>6932</v>
      </c>
      <c r="W236" s="1" t="str">
        <f>HYPERLINK("http://ictvonline.org/taxonomy/p/taxonomy-history?taxnode_id=201908574","ICTVonline=201908574")</f>
        <v>ICTVonline=201908574</v>
      </c>
    </row>
    <row r="237" spans="1:23">
      <c r="A237" s="3">
        <v>236</v>
      </c>
      <c r="B237" s="1" t="s">
        <v>6915</v>
      </c>
      <c r="D237" s="1" t="s">
        <v>6916</v>
      </c>
      <c r="F237" s="1" t="s">
        <v>6920</v>
      </c>
      <c r="H237" s="1" t="s">
        <v>6921</v>
      </c>
      <c r="J237" s="1" t="s">
        <v>1324</v>
      </c>
      <c r="L237" s="1" t="s">
        <v>6928</v>
      </c>
      <c r="M237" s="1" t="s">
        <v>7019</v>
      </c>
      <c r="N237" s="1" t="s">
        <v>7027</v>
      </c>
      <c r="P237" s="1" t="s">
        <v>2953</v>
      </c>
      <c r="Q237" s="3">
        <v>1</v>
      </c>
      <c r="R237" s="22" t="s">
        <v>2721</v>
      </c>
      <c r="S237" s="42" t="s">
        <v>6914</v>
      </c>
      <c r="T237" s="3" t="s">
        <v>4871</v>
      </c>
      <c r="U237" s="45">
        <v>35</v>
      </c>
      <c r="V237" t="s">
        <v>6932</v>
      </c>
      <c r="W237" s="1" t="str">
        <f>HYPERLINK("http://ictvonline.org/taxonomy/p/taxonomy-history?taxnode_id=201900577","ICTVonline=201900577")</f>
        <v>ICTVonline=201900577</v>
      </c>
    </row>
    <row r="238" spans="1:23">
      <c r="A238" s="3">
        <v>237</v>
      </c>
      <c r="B238" s="1" t="s">
        <v>6915</v>
      </c>
      <c r="D238" s="1" t="s">
        <v>6916</v>
      </c>
      <c r="F238" s="1" t="s">
        <v>6920</v>
      </c>
      <c r="H238" s="1" t="s">
        <v>6921</v>
      </c>
      <c r="J238" s="1" t="s">
        <v>1324</v>
      </c>
      <c r="L238" s="1" t="s">
        <v>6928</v>
      </c>
      <c r="M238" s="1" t="s">
        <v>7019</v>
      </c>
      <c r="N238" s="1" t="s">
        <v>7027</v>
      </c>
      <c r="P238" s="1" t="s">
        <v>7028</v>
      </c>
      <c r="Q238" s="3">
        <v>0</v>
      </c>
      <c r="R238" s="22" t="s">
        <v>2721</v>
      </c>
      <c r="S238" s="42" t="s">
        <v>6914</v>
      </c>
      <c r="T238" s="3" t="s">
        <v>4866</v>
      </c>
      <c r="U238" s="45">
        <v>35</v>
      </c>
      <c r="V238" t="s">
        <v>6932</v>
      </c>
      <c r="W238" s="1" t="str">
        <f>HYPERLINK("http://ictvonline.org/taxonomy/p/taxonomy-history?taxnode_id=201908572","ICTVonline=201908572")</f>
        <v>ICTVonline=201908572</v>
      </c>
    </row>
    <row r="239" spans="1:23">
      <c r="A239" s="3">
        <v>238</v>
      </c>
      <c r="B239" s="1" t="s">
        <v>6915</v>
      </c>
      <c r="D239" s="1" t="s">
        <v>6916</v>
      </c>
      <c r="F239" s="1" t="s">
        <v>6920</v>
      </c>
      <c r="H239" s="1" t="s">
        <v>6921</v>
      </c>
      <c r="J239" s="1" t="s">
        <v>1324</v>
      </c>
      <c r="L239" s="1" t="s">
        <v>6928</v>
      </c>
      <c r="M239" s="1" t="s">
        <v>7019</v>
      </c>
      <c r="N239" s="1" t="s">
        <v>7029</v>
      </c>
      <c r="P239" s="1" t="s">
        <v>7030</v>
      </c>
      <c r="Q239" s="3">
        <v>1</v>
      </c>
      <c r="R239" s="22" t="s">
        <v>2721</v>
      </c>
      <c r="S239" s="42" t="s">
        <v>6914</v>
      </c>
      <c r="T239" s="3" t="s">
        <v>4866</v>
      </c>
      <c r="U239" s="45">
        <v>35</v>
      </c>
      <c r="V239" t="s">
        <v>6932</v>
      </c>
      <c r="W239" s="1" t="str">
        <f>HYPERLINK("http://ictvonline.org/taxonomy/p/taxonomy-history?taxnode_id=201908581","ICTVonline=201908581")</f>
        <v>ICTVonline=201908581</v>
      </c>
    </row>
    <row r="240" spans="1:23">
      <c r="A240" s="3">
        <v>239</v>
      </c>
      <c r="B240" s="1" t="s">
        <v>6915</v>
      </c>
      <c r="D240" s="1" t="s">
        <v>6916</v>
      </c>
      <c r="F240" s="1" t="s">
        <v>6920</v>
      </c>
      <c r="H240" s="1" t="s">
        <v>6921</v>
      </c>
      <c r="J240" s="1" t="s">
        <v>1324</v>
      </c>
      <c r="L240" s="1" t="s">
        <v>6928</v>
      </c>
      <c r="M240" s="1" t="s">
        <v>7019</v>
      </c>
      <c r="N240" s="1" t="s">
        <v>7031</v>
      </c>
      <c r="P240" s="1" t="s">
        <v>7032</v>
      </c>
      <c r="Q240" s="3">
        <v>0</v>
      </c>
      <c r="R240" s="22" t="s">
        <v>2721</v>
      </c>
      <c r="S240" s="42" t="s">
        <v>6914</v>
      </c>
      <c r="T240" s="3" t="s">
        <v>4866</v>
      </c>
      <c r="U240" s="45">
        <v>35</v>
      </c>
      <c r="V240" t="s">
        <v>6932</v>
      </c>
      <c r="W240" s="1" t="str">
        <f>HYPERLINK("http://ictvonline.org/taxonomy/p/taxonomy-history?taxnode_id=201908590","ICTVonline=201908590")</f>
        <v>ICTVonline=201908590</v>
      </c>
    </row>
    <row r="241" spans="1:23">
      <c r="A241" s="3">
        <v>240</v>
      </c>
      <c r="B241" s="1" t="s">
        <v>6915</v>
      </c>
      <c r="D241" s="1" t="s">
        <v>6916</v>
      </c>
      <c r="F241" s="1" t="s">
        <v>6920</v>
      </c>
      <c r="H241" s="1" t="s">
        <v>6921</v>
      </c>
      <c r="J241" s="1" t="s">
        <v>1324</v>
      </c>
      <c r="L241" s="1" t="s">
        <v>6928</v>
      </c>
      <c r="M241" s="1" t="s">
        <v>7019</v>
      </c>
      <c r="N241" s="1" t="s">
        <v>7031</v>
      </c>
      <c r="P241" s="1" t="s">
        <v>7033</v>
      </c>
      <c r="Q241" s="3">
        <v>0</v>
      </c>
      <c r="R241" s="22" t="s">
        <v>2721</v>
      </c>
      <c r="S241" s="42" t="s">
        <v>6914</v>
      </c>
      <c r="T241" s="3" t="s">
        <v>4866</v>
      </c>
      <c r="U241" s="45">
        <v>35</v>
      </c>
      <c r="V241" t="s">
        <v>6932</v>
      </c>
      <c r="W241" s="1" t="str">
        <f>HYPERLINK("http://ictvonline.org/taxonomy/p/taxonomy-history?taxnode_id=201908591","ICTVonline=201908591")</f>
        <v>ICTVonline=201908591</v>
      </c>
    </row>
    <row r="242" spans="1:23">
      <c r="A242" s="3">
        <v>241</v>
      </c>
      <c r="B242" s="1" t="s">
        <v>6915</v>
      </c>
      <c r="D242" s="1" t="s">
        <v>6916</v>
      </c>
      <c r="F242" s="1" t="s">
        <v>6920</v>
      </c>
      <c r="H242" s="1" t="s">
        <v>6921</v>
      </c>
      <c r="J242" s="1" t="s">
        <v>1324</v>
      </c>
      <c r="L242" s="1" t="s">
        <v>6928</v>
      </c>
      <c r="M242" s="1" t="s">
        <v>7019</v>
      </c>
      <c r="N242" s="1" t="s">
        <v>7031</v>
      </c>
      <c r="P242" s="1" t="s">
        <v>7034</v>
      </c>
      <c r="Q242" s="3">
        <v>0</v>
      </c>
      <c r="R242" s="22" t="s">
        <v>2721</v>
      </c>
      <c r="S242" s="42" t="s">
        <v>6914</v>
      </c>
      <c r="T242" s="3" t="s">
        <v>4866</v>
      </c>
      <c r="U242" s="45">
        <v>35</v>
      </c>
      <c r="V242" t="s">
        <v>6932</v>
      </c>
      <c r="W242" s="1" t="str">
        <f>HYPERLINK("http://ictvonline.org/taxonomy/p/taxonomy-history?taxnode_id=201908585","ICTVonline=201908585")</f>
        <v>ICTVonline=201908585</v>
      </c>
    </row>
    <row r="243" spans="1:23">
      <c r="A243" s="3">
        <v>242</v>
      </c>
      <c r="B243" s="1" t="s">
        <v>6915</v>
      </c>
      <c r="D243" s="1" t="s">
        <v>6916</v>
      </c>
      <c r="F243" s="1" t="s">
        <v>6920</v>
      </c>
      <c r="H243" s="1" t="s">
        <v>6921</v>
      </c>
      <c r="J243" s="1" t="s">
        <v>1324</v>
      </c>
      <c r="L243" s="1" t="s">
        <v>6928</v>
      </c>
      <c r="M243" s="1" t="s">
        <v>7019</v>
      </c>
      <c r="N243" s="1" t="s">
        <v>7031</v>
      </c>
      <c r="P243" s="1" t="s">
        <v>7035</v>
      </c>
      <c r="Q243" s="3">
        <v>0</v>
      </c>
      <c r="R243" s="22" t="s">
        <v>2721</v>
      </c>
      <c r="S243" s="42" t="s">
        <v>6914</v>
      </c>
      <c r="T243" s="3" t="s">
        <v>4866</v>
      </c>
      <c r="U243" s="45">
        <v>35</v>
      </c>
      <c r="V243" t="s">
        <v>6932</v>
      </c>
      <c r="W243" s="1" t="str">
        <f>HYPERLINK("http://ictvonline.org/taxonomy/p/taxonomy-history?taxnode_id=201908584","ICTVonline=201908584")</f>
        <v>ICTVonline=201908584</v>
      </c>
    </row>
    <row r="244" spans="1:23">
      <c r="A244" s="3">
        <v>243</v>
      </c>
      <c r="B244" s="1" t="s">
        <v>6915</v>
      </c>
      <c r="D244" s="1" t="s">
        <v>6916</v>
      </c>
      <c r="F244" s="1" t="s">
        <v>6920</v>
      </c>
      <c r="H244" s="1" t="s">
        <v>6921</v>
      </c>
      <c r="J244" s="1" t="s">
        <v>1324</v>
      </c>
      <c r="L244" s="1" t="s">
        <v>6928</v>
      </c>
      <c r="M244" s="1" t="s">
        <v>7019</v>
      </c>
      <c r="N244" s="1" t="s">
        <v>7031</v>
      </c>
      <c r="P244" s="1" t="s">
        <v>7036</v>
      </c>
      <c r="Q244" s="3">
        <v>0</v>
      </c>
      <c r="R244" s="22" t="s">
        <v>2721</v>
      </c>
      <c r="S244" s="42" t="s">
        <v>6914</v>
      </c>
      <c r="T244" s="3" t="s">
        <v>4866</v>
      </c>
      <c r="U244" s="45">
        <v>35</v>
      </c>
      <c r="V244" t="s">
        <v>6932</v>
      </c>
      <c r="W244" s="1" t="str">
        <f>HYPERLINK("http://ictvonline.org/taxonomy/p/taxonomy-history?taxnode_id=201908586","ICTVonline=201908586")</f>
        <v>ICTVonline=201908586</v>
      </c>
    </row>
    <row r="245" spans="1:23">
      <c r="A245" s="3">
        <v>244</v>
      </c>
      <c r="B245" s="1" t="s">
        <v>6915</v>
      </c>
      <c r="D245" s="1" t="s">
        <v>6916</v>
      </c>
      <c r="F245" s="1" t="s">
        <v>6920</v>
      </c>
      <c r="H245" s="1" t="s">
        <v>6921</v>
      </c>
      <c r="J245" s="1" t="s">
        <v>1324</v>
      </c>
      <c r="L245" s="1" t="s">
        <v>6928</v>
      </c>
      <c r="M245" s="1" t="s">
        <v>7019</v>
      </c>
      <c r="N245" s="1" t="s">
        <v>7031</v>
      </c>
      <c r="P245" s="1" t="s">
        <v>7037</v>
      </c>
      <c r="Q245" s="3">
        <v>0</v>
      </c>
      <c r="R245" s="22" t="s">
        <v>2721</v>
      </c>
      <c r="S245" s="42" t="s">
        <v>6914</v>
      </c>
      <c r="T245" s="3" t="s">
        <v>4866</v>
      </c>
      <c r="U245" s="45">
        <v>35</v>
      </c>
      <c r="V245" t="s">
        <v>6932</v>
      </c>
      <c r="W245" s="1" t="str">
        <f>HYPERLINK("http://ictvonline.org/taxonomy/p/taxonomy-history?taxnode_id=201908587","ICTVonline=201908587")</f>
        <v>ICTVonline=201908587</v>
      </c>
    </row>
    <row r="246" spans="1:23">
      <c r="A246" s="3">
        <v>245</v>
      </c>
      <c r="B246" s="1" t="s">
        <v>6915</v>
      </c>
      <c r="D246" s="1" t="s">
        <v>6916</v>
      </c>
      <c r="F246" s="1" t="s">
        <v>6920</v>
      </c>
      <c r="H246" s="1" t="s">
        <v>6921</v>
      </c>
      <c r="J246" s="1" t="s">
        <v>1324</v>
      </c>
      <c r="L246" s="1" t="s">
        <v>6928</v>
      </c>
      <c r="M246" s="1" t="s">
        <v>7019</v>
      </c>
      <c r="N246" s="1" t="s">
        <v>7031</v>
      </c>
      <c r="P246" s="1" t="s">
        <v>7038</v>
      </c>
      <c r="Q246" s="3">
        <v>0</v>
      </c>
      <c r="R246" s="22" t="s">
        <v>2721</v>
      </c>
      <c r="S246" s="42" t="s">
        <v>6914</v>
      </c>
      <c r="T246" s="3" t="s">
        <v>4866</v>
      </c>
      <c r="U246" s="45">
        <v>35</v>
      </c>
      <c r="V246" t="s">
        <v>6932</v>
      </c>
      <c r="W246" s="1" t="str">
        <f>HYPERLINK("http://ictvonline.org/taxonomy/p/taxonomy-history?taxnode_id=201908588","ICTVonline=201908588")</f>
        <v>ICTVonline=201908588</v>
      </c>
    </row>
    <row r="247" spans="1:23">
      <c r="A247" s="3">
        <v>246</v>
      </c>
      <c r="B247" s="1" t="s">
        <v>6915</v>
      </c>
      <c r="D247" s="1" t="s">
        <v>6916</v>
      </c>
      <c r="F247" s="1" t="s">
        <v>6920</v>
      </c>
      <c r="H247" s="1" t="s">
        <v>6921</v>
      </c>
      <c r="J247" s="1" t="s">
        <v>1324</v>
      </c>
      <c r="L247" s="1" t="s">
        <v>6928</v>
      </c>
      <c r="M247" s="1" t="s">
        <v>7019</v>
      </c>
      <c r="N247" s="1" t="s">
        <v>7031</v>
      </c>
      <c r="P247" s="1" t="s">
        <v>2954</v>
      </c>
      <c r="Q247" s="3">
        <v>0</v>
      </c>
      <c r="R247" s="22" t="s">
        <v>2721</v>
      </c>
      <c r="S247" s="42" t="s">
        <v>6914</v>
      </c>
      <c r="T247" s="3" t="s">
        <v>4868</v>
      </c>
      <c r="U247" s="45">
        <v>35</v>
      </c>
      <c r="V247" t="s">
        <v>6932</v>
      </c>
      <c r="W247" s="1" t="str">
        <f>HYPERLINK("http://ictvonline.org/taxonomy/p/taxonomy-history?taxnode_id=201900579","ICTVonline=201900579")</f>
        <v>ICTVonline=201900579</v>
      </c>
    </row>
    <row r="248" spans="1:23">
      <c r="A248" s="3">
        <v>247</v>
      </c>
      <c r="B248" s="1" t="s">
        <v>6915</v>
      </c>
      <c r="D248" s="1" t="s">
        <v>6916</v>
      </c>
      <c r="F248" s="1" t="s">
        <v>6920</v>
      </c>
      <c r="H248" s="1" t="s">
        <v>6921</v>
      </c>
      <c r="J248" s="1" t="s">
        <v>1324</v>
      </c>
      <c r="L248" s="1" t="s">
        <v>6928</v>
      </c>
      <c r="M248" s="1" t="s">
        <v>7019</v>
      </c>
      <c r="N248" s="1" t="s">
        <v>7031</v>
      </c>
      <c r="P248" s="1" t="s">
        <v>2955</v>
      </c>
      <c r="Q248" s="3">
        <v>0</v>
      </c>
      <c r="R248" s="22" t="s">
        <v>2721</v>
      </c>
      <c r="S248" s="42" t="s">
        <v>6914</v>
      </c>
      <c r="T248" s="3" t="s">
        <v>4868</v>
      </c>
      <c r="U248" s="45">
        <v>35</v>
      </c>
      <c r="V248" t="s">
        <v>6932</v>
      </c>
      <c r="W248" s="1" t="str">
        <f>HYPERLINK("http://ictvonline.org/taxonomy/p/taxonomy-history?taxnode_id=201900580","ICTVonline=201900580")</f>
        <v>ICTVonline=201900580</v>
      </c>
    </row>
    <row r="249" spans="1:23">
      <c r="A249" s="3">
        <v>248</v>
      </c>
      <c r="B249" s="1" t="s">
        <v>6915</v>
      </c>
      <c r="D249" s="1" t="s">
        <v>6916</v>
      </c>
      <c r="F249" s="1" t="s">
        <v>6920</v>
      </c>
      <c r="H249" s="1" t="s">
        <v>6921</v>
      </c>
      <c r="J249" s="1" t="s">
        <v>1324</v>
      </c>
      <c r="L249" s="1" t="s">
        <v>6928</v>
      </c>
      <c r="M249" s="1" t="s">
        <v>7019</v>
      </c>
      <c r="N249" s="1" t="s">
        <v>7031</v>
      </c>
      <c r="P249" s="1" t="s">
        <v>7039</v>
      </c>
      <c r="Q249" s="3">
        <v>0</v>
      </c>
      <c r="R249" s="22" t="s">
        <v>2721</v>
      </c>
      <c r="S249" s="42" t="s">
        <v>6914</v>
      </c>
      <c r="T249" s="3" t="s">
        <v>4866</v>
      </c>
      <c r="U249" s="45">
        <v>35</v>
      </c>
      <c r="V249" t="s">
        <v>6932</v>
      </c>
      <c r="W249" s="1" t="str">
        <f>HYPERLINK("http://ictvonline.org/taxonomy/p/taxonomy-history?taxnode_id=201908589","ICTVonline=201908589")</f>
        <v>ICTVonline=201908589</v>
      </c>
    </row>
    <row r="250" spans="1:23">
      <c r="A250" s="3">
        <v>249</v>
      </c>
      <c r="B250" s="1" t="s">
        <v>6915</v>
      </c>
      <c r="D250" s="1" t="s">
        <v>6916</v>
      </c>
      <c r="F250" s="1" t="s">
        <v>6920</v>
      </c>
      <c r="H250" s="1" t="s">
        <v>6921</v>
      </c>
      <c r="J250" s="1" t="s">
        <v>1324</v>
      </c>
      <c r="L250" s="1" t="s">
        <v>6928</v>
      </c>
      <c r="M250" s="1" t="s">
        <v>7019</v>
      </c>
      <c r="N250" s="1" t="s">
        <v>7031</v>
      </c>
      <c r="P250" s="1" t="s">
        <v>7040</v>
      </c>
      <c r="Q250" s="3">
        <v>1</v>
      </c>
      <c r="R250" s="22" t="s">
        <v>2721</v>
      </c>
      <c r="S250" s="42" t="s">
        <v>6914</v>
      </c>
      <c r="T250" s="3" t="s">
        <v>4866</v>
      </c>
      <c r="U250" s="45">
        <v>35</v>
      </c>
      <c r="V250" t="s">
        <v>6932</v>
      </c>
      <c r="W250" s="1" t="str">
        <f>HYPERLINK("http://ictvonline.org/taxonomy/p/taxonomy-history?taxnode_id=201908583","ICTVonline=201908583")</f>
        <v>ICTVonline=201908583</v>
      </c>
    </row>
    <row r="251" spans="1:23">
      <c r="A251" s="3">
        <v>250</v>
      </c>
      <c r="B251" s="1" t="s">
        <v>6915</v>
      </c>
      <c r="D251" s="1" t="s">
        <v>6916</v>
      </c>
      <c r="F251" s="1" t="s">
        <v>6920</v>
      </c>
      <c r="H251" s="1" t="s">
        <v>6921</v>
      </c>
      <c r="J251" s="1" t="s">
        <v>1324</v>
      </c>
      <c r="L251" s="1" t="s">
        <v>6928</v>
      </c>
      <c r="M251" s="1" t="s">
        <v>7019</v>
      </c>
      <c r="N251" s="1" t="s">
        <v>6451</v>
      </c>
      <c r="P251" s="1" t="s">
        <v>7041</v>
      </c>
      <c r="Q251" s="3">
        <v>0</v>
      </c>
      <c r="R251" s="22" t="s">
        <v>2721</v>
      </c>
      <c r="S251" s="42" t="s">
        <v>6914</v>
      </c>
      <c r="T251" s="3" t="s">
        <v>4866</v>
      </c>
      <c r="U251" s="45">
        <v>35</v>
      </c>
      <c r="V251" t="s">
        <v>6932</v>
      </c>
      <c r="W251" s="1" t="str">
        <f>HYPERLINK("http://ictvonline.org/taxonomy/p/taxonomy-history?taxnode_id=201908592","ICTVonline=201908592")</f>
        <v>ICTVonline=201908592</v>
      </c>
    </row>
    <row r="252" spans="1:23">
      <c r="A252" s="3">
        <v>251</v>
      </c>
      <c r="B252" s="1" t="s">
        <v>6915</v>
      </c>
      <c r="D252" s="1" t="s">
        <v>6916</v>
      </c>
      <c r="F252" s="1" t="s">
        <v>6920</v>
      </c>
      <c r="H252" s="1" t="s">
        <v>6921</v>
      </c>
      <c r="J252" s="1" t="s">
        <v>1324</v>
      </c>
      <c r="L252" s="1" t="s">
        <v>6928</v>
      </c>
      <c r="M252" s="1" t="s">
        <v>7019</v>
      </c>
      <c r="N252" s="1" t="s">
        <v>6451</v>
      </c>
      <c r="P252" s="1" t="s">
        <v>7042</v>
      </c>
      <c r="Q252" s="3">
        <v>0</v>
      </c>
      <c r="R252" s="22" t="s">
        <v>2721</v>
      </c>
      <c r="S252" s="42" t="s">
        <v>6914</v>
      </c>
      <c r="T252" s="3" t="s">
        <v>4866</v>
      </c>
      <c r="U252" s="45">
        <v>35</v>
      </c>
      <c r="V252" t="s">
        <v>6932</v>
      </c>
      <c r="W252" s="1" t="str">
        <f>HYPERLINK("http://ictvonline.org/taxonomy/p/taxonomy-history?taxnode_id=201908593","ICTVonline=201908593")</f>
        <v>ICTVonline=201908593</v>
      </c>
    </row>
    <row r="253" spans="1:23">
      <c r="A253" s="3">
        <v>252</v>
      </c>
      <c r="B253" s="1" t="s">
        <v>6915</v>
      </c>
      <c r="D253" s="1" t="s">
        <v>6916</v>
      </c>
      <c r="F253" s="1" t="s">
        <v>6920</v>
      </c>
      <c r="H253" s="1" t="s">
        <v>6921</v>
      </c>
      <c r="J253" s="1" t="s">
        <v>1324</v>
      </c>
      <c r="L253" s="1" t="s">
        <v>6928</v>
      </c>
      <c r="M253" s="1" t="s">
        <v>7019</v>
      </c>
      <c r="N253" s="1" t="s">
        <v>6451</v>
      </c>
      <c r="P253" s="1" t="s">
        <v>2956</v>
      </c>
      <c r="Q253" s="3">
        <v>1</v>
      </c>
      <c r="R253" s="22" t="s">
        <v>2721</v>
      </c>
      <c r="S253" s="42" t="s">
        <v>6910</v>
      </c>
      <c r="T253" s="3" t="s">
        <v>4868</v>
      </c>
      <c r="U253" s="45">
        <v>35</v>
      </c>
      <c r="V253" t="s">
        <v>6932</v>
      </c>
      <c r="W253" s="1" t="str">
        <f>HYPERLINK("http://ictvonline.org/taxonomy/p/taxonomy-history?taxnode_id=201900581","ICTVonline=201900581")</f>
        <v>ICTVonline=201900581</v>
      </c>
    </row>
    <row r="254" spans="1:23">
      <c r="A254" s="3">
        <v>253</v>
      </c>
      <c r="B254" s="1" t="s">
        <v>6915</v>
      </c>
      <c r="D254" s="1" t="s">
        <v>6916</v>
      </c>
      <c r="F254" s="1" t="s">
        <v>6920</v>
      </c>
      <c r="H254" s="1" t="s">
        <v>6921</v>
      </c>
      <c r="J254" s="1" t="s">
        <v>1324</v>
      </c>
      <c r="L254" s="1" t="s">
        <v>6928</v>
      </c>
      <c r="M254" s="1" t="s">
        <v>7043</v>
      </c>
      <c r="N254" s="1" t="s">
        <v>7044</v>
      </c>
      <c r="P254" s="1" t="s">
        <v>7045</v>
      </c>
      <c r="Q254" s="3">
        <v>1</v>
      </c>
      <c r="R254" s="22" t="s">
        <v>2721</v>
      </c>
      <c r="S254" s="42" t="s">
        <v>6914</v>
      </c>
      <c r="T254" s="3" t="s">
        <v>4866</v>
      </c>
      <c r="U254" s="45">
        <v>35</v>
      </c>
      <c r="V254" t="s">
        <v>6932</v>
      </c>
      <c r="W254" s="1" t="str">
        <f>HYPERLINK("http://ictvonline.org/taxonomy/p/taxonomy-history?taxnode_id=201908337","ICTVonline=201908337")</f>
        <v>ICTVonline=201908337</v>
      </c>
    </row>
    <row r="255" spans="1:23">
      <c r="A255" s="3">
        <v>254</v>
      </c>
      <c r="B255" s="1" t="s">
        <v>6915</v>
      </c>
      <c r="D255" s="1" t="s">
        <v>6916</v>
      </c>
      <c r="F255" s="1" t="s">
        <v>6920</v>
      </c>
      <c r="H255" s="1" t="s">
        <v>6921</v>
      </c>
      <c r="J255" s="1" t="s">
        <v>1324</v>
      </c>
      <c r="L255" s="1" t="s">
        <v>6928</v>
      </c>
      <c r="M255" s="1" t="s">
        <v>7043</v>
      </c>
      <c r="N255" s="1" t="s">
        <v>7044</v>
      </c>
      <c r="P255" s="1" t="s">
        <v>7046</v>
      </c>
      <c r="Q255" s="3">
        <v>0</v>
      </c>
      <c r="R255" s="22" t="s">
        <v>2721</v>
      </c>
      <c r="S255" s="42" t="s">
        <v>6914</v>
      </c>
      <c r="T255" s="3" t="s">
        <v>4866</v>
      </c>
      <c r="U255" s="45">
        <v>35</v>
      </c>
      <c r="V255" t="s">
        <v>6932</v>
      </c>
      <c r="W255" s="1" t="str">
        <f>HYPERLINK("http://ictvonline.org/taxonomy/p/taxonomy-history?taxnode_id=201908338","ICTVonline=201908338")</f>
        <v>ICTVonline=201908338</v>
      </c>
    </row>
    <row r="256" spans="1:23">
      <c r="A256" s="3">
        <v>255</v>
      </c>
      <c r="B256" s="1" t="s">
        <v>6915</v>
      </c>
      <c r="D256" s="1" t="s">
        <v>6916</v>
      </c>
      <c r="F256" s="1" t="s">
        <v>6920</v>
      </c>
      <c r="H256" s="1" t="s">
        <v>6921</v>
      </c>
      <c r="J256" s="1" t="s">
        <v>1324</v>
      </c>
      <c r="L256" s="1" t="s">
        <v>6928</v>
      </c>
      <c r="M256" s="1" t="s">
        <v>7043</v>
      </c>
      <c r="N256" s="1" t="s">
        <v>7047</v>
      </c>
      <c r="P256" s="1" t="s">
        <v>7048</v>
      </c>
      <c r="Q256" s="3">
        <v>1</v>
      </c>
      <c r="R256" s="22" t="s">
        <v>2721</v>
      </c>
      <c r="S256" s="42" t="s">
        <v>6914</v>
      </c>
      <c r="T256" s="3" t="s">
        <v>4866</v>
      </c>
      <c r="U256" s="45">
        <v>35</v>
      </c>
      <c r="V256" t="s">
        <v>6932</v>
      </c>
      <c r="W256" s="1" t="str">
        <f>HYPERLINK("http://ictvonline.org/taxonomy/p/taxonomy-history?taxnode_id=201908334","ICTVonline=201908334")</f>
        <v>ICTVonline=201908334</v>
      </c>
    </row>
    <row r="257" spans="1:23">
      <c r="A257" s="3">
        <v>256</v>
      </c>
      <c r="B257" s="1" t="s">
        <v>6915</v>
      </c>
      <c r="D257" s="1" t="s">
        <v>6916</v>
      </c>
      <c r="F257" s="1" t="s">
        <v>6920</v>
      </c>
      <c r="H257" s="1" t="s">
        <v>6921</v>
      </c>
      <c r="J257" s="1" t="s">
        <v>1324</v>
      </c>
      <c r="L257" s="1" t="s">
        <v>6928</v>
      </c>
      <c r="M257" s="1" t="s">
        <v>7043</v>
      </c>
      <c r="N257" s="1" t="s">
        <v>7047</v>
      </c>
      <c r="P257" s="1" t="s">
        <v>7049</v>
      </c>
      <c r="Q257" s="3">
        <v>0</v>
      </c>
      <c r="R257" s="22" t="s">
        <v>2721</v>
      </c>
      <c r="S257" s="42" t="s">
        <v>6914</v>
      </c>
      <c r="T257" s="3" t="s">
        <v>4866</v>
      </c>
      <c r="U257" s="45">
        <v>35</v>
      </c>
      <c r="V257" t="s">
        <v>6932</v>
      </c>
      <c r="W257" s="1" t="str">
        <f>HYPERLINK("http://ictvonline.org/taxonomy/p/taxonomy-history?taxnode_id=201908335","ICTVonline=201908335")</f>
        <v>ICTVonline=201908335</v>
      </c>
    </row>
    <row r="258" spans="1:23">
      <c r="A258" s="3">
        <v>257</v>
      </c>
      <c r="B258" s="1" t="s">
        <v>6915</v>
      </c>
      <c r="D258" s="1" t="s">
        <v>6916</v>
      </c>
      <c r="F258" s="1" t="s">
        <v>6920</v>
      </c>
      <c r="H258" s="1" t="s">
        <v>6921</v>
      </c>
      <c r="J258" s="1" t="s">
        <v>1324</v>
      </c>
      <c r="L258" s="1" t="s">
        <v>6928</v>
      </c>
      <c r="M258" s="1" t="s">
        <v>7043</v>
      </c>
      <c r="N258" s="1" t="s">
        <v>7050</v>
      </c>
      <c r="P258" s="1" t="s">
        <v>7051</v>
      </c>
      <c r="Q258" s="3">
        <v>1</v>
      </c>
      <c r="R258" s="22" t="s">
        <v>2721</v>
      </c>
      <c r="S258" s="42" t="s">
        <v>6914</v>
      </c>
      <c r="T258" s="3" t="s">
        <v>4866</v>
      </c>
      <c r="U258" s="45">
        <v>35</v>
      </c>
      <c r="V258" t="s">
        <v>6932</v>
      </c>
      <c r="W258" s="1" t="str">
        <f>HYPERLINK("http://ictvonline.org/taxonomy/p/taxonomy-history?taxnode_id=201908342","ICTVonline=201908342")</f>
        <v>ICTVonline=201908342</v>
      </c>
    </row>
    <row r="259" spans="1:23">
      <c r="A259" s="3">
        <v>258</v>
      </c>
      <c r="B259" s="1" t="s">
        <v>6915</v>
      </c>
      <c r="D259" s="1" t="s">
        <v>6916</v>
      </c>
      <c r="F259" s="1" t="s">
        <v>6920</v>
      </c>
      <c r="H259" s="1" t="s">
        <v>6921</v>
      </c>
      <c r="J259" s="1" t="s">
        <v>1324</v>
      </c>
      <c r="L259" s="1" t="s">
        <v>6928</v>
      </c>
      <c r="M259" s="1" t="s">
        <v>7043</v>
      </c>
      <c r="N259" s="1" t="s">
        <v>7052</v>
      </c>
      <c r="P259" s="1" t="s">
        <v>7053</v>
      </c>
      <c r="Q259" s="3">
        <v>1</v>
      </c>
      <c r="R259" s="22" t="s">
        <v>2721</v>
      </c>
      <c r="S259" s="42" t="s">
        <v>6914</v>
      </c>
      <c r="T259" s="3" t="s">
        <v>4866</v>
      </c>
      <c r="U259" s="45">
        <v>35</v>
      </c>
      <c r="V259" t="s">
        <v>6932</v>
      </c>
      <c r="W259" s="1" t="str">
        <f>HYPERLINK("http://ictvonline.org/taxonomy/p/taxonomy-history?taxnode_id=201908332","ICTVonline=201908332")</f>
        <v>ICTVonline=201908332</v>
      </c>
    </row>
    <row r="260" spans="1:23">
      <c r="A260" s="3">
        <v>259</v>
      </c>
      <c r="B260" s="1" t="s">
        <v>6915</v>
      </c>
      <c r="D260" s="1" t="s">
        <v>6916</v>
      </c>
      <c r="F260" s="1" t="s">
        <v>6920</v>
      </c>
      <c r="H260" s="1" t="s">
        <v>6921</v>
      </c>
      <c r="J260" s="1" t="s">
        <v>1324</v>
      </c>
      <c r="L260" s="1" t="s">
        <v>6928</v>
      </c>
      <c r="M260" s="1" t="s">
        <v>7043</v>
      </c>
      <c r="N260" s="1" t="s">
        <v>7052</v>
      </c>
      <c r="P260" s="1" t="s">
        <v>7054</v>
      </c>
      <c r="Q260" s="3">
        <v>0</v>
      </c>
      <c r="R260" s="22" t="s">
        <v>2721</v>
      </c>
      <c r="S260" s="42" t="s">
        <v>6914</v>
      </c>
      <c r="T260" s="3" t="s">
        <v>4866</v>
      </c>
      <c r="U260" s="45">
        <v>35</v>
      </c>
      <c r="V260" t="s">
        <v>6932</v>
      </c>
      <c r="W260" s="1" t="str">
        <f>HYPERLINK("http://ictvonline.org/taxonomy/p/taxonomy-history?taxnode_id=201908331","ICTVonline=201908331")</f>
        <v>ICTVonline=201908331</v>
      </c>
    </row>
    <row r="261" spans="1:23">
      <c r="A261" s="3">
        <v>260</v>
      </c>
      <c r="B261" s="1" t="s">
        <v>6915</v>
      </c>
      <c r="D261" s="1" t="s">
        <v>6916</v>
      </c>
      <c r="F261" s="1" t="s">
        <v>6920</v>
      </c>
      <c r="H261" s="1" t="s">
        <v>6921</v>
      </c>
      <c r="J261" s="1" t="s">
        <v>1324</v>
      </c>
      <c r="L261" s="1" t="s">
        <v>6928</v>
      </c>
      <c r="M261" s="1" t="s">
        <v>7043</v>
      </c>
      <c r="N261" s="1" t="s">
        <v>7055</v>
      </c>
      <c r="P261" s="1" t="s">
        <v>7056</v>
      </c>
      <c r="Q261" s="3">
        <v>1</v>
      </c>
      <c r="R261" s="22" t="s">
        <v>2721</v>
      </c>
      <c r="S261" s="42" t="s">
        <v>6914</v>
      </c>
      <c r="T261" s="3" t="s">
        <v>4866</v>
      </c>
      <c r="U261" s="45">
        <v>35</v>
      </c>
      <c r="V261" t="s">
        <v>6932</v>
      </c>
      <c r="W261" s="1" t="str">
        <f>HYPERLINK("http://ictvonline.org/taxonomy/p/taxonomy-history?taxnode_id=201908340","ICTVonline=201908340")</f>
        <v>ICTVonline=201908340</v>
      </c>
    </row>
    <row r="262" spans="1:23">
      <c r="A262" s="3">
        <v>261</v>
      </c>
      <c r="B262" s="1" t="s">
        <v>6915</v>
      </c>
      <c r="D262" s="1" t="s">
        <v>6916</v>
      </c>
      <c r="F262" s="1" t="s">
        <v>6920</v>
      </c>
      <c r="H262" s="1" t="s">
        <v>6921</v>
      </c>
      <c r="J262" s="1" t="s">
        <v>1324</v>
      </c>
      <c r="L262" s="1" t="s">
        <v>6928</v>
      </c>
      <c r="M262" s="1" t="s">
        <v>7057</v>
      </c>
      <c r="N262" s="1" t="s">
        <v>7058</v>
      </c>
      <c r="P262" s="1" t="s">
        <v>7059</v>
      </c>
      <c r="Q262" s="3">
        <v>1</v>
      </c>
      <c r="R262" s="22" t="s">
        <v>2721</v>
      </c>
      <c r="S262" s="42" t="s">
        <v>6914</v>
      </c>
      <c r="T262" s="3" t="s">
        <v>4866</v>
      </c>
      <c r="U262" s="45">
        <v>35</v>
      </c>
      <c r="V262" t="s">
        <v>6932</v>
      </c>
      <c r="W262" s="1" t="str">
        <f>HYPERLINK("http://ictvonline.org/taxonomy/p/taxonomy-history?taxnode_id=201908550","ICTVonline=201908550")</f>
        <v>ICTVonline=201908550</v>
      </c>
    </row>
    <row r="263" spans="1:23">
      <c r="A263" s="3">
        <v>262</v>
      </c>
      <c r="B263" s="1" t="s">
        <v>6915</v>
      </c>
      <c r="D263" s="1" t="s">
        <v>6916</v>
      </c>
      <c r="F263" s="1" t="s">
        <v>6920</v>
      </c>
      <c r="H263" s="1" t="s">
        <v>6921</v>
      </c>
      <c r="J263" s="1" t="s">
        <v>1324</v>
      </c>
      <c r="L263" s="1" t="s">
        <v>6928</v>
      </c>
      <c r="M263" s="1" t="s">
        <v>7057</v>
      </c>
      <c r="N263" s="1" t="s">
        <v>6427</v>
      </c>
      <c r="P263" s="1" t="s">
        <v>7060</v>
      </c>
      <c r="Q263" s="3">
        <v>0</v>
      </c>
      <c r="R263" s="22" t="s">
        <v>2721</v>
      </c>
      <c r="S263" s="42" t="s">
        <v>6914</v>
      </c>
      <c r="T263" s="3" t="s">
        <v>4866</v>
      </c>
      <c r="U263" s="45">
        <v>35</v>
      </c>
      <c r="V263" t="s">
        <v>6932</v>
      </c>
      <c r="W263" s="1" t="str">
        <f>HYPERLINK("http://ictvonline.org/taxonomy/p/taxonomy-history?taxnode_id=201908545","ICTVonline=201908545")</f>
        <v>ICTVonline=201908545</v>
      </c>
    </row>
    <row r="264" spans="1:23">
      <c r="A264" s="3">
        <v>263</v>
      </c>
      <c r="B264" s="1" t="s">
        <v>6915</v>
      </c>
      <c r="D264" s="1" t="s">
        <v>6916</v>
      </c>
      <c r="F264" s="1" t="s">
        <v>6920</v>
      </c>
      <c r="H264" s="1" t="s">
        <v>6921</v>
      </c>
      <c r="J264" s="1" t="s">
        <v>1324</v>
      </c>
      <c r="L264" s="1" t="s">
        <v>6928</v>
      </c>
      <c r="M264" s="1" t="s">
        <v>7057</v>
      </c>
      <c r="N264" s="1" t="s">
        <v>6427</v>
      </c>
      <c r="P264" s="1" t="s">
        <v>7061</v>
      </c>
      <c r="Q264" s="3">
        <v>0</v>
      </c>
      <c r="R264" s="22" t="s">
        <v>2721</v>
      </c>
      <c r="S264" s="42" t="s">
        <v>6914</v>
      </c>
      <c r="T264" s="3" t="s">
        <v>4866</v>
      </c>
      <c r="U264" s="45">
        <v>35</v>
      </c>
      <c r="V264" t="s">
        <v>6932</v>
      </c>
      <c r="W264" s="1" t="str">
        <f>HYPERLINK("http://ictvonline.org/taxonomy/p/taxonomy-history?taxnode_id=201908543","ICTVonline=201908543")</f>
        <v>ICTVonline=201908543</v>
      </c>
    </row>
    <row r="265" spans="1:23">
      <c r="A265" s="3">
        <v>264</v>
      </c>
      <c r="B265" s="1" t="s">
        <v>6915</v>
      </c>
      <c r="D265" s="1" t="s">
        <v>6916</v>
      </c>
      <c r="F265" s="1" t="s">
        <v>6920</v>
      </c>
      <c r="H265" s="1" t="s">
        <v>6921</v>
      </c>
      <c r="J265" s="1" t="s">
        <v>1324</v>
      </c>
      <c r="L265" s="1" t="s">
        <v>6928</v>
      </c>
      <c r="M265" s="1" t="s">
        <v>7057</v>
      </c>
      <c r="N265" s="1" t="s">
        <v>6427</v>
      </c>
      <c r="P265" s="1" t="s">
        <v>7062</v>
      </c>
      <c r="Q265" s="3">
        <v>0</v>
      </c>
      <c r="R265" s="22" t="s">
        <v>2721</v>
      </c>
      <c r="S265" s="42" t="s">
        <v>6914</v>
      </c>
      <c r="T265" s="3" t="s">
        <v>4866</v>
      </c>
      <c r="U265" s="45">
        <v>35</v>
      </c>
      <c r="V265" t="s">
        <v>6932</v>
      </c>
      <c r="W265" s="1" t="str">
        <f>HYPERLINK("http://ictvonline.org/taxonomy/p/taxonomy-history?taxnode_id=201908536","ICTVonline=201908536")</f>
        <v>ICTVonline=201908536</v>
      </c>
    </row>
    <row r="266" spans="1:23">
      <c r="A266" s="3">
        <v>265</v>
      </c>
      <c r="B266" s="1" t="s">
        <v>6915</v>
      </c>
      <c r="D266" s="1" t="s">
        <v>6916</v>
      </c>
      <c r="F266" s="1" t="s">
        <v>6920</v>
      </c>
      <c r="H266" s="1" t="s">
        <v>6921</v>
      </c>
      <c r="J266" s="1" t="s">
        <v>1324</v>
      </c>
      <c r="L266" s="1" t="s">
        <v>6928</v>
      </c>
      <c r="M266" s="1" t="s">
        <v>7057</v>
      </c>
      <c r="N266" s="1" t="s">
        <v>6427</v>
      </c>
      <c r="P266" s="1" t="s">
        <v>2945</v>
      </c>
      <c r="Q266" s="3">
        <v>0</v>
      </c>
      <c r="R266" s="22" t="s">
        <v>2721</v>
      </c>
      <c r="S266" s="42" t="s">
        <v>6910</v>
      </c>
      <c r="T266" s="3" t="s">
        <v>4868</v>
      </c>
      <c r="U266" s="45">
        <v>35</v>
      </c>
      <c r="V266" t="s">
        <v>6932</v>
      </c>
      <c r="W266" s="1" t="str">
        <f>HYPERLINK("http://ictvonline.org/taxonomy/p/taxonomy-history?taxnode_id=201900558","ICTVonline=201900558")</f>
        <v>ICTVonline=201900558</v>
      </c>
    </row>
    <row r="267" spans="1:23">
      <c r="A267" s="3">
        <v>266</v>
      </c>
      <c r="B267" s="1" t="s">
        <v>6915</v>
      </c>
      <c r="D267" s="1" t="s">
        <v>6916</v>
      </c>
      <c r="F267" s="1" t="s">
        <v>6920</v>
      </c>
      <c r="H267" s="1" t="s">
        <v>6921</v>
      </c>
      <c r="J267" s="1" t="s">
        <v>1324</v>
      </c>
      <c r="L267" s="1" t="s">
        <v>6928</v>
      </c>
      <c r="M267" s="1" t="s">
        <v>7057</v>
      </c>
      <c r="N267" s="1" t="s">
        <v>6427</v>
      </c>
      <c r="P267" s="1" t="s">
        <v>2946</v>
      </c>
      <c r="Q267" s="3">
        <v>0</v>
      </c>
      <c r="R267" s="22" t="s">
        <v>2721</v>
      </c>
      <c r="S267" s="42" t="s">
        <v>6910</v>
      </c>
      <c r="T267" s="3" t="s">
        <v>4868</v>
      </c>
      <c r="U267" s="45">
        <v>35</v>
      </c>
      <c r="V267" t="s">
        <v>6932</v>
      </c>
      <c r="W267" s="1" t="str">
        <f>HYPERLINK("http://ictvonline.org/taxonomy/p/taxonomy-history?taxnode_id=201900559","ICTVonline=201900559")</f>
        <v>ICTVonline=201900559</v>
      </c>
    </row>
    <row r="268" spans="1:23">
      <c r="A268" s="3">
        <v>267</v>
      </c>
      <c r="B268" s="1" t="s">
        <v>6915</v>
      </c>
      <c r="D268" s="1" t="s">
        <v>6916</v>
      </c>
      <c r="F268" s="1" t="s">
        <v>6920</v>
      </c>
      <c r="H268" s="1" t="s">
        <v>6921</v>
      </c>
      <c r="J268" s="1" t="s">
        <v>1324</v>
      </c>
      <c r="L268" s="1" t="s">
        <v>6928</v>
      </c>
      <c r="M268" s="1" t="s">
        <v>7057</v>
      </c>
      <c r="N268" s="1" t="s">
        <v>6427</v>
      </c>
      <c r="P268" s="1" t="s">
        <v>4218</v>
      </c>
      <c r="Q268" s="3">
        <v>0</v>
      </c>
      <c r="R268" s="22" t="s">
        <v>2721</v>
      </c>
      <c r="S268" s="42" t="s">
        <v>6910</v>
      </c>
      <c r="T268" s="3" t="s">
        <v>4868</v>
      </c>
      <c r="U268" s="45">
        <v>35</v>
      </c>
      <c r="V268" t="s">
        <v>6932</v>
      </c>
      <c r="W268" s="1" t="str">
        <f>HYPERLINK("http://ictvonline.org/taxonomy/p/taxonomy-history?taxnode_id=201900560","ICTVonline=201900560")</f>
        <v>ICTVonline=201900560</v>
      </c>
    </row>
    <row r="269" spans="1:23">
      <c r="A269" s="3">
        <v>268</v>
      </c>
      <c r="B269" s="1" t="s">
        <v>6915</v>
      </c>
      <c r="D269" s="1" t="s">
        <v>6916</v>
      </c>
      <c r="F269" s="1" t="s">
        <v>6920</v>
      </c>
      <c r="H269" s="1" t="s">
        <v>6921</v>
      </c>
      <c r="J269" s="1" t="s">
        <v>1324</v>
      </c>
      <c r="L269" s="1" t="s">
        <v>6928</v>
      </c>
      <c r="M269" s="1" t="s">
        <v>7057</v>
      </c>
      <c r="N269" s="1" t="s">
        <v>6427</v>
      </c>
      <c r="P269" s="1" t="s">
        <v>2947</v>
      </c>
      <c r="Q269" s="3">
        <v>1</v>
      </c>
      <c r="R269" s="22" t="s">
        <v>2721</v>
      </c>
      <c r="S269" s="42" t="s">
        <v>6910</v>
      </c>
      <c r="T269" s="3" t="s">
        <v>4868</v>
      </c>
      <c r="U269" s="45">
        <v>35</v>
      </c>
      <c r="V269" t="s">
        <v>6932</v>
      </c>
      <c r="W269" s="1" t="str">
        <f>HYPERLINK("http://ictvonline.org/taxonomy/p/taxonomy-history?taxnode_id=201900561","ICTVonline=201900561")</f>
        <v>ICTVonline=201900561</v>
      </c>
    </row>
    <row r="270" spans="1:23">
      <c r="A270" s="3">
        <v>269</v>
      </c>
      <c r="B270" s="1" t="s">
        <v>6915</v>
      </c>
      <c r="D270" s="1" t="s">
        <v>6916</v>
      </c>
      <c r="F270" s="1" t="s">
        <v>6920</v>
      </c>
      <c r="H270" s="1" t="s">
        <v>6921</v>
      </c>
      <c r="J270" s="1" t="s">
        <v>1324</v>
      </c>
      <c r="L270" s="1" t="s">
        <v>6928</v>
      </c>
      <c r="M270" s="1" t="s">
        <v>7057</v>
      </c>
      <c r="N270" s="1" t="s">
        <v>6427</v>
      </c>
      <c r="P270" s="1" t="s">
        <v>7063</v>
      </c>
      <c r="Q270" s="3">
        <v>0</v>
      </c>
      <c r="R270" s="22" t="s">
        <v>2721</v>
      </c>
      <c r="S270" s="42" t="s">
        <v>6914</v>
      </c>
      <c r="T270" s="3" t="s">
        <v>4866</v>
      </c>
      <c r="U270" s="45">
        <v>35</v>
      </c>
      <c r="V270" t="s">
        <v>6932</v>
      </c>
      <c r="W270" s="1" t="str">
        <f>HYPERLINK("http://ictvonline.org/taxonomy/p/taxonomy-history?taxnode_id=201908539","ICTVonline=201908539")</f>
        <v>ICTVonline=201908539</v>
      </c>
    </row>
    <row r="271" spans="1:23">
      <c r="A271" s="3">
        <v>270</v>
      </c>
      <c r="B271" s="1" t="s">
        <v>6915</v>
      </c>
      <c r="D271" s="1" t="s">
        <v>6916</v>
      </c>
      <c r="F271" s="1" t="s">
        <v>6920</v>
      </c>
      <c r="H271" s="1" t="s">
        <v>6921</v>
      </c>
      <c r="J271" s="1" t="s">
        <v>1324</v>
      </c>
      <c r="L271" s="1" t="s">
        <v>6928</v>
      </c>
      <c r="M271" s="1" t="s">
        <v>7057</v>
      </c>
      <c r="N271" s="1" t="s">
        <v>6427</v>
      </c>
      <c r="P271" s="1" t="s">
        <v>7064</v>
      </c>
      <c r="Q271" s="3">
        <v>0</v>
      </c>
      <c r="R271" s="22" t="s">
        <v>2721</v>
      </c>
      <c r="S271" s="42" t="s">
        <v>6914</v>
      </c>
      <c r="T271" s="3" t="s">
        <v>4866</v>
      </c>
      <c r="U271" s="45">
        <v>35</v>
      </c>
      <c r="V271" t="s">
        <v>6932</v>
      </c>
      <c r="W271" s="1" t="str">
        <f>HYPERLINK("http://ictvonline.org/taxonomy/p/taxonomy-history?taxnode_id=201908538","ICTVonline=201908538")</f>
        <v>ICTVonline=201908538</v>
      </c>
    </row>
    <row r="272" spans="1:23">
      <c r="A272" s="3">
        <v>271</v>
      </c>
      <c r="B272" s="1" t="s">
        <v>6915</v>
      </c>
      <c r="D272" s="1" t="s">
        <v>6916</v>
      </c>
      <c r="F272" s="1" t="s">
        <v>6920</v>
      </c>
      <c r="H272" s="1" t="s">
        <v>6921</v>
      </c>
      <c r="J272" s="1" t="s">
        <v>1324</v>
      </c>
      <c r="L272" s="1" t="s">
        <v>6928</v>
      </c>
      <c r="M272" s="1" t="s">
        <v>7057</v>
      </c>
      <c r="N272" s="1" t="s">
        <v>6427</v>
      </c>
      <c r="P272" s="1" t="s">
        <v>4219</v>
      </c>
      <c r="Q272" s="3">
        <v>0</v>
      </c>
      <c r="R272" s="22" t="s">
        <v>2721</v>
      </c>
      <c r="S272" s="42" t="s">
        <v>6910</v>
      </c>
      <c r="T272" s="3" t="s">
        <v>4868</v>
      </c>
      <c r="U272" s="45">
        <v>35</v>
      </c>
      <c r="V272" t="s">
        <v>6932</v>
      </c>
      <c r="W272" s="1" t="str">
        <f>HYPERLINK("http://ictvonline.org/taxonomy/p/taxonomy-history?taxnode_id=201900562","ICTVonline=201900562")</f>
        <v>ICTVonline=201900562</v>
      </c>
    </row>
    <row r="273" spans="1:23">
      <c r="A273" s="3">
        <v>272</v>
      </c>
      <c r="B273" s="1" t="s">
        <v>6915</v>
      </c>
      <c r="D273" s="1" t="s">
        <v>6916</v>
      </c>
      <c r="F273" s="1" t="s">
        <v>6920</v>
      </c>
      <c r="H273" s="1" t="s">
        <v>6921</v>
      </c>
      <c r="J273" s="1" t="s">
        <v>1324</v>
      </c>
      <c r="L273" s="1" t="s">
        <v>6928</v>
      </c>
      <c r="M273" s="1" t="s">
        <v>7057</v>
      </c>
      <c r="N273" s="1" t="s">
        <v>6427</v>
      </c>
      <c r="P273" s="1" t="s">
        <v>7065</v>
      </c>
      <c r="Q273" s="3">
        <v>0</v>
      </c>
      <c r="R273" s="22" t="s">
        <v>2721</v>
      </c>
      <c r="S273" s="42" t="s">
        <v>6914</v>
      </c>
      <c r="T273" s="3" t="s">
        <v>4866</v>
      </c>
      <c r="U273" s="45">
        <v>35</v>
      </c>
      <c r="V273" t="s">
        <v>6932</v>
      </c>
      <c r="W273" s="1" t="str">
        <f>HYPERLINK("http://ictvonline.org/taxonomy/p/taxonomy-history?taxnode_id=201908537","ICTVonline=201908537")</f>
        <v>ICTVonline=201908537</v>
      </c>
    </row>
    <row r="274" spans="1:23">
      <c r="A274" s="3">
        <v>273</v>
      </c>
      <c r="B274" s="1" t="s">
        <v>6915</v>
      </c>
      <c r="D274" s="1" t="s">
        <v>6916</v>
      </c>
      <c r="F274" s="1" t="s">
        <v>6920</v>
      </c>
      <c r="H274" s="1" t="s">
        <v>6921</v>
      </c>
      <c r="J274" s="1" t="s">
        <v>1324</v>
      </c>
      <c r="L274" s="1" t="s">
        <v>6928</v>
      </c>
      <c r="M274" s="1" t="s">
        <v>7057</v>
      </c>
      <c r="N274" s="1" t="s">
        <v>6427</v>
      </c>
      <c r="P274" s="1" t="s">
        <v>4220</v>
      </c>
      <c r="Q274" s="3">
        <v>0</v>
      </c>
      <c r="R274" s="22" t="s">
        <v>2721</v>
      </c>
      <c r="S274" s="42" t="s">
        <v>6910</v>
      </c>
      <c r="T274" s="3" t="s">
        <v>4868</v>
      </c>
      <c r="U274" s="45">
        <v>35</v>
      </c>
      <c r="V274" t="s">
        <v>6932</v>
      </c>
      <c r="W274" s="1" t="str">
        <f>HYPERLINK("http://ictvonline.org/taxonomy/p/taxonomy-history?taxnode_id=201900563","ICTVonline=201900563")</f>
        <v>ICTVonline=201900563</v>
      </c>
    </row>
    <row r="275" spans="1:23">
      <c r="A275" s="3">
        <v>274</v>
      </c>
      <c r="B275" s="1" t="s">
        <v>6915</v>
      </c>
      <c r="D275" s="1" t="s">
        <v>6916</v>
      </c>
      <c r="F275" s="1" t="s">
        <v>6920</v>
      </c>
      <c r="H275" s="1" t="s">
        <v>6921</v>
      </c>
      <c r="J275" s="1" t="s">
        <v>1324</v>
      </c>
      <c r="L275" s="1" t="s">
        <v>6928</v>
      </c>
      <c r="M275" s="1" t="s">
        <v>7057</v>
      </c>
      <c r="N275" s="1" t="s">
        <v>6427</v>
      </c>
      <c r="P275" s="1" t="s">
        <v>7066</v>
      </c>
      <c r="Q275" s="3">
        <v>0</v>
      </c>
      <c r="R275" s="22" t="s">
        <v>2721</v>
      </c>
      <c r="S275" s="42" t="s">
        <v>6914</v>
      </c>
      <c r="T275" s="3" t="s">
        <v>4866</v>
      </c>
      <c r="U275" s="45">
        <v>35</v>
      </c>
      <c r="V275" t="s">
        <v>6932</v>
      </c>
      <c r="W275" s="1" t="str">
        <f>HYPERLINK("http://ictvonline.org/taxonomy/p/taxonomy-history?taxnode_id=201908541","ICTVonline=201908541")</f>
        <v>ICTVonline=201908541</v>
      </c>
    </row>
    <row r="276" spans="1:23">
      <c r="A276" s="3">
        <v>275</v>
      </c>
      <c r="B276" s="1" t="s">
        <v>6915</v>
      </c>
      <c r="D276" s="1" t="s">
        <v>6916</v>
      </c>
      <c r="F276" s="1" t="s">
        <v>6920</v>
      </c>
      <c r="H276" s="1" t="s">
        <v>6921</v>
      </c>
      <c r="J276" s="1" t="s">
        <v>1324</v>
      </c>
      <c r="L276" s="1" t="s">
        <v>6928</v>
      </c>
      <c r="M276" s="1" t="s">
        <v>7057</v>
      </c>
      <c r="N276" s="1" t="s">
        <v>6427</v>
      </c>
      <c r="P276" s="1" t="s">
        <v>4221</v>
      </c>
      <c r="Q276" s="3">
        <v>0</v>
      </c>
      <c r="R276" s="22" t="s">
        <v>2721</v>
      </c>
      <c r="S276" s="42" t="s">
        <v>6910</v>
      </c>
      <c r="T276" s="3" t="s">
        <v>4868</v>
      </c>
      <c r="U276" s="45">
        <v>35</v>
      </c>
      <c r="V276" t="s">
        <v>6932</v>
      </c>
      <c r="W276" s="1" t="str">
        <f>HYPERLINK("http://ictvonline.org/taxonomy/p/taxonomy-history?taxnode_id=201900564","ICTVonline=201900564")</f>
        <v>ICTVonline=201900564</v>
      </c>
    </row>
    <row r="277" spans="1:23">
      <c r="A277" s="3">
        <v>276</v>
      </c>
      <c r="B277" s="1" t="s">
        <v>6915</v>
      </c>
      <c r="D277" s="1" t="s">
        <v>6916</v>
      </c>
      <c r="F277" s="1" t="s">
        <v>6920</v>
      </c>
      <c r="H277" s="1" t="s">
        <v>6921</v>
      </c>
      <c r="J277" s="1" t="s">
        <v>1324</v>
      </c>
      <c r="L277" s="1" t="s">
        <v>6928</v>
      </c>
      <c r="M277" s="1" t="s">
        <v>7057</v>
      </c>
      <c r="N277" s="1" t="s">
        <v>6427</v>
      </c>
      <c r="P277" s="1" t="s">
        <v>7067</v>
      </c>
      <c r="Q277" s="3">
        <v>0</v>
      </c>
      <c r="R277" s="22" t="s">
        <v>2721</v>
      </c>
      <c r="S277" s="42" t="s">
        <v>6914</v>
      </c>
      <c r="T277" s="3" t="s">
        <v>4866</v>
      </c>
      <c r="U277" s="45">
        <v>35</v>
      </c>
      <c r="V277" t="s">
        <v>6932</v>
      </c>
      <c r="W277" s="1" t="str">
        <f>HYPERLINK("http://ictvonline.org/taxonomy/p/taxonomy-history?taxnode_id=201908540","ICTVonline=201908540")</f>
        <v>ICTVonline=201908540</v>
      </c>
    </row>
    <row r="278" spans="1:23">
      <c r="A278" s="3">
        <v>277</v>
      </c>
      <c r="B278" s="1" t="s">
        <v>6915</v>
      </c>
      <c r="D278" s="1" t="s">
        <v>6916</v>
      </c>
      <c r="F278" s="1" t="s">
        <v>6920</v>
      </c>
      <c r="H278" s="1" t="s">
        <v>6921</v>
      </c>
      <c r="J278" s="1" t="s">
        <v>1324</v>
      </c>
      <c r="L278" s="1" t="s">
        <v>6928</v>
      </c>
      <c r="M278" s="1" t="s">
        <v>7057</v>
      </c>
      <c r="N278" s="1" t="s">
        <v>6427</v>
      </c>
      <c r="P278" s="1" t="s">
        <v>7068</v>
      </c>
      <c r="Q278" s="3">
        <v>0</v>
      </c>
      <c r="R278" s="22" t="s">
        <v>2721</v>
      </c>
      <c r="S278" s="42" t="s">
        <v>6914</v>
      </c>
      <c r="T278" s="3" t="s">
        <v>4866</v>
      </c>
      <c r="U278" s="45">
        <v>35</v>
      </c>
      <c r="V278" t="s">
        <v>6932</v>
      </c>
      <c r="W278" s="1" t="str">
        <f>HYPERLINK("http://ictvonline.org/taxonomy/p/taxonomy-history?taxnode_id=201908544","ICTVonline=201908544")</f>
        <v>ICTVonline=201908544</v>
      </c>
    </row>
    <row r="279" spans="1:23">
      <c r="A279" s="3">
        <v>278</v>
      </c>
      <c r="B279" s="1" t="s">
        <v>6915</v>
      </c>
      <c r="D279" s="1" t="s">
        <v>6916</v>
      </c>
      <c r="F279" s="1" t="s">
        <v>6920</v>
      </c>
      <c r="H279" s="1" t="s">
        <v>6921</v>
      </c>
      <c r="J279" s="1" t="s">
        <v>1324</v>
      </c>
      <c r="L279" s="1" t="s">
        <v>6928</v>
      </c>
      <c r="M279" s="1" t="s">
        <v>7057</v>
      </c>
      <c r="N279" s="1" t="s">
        <v>6427</v>
      </c>
      <c r="P279" s="1" t="s">
        <v>2948</v>
      </c>
      <c r="Q279" s="3">
        <v>0</v>
      </c>
      <c r="R279" s="22" t="s">
        <v>2721</v>
      </c>
      <c r="S279" s="42" t="s">
        <v>6910</v>
      </c>
      <c r="T279" s="3" t="s">
        <v>4868</v>
      </c>
      <c r="U279" s="45">
        <v>35</v>
      </c>
      <c r="V279" t="s">
        <v>6932</v>
      </c>
      <c r="W279" s="1" t="str">
        <f>HYPERLINK("http://ictvonline.org/taxonomy/p/taxonomy-history?taxnode_id=201900565","ICTVonline=201900565")</f>
        <v>ICTVonline=201900565</v>
      </c>
    </row>
    <row r="280" spans="1:23">
      <c r="A280" s="3">
        <v>279</v>
      </c>
      <c r="B280" s="1" t="s">
        <v>6915</v>
      </c>
      <c r="D280" s="1" t="s">
        <v>6916</v>
      </c>
      <c r="F280" s="1" t="s">
        <v>6920</v>
      </c>
      <c r="H280" s="1" t="s">
        <v>6921</v>
      </c>
      <c r="J280" s="1" t="s">
        <v>1324</v>
      </c>
      <c r="L280" s="1" t="s">
        <v>6928</v>
      </c>
      <c r="M280" s="1" t="s">
        <v>7057</v>
      </c>
      <c r="N280" s="1" t="s">
        <v>6427</v>
      </c>
      <c r="P280" s="1" t="s">
        <v>2949</v>
      </c>
      <c r="Q280" s="3">
        <v>0</v>
      </c>
      <c r="R280" s="22" t="s">
        <v>2721</v>
      </c>
      <c r="S280" s="42" t="s">
        <v>6910</v>
      </c>
      <c r="T280" s="3" t="s">
        <v>4868</v>
      </c>
      <c r="U280" s="45">
        <v>35</v>
      </c>
      <c r="V280" t="s">
        <v>6932</v>
      </c>
      <c r="W280" s="1" t="str">
        <f>HYPERLINK("http://ictvonline.org/taxonomy/p/taxonomy-history?taxnode_id=201900566","ICTVonline=201900566")</f>
        <v>ICTVonline=201900566</v>
      </c>
    </row>
    <row r="281" spans="1:23">
      <c r="A281" s="3">
        <v>280</v>
      </c>
      <c r="B281" s="1" t="s">
        <v>6915</v>
      </c>
      <c r="D281" s="1" t="s">
        <v>6916</v>
      </c>
      <c r="F281" s="1" t="s">
        <v>6920</v>
      </c>
      <c r="H281" s="1" t="s">
        <v>6921</v>
      </c>
      <c r="J281" s="1" t="s">
        <v>1324</v>
      </c>
      <c r="L281" s="1" t="s">
        <v>6928</v>
      </c>
      <c r="M281" s="1" t="s">
        <v>7057</v>
      </c>
      <c r="N281" s="1" t="s">
        <v>6427</v>
      </c>
      <c r="P281" s="1" t="s">
        <v>7069</v>
      </c>
      <c r="Q281" s="3">
        <v>0</v>
      </c>
      <c r="R281" s="22" t="s">
        <v>2721</v>
      </c>
      <c r="S281" s="42" t="s">
        <v>6914</v>
      </c>
      <c r="T281" s="3" t="s">
        <v>4866</v>
      </c>
      <c r="U281" s="45">
        <v>35</v>
      </c>
      <c r="V281" t="s">
        <v>6932</v>
      </c>
      <c r="W281" s="1" t="str">
        <f>HYPERLINK("http://ictvonline.org/taxonomy/p/taxonomy-history?taxnode_id=201908542","ICTVonline=201908542")</f>
        <v>ICTVonline=201908542</v>
      </c>
    </row>
    <row r="282" spans="1:23">
      <c r="A282" s="3">
        <v>281</v>
      </c>
      <c r="B282" s="1" t="s">
        <v>6915</v>
      </c>
      <c r="D282" s="1" t="s">
        <v>6916</v>
      </c>
      <c r="F282" s="1" t="s">
        <v>6920</v>
      </c>
      <c r="H282" s="1" t="s">
        <v>6921</v>
      </c>
      <c r="J282" s="1" t="s">
        <v>1324</v>
      </c>
      <c r="L282" s="1" t="s">
        <v>6928</v>
      </c>
      <c r="M282" s="1" t="s">
        <v>7057</v>
      </c>
      <c r="N282" s="1" t="s">
        <v>7070</v>
      </c>
      <c r="P282" s="1" t="s">
        <v>7071</v>
      </c>
      <c r="Q282" s="3">
        <v>1</v>
      </c>
      <c r="R282" s="22" t="s">
        <v>2721</v>
      </c>
      <c r="S282" s="42" t="s">
        <v>6914</v>
      </c>
      <c r="T282" s="3" t="s">
        <v>4866</v>
      </c>
      <c r="U282" s="45">
        <v>35</v>
      </c>
      <c r="V282" t="s">
        <v>6932</v>
      </c>
      <c r="W282" s="1" t="str">
        <f>HYPERLINK("http://ictvonline.org/taxonomy/p/taxonomy-history?taxnode_id=201908552","ICTVonline=201908552")</f>
        <v>ICTVonline=201908552</v>
      </c>
    </row>
    <row r="283" spans="1:23">
      <c r="A283" s="3">
        <v>282</v>
      </c>
      <c r="B283" s="1" t="s">
        <v>6915</v>
      </c>
      <c r="D283" s="1" t="s">
        <v>6916</v>
      </c>
      <c r="F283" s="1" t="s">
        <v>6920</v>
      </c>
      <c r="H283" s="1" t="s">
        <v>6921</v>
      </c>
      <c r="J283" s="1" t="s">
        <v>1324</v>
      </c>
      <c r="L283" s="1" t="s">
        <v>6928</v>
      </c>
      <c r="M283" s="1" t="s">
        <v>7057</v>
      </c>
      <c r="N283" s="1" t="s">
        <v>7072</v>
      </c>
      <c r="P283" s="1" t="s">
        <v>7073</v>
      </c>
      <c r="Q283" s="3">
        <v>1</v>
      </c>
      <c r="R283" s="22" t="s">
        <v>2721</v>
      </c>
      <c r="S283" s="42" t="s">
        <v>6914</v>
      </c>
      <c r="T283" s="3" t="s">
        <v>4866</v>
      </c>
      <c r="U283" s="45">
        <v>35</v>
      </c>
      <c r="V283" t="s">
        <v>6932</v>
      </c>
      <c r="W283" s="1" t="str">
        <f>HYPERLINK("http://ictvonline.org/taxonomy/p/taxonomy-history?taxnode_id=201908547","ICTVonline=201908547")</f>
        <v>ICTVonline=201908547</v>
      </c>
    </row>
    <row r="284" spans="1:23">
      <c r="A284" s="3">
        <v>283</v>
      </c>
      <c r="B284" s="1" t="s">
        <v>6915</v>
      </c>
      <c r="D284" s="1" t="s">
        <v>6916</v>
      </c>
      <c r="F284" s="1" t="s">
        <v>6920</v>
      </c>
      <c r="H284" s="1" t="s">
        <v>6921</v>
      </c>
      <c r="J284" s="1" t="s">
        <v>1324</v>
      </c>
      <c r="L284" s="1" t="s">
        <v>6928</v>
      </c>
      <c r="M284" s="1" t="s">
        <v>7057</v>
      </c>
      <c r="N284" s="1" t="s">
        <v>7072</v>
      </c>
      <c r="P284" s="1" t="s">
        <v>7074</v>
      </c>
      <c r="Q284" s="3">
        <v>0</v>
      </c>
      <c r="R284" s="22" t="s">
        <v>2721</v>
      </c>
      <c r="S284" s="42" t="s">
        <v>6914</v>
      </c>
      <c r="T284" s="3" t="s">
        <v>4866</v>
      </c>
      <c r="U284" s="45">
        <v>35</v>
      </c>
      <c r="V284" t="s">
        <v>6932</v>
      </c>
      <c r="W284" s="1" t="str">
        <f>HYPERLINK("http://ictvonline.org/taxonomy/p/taxonomy-history?taxnode_id=201908548","ICTVonline=201908548")</f>
        <v>ICTVonline=201908548</v>
      </c>
    </row>
    <row r="285" spans="1:23">
      <c r="A285" s="3">
        <v>284</v>
      </c>
      <c r="B285" s="1" t="s">
        <v>6915</v>
      </c>
      <c r="D285" s="1" t="s">
        <v>6916</v>
      </c>
      <c r="F285" s="1" t="s">
        <v>6920</v>
      </c>
      <c r="H285" s="1" t="s">
        <v>6921</v>
      </c>
      <c r="J285" s="1" t="s">
        <v>1324</v>
      </c>
      <c r="L285" s="1" t="s">
        <v>6928</v>
      </c>
      <c r="M285" s="1" t="s">
        <v>7075</v>
      </c>
      <c r="N285" s="1" t="s">
        <v>7076</v>
      </c>
      <c r="P285" s="1" t="s">
        <v>7077</v>
      </c>
      <c r="Q285" s="3">
        <v>1</v>
      </c>
      <c r="R285" s="22" t="s">
        <v>2721</v>
      </c>
      <c r="S285" s="42" t="s">
        <v>6914</v>
      </c>
      <c r="T285" s="3" t="s">
        <v>4866</v>
      </c>
      <c r="U285" s="45">
        <v>35</v>
      </c>
      <c r="V285" t="s">
        <v>6932</v>
      </c>
      <c r="W285" s="1" t="str">
        <f>HYPERLINK("http://ictvonline.org/taxonomy/p/taxonomy-history?taxnode_id=201908380","ICTVonline=201908380")</f>
        <v>ICTVonline=201908380</v>
      </c>
    </row>
    <row r="286" spans="1:23">
      <c r="A286" s="3">
        <v>285</v>
      </c>
      <c r="B286" s="1" t="s">
        <v>6915</v>
      </c>
      <c r="D286" s="1" t="s">
        <v>6916</v>
      </c>
      <c r="F286" s="1" t="s">
        <v>6920</v>
      </c>
      <c r="H286" s="1" t="s">
        <v>6921</v>
      </c>
      <c r="J286" s="1" t="s">
        <v>1324</v>
      </c>
      <c r="L286" s="1" t="s">
        <v>6928</v>
      </c>
      <c r="M286" s="1" t="s">
        <v>7075</v>
      </c>
      <c r="N286" s="1" t="s">
        <v>7076</v>
      </c>
      <c r="P286" s="1" t="s">
        <v>7078</v>
      </c>
      <c r="Q286" s="3">
        <v>0</v>
      </c>
      <c r="R286" s="22" t="s">
        <v>2721</v>
      </c>
      <c r="S286" s="42" t="s">
        <v>6914</v>
      </c>
      <c r="T286" s="3" t="s">
        <v>4866</v>
      </c>
      <c r="U286" s="45">
        <v>35</v>
      </c>
      <c r="V286" t="s">
        <v>6932</v>
      </c>
      <c r="W286" s="1" t="str">
        <f>HYPERLINK("http://ictvonline.org/taxonomy/p/taxonomy-history?taxnode_id=201908381","ICTVonline=201908381")</f>
        <v>ICTVonline=201908381</v>
      </c>
    </row>
    <row r="287" spans="1:23">
      <c r="A287" s="3">
        <v>286</v>
      </c>
      <c r="B287" s="1" t="s">
        <v>6915</v>
      </c>
      <c r="D287" s="1" t="s">
        <v>6916</v>
      </c>
      <c r="F287" s="1" t="s">
        <v>6920</v>
      </c>
      <c r="H287" s="1" t="s">
        <v>6921</v>
      </c>
      <c r="J287" s="1" t="s">
        <v>1324</v>
      </c>
      <c r="L287" s="1" t="s">
        <v>6928</v>
      </c>
      <c r="M287" s="1" t="s">
        <v>7075</v>
      </c>
      <c r="N287" s="1" t="s">
        <v>7076</v>
      </c>
      <c r="P287" s="1" t="s">
        <v>7079</v>
      </c>
      <c r="Q287" s="3">
        <v>0</v>
      </c>
      <c r="R287" s="22" t="s">
        <v>2721</v>
      </c>
      <c r="S287" s="42" t="s">
        <v>6914</v>
      </c>
      <c r="T287" s="3" t="s">
        <v>4866</v>
      </c>
      <c r="U287" s="45">
        <v>35</v>
      </c>
      <c r="V287" t="s">
        <v>6932</v>
      </c>
      <c r="W287" s="1" t="str">
        <f>HYPERLINK("http://ictvonline.org/taxonomy/p/taxonomy-history?taxnode_id=201908382","ICTVonline=201908382")</f>
        <v>ICTVonline=201908382</v>
      </c>
    </row>
    <row r="288" spans="1:23">
      <c r="A288" s="3">
        <v>287</v>
      </c>
      <c r="B288" s="1" t="s">
        <v>6915</v>
      </c>
      <c r="D288" s="1" t="s">
        <v>6916</v>
      </c>
      <c r="F288" s="1" t="s">
        <v>6920</v>
      </c>
      <c r="H288" s="1" t="s">
        <v>6921</v>
      </c>
      <c r="J288" s="1" t="s">
        <v>1324</v>
      </c>
      <c r="L288" s="1" t="s">
        <v>6928</v>
      </c>
      <c r="M288" s="1" t="s">
        <v>7075</v>
      </c>
      <c r="N288" s="1" t="s">
        <v>7076</v>
      </c>
      <c r="P288" s="1" t="s">
        <v>7080</v>
      </c>
      <c r="Q288" s="3">
        <v>0</v>
      </c>
      <c r="R288" s="22" t="s">
        <v>2721</v>
      </c>
      <c r="S288" s="42" t="s">
        <v>6914</v>
      </c>
      <c r="T288" s="3" t="s">
        <v>4866</v>
      </c>
      <c r="U288" s="45">
        <v>35</v>
      </c>
      <c r="V288" t="s">
        <v>6932</v>
      </c>
      <c r="W288" s="1" t="str">
        <f>HYPERLINK("http://ictvonline.org/taxonomy/p/taxonomy-history?taxnode_id=201908383","ICTVonline=201908383")</f>
        <v>ICTVonline=201908383</v>
      </c>
    </row>
    <row r="289" spans="1:23">
      <c r="A289" s="3">
        <v>288</v>
      </c>
      <c r="B289" s="1" t="s">
        <v>6915</v>
      </c>
      <c r="D289" s="1" t="s">
        <v>6916</v>
      </c>
      <c r="F289" s="1" t="s">
        <v>6920</v>
      </c>
      <c r="H289" s="1" t="s">
        <v>6921</v>
      </c>
      <c r="J289" s="1" t="s">
        <v>1324</v>
      </c>
      <c r="L289" s="1" t="s">
        <v>6928</v>
      </c>
      <c r="M289" s="1" t="s">
        <v>7075</v>
      </c>
      <c r="N289" s="1" t="s">
        <v>7081</v>
      </c>
      <c r="P289" s="1" t="s">
        <v>7082</v>
      </c>
      <c r="Q289" s="3">
        <v>1</v>
      </c>
      <c r="R289" s="22" t="s">
        <v>2721</v>
      </c>
      <c r="S289" s="42" t="s">
        <v>6914</v>
      </c>
      <c r="T289" s="3" t="s">
        <v>4866</v>
      </c>
      <c r="U289" s="45">
        <v>35</v>
      </c>
      <c r="V289" t="s">
        <v>6932</v>
      </c>
      <c r="W289" s="1" t="str">
        <f>HYPERLINK("http://ictvonline.org/taxonomy/p/taxonomy-history?taxnode_id=201908429","ICTVonline=201908429")</f>
        <v>ICTVonline=201908429</v>
      </c>
    </row>
    <row r="290" spans="1:23">
      <c r="A290" s="3">
        <v>289</v>
      </c>
      <c r="B290" s="1" t="s">
        <v>6915</v>
      </c>
      <c r="D290" s="1" t="s">
        <v>6916</v>
      </c>
      <c r="F290" s="1" t="s">
        <v>6920</v>
      </c>
      <c r="H290" s="1" t="s">
        <v>6921</v>
      </c>
      <c r="J290" s="1" t="s">
        <v>1324</v>
      </c>
      <c r="L290" s="1" t="s">
        <v>6928</v>
      </c>
      <c r="M290" s="1" t="s">
        <v>7075</v>
      </c>
      <c r="N290" s="1" t="s">
        <v>7083</v>
      </c>
      <c r="P290" s="1" t="s">
        <v>7084</v>
      </c>
      <c r="Q290" s="3">
        <v>0</v>
      </c>
      <c r="R290" s="22" t="s">
        <v>2721</v>
      </c>
      <c r="S290" s="42" t="s">
        <v>6914</v>
      </c>
      <c r="T290" s="3" t="s">
        <v>4866</v>
      </c>
      <c r="U290" s="45">
        <v>35</v>
      </c>
      <c r="V290" t="s">
        <v>6932</v>
      </c>
      <c r="W290" s="1" t="str">
        <f>HYPERLINK("http://ictvonline.org/taxonomy/p/taxonomy-history?taxnode_id=201908393","ICTVonline=201908393")</f>
        <v>ICTVonline=201908393</v>
      </c>
    </row>
    <row r="291" spans="1:23">
      <c r="A291" s="3">
        <v>290</v>
      </c>
      <c r="B291" s="1" t="s">
        <v>6915</v>
      </c>
      <c r="D291" s="1" t="s">
        <v>6916</v>
      </c>
      <c r="F291" s="1" t="s">
        <v>6920</v>
      </c>
      <c r="H291" s="1" t="s">
        <v>6921</v>
      </c>
      <c r="J291" s="1" t="s">
        <v>1324</v>
      </c>
      <c r="L291" s="1" t="s">
        <v>6928</v>
      </c>
      <c r="M291" s="1" t="s">
        <v>7075</v>
      </c>
      <c r="N291" s="1" t="s">
        <v>7083</v>
      </c>
      <c r="P291" s="1" t="s">
        <v>7085</v>
      </c>
      <c r="Q291" s="3">
        <v>0</v>
      </c>
      <c r="R291" s="22" t="s">
        <v>2721</v>
      </c>
      <c r="S291" s="42" t="s">
        <v>6914</v>
      </c>
      <c r="T291" s="3" t="s">
        <v>4866</v>
      </c>
      <c r="U291" s="45">
        <v>35</v>
      </c>
      <c r="V291" t="s">
        <v>6932</v>
      </c>
      <c r="W291" s="1" t="str">
        <f>HYPERLINK("http://ictvonline.org/taxonomy/p/taxonomy-history?taxnode_id=201908391","ICTVonline=201908391")</f>
        <v>ICTVonline=201908391</v>
      </c>
    </row>
    <row r="292" spans="1:23">
      <c r="A292" s="3">
        <v>291</v>
      </c>
      <c r="B292" s="1" t="s">
        <v>6915</v>
      </c>
      <c r="D292" s="1" t="s">
        <v>6916</v>
      </c>
      <c r="F292" s="1" t="s">
        <v>6920</v>
      </c>
      <c r="H292" s="1" t="s">
        <v>6921</v>
      </c>
      <c r="J292" s="1" t="s">
        <v>1324</v>
      </c>
      <c r="L292" s="1" t="s">
        <v>6928</v>
      </c>
      <c r="M292" s="1" t="s">
        <v>7075</v>
      </c>
      <c r="N292" s="1" t="s">
        <v>7083</v>
      </c>
      <c r="P292" s="1" t="s">
        <v>7086</v>
      </c>
      <c r="Q292" s="3">
        <v>0</v>
      </c>
      <c r="R292" s="22" t="s">
        <v>2721</v>
      </c>
      <c r="S292" s="42" t="s">
        <v>6914</v>
      </c>
      <c r="T292" s="3" t="s">
        <v>4866</v>
      </c>
      <c r="U292" s="45">
        <v>35</v>
      </c>
      <c r="V292" t="s">
        <v>6932</v>
      </c>
      <c r="W292" s="1" t="str">
        <f>HYPERLINK("http://ictvonline.org/taxonomy/p/taxonomy-history?taxnode_id=201908390","ICTVonline=201908390")</f>
        <v>ICTVonline=201908390</v>
      </c>
    </row>
    <row r="293" spans="1:23">
      <c r="A293" s="3">
        <v>292</v>
      </c>
      <c r="B293" s="1" t="s">
        <v>6915</v>
      </c>
      <c r="D293" s="1" t="s">
        <v>6916</v>
      </c>
      <c r="F293" s="1" t="s">
        <v>6920</v>
      </c>
      <c r="H293" s="1" t="s">
        <v>6921</v>
      </c>
      <c r="J293" s="1" t="s">
        <v>1324</v>
      </c>
      <c r="L293" s="1" t="s">
        <v>6928</v>
      </c>
      <c r="M293" s="1" t="s">
        <v>7075</v>
      </c>
      <c r="N293" s="1" t="s">
        <v>7083</v>
      </c>
      <c r="P293" s="1" t="s">
        <v>7087</v>
      </c>
      <c r="Q293" s="3">
        <v>0</v>
      </c>
      <c r="R293" s="22" t="s">
        <v>2721</v>
      </c>
      <c r="S293" s="42" t="s">
        <v>6914</v>
      </c>
      <c r="T293" s="3" t="s">
        <v>4866</v>
      </c>
      <c r="U293" s="45">
        <v>35</v>
      </c>
      <c r="V293" t="s">
        <v>6932</v>
      </c>
      <c r="W293" s="1" t="str">
        <f>HYPERLINK("http://ictvonline.org/taxonomy/p/taxonomy-history?taxnode_id=201908395","ICTVonline=201908395")</f>
        <v>ICTVonline=201908395</v>
      </c>
    </row>
    <row r="294" spans="1:23">
      <c r="A294" s="3">
        <v>293</v>
      </c>
      <c r="B294" s="1" t="s">
        <v>6915</v>
      </c>
      <c r="D294" s="1" t="s">
        <v>6916</v>
      </c>
      <c r="F294" s="1" t="s">
        <v>6920</v>
      </c>
      <c r="H294" s="1" t="s">
        <v>6921</v>
      </c>
      <c r="J294" s="1" t="s">
        <v>1324</v>
      </c>
      <c r="L294" s="1" t="s">
        <v>6928</v>
      </c>
      <c r="M294" s="1" t="s">
        <v>7075</v>
      </c>
      <c r="N294" s="1" t="s">
        <v>7083</v>
      </c>
      <c r="P294" s="1" t="s">
        <v>7088</v>
      </c>
      <c r="Q294" s="3">
        <v>0</v>
      </c>
      <c r="R294" s="22" t="s">
        <v>2721</v>
      </c>
      <c r="S294" s="42" t="s">
        <v>6914</v>
      </c>
      <c r="T294" s="3" t="s">
        <v>4866</v>
      </c>
      <c r="U294" s="45">
        <v>35</v>
      </c>
      <c r="V294" t="s">
        <v>6932</v>
      </c>
      <c r="W294" s="1" t="str">
        <f>HYPERLINK("http://ictvonline.org/taxonomy/p/taxonomy-history?taxnode_id=201908396","ICTVonline=201908396")</f>
        <v>ICTVonline=201908396</v>
      </c>
    </row>
    <row r="295" spans="1:23">
      <c r="A295" s="3">
        <v>294</v>
      </c>
      <c r="B295" s="1" t="s">
        <v>6915</v>
      </c>
      <c r="D295" s="1" t="s">
        <v>6916</v>
      </c>
      <c r="F295" s="1" t="s">
        <v>6920</v>
      </c>
      <c r="H295" s="1" t="s">
        <v>6921</v>
      </c>
      <c r="J295" s="1" t="s">
        <v>1324</v>
      </c>
      <c r="L295" s="1" t="s">
        <v>6928</v>
      </c>
      <c r="M295" s="1" t="s">
        <v>7075</v>
      </c>
      <c r="N295" s="1" t="s">
        <v>7083</v>
      </c>
      <c r="P295" s="1" t="s">
        <v>7089</v>
      </c>
      <c r="Q295" s="3">
        <v>0</v>
      </c>
      <c r="R295" s="22" t="s">
        <v>2721</v>
      </c>
      <c r="S295" s="42" t="s">
        <v>6914</v>
      </c>
      <c r="T295" s="3" t="s">
        <v>4866</v>
      </c>
      <c r="U295" s="45">
        <v>35</v>
      </c>
      <c r="V295" t="s">
        <v>6932</v>
      </c>
      <c r="W295" s="1" t="str">
        <f>HYPERLINK("http://ictvonline.org/taxonomy/p/taxonomy-history?taxnode_id=201908399","ICTVonline=201908399")</f>
        <v>ICTVonline=201908399</v>
      </c>
    </row>
    <row r="296" spans="1:23">
      <c r="A296" s="3">
        <v>295</v>
      </c>
      <c r="B296" s="1" t="s">
        <v>6915</v>
      </c>
      <c r="D296" s="1" t="s">
        <v>6916</v>
      </c>
      <c r="F296" s="1" t="s">
        <v>6920</v>
      </c>
      <c r="H296" s="1" t="s">
        <v>6921</v>
      </c>
      <c r="J296" s="1" t="s">
        <v>1324</v>
      </c>
      <c r="L296" s="1" t="s">
        <v>6928</v>
      </c>
      <c r="M296" s="1" t="s">
        <v>7075</v>
      </c>
      <c r="N296" s="1" t="s">
        <v>7083</v>
      </c>
      <c r="P296" s="1" t="s">
        <v>2958</v>
      </c>
      <c r="Q296" s="3">
        <v>0</v>
      </c>
      <c r="R296" s="22" t="s">
        <v>2721</v>
      </c>
      <c r="S296" s="42" t="s">
        <v>6914</v>
      </c>
      <c r="T296" s="3" t="s">
        <v>4868</v>
      </c>
      <c r="U296" s="45">
        <v>35</v>
      </c>
      <c r="V296" t="s">
        <v>6932</v>
      </c>
      <c r="W296" s="1" t="str">
        <f>HYPERLINK("http://ictvonline.org/taxonomy/p/taxonomy-history?taxnode_id=201900584","ICTVonline=201900584")</f>
        <v>ICTVonline=201900584</v>
      </c>
    </row>
    <row r="297" spans="1:23">
      <c r="A297" s="3">
        <v>296</v>
      </c>
      <c r="B297" s="1" t="s">
        <v>6915</v>
      </c>
      <c r="D297" s="1" t="s">
        <v>6916</v>
      </c>
      <c r="F297" s="1" t="s">
        <v>6920</v>
      </c>
      <c r="H297" s="1" t="s">
        <v>6921</v>
      </c>
      <c r="J297" s="1" t="s">
        <v>1324</v>
      </c>
      <c r="L297" s="1" t="s">
        <v>6928</v>
      </c>
      <c r="M297" s="1" t="s">
        <v>7075</v>
      </c>
      <c r="N297" s="1" t="s">
        <v>7083</v>
      </c>
      <c r="P297" s="1" t="s">
        <v>7090</v>
      </c>
      <c r="Q297" s="3">
        <v>0</v>
      </c>
      <c r="R297" s="22" t="s">
        <v>2721</v>
      </c>
      <c r="S297" s="42" t="s">
        <v>6914</v>
      </c>
      <c r="T297" s="3" t="s">
        <v>4866</v>
      </c>
      <c r="U297" s="45">
        <v>35</v>
      </c>
      <c r="V297" t="s">
        <v>6932</v>
      </c>
      <c r="W297" s="1" t="str">
        <f>HYPERLINK("http://ictvonline.org/taxonomy/p/taxonomy-history?taxnode_id=201908397","ICTVonline=201908397")</f>
        <v>ICTVonline=201908397</v>
      </c>
    </row>
    <row r="298" spans="1:23">
      <c r="A298" s="3">
        <v>297</v>
      </c>
      <c r="B298" s="1" t="s">
        <v>6915</v>
      </c>
      <c r="D298" s="1" t="s">
        <v>6916</v>
      </c>
      <c r="F298" s="1" t="s">
        <v>6920</v>
      </c>
      <c r="H298" s="1" t="s">
        <v>6921</v>
      </c>
      <c r="J298" s="1" t="s">
        <v>1324</v>
      </c>
      <c r="L298" s="1" t="s">
        <v>6928</v>
      </c>
      <c r="M298" s="1" t="s">
        <v>7075</v>
      </c>
      <c r="N298" s="1" t="s">
        <v>7083</v>
      </c>
      <c r="P298" s="1" t="s">
        <v>7091</v>
      </c>
      <c r="Q298" s="3">
        <v>0</v>
      </c>
      <c r="R298" s="22" t="s">
        <v>2721</v>
      </c>
      <c r="S298" s="42" t="s">
        <v>6914</v>
      </c>
      <c r="T298" s="3" t="s">
        <v>4866</v>
      </c>
      <c r="U298" s="45">
        <v>35</v>
      </c>
      <c r="V298" t="s">
        <v>6932</v>
      </c>
      <c r="W298" s="1" t="str">
        <f>HYPERLINK("http://ictvonline.org/taxonomy/p/taxonomy-history?taxnode_id=201908394","ICTVonline=201908394")</f>
        <v>ICTVonline=201908394</v>
      </c>
    </row>
    <row r="299" spans="1:23">
      <c r="A299" s="3">
        <v>298</v>
      </c>
      <c r="B299" s="1" t="s">
        <v>6915</v>
      </c>
      <c r="D299" s="1" t="s">
        <v>6916</v>
      </c>
      <c r="F299" s="1" t="s">
        <v>6920</v>
      </c>
      <c r="H299" s="1" t="s">
        <v>6921</v>
      </c>
      <c r="J299" s="1" t="s">
        <v>1324</v>
      </c>
      <c r="L299" s="1" t="s">
        <v>6928</v>
      </c>
      <c r="M299" s="1" t="s">
        <v>7075</v>
      </c>
      <c r="N299" s="1" t="s">
        <v>7083</v>
      </c>
      <c r="P299" s="1" t="s">
        <v>7092</v>
      </c>
      <c r="Q299" s="3">
        <v>0</v>
      </c>
      <c r="R299" s="22" t="s">
        <v>2721</v>
      </c>
      <c r="S299" s="42" t="s">
        <v>6914</v>
      </c>
      <c r="T299" s="3" t="s">
        <v>4866</v>
      </c>
      <c r="U299" s="45">
        <v>35</v>
      </c>
      <c r="V299" t="s">
        <v>6932</v>
      </c>
      <c r="W299" s="1" t="str">
        <f>HYPERLINK("http://ictvonline.org/taxonomy/p/taxonomy-history?taxnode_id=201908398","ICTVonline=201908398")</f>
        <v>ICTVonline=201908398</v>
      </c>
    </row>
    <row r="300" spans="1:23">
      <c r="A300" s="3">
        <v>299</v>
      </c>
      <c r="B300" s="1" t="s">
        <v>6915</v>
      </c>
      <c r="D300" s="1" t="s">
        <v>6916</v>
      </c>
      <c r="F300" s="1" t="s">
        <v>6920</v>
      </c>
      <c r="H300" s="1" t="s">
        <v>6921</v>
      </c>
      <c r="J300" s="1" t="s">
        <v>1324</v>
      </c>
      <c r="L300" s="1" t="s">
        <v>6928</v>
      </c>
      <c r="M300" s="1" t="s">
        <v>7075</v>
      </c>
      <c r="N300" s="1" t="s">
        <v>7083</v>
      </c>
      <c r="P300" s="1" t="s">
        <v>7093</v>
      </c>
      <c r="Q300" s="3">
        <v>0</v>
      </c>
      <c r="R300" s="22" t="s">
        <v>2721</v>
      </c>
      <c r="S300" s="42" t="s">
        <v>6914</v>
      </c>
      <c r="T300" s="3" t="s">
        <v>4866</v>
      </c>
      <c r="U300" s="45">
        <v>35</v>
      </c>
      <c r="V300" t="s">
        <v>6932</v>
      </c>
      <c r="W300" s="1" t="str">
        <f>HYPERLINK("http://ictvonline.org/taxonomy/p/taxonomy-history?taxnode_id=201908401","ICTVonline=201908401")</f>
        <v>ICTVonline=201908401</v>
      </c>
    </row>
    <row r="301" spans="1:23">
      <c r="A301" s="3">
        <v>300</v>
      </c>
      <c r="B301" s="1" t="s">
        <v>6915</v>
      </c>
      <c r="D301" s="1" t="s">
        <v>6916</v>
      </c>
      <c r="F301" s="1" t="s">
        <v>6920</v>
      </c>
      <c r="H301" s="1" t="s">
        <v>6921</v>
      </c>
      <c r="J301" s="1" t="s">
        <v>1324</v>
      </c>
      <c r="L301" s="1" t="s">
        <v>6928</v>
      </c>
      <c r="M301" s="1" t="s">
        <v>7075</v>
      </c>
      <c r="N301" s="1" t="s">
        <v>7083</v>
      </c>
      <c r="P301" s="1" t="s">
        <v>7094</v>
      </c>
      <c r="Q301" s="3">
        <v>1</v>
      </c>
      <c r="R301" s="22" t="s">
        <v>2721</v>
      </c>
      <c r="S301" s="42" t="s">
        <v>6914</v>
      </c>
      <c r="T301" s="3" t="s">
        <v>4866</v>
      </c>
      <c r="U301" s="45">
        <v>35</v>
      </c>
      <c r="V301" t="s">
        <v>6932</v>
      </c>
      <c r="W301" s="1" t="str">
        <f>HYPERLINK("http://ictvonline.org/taxonomy/p/taxonomy-history?taxnode_id=201908388","ICTVonline=201908388")</f>
        <v>ICTVonline=201908388</v>
      </c>
    </row>
    <row r="302" spans="1:23">
      <c r="A302" s="3">
        <v>301</v>
      </c>
      <c r="B302" s="1" t="s">
        <v>6915</v>
      </c>
      <c r="D302" s="1" t="s">
        <v>6916</v>
      </c>
      <c r="F302" s="1" t="s">
        <v>6920</v>
      </c>
      <c r="H302" s="1" t="s">
        <v>6921</v>
      </c>
      <c r="J302" s="1" t="s">
        <v>1324</v>
      </c>
      <c r="L302" s="1" t="s">
        <v>6928</v>
      </c>
      <c r="M302" s="1" t="s">
        <v>7075</v>
      </c>
      <c r="N302" s="1" t="s">
        <v>7083</v>
      </c>
      <c r="P302" s="1" t="s">
        <v>7095</v>
      </c>
      <c r="Q302" s="3">
        <v>0</v>
      </c>
      <c r="R302" s="22" t="s">
        <v>2721</v>
      </c>
      <c r="S302" s="42" t="s">
        <v>6914</v>
      </c>
      <c r="T302" s="3" t="s">
        <v>4866</v>
      </c>
      <c r="U302" s="45">
        <v>35</v>
      </c>
      <c r="V302" t="s">
        <v>6932</v>
      </c>
      <c r="W302" s="1" t="str">
        <f>HYPERLINK("http://ictvonline.org/taxonomy/p/taxonomy-history?taxnode_id=201908400","ICTVonline=201908400")</f>
        <v>ICTVonline=201908400</v>
      </c>
    </row>
    <row r="303" spans="1:23">
      <c r="A303" s="3">
        <v>302</v>
      </c>
      <c r="B303" s="1" t="s">
        <v>6915</v>
      </c>
      <c r="D303" s="1" t="s">
        <v>6916</v>
      </c>
      <c r="F303" s="1" t="s">
        <v>6920</v>
      </c>
      <c r="H303" s="1" t="s">
        <v>6921</v>
      </c>
      <c r="J303" s="1" t="s">
        <v>1324</v>
      </c>
      <c r="L303" s="1" t="s">
        <v>6928</v>
      </c>
      <c r="M303" s="1" t="s">
        <v>7075</v>
      </c>
      <c r="N303" s="1" t="s">
        <v>7083</v>
      </c>
      <c r="P303" s="1" t="s">
        <v>7096</v>
      </c>
      <c r="Q303" s="3">
        <v>0</v>
      </c>
      <c r="R303" s="22" t="s">
        <v>2721</v>
      </c>
      <c r="S303" s="42" t="s">
        <v>6914</v>
      </c>
      <c r="T303" s="3" t="s">
        <v>4866</v>
      </c>
      <c r="U303" s="45">
        <v>35</v>
      </c>
      <c r="V303" t="s">
        <v>6932</v>
      </c>
      <c r="W303" s="1" t="str">
        <f>HYPERLINK("http://ictvonline.org/taxonomy/p/taxonomy-history?taxnode_id=201908389","ICTVonline=201908389")</f>
        <v>ICTVonline=201908389</v>
      </c>
    </row>
    <row r="304" spans="1:23">
      <c r="A304" s="3">
        <v>303</v>
      </c>
      <c r="B304" s="1" t="s">
        <v>6915</v>
      </c>
      <c r="D304" s="1" t="s">
        <v>6916</v>
      </c>
      <c r="F304" s="1" t="s">
        <v>6920</v>
      </c>
      <c r="H304" s="1" t="s">
        <v>6921</v>
      </c>
      <c r="J304" s="1" t="s">
        <v>1324</v>
      </c>
      <c r="L304" s="1" t="s">
        <v>6928</v>
      </c>
      <c r="M304" s="1" t="s">
        <v>7075</v>
      </c>
      <c r="N304" s="1" t="s">
        <v>7083</v>
      </c>
      <c r="P304" s="1" t="s">
        <v>7097</v>
      </c>
      <c r="Q304" s="3">
        <v>0</v>
      </c>
      <c r="R304" s="22" t="s">
        <v>2721</v>
      </c>
      <c r="S304" s="42" t="s">
        <v>6914</v>
      </c>
      <c r="T304" s="3" t="s">
        <v>4866</v>
      </c>
      <c r="U304" s="45">
        <v>35</v>
      </c>
      <c r="V304" t="s">
        <v>6932</v>
      </c>
      <c r="W304" s="1" t="str">
        <f>HYPERLINK("http://ictvonline.org/taxonomy/p/taxonomy-history?taxnode_id=201908392","ICTVonline=201908392")</f>
        <v>ICTVonline=201908392</v>
      </c>
    </row>
    <row r="305" spans="1:23">
      <c r="A305" s="3">
        <v>304</v>
      </c>
      <c r="B305" s="1" t="s">
        <v>6915</v>
      </c>
      <c r="D305" s="1" t="s">
        <v>6916</v>
      </c>
      <c r="F305" s="1" t="s">
        <v>6920</v>
      </c>
      <c r="H305" s="1" t="s">
        <v>6921</v>
      </c>
      <c r="J305" s="1" t="s">
        <v>1324</v>
      </c>
      <c r="L305" s="1" t="s">
        <v>6928</v>
      </c>
      <c r="M305" s="1" t="s">
        <v>7075</v>
      </c>
      <c r="N305" s="1" t="s">
        <v>7098</v>
      </c>
      <c r="P305" s="1" t="s">
        <v>7099</v>
      </c>
      <c r="Q305" s="3">
        <v>1</v>
      </c>
      <c r="R305" s="22" t="s">
        <v>2721</v>
      </c>
      <c r="S305" s="42" t="s">
        <v>6914</v>
      </c>
      <c r="T305" s="3" t="s">
        <v>4866</v>
      </c>
      <c r="U305" s="45">
        <v>35</v>
      </c>
      <c r="V305" t="s">
        <v>6932</v>
      </c>
      <c r="W305" s="1" t="str">
        <f>HYPERLINK("http://ictvonline.org/taxonomy/p/taxonomy-history?taxnode_id=201908454","ICTVonline=201908454")</f>
        <v>ICTVonline=201908454</v>
      </c>
    </row>
    <row r="306" spans="1:23">
      <c r="A306" s="3">
        <v>305</v>
      </c>
      <c r="B306" s="1" t="s">
        <v>6915</v>
      </c>
      <c r="D306" s="1" t="s">
        <v>6916</v>
      </c>
      <c r="F306" s="1" t="s">
        <v>6920</v>
      </c>
      <c r="H306" s="1" t="s">
        <v>6921</v>
      </c>
      <c r="J306" s="1" t="s">
        <v>1324</v>
      </c>
      <c r="L306" s="1" t="s">
        <v>6928</v>
      </c>
      <c r="M306" s="1" t="s">
        <v>7075</v>
      </c>
      <c r="N306" s="1" t="s">
        <v>7100</v>
      </c>
      <c r="P306" s="1" t="s">
        <v>7101</v>
      </c>
      <c r="Q306" s="3">
        <v>0</v>
      </c>
      <c r="R306" s="22" t="s">
        <v>2721</v>
      </c>
      <c r="S306" s="42" t="s">
        <v>6914</v>
      </c>
      <c r="T306" s="3" t="s">
        <v>4866</v>
      </c>
      <c r="U306" s="45">
        <v>35</v>
      </c>
      <c r="V306" t="s">
        <v>6932</v>
      </c>
      <c r="W306" s="1" t="str">
        <f>HYPERLINK("http://ictvonline.org/taxonomy/p/taxonomy-history?taxnode_id=201908496","ICTVonline=201908496")</f>
        <v>ICTVonline=201908496</v>
      </c>
    </row>
    <row r="307" spans="1:23">
      <c r="A307" s="3">
        <v>306</v>
      </c>
      <c r="B307" s="1" t="s">
        <v>6915</v>
      </c>
      <c r="D307" s="1" t="s">
        <v>6916</v>
      </c>
      <c r="F307" s="1" t="s">
        <v>6920</v>
      </c>
      <c r="H307" s="1" t="s">
        <v>6921</v>
      </c>
      <c r="J307" s="1" t="s">
        <v>1324</v>
      </c>
      <c r="L307" s="1" t="s">
        <v>6928</v>
      </c>
      <c r="M307" s="1" t="s">
        <v>7075</v>
      </c>
      <c r="N307" s="1" t="s">
        <v>7100</v>
      </c>
      <c r="P307" s="1" t="s">
        <v>7102</v>
      </c>
      <c r="Q307" s="3">
        <v>1</v>
      </c>
      <c r="R307" s="22" t="s">
        <v>2721</v>
      </c>
      <c r="S307" s="42" t="s">
        <v>6914</v>
      </c>
      <c r="T307" s="3" t="s">
        <v>4866</v>
      </c>
      <c r="U307" s="45">
        <v>35</v>
      </c>
      <c r="V307" t="s">
        <v>6932</v>
      </c>
      <c r="W307" s="1" t="str">
        <f>HYPERLINK("http://ictvonline.org/taxonomy/p/taxonomy-history?taxnode_id=201908495","ICTVonline=201908495")</f>
        <v>ICTVonline=201908495</v>
      </c>
    </row>
    <row r="308" spans="1:23">
      <c r="A308" s="3">
        <v>307</v>
      </c>
      <c r="B308" s="1" t="s">
        <v>6915</v>
      </c>
      <c r="D308" s="1" t="s">
        <v>6916</v>
      </c>
      <c r="F308" s="1" t="s">
        <v>6920</v>
      </c>
      <c r="H308" s="1" t="s">
        <v>6921</v>
      </c>
      <c r="J308" s="1" t="s">
        <v>1324</v>
      </c>
      <c r="L308" s="1" t="s">
        <v>6928</v>
      </c>
      <c r="M308" s="1" t="s">
        <v>7075</v>
      </c>
      <c r="N308" s="1" t="s">
        <v>7100</v>
      </c>
      <c r="P308" s="1" t="s">
        <v>7103</v>
      </c>
      <c r="Q308" s="3">
        <v>0</v>
      </c>
      <c r="R308" s="22" t="s">
        <v>2721</v>
      </c>
      <c r="S308" s="42" t="s">
        <v>6914</v>
      </c>
      <c r="T308" s="3" t="s">
        <v>4866</v>
      </c>
      <c r="U308" s="45">
        <v>35</v>
      </c>
      <c r="V308" t="s">
        <v>6932</v>
      </c>
      <c r="W308" s="1" t="str">
        <f>HYPERLINK("http://ictvonline.org/taxonomy/p/taxonomy-history?taxnode_id=201908497","ICTVonline=201908497")</f>
        <v>ICTVonline=201908497</v>
      </c>
    </row>
    <row r="309" spans="1:23">
      <c r="A309" s="3">
        <v>308</v>
      </c>
      <c r="B309" s="1" t="s">
        <v>6915</v>
      </c>
      <c r="D309" s="1" t="s">
        <v>6916</v>
      </c>
      <c r="F309" s="1" t="s">
        <v>6920</v>
      </c>
      <c r="H309" s="1" t="s">
        <v>6921</v>
      </c>
      <c r="J309" s="1" t="s">
        <v>1324</v>
      </c>
      <c r="L309" s="1" t="s">
        <v>6928</v>
      </c>
      <c r="M309" s="1" t="s">
        <v>7075</v>
      </c>
      <c r="N309" s="1" t="s">
        <v>7104</v>
      </c>
      <c r="P309" s="1" t="s">
        <v>7105</v>
      </c>
      <c r="Q309" s="3">
        <v>1</v>
      </c>
      <c r="R309" s="22" t="s">
        <v>2721</v>
      </c>
      <c r="S309" s="42" t="s">
        <v>6914</v>
      </c>
      <c r="T309" s="3" t="s">
        <v>4866</v>
      </c>
      <c r="U309" s="45">
        <v>35</v>
      </c>
      <c r="V309" t="s">
        <v>6932</v>
      </c>
      <c r="W309" s="1" t="str">
        <f>HYPERLINK("http://ictvonline.org/taxonomy/p/taxonomy-history?taxnode_id=201908425","ICTVonline=201908425")</f>
        <v>ICTVonline=201908425</v>
      </c>
    </row>
    <row r="310" spans="1:23">
      <c r="A310" s="3">
        <v>309</v>
      </c>
      <c r="B310" s="1" t="s">
        <v>6915</v>
      </c>
      <c r="D310" s="1" t="s">
        <v>6916</v>
      </c>
      <c r="F310" s="1" t="s">
        <v>6920</v>
      </c>
      <c r="H310" s="1" t="s">
        <v>6921</v>
      </c>
      <c r="J310" s="1" t="s">
        <v>1324</v>
      </c>
      <c r="L310" s="1" t="s">
        <v>6928</v>
      </c>
      <c r="M310" s="1" t="s">
        <v>7075</v>
      </c>
      <c r="N310" s="1" t="s">
        <v>7106</v>
      </c>
      <c r="P310" s="1" t="s">
        <v>7107</v>
      </c>
      <c r="Q310" s="3">
        <v>1</v>
      </c>
      <c r="R310" s="22" t="s">
        <v>2721</v>
      </c>
      <c r="S310" s="42" t="s">
        <v>6914</v>
      </c>
      <c r="T310" s="3" t="s">
        <v>4866</v>
      </c>
      <c r="U310" s="45">
        <v>35</v>
      </c>
      <c r="V310" t="s">
        <v>6932</v>
      </c>
      <c r="W310" s="1" t="str">
        <f>HYPERLINK("http://ictvonline.org/taxonomy/p/taxonomy-history?taxnode_id=201908423","ICTVonline=201908423")</f>
        <v>ICTVonline=201908423</v>
      </c>
    </row>
    <row r="311" spans="1:23">
      <c r="A311" s="3">
        <v>310</v>
      </c>
      <c r="B311" s="1" t="s">
        <v>6915</v>
      </c>
      <c r="D311" s="1" t="s">
        <v>6916</v>
      </c>
      <c r="F311" s="1" t="s">
        <v>6920</v>
      </c>
      <c r="H311" s="1" t="s">
        <v>6921</v>
      </c>
      <c r="J311" s="1" t="s">
        <v>1324</v>
      </c>
      <c r="L311" s="1" t="s">
        <v>6928</v>
      </c>
      <c r="M311" s="1" t="s">
        <v>7075</v>
      </c>
      <c r="N311" s="1" t="s">
        <v>7108</v>
      </c>
      <c r="P311" s="1" t="s">
        <v>7109</v>
      </c>
      <c r="Q311" s="3">
        <v>1</v>
      </c>
      <c r="R311" s="22" t="s">
        <v>2721</v>
      </c>
      <c r="S311" s="42" t="s">
        <v>6914</v>
      </c>
      <c r="T311" s="3" t="s">
        <v>4866</v>
      </c>
      <c r="U311" s="45">
        <v>35</v>
      </c>
      <c r="V311" t="s">
        <v>6932</v>
      </c>
      <c r="W311" s="1" t="str">
        <f>HYPERLINK("http://ictvonline.org/taxonomy/p/taxonomy-history?taxnode_id=201908427","ICTVonline=201908427")</f>
        <v>ICTVonline=201908427</v>
      </c>
    </row>
    <row r="312" spans="1:23">
      <c r="A312" s="3">
        <v>311</v>
      </c>
      <c r="B312" s="1" t="s">
        <v>6915</v>
      </c>
      <c r="D312" s="1" t="s">
        <v>6916</v>
      </c>
      <c r="F312" s="1" t="s">
        <v>6920</v>
      </c>
      <c r="H312" s="1" t="s">
        <v>6921</v>
      </c>
      <c r="J312" s="1" t="s">
        <v>1324</v>
      </c>
      <c r="L312" s="1" t="s">
        <v>6928</v>
      </c>
      <c r="M312" s="1" t="s">
        <v>7075</v>
      </c>
      <c r="N312" s="1" t="s">
        <v>7110</v>
      </c>
      <c r="P312" s="1" t="s">
        <v>7111</v>
      </c>
      <c r="Q312" s="3">
        <v>0</v>
      </c>
      <c r="R312" s="22" t="s">
        <v>2721</v>
      </c>
      <c r="S312" s="42" t="s">
        <v>6914</v>
      </c>
      <c r="T312" s="3" t="s">
        <v>4866</v>
      </c>
      <c r="U312" s="45">
        <v>35</v>
      </c>
      <c r="V312" t="s">
        <v>6932</v>
      </c>
      <c r="W312" s="1" t="str">
        <f>HYPERLINK("http://ictvonline.org/taxonomy/p/taxonomy-history?taxnode_id=201908353","ICTVonline=201908353")</f>
        <v>ICTVonline=201908353</v>
      </c>
    </row>
    <row r="313" spans="1:23">
      <c r="A313" s="3">
        <v>312</v>
      </c>
      <c r="B313" s="1" t="s">
        <v>6915</v>
      </c>
      <c r="D313" s="1" t="s">
        <v>6916</v>
      </c>
      <c r="F313" s="1" t="s">
        <v>6920</v>
      </c>
      <c r="H313" s="1" t="s">
        <v>6921</v>
      </c>
      <c r="J313" s="1" t="s">
        <v>1324</v>
      </c>
      <c r="L313" s="1" t="s">
        <v>6928</v>
      </c>
      <c r="M313" s="1" t="s">
        <v>7075</v>
      </c>
      <c r="N313" s="1" t="s">
        <v>7110</v>
      </c>
      <c r="P313" s="1" t="s">
        <v>2959</v>
      </c>
      <c r="Q313" s="3">
        <v>1</v>
      </c>
      <c r="R313" s="22" t="s">
        <v>2721</v>
      </c>
      <c r="S313" s="42" t="s">
        <v>6914</v>
      </c>
      <c r="T313" s="3" t="s">
        <v>4871</v>
      </c>
      <c r="U313" s="45">
        <v>35</v>
      </c>
      <c r="V313" t="s">
        <v>6932</v>
      </c>
      <c r="W313" s="1" t="str">
        <f>HYPERLINK("http://ictvonline.org/taxonomy/p/taxonomy-history?taxnode_id=201900585","ICTVonline=201900585")</f>
        <v>ICTVonline=201900585</v>
      </c>
    </row>
    <row r="314" spans="1:23">
      <c r="A314" s="3">
        <v>313</v>
      </c>
      <c r="B314" s="1" t="s">
        <v>6915</v>
      </c>
      <c r="D314" s="1" t="s">
        <v>6916</v>
      </c>
      <c r="F314" s="1" t="s">
        <v>6920</v>
      </c>
      <c r="H314" s="1" t="s">
        <v>6921</v>
      </c>
      <c r="J314" s="1" t="s">
        <v>1324</v>
      </c>
      <c r="L314" s="1" t="s">
        <v>6928</v>
      </c>
      <c r="M314" s="1" t="s">
        <v>7075</v>
      </c>
      <c r="N314" s="1" t="s">
        <v>7110</v>
      </c>
      <c r="P314" s="1" t="s">
        <v>7112</v>
      </c>
      <c r="Q314" s="3">
        <v>0</v>
      </c>
      <c r="R314" s="22" t="s">
        <v>2721</v>
      </c>
      <c r="S314" s="42" t="s">
        <v>6914</v>
      </c>
      <c r="T314" s="3" t="s">
        <v>4866</v>
      </c>
      <c r="U314" s="45">
        <v>35</v>
      </c>
      <c r="V314" t="s">
        <v>6932</v>
      </c>
      <c r="W314" s="1" t="str">
        <f>HYPERLINK("http://ictvonline.org/taxonomy/p/taxonomy-history?taxnode_id=201908352","ICTVonline=201908352")</f>
        <v>ICTVonline=201908352</v>
      </c>
    </row>
    <row r="315" spans="1:23">
      <c r="A315" s="3">
        <v>314</v>
      </c>
      <c r="B315" s="1" t="s">
        <v>6915</v>
      </c>
      <c r="D315" s="1" t="s">
        <v>6916</v>
      </c>
      <c r="F315" s="1" t="s">
        <v>6920</v>
      </c>
      <c r="H315" s="1" t="s">
        <v>6921</v>
      </c>
      <c r="J315" s="1" t="s">
        <v>1324</v>
      </c>
      <c r="L315" s="1" t="s">
        <v>6928</v>
      </c>
      <c r="M315" s="1" t="s">
        <v>7075</v>
      </c>
      <c r="N315" s="1" t="s">
        <v>7110</v>
      </c>
      <c r="P315" s="1" t="s">
        <v>7113</v>
      </c>
      <c r="Q315" s="3">
        <v>0</v>
      </c>
      <c r="R315" s="22" t="s">
        <v>2721</v>
      </c>
      <c r="S315" s="42" t="s">
        <v>6914</v>
      </c>
      <c r="T315" s="3" t="s">
        <v>4866</v>
      </c>
      <c r="U315" s="45">
        <v>35</v>
      </c>
      <c r="V315" t="s">
        <v>6932</v>
      </c>
      <c r="W315" s="1" t="str">
        <f>HYPERLINK("http://ictvonline.org/taxonomy/p/taxonomy-history?taxnode_id=201908349","ICTVonline=201908349")</f>
        <v>ICTVonline=201908349</v>
      </c>
    </row>
    <row r="316" spans="1:23">
      <c r="A316" s="3">
        <v>315</v>
      </c>
      <c r="B316" s="1" t="s">
        <v>6915</v>
      </c>
      <c r="D316" s="1" t="s">
        <v>6916</v>
      </c>
      <c r="F316" s="1" t="s">
        <v>6920</v>
      </c>
      <c r="H316" s="1" t="s">
        <v>6921</v>
      </c>
      <c r="J316" s="1" t="s">
        <v>1324</v>
      </c>
      <c r="L316" s="1" t="s">
        <v>6928</v>
      </c>
      <c r="M316" s="1" t="s">
        <v>7075</v>
      </c>
      <c r="N316" s="1" t="s">
        <v>7110</v>
      </c>
      <c r="P316" s="1" t="s">
        <v>7114</v>
      </c>
      <c r="Q316" s="3">
        <v>0</v>
      </c>
      <c r="R316" s="22" t="s">
        <v>2721</v>
      </c>
      <c r="S316" s="42" t="s">
        <v>6914</v>
      </c>
      <c r="T316" s="3" t="s">
        <v>4866</v>
      </c>
      <c r="U316" s="45">
        <v>35</v>
      </c>
      <c r="V316" t="s">
        <v>6932</v>
      </c>
      <c r="W316" s="1" t="str">
        <f>HYPERLINK("http://ictvonline.org/taxonomy/p/taxonomy-history?taxnode_id=201908351","ICTVonline=201908351")</f>
        <v>ICTVonline=201908351</v>
      </c>
    </row>
    <row r="317" spans="1:23">
      <c r="A317" s="3">
        <v>316</v>
      </c>
      <c r="B317" s="1" t="s">
        <v>6915</v>
      </c>
      <c r="D317" s="1" t="s">
        <v>6916</v>
      </c>
      <c r="F317" s="1" t="s">
        <v>6920</v>
      </c>
      <c r="H317" s="1" t="s">
        <v>6921</v>
      </c>
      <c r="J317" s="1" t="s">
        <v>1324</v>
      </c>
      <c r="L317" s="1" t="s">
        <v>6928</v>
      </c>
      <c r="M317" s="1" t="s">
        <v>7075</v>
      </c>
      <c r="N317" s="1" t="s">
        <v>7110</v>
      </c>
      <c r="P317" s="1" t="s">
        <v>7115</v>
      </c>
      <c r="Q317" s="3">
        <v>0</v>
      </c>
      <c r="R317" s="22" t="s">
        <v>2721</v>
      </c>
      <c r="S317" s="42" t="s">
        <v>6914</v>
      </c>
      <c r="T317" s="3" t="s">
        <v>4866</v>
      </c>
      <c r="U317" s="45">
        <v>35</v>
      </c>
      <c r="V317" t="s">
        <v>6932</v>
      </c>
      <c r="W317" s="1" t="str">
        <f>HYPERLINK("http://ictvonline.org/taxonomy/p/taxonomy-history?taxnode_id=201908345","ICTVonline=201908345")</f>
        <v>ICTVonline=201908345</v>
      </c>
    </row>
    <row r="318" spans="1:23">
      <c r="A318" s="3">
        <v>317</v>
      </c>
      <c r="B318" s="1" t="s">
        <v>6915</v>
      </c>
      <c r="D318" s="1" t="s">
        <v>6916</v>
      </c>
      <c r="F318" s="1" t="s">
        <v>6920</v>
      </c>
      <c r="H318" s="1" t="s">
        <v>6921</v>
      </c>
      <c r="J318" s="1" t="s">
        <v>1324</v>
      </c>
      <c r="L318" s="1" t="s">
        <v>6928</v>
      </c>
      <c r="M318" s="1" t="s">
        <v>7075</v>
      </c>
      <c r="N318" s="1" t="s">
        <v>7110</v>
      </c>
      <c r="P318" s="1" t="s">
        <v>7116</v>
      </c>
      <c r="Q318" s="3">
        <v>0</v>
      </c>
      <c r="R318" s="22" t="s">
        <v>2721</v>
      </c>
      <c r="S318" s="42" t="s">
        <v>6914</v>
      </c>
      <c r="T318" s="3" t="s">
        <v>4866</v>
      </c>
      <c r="U318" s="45">
        <v>35</v>
      </c>
      <c r="V318" t="s">
        <v>6932</v>
      </c>
      <c r="W318" s="1" t="str">
        <f>HYPERLINK("http://ictvonline.org/taxonomy/p/taxonomy-history?taxnode_id=201908346","ICTVonline=201908346")</f>
        <v>ICTVonline=201908346</v>
      </c>
    </row>
    <row r="319" spans="1:23">
      <c r="A319" s="3">
        <v>318</v>
      </c>
      <c r="B319" s="1" t="s">
        <v>6915</v>
      </c>
      <c r="D319" s="1" t="s">
        <v>6916</v>
      </c>
      <c r="F319" s="1" t="s">
        <v>6920</v>
      </c>
      <c r="H319" s="1" t="s">
        <v>6921</v>
      </c>
      <c r="J319" s="1" t="s">
        <v>1324</v>
      </c>
      <c r="L319" s="1" t="s">
        <v>6928</v>
      </c>
      <c r="M319" s="1" t="s">
        <v>7075</v>
      </c>
      <c r="N319" s="1" t="s">
        <v>7110</v>
      </c>
      <c r="P319" s="1" t="s">
        <v>7117</v>
      </c>
      <c r="Q319" s="3">
        <v>0</v>
      </c>
      <c r="R319" s="22" t="s">
        <v>2721</v>
      </c>
      <c r="S319" s="42" t="s">
        <v>6914</v>
      </c>
      <c r="T319" s="3" t="s">
        <v>4866</v>
      </c>
      <c r="U319" s="45">
        <v>35</v>
      </c>
      <c r="V319" t="s">
        <v>6932</v>
      </c>
      <c r="W319" s="1" t="str">
        <f>HYPERLINK("http://ictvonline.org/taxonomy/p/taxonomy-history?taxnode_id=201908347","ICTVonline=201908347")</f>
        <v>ICTVonline=201908347</v>
      </c>
    </row>
    <row r="320" spans="1:23">
      <c r="A320" s="3">
        <v>319</v>
      </c>
      <c r="B320" s="1" t="s">
        <v>6915</v>
      </c>
      <c r="D320" s="1" t="s">
        <v>6916</v>
      </c>
      <c r="F320" s="1" t="s">
        <v>6920</v>
      </c>
      <c r="H320" s="1" t="s">
        <v>6921</v>
      </c>
      <c r="J320" s="1" t="s">
        <v>1324</v>
      </c>
      <c r="L320" s="1" t="s">
        <v>6928</v>
      </c>
      <c r="M320" s="1" t="s">
        <v>7075</v>
      </c>
      <c r="N320" s="1" t="s">
        <v>7110</v>
      </c>
      <c r="P320" s="1" t="s">
        <v>7118</v>
      </c>
      <c r="Q320" s="3">
        <v>0</v>
      </c>
      <c r="R320" s="22" t="s">
        <v>2721</v>
      </c>
      <c r="S320" s="42" t="s">
        <v>6914</v>
      </c>
      <c r="T320" s="3" t="s">
        <v>4866</v>
      </c>
      <c r="U320" s="45">
        <v>35</v>
      </c>
      <c r="V320" t="s">
        <v>6932</v>
      </c>
      <c r="W320" s="1" t="str">
        <f>HYPERLINK("http://ictvonline.org/taxonomy/p/taxonomy-history?taxnode_id=201908350","ICTVonline=201908350")</f>
        <v>ICTVonline=201908350</v>
      </c>
    </row>
    <row r="321" spans="1:23">
      <c r="A321" s="3">
        <v>320</v>
      </c>
      <c r="B321" s="1" t="s">
        <v>6915</v>
      </c>
      <c r="D321" s="1" t="s">
        <v>6916</v>
      </c>
      <c r="F321" s="1" t="s">
        <v>6920</v>
      </c>
      <c r="H321" s="1" t="s">
        <v>6921</v>
      </c>
      <c r="J321" s="1" t="s">
        <v>1324</v>
      </c>
      <c r="L321" s="1" t="s">
        <v>6928</v>
      </c>
      <c r="M321" s="1" t="s">
        <v>7075</v>
      </c>
      <c r="N321" s="1" t="s">
        <v>7110</v>
      </c>
      <c r="P321" s="1" t="s">
        <v>7119</v>
      </c>
      <c r="Q321" s="3">
        <v>0</v>
      </c>
      <c r="R321" s="22" t="s">
        <v>2721</v>
      </c>
      <c r="S321" s="42" t="s">
        <v>6914</v>
      </c>
      <c r="T321" s="3" t="s">
        <v>4866</v>
      </c>
      <c r="U321" s="45">
        <v>35</v>
      </c>
      <c r="V321" t="s">
        <v>6932</v>
      </c>
      <c r="W321" s="1" t="str">
        <f>HYPERLINK("http://ictvonline.org/taxonomy/p/taxonomy-history?taxnode_id=201908348","ICTVonline=201908348")</f>
        <v>ICTVonline=201908348</v>
      </c>
    </row>
    <row r="322" spans="1:23">
      <c r="A322" s="3">
        <v>321</v>
      </c>
      <c r="B322" s="1" t="s">
        <v>6915</v>
      </c>
      <c r="D322" s="1" t="s">
        <v>6916</v>
      </c>
      <c r="F322" s="1" t="s">
        <v>6920</v>
      </c>
      <c r="H322" s="1" t="s">
        <v>6921</v>
      </c>
      <c r="J322" s="1" t="s">
        <v>1324</v>
      </c>
      <c r="L322" s="1" t="s">
        <v>6928</v>
      </c>
      <c r="M322" s="1" t="s">
        <v>7075</v>
      </c>
      <c r="N322" s="1" t="s">
        <v>7120</v>
      </c>
      <c r="P322" s="1" t="s">
        <v>7121</v>
      </c>
      <c r="Q322" s="3">
        <v>1</v>
      </c>
      <c r="R322" s="22" t="s">
        <v>2721</v>
      </c>
      <c r="S322" s="42" t="s">
        <v>6914</v>
      </c>
      <c r="T322" s="3" t="s">
        <v>4866</v>
      </c>
      <c r="U322" s="45">
        <v>35</v>
      </c>
      <c r="V322" t="s">
        <v>6932</v>
      </c>
      <c r="W322" s="1" t="str">
        <f>HYPERLINK("http://ictvonline.org/taxonomy/p/taxonomy-history?taxnode_id=201908378","ICTVonline=201908378")</f>
        <v>ICTVonline=201908378</v>
      </c>
    </row>
    <row r="323" spans="1:23">
      <c r="A323" s="3">
        <v>322</v>
      </c>
      <c r="B323" s="1" t="s">
        <v>6915</v>
      </c>
      <c r="D323" s="1" t="s">
        <v>6916</v>
      </c>
      <c r="F323" s="1" t="s">
        <v>6920</v>
      </c>
      <c r="H323" s="1" t="s">
        <v>6921</v>
      </c>
      <c r="J323" s="1" t="s">
        <v>1324</v>
      </c>
      <c r="L323" s="1" t="s">
        <v>6928</v>
      </c>
      <c r="M323" s="1" t="s">
        <v>7075</v>
      </c>
      <c r="N323" s="1" t="s">
        <v>7120</v>
      </c>
      <c r="P323" s="1" t="s">
        <v>7122</v>
      </c>
      <c r="Q323" s="3">
        <v>0</v>
      </c>
      <c r="R323" s="22" t="s">
        <v>2721</v>
      </c>
      <c r="S323" s="42" t="s">
        <v>6914</v>
      </c>
      <c r="T323" s="3" t="s">
        <v>4866</v>
      </c>
      <c r="U323" s="45">
        <v>35</v>
      </c>
      <c r="V323" t="s">
        <v>6932</v>
      </c>
      <c r="W323" s="1" t="str">
        <f>HYPERLINK("http://ictvonline.org/taxonomy/p/taxonomy-history?taxnode_id=201908376","ICTVonline=201908376")</f>
        <v>ICTVonline=201908376</v>
      </c>
    </row>
    <row r="324" spans="1:23">
      <c r="A324" s="3">
        <v>323</v>
      </c>
      <c r="B324" s="1" t="s">
        <v>6915</v>
      </c>
      <c r="D324" s="1" t="s">
        <v>6916</v>
      </c>
      <c r="F324" s="1" t="s">
        <v>6920</v>
      </c>
      <c r="H324" s="1" t="s">
        <v>6921</v>
      </c>
      <c r="J324" s="1" t="s">
        <v>1324</v>
      </c>
      <c r="L324" s="1" t="s">
        <v>6928</v>
      </c>
      <c r="M324" s="1" t="s">
        <v>7075</v>
      </c>
      <c r="N324" s="1" t="s">
        <v>7120</v>
      </c>
      <c r="P324" s="1" t="s">
        <v>7123</v>
      </c>
      <c r="Q324" s="3">
        <v>0</v>
      </c>
      <c r="R324" s="22" t="s">
        <v>2721</v>
      </c>
      <c r="S324" s="42" t="s">
        <v>6914</v>
      </c>
      <c r="T324" s="3" t="s">
        <v>4866</v>
      </c>
      <c r="U324" s="45">
        <v>35</v>
      </c>
      <c r="V324" t="s">
        <v>6932</v>
      </c>
      <c r="W324" s="1" t="str">
        <f>HYPERLINK("http://ictvonline.org/taxonomy/p/taxonomy-history?taxnode_id=201908375","ICTVonline=201908375")</f>
        <v>ICTVonline=201908375</v>
      </c>
    </row>
    <row r="325" spans="1:23">
      <c r="A325" s="3">
        <v>324</v>
      </c>
      <c r="B325" s="1" t="s">
        <v>6915</v>
      </c>
      <c r="D325" s="1" t="s">
        <v>6916</v>
      </c>
      <c r="F325" s="1" t="s">
        <v>6920</v>
      </c>
      <c r="H325" s="1" t="s">
        <v>6921</v>
      </c>
      <c r="J325" s="1" t="s">
        <v>1324</v>
      </c>
      <c r="L325" s="1" t="s">
        <v>6928</v>
      </c>
      <c r="M325" s="1" t="s">
        <v>7075</v>
      </c>
      <c r="N325" s="1" t="s">
        <v>7120</v>
      </c>
      <c r="P325" s="1" t="s">
        <v>7124</v>
      </c>
      <c r="Q325" s="3">
        <v>0</v>
      </c>
      <c r="R325" s="22" t="s">
        <v>2721</v>
      </c>
      <c r="S325" s="42" t="s">
        <v>6914</v>
      </c>
      <c r="T325" s="3" t="s">
        <v>4866</v>
      </c>
      <c r="U325" s="45">
        <v>35</v>
      </c>
      <c r="V325" t="s">
        <v>6932</v>
      </c>
      <c r="W325" s="1" t="str">
        <f>HYPERLINK("http://ictvonline.org/taxonomy/p/taxonomy-history?taxnode_id=201908377","ICTVonline=201908377")</f>
        <v>ICTVonline=201908377</v>
      </c>
    </row>
    <row r="326" spans="1:23">
      <c r="A326" s="3">
        <v>325</v>
      </c>
      <c r="B326" s="1" t="s">
        <v>6915</v>
      </c>
      <c r="D326" s="1" t="s">
        <v>6916</v>
      </c>
      <c r="F326" s="1" t="s">
        <v>6920</v>
      </c>
      <c r="H326" s="1" t="s">
        <v>6921</v>
      </c>
      <c r="J326" s="1" t="s">
        <v>1324</v>
      </c>
      <c r="L326" s="1" t="s">
        <v>6928</v>
      </c>
      <c r="M326" s="1" t="s">
        <v>7075</v>
      </c>
      <c r="N326" s="1" t="s">
        <v>7125</v>
      </c>
      <c r="P326" s="1" t="s">
        <v>7126</v>
      </c>
      <c r="Q326" s="3">
        <v>1</v>
      </c>
      <c r="R326" s="22" t="s">
        <v>2721</v>
      </c>
      <c r="S326" s="42" t="s">
        <v>6914</v>
      </c>
      <c r="T326" s="3" t="s">
        <v>4866</v>
      </c>
      <c r="U326" s="45">
        <v>35</v>
      </c>
      <c r="V326" t="s">
        <v>6932</v>
      </c>
      <c r="W326" s="1" t="str">
        <f>HYPERLINK("http://ictvonline.org/taxonomy/p/taxonomy-history?taxnode_id=201908458","ICTVonline=201908458")</f>
        <v>ICTVonline=201908458</v>
      </c>
    </row>
    <row r="327" spans="1:23">
      <c r="A327" s="3">
        <v>326</v>
      </c>
      <c r="B327" s="1" t="s">
        <v>6915</v>
      </c>
      <c r="D327" s="1" t="s">
        <v>6916</v>
      </c>
      <c r="F327" s="1" t="s">
        <v>6920</v>
      </c>
      <c r="H327" s="1" t="s">
        <v>6921</v>
      </c>
      <c r="J327" s="1" t="s">
        <v>1324</v>
      </c>
      <c r="L327" s="1" t="s">
        <v>6928</v>
      </c>
      <c r="M327" s="1" t="s">
        <v>7075</v>
      </c>
      <c r="N327" s="1" t="s">
        <v>7127</v>
      </c>
      <c r="P327" s="1" t="s">
        <v>7128</v>
      </c>
      <c r="Q327" s="3">
        <v>0</v>
      </c>
      <c r="R327" s="22" t="s">
        <v>2721</v>
      </c>
      <c r="S327" s="42" t="s">
        <v>6914</v>
      </c>
      <c r="T327" s="3" t="s">
        <v>4866</v>
      </c>
      <c r="U327" s="45">
        <v>35</v>
      </c>
      <c r="V327" t="s">
        <v>6932</v>
      </c>
      <c r="W327" s="1" t="str">
        <f>HYPERLINK("http://ictvonline.org/taxonomy/p/taxonomy-history?taxnode_id=201908406","ICTVonline=201908406")</f>
        <v>ICTVonline=201908406</v>
      </c>
    </row>
    <row r="328" spans="1:23">
      <c r="A328" s="3">
        <v>327</v>
      </c>
      <c r="B328" s="1" t="s">
        <v>6915</v>
      </c>
      <c r="D328" s="1" t="s">
        <v>6916</v>
      </c>
      <c r="F328" s="1" t="s">
        <v>6920</v>
      </c>
      <c r="H328" s="1" t="s">
        <v>6921</v>
      </c>
      <c r="J328" s="1" t="s">
        <v>1324</v>
      </c>
      <c r="L328" s="1" t="s">
        <v>6928</v>
      </c>
      <c r="M328" s="1" t="s">
        <v>7075</v>
      </c>
      <c r="N328" s="1" t="s">
        <v>7127</v>
      </c>
      <c r="P328" s="1" t="s">
        <v>7129</v>
      </c>
      <c r="Q328" s="3">
        <v>0</v>
      </c>
      <c r="R328" s="22" t="s">
        <v>2721</v>
      </c>
      <c r="S328" s="42" t="s">
        <v>6914</v>
      </c>
      <c r="T328" s="3" t="s">
        <v>4866</v>
      </c>
      <c r="U328" s="45">
        <v>35</v>
      </c>
      <c r="V328" t="s">
        <v>6932</v>
      </c>
      <c r="W328" s="1" t="str">
        <f>HYPERLINK("http://ictvonline.org/taxonomy/p/taxonomy-history?taxnode_id=201908409","ICTVonline=201908409")</f>
        <v>ICTVonline=201908409</v>
      </c>
    </row>
    <row r="329" spans="1:23">
      <c r="A329" s="3">
        <v>328</v>
      </c>
      <c r="B329" s="1" t="s">
        <v>6915</v>
      </c>
      <c r="D329" s="1" t="s">
        <v>6916</v>
      </c>
      <c r="F329" s="1" t="s">
        <v>6920</v>
      </c>
      <c r="H329" s="1" t="s">
        <v>6921</v>
      </c>
      <c r="J329" s="1" t="s">
        <v>1324</v>
      </c>
      <c r="L329" s="1" t="s">
        <v>6928</v>
      </c>
      <c r="M329" s="1" t="s">
        <v>7075</v>
      </c>
      <c r="N329" s="1" t="s">
        <v>7127</v>
      </c>
      <c r="P329" s="1" t="s">
        <v>7130</v>
      </c>
      <c r="Q329" s="3">
        <v>0</v>
      </c>
      <c r="R329" s="22" t="s">
        <v>2721</v>
      </c>
      <c r="S329" s="42" t="s">
        <v>6914</v>
      </c>
      <c r="T329" s="3" t="s">
        <v>4866</v>
      </c>
      <c r="U329" s="45">
        <v>35</v>
      </c>
      <c r="V329" t="s">
        <v>6932</v>
      </c>
      <c r="W329" s="1" t="str">
        <f>HYPERLINK("http://ictvonline.org/taxonomy/p/taxonomy-history?taxnode_id=201908410","ICTVonline=201908410")</f>
        <v>ICTVonline=201908410</v>
      </c>
    </row>
    <row r="330" spans="1:23">
      <c r="A330" s="3">
        <v>329</v>
      </c>
      <c r="B330" s="1" t="s">
        <v>6915</v>
      </c>
      <c r="D330" s="1" t="s">
        <v>6916</v>
      </c>
      <c r="F330" s="1" t="s">
        <v>6920</v>
      </c>
      <c r="H330" s="1" t="s">
        <v>6921</v>
      </c>
      <c r="J330" s="1" t="s">
        <v>1324</v>
      </c>
      <c r="L330" s="1" t="s">
        <v>6928</v>
      </c>
      <c r="M330" s="1" t="s">
        <v>7075</v>
      </c>
      <c r="N330" s="1" t="s">
        <v>7127</v>
      </c>
      <c r="P330" s="1" t="s">
        <v>7131</v>
      </c>
      <c r="Q330" s="3">
        <v>0</v>
      </c>
      <c r="R330" s="22" t="s">
        <v>2721</v>
      </c>
      <c r="S330" s="42" t="s">
        <v>6914</v>
      </c>
      <c r="T330" s="3" t="s">
        <v>4866</v>
      </c>
      <c r="U330" s="45">
        <v>35</v>
      </c>
      <c r="V330" t="s">
        <v>6932</v>
      </c>
      <c r="W330" s="1" t="str">
        <f>HYPERLINK("http://ictvonline.org/taxonomy/p/taxonomy-history?taxnode_id=201908405","ICTVonline=201908405")</f>
        <v>ICTVonline=201908405</v>
      </c>
    </row>
    <row r="331" spans="1:23">
      <c r="A331" s="3">
        <v>330</v>
      </c>
      <c r="B331" s="1" t="s">
        <v>6915</v>
      </c>
      <c r="D331" s="1" t="s">
        <v>6916</v>
      </c>
      <c r="F331" s="1" t="s">
        <v>6920</v>
      </c>
      <c r="H331" s="1" t="s">
        <v>6921</v>
      </c>
      <c r="J331" s="1" t="s">
        <v>1324</v>
      </c>
      <c r="L331" s="1" t="s">
        <v>6928</v>
      </c>
      <c r="M331" s="1" t="s">
        <v>7075</v>
      </c>
      <c r="N331" s="1" t="s">
        <v>7127</v>
      </c>
      <c r="P331" s="1" t="s">
        <v>7132</v>
      </c>
      <c r="Q331" s="3">
        <v>0</v>
      </c>
      <c r="R331" s="22" t="s">
        <v>2721</v>
      </c>
      <c r="S331" s="42" t="s">
        <v>6914</v>
      </c>
      <c r="T331" s="3" t="s">
        <v>4866</v>
      </c>
      <c r="U331" s="45">
        <v>35</v>
      </c>
      <c r="V331" t="s">
        <v>6932</v>
      </c>
      <c r="W331" s="1" t="str">
        <f>HYPERLINK("http://ictvonline.org/taxonomy/p/taxonomy-history?taxnode_id=201908418","ICTVonline=201908418")</f>
        <v>ICTVonline=201908418</v>
      </c>
    </row>
    <row r="332" spans="1:23">
      <c r="A332" s="3">
        <v>331</v>
      </c>
      <c r="B332" s="1" t="s">
        <v>6915</v>
      </c>
      <c r="D332" s="1" t="s">
        <v>6916</v>
      </c>
      <c r="F332" s="1" t="s">
        <v>6920</v>
      </c>
      <c r="H332" s="1" t="s">
        <v>6921</v>
      </c>
      <c r="J332" s="1" t="s">
        <v>1324</v>
      </c>
      <c r="L332" s="1" t="s">
        <v>6928</v>
      </c>
      <c r="M332" s="1" t="s">
        <v>7075</v>
      </c>
      <c r="N332" s="1" t="s">
        <v>7127</v>
      </c>
      <c r="P332" s="1" t="s">
        <v>7133</v>
      </c>
      <c r="Q332" s="3">
        <v>0</v>
      </c>
      <c r="R332" s="22" t="s">
        <v>2721</v>
      </c>
      <c r="S332" s="42" t="s">
        <v>6914</v>
      </c>
      <c r="T332" s="3" t="s">
        <v>4866</v>
      </c>
      <c r="U332" s="45">
        <v>35</v>
      </c>
      <c r="V332" t="s">
        <v>6932</v>
      </c>
      <c r="W332" s="1" t="str">
        <f>HYPERLINK("http://ictvonline.org/taxonomy/p/taxonomy-history?taxnode_id=201908420","ICTVonline=201908420")</f>
        <v>ICTVonline=201908420</v>
      </c>
    </row>
    <row r="333" spans="1:23">
      <c r="A333" s="3">
        <v>332</v>
      </c>
      <c r="B333" s="1" t="s">
        <v>6915</v>
      </c>
      <c r="D333" s="1" t="s">
        <v>6916</v>
      </c>
      <c r="F333" s="1" t="s">
        <v>6920</v>
      </c>
      <c r="H333" s="1" t="s">
        <v>6921</v>
      </c>
      <c r="J333" s="1" t="s">
        <v>1324</v>
      </c>
      <c r="L333" s="1" t="s">
        <v>6928</v>
      </c>
      <c r="M333" s="1" t="s">
        <v>7075</v>
      </c>
      <c r="N333" s="1" t="s">
        <v>7127</v>
      </c>
      <c r="P333" s="1" t="s">
        <v>7134</v>
      </c>
      <c r="Q333" s="3">
        <v>0</v>
      </c>
      <c r="R333" s="22" t="s">
        <v>2721</v>
      </c>
      <c r="S333" s="42" t="s">
        <v>6914</v>
      </c>
      <c r="T333" s="3" t="s">
        <v>4866</v>
      </c>
      <c r="U333" s="45">
        <v>35</v>
      </c>
      <c r="V333" t="s">
        <v>6932</v>
      </c>
      <c r="W333" s="1" t="str">
        <f>HYPERLINK("http://ictvonline.org/taxonomy/p/taxonomy-history?taxnode_id=201908404","ICTVonline=201908404")</f>
        <v>ICTVonline=201908404</v>
      </c>
    </row>
    <row r="334" spans="1:23">
      <c r="A334" s="3">
        <v>333</v>
      </c>
      <c r="B334" s="1" t="s">
        <v>6915</v>
      </c>
      <c r="D334" s="1" t="s">
        <v>6916</v>
      </c>
      <c r="F334" s="1" t="s">
        <v>6920</v>
      </c>
      <c r="H334" s="1" t="s">
        <v>6921</v>
      </c>
      <c r="J334" s="1" t="s">
        <v>1324</v>
      </c>
      <c r="L334" s="1" t="s">
        <v>6928</v>
      </c>
      <c r="M334" s="1" t="s">
        <v>7075</v>
      </c>
      <c r="N334" s="1" t="s">
        <v>7127</v>
      </c>
      <c r="P334" s="1" t="s">
        <v>7135</v>
      </c>
      <c r="Q334" s="3">
        <v>0</v>
      </c>
      <c r="R334" s="22" t="s">
        <v>2721</v>
      </c>
      <c r="S334" s="42" t="s">
        <v>6914</v>
      </c>
      <c r="T334" s="3" t="s">
        <v>4866</v>
      </c>
      <c r="U334" s="45">
        <v>35</v>
      </c>
      <c r="V334" t="s">
        <v>6932</v>
      </c>
      <c r="W334" s="1" t="str">
        <f>HYPERLINK("http://ictvonline.org/taxonomy/p/taxonomy-history?taxnode_id=201908412","ICTVonline=201908412")</f>
        <v>ICTVonline=201908412</v>
      </c>
    </row>
    <row r="335" spans="1:23">
      <c r="A335" s="3">
        <v>334</v>
      </c>
      <c r="B335" s="1" t="s">
        <v>6915</v>
      </c>
      <c r="D335" s="1" t="s">
        <v>6916</v>
      </c>
      <c r="F335" s="1" t="s">
        <v>6920</v>
      </c>
      <c r="H335" s="1" t="s">
        <v>6921</v>
      </c>
      <c r="J335" s="1" t="s">
        <v>1324</v>
      </c>
      <c r="L335" s="1" t="s">
        <v>6928</v>
      </c>
      <c r="M335" s="1" t="s">
        <v>7075</v>
      </c>
      <c r="N335" s="1" t="s">
        <v>7127</v>
      </c>
      <c r="P335" s="1" t="s">
        <v>7136</v>
      </c>
      <c r="Q335" s="3">
        <v>0</v>
      </c>
      <c r="R335" s="22" t="s">
        <v>2721</v>
      </c>
      <c r="S335" s="42" t="s">
        <v>6914</v>
      </c>
      <c r="T335" s="3" t="s">
        <v>4866</v>
      </c>
      <c r="U335" s="45">
        <v>35</v>
      </c>
      <c r="V335" t="s">
        <v>6932</v>
      </c>
      <c r="W335" s="1" t="str">
        <f>HYPERLINK("http://ictvonline.org/taxonomy/p/taxonomy-history?taxnode_id=201908408","ICTVonline=201908408")</f>
        <v>ICTVonline=201908408</v>
      </c>
    </row>
    <row r="336" spans="1:23">
      <c r="A336" s="3">
        <v>335</v>
      </c>
      <c r="B336" s="1" t="s">
        <v>6915</v>
      </c>
      <c r="D336" s="1" t="s">
        <v>6916</v>
      </c>
      <c r="F336" s="1" t="s">
        <v>6920</v>
      </c>
      <c r="H336" s="1" t="s">
        <v>6921</v>
      </c>
      <c r="J336" s="1" t="s">
        <v>1324</v>
      </c>
      <c r="L336" s="1" t="s">
        <v>6928</v>
      </c>
      <c r="M336" s="1" t="s">
        <v>7075</v>
      </c>
      <c r="N336" s="1" t="s">
        <v>7127</v>
      </c>
      <c r="P336" s="1" t="s">
        <v>7137</v>
      </c>
      <c r="Q336" s="3">
        <v>0</v>
      </c>
      <c r="R336" s="22" t="s">
        <v>2721</v>
      </c>
      <c r="S336" s="42" t="s">
        <v>6914</v>
      </c>
      <c r="T336" s="3" t="s">
        <v>4866</v>
      </c>
      <c r="U336" s="45">
        <v>35</v>
      </c>
      <c r="V336" t="s">
        <v>6932</v>
      </c>
      <c r="W336" s="1" t="str">
        <f>HYPERLINK("http://ictvonline.org/taxonomy/p/taxonomy-history?taxnode_id=201908421","ICTVonline=201908421")</f>
        <v>ICTVonline=201908421</v>
      </c>
    </row>
    <row r="337" spans="1:23">
      <c r="A337" s="3">
        <v>336</v>
      </c>
      <c r="B337" s="1" t="s">
        <v>6915</v>
      </c>
      <c r="D337" s="1" t="s">
        <v>6916</v>
      </c>
      <c r="F337" s="1" t="s">
        <v>6920</v>
      </c>
      <c r="H337" s="1" t="s">
        <v>6921</v>
      </c>
      <c r="J337" s="1" t="s">
        <v>1324</v>
      </c>
      <c r="L337" s="1" t="s">
        <v>6928</v>
      </c>
      <c r="M337" s="1" t="s">
        <v>7075</v>
      </c>
      <c r="N337" s="1" t="s">
        <v>7127</v>
      </c>
      <c r="P337" s="1" t="s">
        <v>7138</v>
      </c>
      <c r="Q337" s="3">
        <v>1</v>
      </c>
      <c r="R337" s="22" t="s">
        <v>2721</v>
      </c>
      <c r="S337" s="42" t="s">
        <v>6914</v>
      </c>
      <c r="T337" s="3" t="s">
        <v>4866</v>
      </c>
      <c r="U337" s="45">
        <v>35</v>
      </c>
      <c r="V337" t="s">
        <v>6932</v>
      </c>
      <c r="W337" s="1" t="str">
        <f>HYPERLINK("http://ictvonline.org/taxonomy/p/taxonomy-history?taxnode_id=201908403","ICTVonline=201908403")</f>
        <v>ICTVonline=201908403</v>
      </c>
    </row>
    <row r="338" spans="1:23">
      <c r="A338" s="3">
        <v>337</v>
      </c>
      <c r="B338" s="1" t="s">
        <v>6915</v>
      </c>
      <c r="D338" s="1" t="s">
        <v>6916</v>
      </c>
      <c r="F338" s="1" t="s">
        <v>6920</v>
      </c>
      <c r="H338" s="1" t="s">
        <v>6921</v>
      </c>
      <c r="J338" s="1" t="s">
        <v>1324</v>
      </c>
      <c r="L338" s="1" t="s">
        <v>6928</v>
      </c>
      <c r="M338" s="1" t="s">
        <v>7075</v>
      </c>
      <c r="N338" s="1" t="s">
        <v>7127</v>
      </c>
      <c r="P338" s="1" t="s">
        <v>7139</v>
      </c>
      <c r="Q338" s="3">
        <v>0</v>
      </c>
      <c r="R338" s="22" t="s">
        <v>2721</v>
      </c>
      <c r="S338" s="42" t="s">
        <v>6914</v>
      </c>
      <c r="T338" s="3" t="s">
        <v>4866</v>
      </c>
      <c r="U338" s="45">
        <v>35</v>
      </c>
      <c r="V338" t="s">
        <v>6932</v>
      </c>
      <c r="W338" s="1" t="str">
        <f>HYPERLINK("http://ictvonline.org/taxonomy/p/taxonomy-history?taxnode_id=201908414","ICTVonline=201908414")</f>
        <v>ICTVonline=201908414</v>
      </c>
    </row>
    <row r="339" spans="1:23">
      <c r="A339" s="3">
        <v>338</v>
      </c>
      <c r="B339" s="1" t="s">
        <v>6915</v>
      </c>
      <c r="D339" s="1" t="s">
        <v>6916</v>
      </c>
      <c r="F339" s="1" t="s">
        <v>6920</v>
      </c>
      <c r="H339" s="1" t="s">
        <v>6921</v>
      </c>
      <c r="J339" s="1" t="s">
        <v>1324</v>
      </c>
      <c r="L339" s="1" t="s">
        <v>6928</v>
      </c>
      <c r="M339" s="1" t="s">
        <v>7075</v>
      </c>
      <c r="N339" s="1" t="s">
        <v>7127</v>
      </c>
      <c r="P339" s="1" t="s">
        <v>7140</v>
      </c>
      <c r="Q339" s="3">
        <v>0</v>
      </c>
      <c r="R339" s="22" t="s">
        <v>2721</v>
      </c>
      <c r="S339" s="42" t="s">
        <v>6914</v>
      </c>
      <c r="T339" s="3" t="s">
        <v>4866</v>
      </c>
      <c r="U339" s="45">
        <v>35</v>
      </c>
      <c r="V339" t="s">
        <v>6932</v>
      </c>
      <c r="W339" s="1" t="str">
        <f>HYPERLINK("http://ictvonline.org/taxonomy/p/taxonomy-history?taxnode_id=201908407","ICTVonline=201908407")</f>
        <v>ICTVonline=201908407</v>
      </c>
    </row>
    <row r="340" spans="1:23">
      <c r="A340" s="3">
        <v>339</v>
      </c>
      <c r="B340" s="1" t="s">
        <v>6915</v>
      </c>
      <c r="D340" s="1" t="s">
        <v>6916</v>
      </c>
      <c r="F340" s="1" t="s">
        <v>6920</v>
      </c>
      <c r="H340" s="1" t="s">
        <v>6921</v>
      </c>
      <c r="J340" s="1" t="s">
        <v>1324</v>
      </c>
      <c r="L340" s="1" t="s">
        <v>6928</v>
      </c>
      <c r="M340" s="1" t="s">
        <v>7075</v>
      </c>
      <c r="N340" s="1" t="s">
        <v>7127</v>
      </c>
      <c r="P340" s="1" t="s">
        <v>7141</v>
      </c>
      <c r="Q340" s="3">
        <v>0</v>
      </c>
      <c r="R340" s="22" t="s">
        <v>2721</v>
      </c>
      <c r="S340" s="42" t="s">
        <v>6914</v>
      </c>
      <c r="T340" s="3" t="s">
        <v>4866</v>
      </c>
      <c r="U340" s="45">
        <v>35</v>
      </c>
      <c r="V340" t="s">
        <v>6932</v>
      </c>
      <c r="W340" s="1" t="str">
        <f>HYPERLINK("http://ictvonline.org/taxonomy/p/taxonomy-history?taxnode_id=201908419","ICTVonline=201908419")</f>
        <v>ICTVonline=201908419</v>
      </c>
    </row>
    <row r="341" spans="1:23">
      <c r="A341" s="3">
        <v>340</v>
      </c>
      <c r="B341" s="1" t="s">
        <v>6915</v>
      </c>
      <c r="D341" s="1" t="s">
        <v>6916</v>
      </c>
      <c r="F341" s="1" t="s">
        <v>6920</v>
      </c>
      <c r="H341" s="1" t="s">
        <v>6921</v>
      </c>
      <c r="J341" s="1" t="s">
        <v>1324</v>
      </c>
      <c r="L341" s="1" t="s">
        <v>6928</v>
      </c>
      <c r="M341" s="1" t="s">
        <v>7075</v>
      </c>
      <c r="N341" s="1" t="s">
        <v>7127</v>
      </c>
      <c r="P341" s="1" t="s">
        <v>7142</v>
      </c>
      <c r="Q341" s="3">
        <v>0</v>
      </c>
      <c r="R341" s="22" t="s">
        <v>2721</v>
      </c>
      <c r="S341" s="42" t="s">
        <v>6914</v>
      </c>
      <c r="T341" s="3" t="s">
        <v>4866</v>
      </c>
      <c r="U341" s="45">
        <v>35</v>
      </c>
      <c r="V341" t="s">
        <v>6932</v>
      </c>
      <c r="W341" s="1" t="str">
        <f>HYPERLINK("http://ictvonline.org/taxonomy/p/taxonomy-history?taxnode_id=201908413","ICTVonline=201908413")</f>
        <v>ICTVonline=201908413</v>
      </c>
    </row>
    <row r="342" spans="1:23">
      <c r="A342" s="3">
        <v>341</v>
      </c>
      <c r="B342" s="1" t="s">
        <v>6915</v>
      </c>
      <c r="D342" s="1" t="s">
        <v>6916</v>
      </c>
      <c r="F342" s="1" t="s">
        <v>6920</v>
      </c>
      <c r="H342" s="1" t="s">
        <v>6921</v>
      </c>
      <c r="J342" s="1" t="s">
        <v>1324</v>
      </c>
      <c r="L342" s="1" t="s">
        <v>6928</v>
      </c>
      <c r="M342" s="1" t="s">
        <v>7075</v>
      </c>
      <c r="N342" s="1" t="s">
        <v>7127</v>
      </c>
      <c r="P342" s="1" t="s">
        <v>7143</v>
      </c>
      <c r="Q342" s="3">
        <v>0</v>
      </c>
      <c r="R342" s="22" t="s">
        <v>2721</v>
      </c>
      <c r="S342" s="42" t="s">
        <v>6914</v>
      </c>
      <c r="T342" s="3" t="s">
        <v>4866</v>
      </c>
      <c r="U342" s="45">
        <v>35</v>
      </c>
      <c r="V342" t="s">
        <v>6932</v>
      </c>
      <c r="W342" s="1" t="str">
        <f>HYPERLINK("http://ictvonline.org/taxonomy/p/taxonomy-history?taxnode_id=201908416","ICTVonline=201908416")</f>
        <v>ICTVonline=201908416</v>
      </c>
    </row>
    <row r="343" spans="1:23">
      <c r="A343" s="3">
        <v>342</v>
      </c>
      <c r="B343" s="1" t="s">
        <v>6915</v>
      </c>
      <c r="D343" s="1" t="s">
        <v>6916</v>
      </c>
      <c r="F343" s="1" t="s">
        <v>6920</v>
      </c>
      <c r="H343" s="1" t="s">
        <v>6921</v>
      </c>
      <c r="J343" s="1" t="s">
        <v>1324</v>
      </c>
      <c r="L343" s="1" t="s">
        <v>6928</v>
      </c>
      <c r="M343" s="1" t="s">
        <v>7075</v>
      </c>
      <c r="N343" s="1" t="s">
        <v>7127</v>
      </c>
      <c r="P343" s="1" t="s">
        <v>7144</v>
      </c>
      <c r="Q343" s="3">
        <v>0</v>
      </c>
      <c r="R343" s="22" t="s">
        <v>2721</v>
      </c>
      <c r="S343" s="42" t="s">
        <v>6914</v>
      </c>
      <c r="T343" s="3" t="s">
        <v>4866</v>
      </c>
      <c r="U343" s="45">
        <v>35</v>
      </c>
      <c r="V343" t="s">
        <v>6932</v>
      </c>
      <c r="W343" s="1" t="str">
        <f>HYPERLINK("http://ictvonline.org/taxonomy/p/taxonomy-history?taxnode_id=201908415","ICTVonline=201908415")</f>
        <v>ICTVonline=201908415</v>
      </c>
    </row>
    <row r="344" spans="1:23">
      <c r="A344" s="3">
        <v>343</v>
      </c>
      <c r="B344" s="1" t="s">
        <v>6915</v>
      </c>
      <c r="D344" s="1" t="s">
        <v>6916</v>
      </c>
      <c r="F344" s="1" t="s">
        <v>6920</v>
      </c>
      <c r="H344" s="1" t="s">
        <v>6921</v>
      </c>
      <c r="J344" s="1" t="s">
        <v>1324</v>
      </c>
      <c r="L344" s="1" t="s">
        <v>6928</v>
      </c>
      <c r="M344" s="1" t="s">
        <v>7075</v>
      </c>
      <c r="N344" s="1" t="s">
        <v>7127</v>
      </c>
      <c r="P344" s="1" t="s">
        <v>7145</v>
      </c>
      <c r="Q344" s="3">
        <v>0</v>
      </c>
      <c r="R344" s="22" t="s">
        <v>2721</v>
      </c>
      <c r="S344" s="42" t="s">
        <v>6914</v>
      </c>
      <c r="T344" s="3" t="s">
        <v>4866</v>
      </c>
      <c r="U344" s="45">
        <v>35</v>
      </c>
      <c r="V344" t="s">
        <v>6932</v>
      </c>
      <c r="W344" s="1" t="str">
        <f>HYPERLINK("http://ictvonline.org/taxonomy/p/taxonomy-history?taxnode_id=201908411","ICTVonline=201908411")</f>
        <v>ICTVonline=201908411</v>
      </c>
    </row>
    <row r="345" spans="1:23">
      <c r="A345" s="3">
        <v>344</v>
      </c>
      <c r="B345" s="1" t="s">
        <v>6915</v>
      </c>
      <c r="D345" s="1" t="s">
        <v>6916</v>
      </c>
      <c r="F345" s="1" t="s">
        <v>6920</v>
      </c>
      <c r="H345" s="1" t="s">
        <v>6921</v>
      </c>
      <c r="J345" s="1" t="s">
        <v>1324</v>
      </c>
      <c r="L345" s="1" t="s">
        <v>6928</v>
      </c>
      <c r="M345" s="1" t="s">
        <v>7075</v>
      </c>
      <c r="N345" s="1" t="s">
        <v>7127</v>
      </c>
      <c r="P345" s="1" t="s">
        <v>7146</v>
      </c>
      <c r="Q345" s="3">
        <v>0</v>
      </c>
      <c r="R345" s="22" t="s">
        <v>2721</v>
      </c>
      <c r="S345" s="42" t="s">
        <v>6914</v>
      </c>
      <c r="T345" s="3" t="s">
        <v>4866</v>
      </c>
      <c r="U345" s="45">
        <v>35</v>
      </c>
      <c r="V345" t="s">
        <v>6932</v>
      </c>
      <c r="W345" s="1" t="str">
        <f>HYPERLINK("http://ictvonline.org/taxonomy/p/taxonomy-history?taxnode_id=201908417","ICTVonline=201908417")</f>
        <v>ICTVonline=201908417</v>
      </c>
    </row>
    <row r="346" spans="1:23">
      <c r="A346" s="3">
        <v>345</v>
      </c>
      <c r="B346" s="1" t="s">
        <v>6915</v>
      </c>
      <c r="D346" s="1" t="s">
        <v>6916</v>
      </c>
      <c r="F346" s="1" t="s">
        <v>6920</v>
      </c>
      <c r="H346" s="1" t="s">
        <v>6921</v>
      </c>
      <c r="J346" s="1" t="s">
        <v>1324</v>
      </c>
      <c r="L346" s="1" t="s">
        <v>6928</v>
      </c>
      <c r="M346" s="1" t="s">
        <v>7075</v>
      </c>
      <c r="N346" s="1" t="s">
        <v>7147</v>
      </c>
      <c r="P346" s="1" t="s">
        <v>7148</v>
      </c>
      <c r="Q346" s="3">
        <v>1</v>
      </c>
      <c r="R346" s="22" t="s">
        <v>2721</v>
      </c>
      <c r="S346" s="42" t="s">
        <v>6914</v>
      </c>
      <c r="T346" s="3" t="s">
        <v>4866</v>
      </c>
      <c r="U346" s="45">
        <v>35</v>
      </c>
      <c r="V346" t="s">
        <v>6932</v>
      </c>
      <c r="W346" s="1" t="str">
        <f>HYPERLINK("http://ictvonline.org/taxonomy/p/taxonomy-history?taxnode_id=201908369","ICTVonline=201908369")</f>
        <v>ICTVonline=201908369</v>
      </c>
    </row>
    <row r="347" spans="1:23">
      <c r="A347" s="3">
        <v>346</v>
      </c>
      <c r="B347" s="1" t="s">
        <v>6915</v>
      </c>
      <c r="D347" s="1" t="s">
        <v>6916</v>
      </c>
      <c r="F347" s="1" t="s">
        <v>6920</v>
      </c>
      <c r="H347" s="1" t="s">
        <v>6921</v>
      </c>
      <c r="J347" s="1" t="s">
        <v>1324</v>
      </c>
      <c r="L347" s="1" t="s">
        <v>6928</v>
      </c>
      <c r="M347" s="1" t="s">
        <v>7075</v>
      </c>
      <c r="N347" s="1" t="s">
        <v>7147</v>
      </c>
      <c r="P347" s="1" t="s">
        <v>7149</v>
      </c>
      <c r="Q347" s="3">
        <v>0</v>
      </c>
      <c r="R347" s="22" t="s">
        <v>2721</v>
      </c>
      <c r="S347" s="42" t="s">
        <v>6914</v>
      </c>
      <c r="T347" s="3" t="s">
        <v>4866</v>
      </c>
      <c r="U347" s="45">
        <v>35</v>
      </c>
      <c r="V347" t="s">
        <v>6932</v>
      </c>
      <c r="W347" s="1" t="str">
        <f>HYPERLINK("http://ictvonline.org/taxonomy/p/taxonomy-history?taxnode_id=201908368","ICTVonline=201908368")</f>
        <v>ICTVonline=201908368</v>
      </c>
    </row>
    <row r="348" spans="1:23">
      <c r="A348" s="3">
        <v>347</v>
      </c>
      <c r="B348" s="1" t="s">
        <v>6915</v>
      </c>
      <c r="D348" s="1" t="s">
        <v>6916</v>
      </c>
      <c r="F348" s="1" t="s">
        <v>6920</v>
      </c>
      <c r="H348" s="1" t="s">
        <v>6921</v>
      </c>
      <c r="J348" s="1" t="s">
        <v>1324</v>
      </c>
      <c r="L348" s="1" t="s">
        <v>6928</v>
      </c>
      <c r="M348" s="1" t="s">
        <v>7075</v>
      </c>
      <c r="N348" s="1" t="s">
        <v>7150</v>
      </c>
      <c r="P348" s="1" t="s">
        <v>7151</v>
      </c>
      <c r="Q348" s="3">
        <v>0</v>
      </c>
      <c r="R348" s="22" t="s">
        <v>2721</v>
      </c>
      <c r="S348" s="42" t="s">
        <v>6914</v>
      </c>
      <c r="T348" s="3" t="s">
        <v>4866</v>
      </c>
      <c r="U348" s="45">
        <v>35</v>
      </c>
      <c r="V348" t="s">
        <v>6932</v>
      </c>
      <c r="W348" s="1" t="str">
        <f>HYPERLINK("http://ictvonline.org/taxonomy/p/taxonomy-history?taxnode_id=201908386","ICTVonline=201908386")</f>
        <v>ICTVonline=201908386</v>
      </c>
    </row>
    <row r="349" spans="1:23">
      <c r="A349" s="3">
        <v>348</v>
      </c>
      <c r="B349" s="1" t="s">
        <v>6915</v>
      </c>
      <c r="D349" s="1" t="s">
        <v>6916</v>
      </c>
      <c r="F349" s="1" t="s">
        <v>6920</v>
      </c>
      <c r="H349" s="1" t="s">
        <v>6921</v>
      </c>
      <c r="J349" s="1" t="s">
        <v>1324</v>
      </c>
      <c r="L349" s="1" t="s">
        <v>6928</v>
      </c>
      <c r="M349" s="1" t="s">
        <v>7075</v>
      </c>
      <c r="N349" s="1" t="s">
        <v>7150</v>
      </c>
      <c r="P349" s="1" t="s">
        <v>7152</v>
      </c>
      <c r="Q349" s="3">
        <v>1</v>
      </c>
      <c r="R349" s="22" t="s">
        <v>2721</v>
      </c>
      <c r="S349" s="42" t="s">
        <v>6914</v>
      </c>
      <c r="T349" s="3" t="s">
        <v>4866</v>
      </c>
      <c r="U349" s="45">
        <v>35</v>
      </c>
      <c r="V349" t="s">
        <v>6932</v>
      </c>
      <c r="W349" s="1" t="str">
        <f>HYPERLINK("http://ictvonline.org/taxonomy/p/taxonomy-history?taxnode_id=201908385","ICTVonline=201908385")</f>
        <v>ICTVonline=201908385</v>
      </c>
    </row>
    <row r="350" spans="1:23">
      <c r="A350" s="3">
        <v>349</v>
      </c>
      <c r="B350" s="1" t="s">
        <v>6915</v>
      </c>
      <c r="D350" s="1" t="s">
        <v>6916</v>
      </c>
      <c r="F350" s="1" t="s">
        <v>6920</v>
      </c>
      <c r="H350" s="1" t="s">
        <v>6921</v>
      </c>
      <c r="J350" s="1" t="s">
        <v>1324</v>
      </c>
      <c r="L350" s="1" t="s">
        <v>6928</v>
      </c>
      <c r="M350" s="1" t="s">
        <v>7075</v>
      </c>
      <c r="N350" s="1" t="s">
        <v>7153</v>
      </c>
      <c r="P350" s="1" t="s">
        <v>7154</v>
      </c>
      <c r="Q350" s="3">
        <v>0</v>
      </c>
      <c r="R350" s="22" t="s">
        <v>2721</v>
      </c>
      <c r="S350" s="42" t="s">
        <v>6914</v>
      </c>
      <c r="T350" s="3" t="s">
        <v>4866</v>
      </c>
      <c r="U350" s="45">
        <v>35</v>
      </c>
      <c r="V350" t="s">
        <v>6932</v>
      </c>
      <c r="W350" s="1" t="str">
        <f>HYPERLINK("http://ictvonline.org/taxonomy/p/taxonomy-history?taxnode_id=201908371","ICTVonline=201908371")</f>
        <v>ICTVonline=201908371</v>
      </c>
    </row>
    <row r="351" spans="1:23">
      <c r="A351" s="3">
        <v>350</v>
      </c>
      <c r="B351" s="1" t="s">
        <v>6915</v>
      </c>
      <c r="D351" s="1" t="s">
        <v>6916</v>
      </c>
      <c r="F351" s="1" t="s">
        <v>6920</v>
      </c>
      <c r="H351" s="1" t="s">
        <v>6921</v>
      </c>
      <c r="J351" s="1" t="s">
        <v>1324</v>
      </c>
      <c r="L351" s="1" t="s">
        <v>6928</v>
      </c>
      <c r="M351" s="1" t="s">
        <v>7075</v>
      </c>
      <c r="N351" s="1" t="s">
        <v>7153</v>
      </c>
      <c r="P351" s="1" t="s">
        <v>7155</v>
      </c>
      <c r="Q351" s="3">
        <v>1</v>
      </c>
      <c r="R351" s="22" t="s">
        <v>2721</v>
      </c>
      <c r="S351" s="42" t="s">
        <v>6914</v>
      </c>
      <c r="T351" s="3" t="s">
        <v>4866</v>
      </c>
      <c r="U351" s="45">
        <v>35</v>
      </c>
      <c r="V351" t="s">
        <v>6932</v>
      </c>
      <c r="W351" s="1" t="str">
        <f>HYPERLINK("http://ictvonline.org/taxonomy/p/taxonomy-history?taxnode_id=201908373","ICTVonline=201908373")</f>
        <v>ICTVonline=201908373</v>
      </c>
    </row>
    <row r="352" spans="1:23">
      <c r="A352" s="3">
        <v>351</v>
      </c>
      <c r="B352" s="1" t="s">
        <v>6915</v>
      </c>
      <c r="D352" s="1" t="s">
        <v>6916</v>
      </c>
      <c r="F352" s="1" t="s">
        <v>6920</v>
      </c>
      <c r="H352" s="1" t="s">
        <v>6921</v>
      </c>
      <c r="J352" s="1" t="s">
        <v>1324</v>
      </c>
      <c r="L352" s="1" t="s">
        <v>6928</v>
      </c>
      <c r="M352" s="1" t="s">
        <v>7075</v>
      </c>
      <c r="N352" s="1" t="s">
        <v>7153</v>
      </c>
      <c r="P352" s="1" t="s">
        <v>7156</v>
      </c>
      <c r="Q352" s="3">
        <v>0</v>
      </c>
      <c r="R352" s="22" t="s">
        <v>2721</v>
      </c>
      <c r="S352" s="42" t="s">
        <v>6914</v>
      </c>
      <c r="T352" s="3" t="s">
        <v>4866</v>
      </c>
      <c r="U352" s="45">
        <v>35</v>
      </c>
      <c r="V352" t="s">
        <v>6932</v>
      </c>
      <c r="W352" s="1" t="str">
        <f>HYPERLINK("http://ictvonline.org/taxonomy/p/taxonomy-history?taxnode_id=201908372","ICTVonline=201908372")</f>
        <v>ICTVonline=201908372</v>
      </c>
    </row>
    <row r="353" spans="1:23">
      <c r="A353" s="3">
        <v>352</v>
      </c>
      <c r="B353" s="1" t="s">
        <v>6915</v>
      </c>
      <c r="D353" s="1" t="s">
        <v>6916</v>
      </c>
      <c r="F353" s="1" t="s">
        <v>6920</v>
      </c>
      <c r="H353" s="1" t="s">
        <v>6921</v>
      </c>
      <c r="J353" s="1" t="s">
        <v>1324</v>
      </c>
      <c r="L353" s="1" t="s">
        <v>6928</v>
      </c>
      <c r="M353" s="1" t="s">
        <v>7075</v>
      </c>
      <c r="N353" s="1" t="s">
        <v>7157</v>
      </c>
      <c r="P353" s="1" t="s">
        <v>7158</v>
      </c>
      <c r="Q353" s="3">
        <v>1</v>
      </c>
      <c r="R353" s="22" t="s">
        <v>2721</v>
      </c>
      <c r="S353" s="42" t="s">
        <v>6914</v>
      </c>
      <c r="T353" s="3" t="s">
        <v>4866</v>
      </c>
      <c r="U353" s="45">
        <v>35</v>
      </c>
      <c r="V353" t="s">
        <v>6932</v>
      </c>
      <c r="W353" s="1" t="str">
        <f>HYPERLINK("http://ictvonline.org/taxonomy/p/taxonomy-history?taxnode_id=201908357","ICTVonline=201908357")</f>
        <v>ICTVonline=201908357</v>
      </c>
    </row>
    <row r="354" spans="1:23">
      <c r="A354" s="3">
        <v>353</v>
      </c>
      <c r="B354" s="1" t="s">
        <v>6915</v>
      </c>
      <c r="D354" s="1" t="s">
        <v>6916</v>
      </c>
      <c r="F354" s="1" t="s">
        <v>6920</v>
      </c>
      <c r="H354" s="1" t="s">
        <v>6921</v>
      </c>
      <c r="J354" s="1" t="s">
        <v>1324</v>
      </c>
      <c r="L354" s="1" t="s">
        <v>6928</v>
      </c>
      <c r="M354" s="1" t="s">
        <v>7075</v>
      </c>
      <c r="N354" s="1" t="s">
        <v>7159</v>
      </c>
      <c r="P354" s="1" t="s">
        <v>7160</v>
      </c>
      <c r="Q354" s="3">
        <v>0</v>
      </c>
      <c r="R354" s="22" t="s">
        <v>2721</v>
      </c>
      <c r="S354" s="42" t="s">
        <v>6914</v>
      </c>
      <c r="T354" s="3" t="s">
        <v>4866</v>
      </c>
      <c r="U354" s="45">
        <v>35</v>
      </c>
      <c r="V354" t="s">
        <v>6932</v>
      </c>
      <c r="W354" s="1" t="str">
        <f>HYPERLINK("http://ictvonline.org/taxonomy/p/taxonomy-history?taxnode_id=201908365","ICTVonline=201908365")</f>
        <v>ICTVonline=201908365</v>
      </c>
    </row>
    <row r="355" spans="1:23">
      <c r="A355" s="3">
        <v>354</v>
      </c>
      <c r="B355" s="1" t="s">
        <v>6915</v>
      </c>
      <c r="D355" s="1" t="s">
        <v>6916</v>
      </c>
      <c r="F355" s="1" t="s">
        <v>6920</v>
      </c>
      <c r="H355" s="1" t="s">
        <v>6921</v>
      </c>
      <c r="J355" s="1" t="s">
        <v>1324</v>
      </c>
      <c r="L355" s="1" t="s">
        <v>6928</v>
      </c>
      <c r="M355" s="1" t="s">
        <v>7075</v>
      </c>
      <c r="N355" s="1" t="s">
        <v>7159</v>
      </c>
      <c r="P355" s="1" t="s">
        <v>7161</v>
      </c>
      <c r="Q355" s="3">
        <v>0</v>
      </c>
      <c r="R355" s="22" t="s">
        <v>2721</v>
      </c>
      <c r="S355" s="42" t="s">
        <v>6914</v>
      </c>
      <c r="T355" s="3" t="s">
        <v>4866</v>
      </c>
      <c r="U355" s="45">
        <v>35</v>
      </c>
      <c r="V355" t="s">
        <v>6932</v>
      </c>
      <c r="W355" s="1" t="str">
        <f>HYPERLINK("http://ictvonline.org/taxonomy/p/taxonomy-history?taxnode_id=201908362","ICTVonline=201908362")</f>
        <v>ICTVonline=201908362</v>
      </c>
    </row>
    <row r="356" spans="1:23">
      <c r="A356" s="3">
        <v>355</v>
      </c>
      <c r="B356" s="1" t="s">
        <v>6915</v>
      </c>
      <c r="D356" s="1" t="s">
        <v>6916</v>
      </c>
      <c r="F356" s="1" t="s">
        <v>6920</v>
      </c>
      <c r="H356" s="1" t="s">
        <v>6921</v>
      </c>
      <c r="J356" s="1" t="s">
        <v>1324</v>
      </c>
      <c r="L356" s="1" t="s">
        <v>6928</v>
      </c>
      <c r="M356" s="1" t="s">
        <v>7075</v>
      </c>
      <c r="N356" s="1" t="s">
        <v>7159</v>
      </c>
      <c r="P356" s="1" t="s">
        <v>7162</v>
      </c>
      <c r="Q356" s="3">
        <v>1</v>
      </c>
      <c r="R356" s="22" t="s">
        <v>2721</v>
      </c>
      <c r="S356" s="42" t="s">
        <v>6914</v>
      </c>
      <c r="T356" s="3" t="s">
        <v>4866</v>
      </c>
      <c r="U356" s="45">
        <v>35</v>
      </c>
      <c r="V356" t="s">
        <v>6932</v>
      </c>
      <c r="W356" s="1" t="str">
        <f>HYPERLINK("http://ictvonline.org/taxonomy/p/taxonomy-history?taxnode_id=201908361","ICTVonline=201908361")</f>
        <v>ICTVonline=201908361</v>
      </c>
    </row>
    <row r="357" spans="1:23">
      <c r="A357" s="3">
        <v>356</v>
      </c>
      <c r="B357" s="1" t="s">
        <v>6915</v>
      </c>
      <c r="D357" s="1" t="s">
        <v>6916</v>
      </c>
      <c r="F357" s="1" t="s">
        <v>6920</v>
      </c>
      <c r="H357" s="1" t="s">
        <v>6921</v>
      </c>
      <c r="J357" s="1" t="s">
        <v>1324</v>
      </c>
      <c r="L357" s="1" t="s">
        <v>6928</v>
      </c>
      <c r="M357" s="1" t="s">
        <v>7075</v>
      </c>
      <c r="N357" s="1" t="s">
        <v>7159</v>
      </c>
      <c r="P357" s="1" t="s">
        <v>7163</v>
      </c>
      <c r="Q357" s="3">
        <v>0</v>
      </c>
      <c r="R357" s="22" t="s">
        <v>2721</v>
      </c>
      <c r="S357" s="42" t="s">
        <v>6914</v>
      </c>
      <c r="T357" s="3" t="s">
        <v>4866</v>
      </c>
      <c r="U357" s="45">
        <v>35</v>
      </c>
      <c r="V357" t="s">
        <v>6932</v>
      </c>
      <c r="W357" s="1" t="str">
        <f>HYPERLINK("http://ictvonline.org/taxonomy/p/taxonomy-history?taxnode_id=201908366","ICTVonline=201908366")</f>
        <v>ICTVonline=201908366</v>
      </c>
    </row>
    <row r="358" spans="1:23">
      <c r="A358" s="3">
        <v>357</v>
      </c>
      <c r="B358" s="1" t="s">
        <v>6915</v>
      </c>
      <c r="D358" s="1" t="s">
        <v>6916</v>
      </c>
      <c r="F358" s="1" t="s">
        <v>6920</v>
      </c>
      <c r="H358" s="1" t="s">
        <v>6921</v>
      </c>
      <c r="J358" s="1" t="s">
        <v>1324</v>
      </c>
      <c r="L358" s="1" t="s">
        <v>6928</v>
      </c>
      <c r="M358" s="1" t="s">
        <v>7075</v>
      </c>
      <c r="N358" s="1" t="s">
        <v>7159</v>
      </c>
      <c r="P358" s="1" t="s">
        <v>7164</v>
      </c>
      <c r="Q358" s="3">
        <v>0</v>
      </c>
      <c r="R358" s="22" t="s">
        <v>2721</v>
      </c>
      <c r="S358" s="42" t="s">
        <v>6914</v>
      </c>
      <c r="T358" s="3" t="s">
        <v>4866</v>
      </c>
      <c r="U358" s="45">
        <v>35</v>
      </c>
      <c r="V358" t="s">
        <v>6932</v>
      </c>
      <c r="W358" s="1" t="str">
        <f>HYPERLINK("http://ictvonline.org/taxonomy/p/taxonomy-history?taxnode_id=201908363","ICTVonline=201908363")</f>
        <v>ICTVonline=201908363</v>
      </c>
    </row>
    <row r="359" spans="1:23">
      <c r="A359" s="3">
        <v>358</v>
      </c>
      <c r="B359" s="1" t="s">
        <v>6915</v>
      </c>
      <c r="D359" s="1" t="s">
        <v>6916</v>
      </c>
      <c r="F359" s="1" t="s">
        <v>6920</v>
      </c>
      <c r="H359" s="1" t="s">
        <v>6921</v>
      </c>
      <c r="J359" s="1" t="s">
        <v>1324</v>
      </c>
      <c r="L359" s="1" t="s">
        <v>6928</v>
      </c>
      <c r="M359" s="1" t="s">
        <v>7075</v>
      </c>
      <c r="N359" s="1" t="s">
        <v>7159</v>
      </c>
      <c r="P359" s="1" t="s">
        <v>7165</v>
      </c>
      <c r="Q359" s="3">
        <v>0</v>
      </c>
      <c r="R359" s="22" t="s">
        <v>2721</v>
      </c>
      <c r="S359" s="42" t="s">
        <v>6914</v>
      </c>
      <c r="T359" s="3" t="s">
        <v>4866</v>
      </c>
      <c r="U359" s="45">
        <v>35</v>
      </c>
      <c r="V359" t="s">
        <v>6932</v>
      </c>
      <c r="W359" s="1" t="str">
        <f>HYPERLINK("http://ictvonline.org/taxonomy/p/taxonomy-history?taxnode_id=201908364","ICTVonline=201908364")</f>
        <v>ICTVonline=201908364</v>
      </c>
    </row>
    <row r="360" spans="1:23">
      <c r="A360" s="3">
        <v>359</v>
      </c>
      <c r="B360" s="1" t="s">
        <v>6915</v>
      </c>
      <c r="D360" s="1" t="s">
        <v>6916</v>
      </c>
      <c r="F360" s="1" t="s">
        <v>6920</v>
      </c>
      <c r="H360" s="1" t="s">
        <v>6921</v>
      </c>
      <c r="J360" s="1" t="s">
        <v>1324</v>
      </c>
      <c r="L360" s="1" t="s">
        <v>6928</v>
      </c>
      <c r="M360" s="1" t="s">
        <v>7075</v>
      </c>
      <c r="N360" s="1" t="s">
        <v>7166</v>
      </c>
      <c r="P360" s="1" t="s">
        <v>7167</v>
      </c>
      <c r="Q360" s="3">
        <v>1</v>
      </c>
      <c r="R360" s="22" t="s">
        <v>2721</v>
      </c>
      <c r="S360" s="42" t="s">
        <v>6914</v>
      </c>
      <c r="T360" s="3" t="s">
        <v>4866</v>
      </c>
      <c r="U360" s="45">
        <v>35</v>
      </c>
      <c r="V360" t="s">
        <v>6932</v>
      </c>
      <c r="W360" s="1" t="str">
        <f>HYPERLINK("http://ictvonline.org/taxonomy/p/taxonomy-history?taxnode_id=201908355","ICTVonline=201908355")</f>
        <v>ICTVonline=201908355</v>
      </c>
    </row>
    <row r="361" spans="1:23">
      <c r="A361" s="3">
        <v>360</v>
      </c>
      <c r="B361" s="1" t="s">
        <v>6915</v>
      </c>
      <c r="D361" s="1" t="s">
        <v>6916</v>
      </c>
      <c r="F361" s="1" t="s">
        <v>6920</v>
      </c>
      <c r="H361" s="1" t="s">
        <v>6921</v>
      </c>
      <c r="J361" s="1" t="s">
        <v>1324</v>
      </c>
      <c r="L361" s="1" t="s">
        <v>6928</v>
      </c>
      <c r="M361" s="1" t="s">
        <v>7075</v>
      </c>
      <c r="N361" s="1" t="s">
        <v>6449</v>
      </c>
      <c r="P361" s="1" t="s">
        <v>4212</v>
      </c>
      <c r="Q361" s="3">
        <v>0</v>
      </c>
      <c r="R361" s="22" t="s">
        <v>2721</v>
      </c>
      <c r="S361" s="42" t="s">
        <v>6910</v>
      </c>
      <c r="T361" s="3" t="s">
        <v>4868</v>
      </c>
      <c r="U361" s="45">
        <v>35</v>
      </c>
      <c r="V361" t="s">
        <v>6932</v>
      </c>
      <c r="W361" s="1" t="str">
        <f>HYPERLINK("http://ictvonline.org/taxonomy/p/taxonomy-history?taxnode_id=201900551","ICTVonline=201900551")</f>
        <v>ICTVonline=201900551</v>
      </c>
    </row>
    <row r="362" spans="1:23">
      <c r="A362" s="3">
        <v>361</v>
      </c>
      <c r="B362" s="1" t="s">
        <v>6915</v>
      </c>
      <c r="D362" s="1" t="s">
        <v>6916</v>
      </c>
      <c r="F362" s="1" t="s">
        <v>6920</v>
      </c>
      <c r="H362" s="1" t="s">
        <v>6921</v>
      </c>
      <c r="J362" s="1" t="s">
        <v>1324</v>
      </c>
      <c r="L362" s="1" t="s">
        <v>6928</v>
      </c>
      <c r="M362" s="1" t="s">
        <v>7075</v>
      </c>
      <c r="N362" s="1" t="s">
        <v>6449</v>
      </c>
      <c r="P362" s="1" t="s">
        <v>7168</v>
      </c>
      <c r="Q362" s="3">
        <v>0</v>
      </c>
      <c r="R362" s="22" t="s">
        <v>2721</v>
      </c>
      <c r="S362" s="42" t="s">
        <v>6914</v>
      </c>
      <c r="T362" s="3" t="s">
        <v>4866</v>
      </c>
      <c r="U362" s="45">
        <v>35</v>
      </c>
      <c r="V362" t="s">
        <v>6932</v>
      </c>
      <c r="W362" s="1" t="str">
        <f>HYPERLINK("http://ictvonline.org/taxonomy/p/taxonomy-history?taxnode_id=201908439","ICTVonline=201908439")</f>
        <v>ICTVonline=201908439</v>
      </c>
    </row>
    <row r="363" spans="1:23">
      <c r="A363" s="3">
        <v>362</v>
      </c>
      <c r="B363" s="1" t="s">
        <v>6915</v>
      </c>
      <c r="D363" s="1" t="s">
        <v>6916</v>
      </c>
      <c r="F363" s="1" t="s">
        <v>6920</v>
      </c>
      <c r="H363" s="1" t="s">
        <v>6921</v>
      </c>
      <c r="J363" s="1" t="s">
        <v>1324</v>
      </c>
      <c r="L363" s="1" t="s">
        <v>6928</v>
      </c>
      <c r="M363" s="1" t="s">
        <v>7075</v>
      </c>
      <c r="N363" s="1" t="s">
        <v>6449</v>
      </c>
      <c r="P363" s="1" t="s">
        <v>7169</v>
      </c>
      <c r="Q363" s="3">
        <v>0</v>
      </c>
      <c r="R363" s="22" t="s">
        <v>2721</v>
      </c>
      <c r="S363" s="42" t="s">
        <v>6914</v>
      </c>
      <c r="T363" s="3" t="s">
        <v>4866</v>
      </c>
      <c r="U363" s="45">
        <v>35</v>
      </c>
      <c r="V363" t="s">
        <v>6932</v>
      </c>
      <c r="W363" s="1" t="str">
        <f>HYPERLINK("http://ictvonline.org/taxonomy/p/taxonomy-history?taxnode_id=201908438","ICTVonline=201908438")</f>
        <v>ICTVonline=201908438</v>
      </c>
    </row>
    <row r="364" spans="1:23">
      <c r="A364" s="3">
        <v>363</v>
      </c>
      <c r="B364" s="1" t="s">
        <v>6915</v>
      </c>
      <c r="D364" s="1" t="s">
        <v>6916</v>
      </c>
      <c r="F364" s="1" t="s">
        <v>6920</v>
      </c>
      <c r="H364" s="1" t="s">
        <v>6921</v>
      </c>
      <c r="J364" s="1" t="s">
        <v>1324</v>
      </c>
      <c r="L364" s="1" t="s">
        <v>6928</v>
      </c>
      <c r="M364" s="1" t="s">
        <v>7075</v>
      </c>
      <c r="N364" s="1" t="s">
        <v>6449</v>
      </c>
      <c r="P364" s="1" t="s">
        <v>7170</v>
      </c>
      <c r="Q364" s="3">
        <v>0</v>
      </c>
      <c r="R364" s="22" t="s">
        <v>2721</v>
      </c>
      <c r="S364" s="42" t="s">
        <v>6914</v>
      </c>
      <c r="T364" s="3" t="s">
        <v>4866</v>
      </c>
      <c r="U364" s="45">
        <v>35</v>
      </c>
      <c r="V364" t="s">
        <v>6932</v>
      </c>
      <c r="W364" s="1" t="str">
        <f>HYPERLINK("http://ictvonline.org/taxonomy/p/taxonomy-history?taxnode_id=201908447","ICTVonline=201908447")</f>
        <v>ICTVonline=201908447</v>
      </c>
    </row>
    <row r="365" spans="1:23">
      <c r="A365" s="3">
        <v>364</v>
      </c>
      <c r="B365" s="1" t="s">
        <v>6915</v>
      </c>
      <c r="D365" s="1" t="s">
        <v>6916</v>
      </c>
      <c r="F365" s="1" t="s">
        <v>6920</v>
      </c>
      <c r="H365" s="1" t="s">
        <v>6921</v>
      </c>
      <c r="J365" s="1" t="s">
        <v>1324</v>
      </c>
      <c r="L365" s="1" t="s">
        <v>6928</v>
      </c>
      <c r="M365" s="1" t="s">
        <v>7075</v>
      </c>
      <c r="N365" s="1" t="s">
        <v>6449</v>
      </c>
      <c r="P365" s="1" t="s">
        <v>7171</v>
      </c>
      <c r="Q365" s="3">
        <v>0</v>
      </c>
      <c r="R365" s="22" t="s">
        <v>2721</v>
      </c>
      <c r="S365" s="42" t="s">
        <v>6914</v>
      </c>
      <c r="T365" s="3" t="s">
        <v>4866</v>
      </c>
      <c r="U365" s="45">
        <v>35</v>
      </c>
      <c r="V365" t="s">
        <v>6932</v>
      </c>
      <c r="W365" s="1" t="str">
        <f>HYPERLINK("http://ictvonline.org/taxonomy/p/taxonomy-history?taxnode_id=201908437","ICTVonline=201908437")</f>
        <v>ICTVonline=201908437</v>
      </c>
    </row>
    <row r="366" spans="1:23">
      <c r="A366" s="3">
        <v>365</v>
      </c>
      <c r="B366" s="1" t="s">
        <v>6915</v>
      </c>
      <c r="D366" s="1" t="s">
        <v>6916</v>
      </c>
      <c r="F366" s="1" t="s">
        <v>6920</v>
      </c>
      <c r="H366" s="1" t="s">
        <v>6921</v>
      </c>
      <c r="J366" s="1" t="s">
        <v>1324</v>
      </c>
      <c r="L366" s="1" t="s">
        <v>6928</v>
      </c>
      <c r="M366" s="1" t="s">
        <v>7075</v>
      </c>
      <c r="N366" s="1" t="s">
        <v>6449</v>
      </c>
      <c r="P366" s="1" t="s">
        <v>7172</v>
      </c>
      <c r="Q366" s="3">
        <v>0</v>
      </c>
      <c r="R366" s="22" t="s">
        <v>2721</v>
      </c>
      <c r="S366" s="42" t="s">
        <v>6914</v>
      </c>
      <c r="T366" s="3" t="s">
        <v>4866</v>
      </c>
      <c r="U366" s="45">
        <v>35</v>
      </c>
      <c r="V366" t="s">
        <v>6932</v>
      </c>
      <c r="W366" s="1" t="str">
        <f>HYPERLINK("http://ictvonline.org/taxonomy/p/taxonomy-history?taxnode_id=201908430","ICTVonline=201908430")</f>
        <v>ICTVonline=201908430</v>
      </c>
    </row>
    <row r="367" spans="1:23">
      <c r="A367" s="3">
        <v>366</v>
      </c>
      <c r="B367" s="1" t="s">
        <v>6915</v>
      </c>
      <c r="D367" s="1" t="s">
        <v>6916</v>
      </c>
      <c r="F367" s="1" t="s">
        <v>6920</v>
      </c>
      <c r="H367" s="1" t="s">
        <v>6921</v>
      </c>
      <c r="J367" s="1" t="s">
        <v>1324</v>
      </c>
      <c r="L367" s="1" t="s">
        <v>6928</v>
      </c>
      <c r="M367" s="1" t="s">
        <v>7075</v>
      </c>
      <c r="N367" s="1" t="s">
        <v>6449</v>
      </c>
      <c r="P367" s="1" t="s">
        <v>7173</v>
      </c>
      <c r="Q367" s="3">
        <v>0</v>
      </c>
      <c r="R367" s="22" t="s">
        <v>2721</v>
      </c>
      <c r="S367" s="42" t="s">
        <v>6914</v>
      </c>
      <c r="T367" s="3" t="s">
        <v>4866</v>
      </c>
      <c r="U367" s="45">
        <v>35</v>
      </c>
      <c r="V367" t="s">
        <v>6932</v>
      </c>
      <c r="W367" s="1" t="str">
        <f>HYPERLINK("http://ictvonline.org/taxonomy/p/taxonomy-history?taxnode_id=201908445","ICTVonline=201908445")</f>
        <v>ICTVonline=201908445</v>
      </c>
    </row>
    <row r="368" spans="1:23">
      <c r="A368" s="3">
        <v>367</v>
      </c>
      <c r="B368" s="1" t="s">
        <v>6915</v>
      </c>
      <c r="D368" s="1" t="s">
        <v>6916</v>
      </c>
      <c r="F368" s="1" t="s">
        <v>6920</v>
      </c>
      <c r="H368" s="1" t="s">
        <v>6921</v>
      </c>
      <c r="J368" s="1" t="s">
        <v>1324</v>
      </c>
      <c r="L368" s="1" t="s">
        <v>6928</v>
      </c>
      <c r="M368" s="1" t="s">
        <v>7075</v>
      </c>
      <c r="N368" s="1" t="s">
        <v>6449</v>
      </c>
      <c r="P368" s="1" t="s">
        <v>4213</v>
      </c>
      <c r="Q368" s="3">
        <v>0</v>
      </c>
      <c r="R368" s="22" t="s">
        <v>2721</v>
      </c>
      <c r="S368" s="42" t="s">
        <v>6910</v>
      </c>
      <c r="T368" s="3" t="s">
        <v>4868</v>
      </c>
      <c r="U368" s="45">
        <v>35</v>
      </c>
      <c r="V368" t="s">
        <v>6932</v>
      </c>
      <c r="W368" s="1" t="str">
        <f>HYPERLINK("http://ictvonline.org/taxonomy/p/taxonomy-history?taxnode_id=201900552","ICTVonline=201900552")</f>
        <v>ICTVonline=201900552</v>
      </c>
    </row>
    <row r="369" spans="1:23">
      <c r="A369" s="3">
        <v>368</v>
      </c>
      <c r="B369" s="1" t="s">
        <v>6915</v>
      </c>
      <c r="D369" s="1" t="s">
        <v>6916</v>
      </c>
      <c r="F369" s="1" t="s">
        <v>6920</v>
      </c>
      <c r="H369" s="1" t="s">
        <v>6921</v>
      </c>
      <c r="J369" s="1" t="s">
        <v>1324</v>
      </c>
      <c r="L369" s="1" t="s">
        <v>6928</v>
      </c>
      <c r="M369" s="1" t="s">
        <v>7075</v>
      </c>
      <c r="N369" s="1" t="s">
        <v>6449</v>
      </c>
      <c r="P369" s="1" t="s">
        <v>4214</v>
      </c>
      <c r="Q369" s="3">
        <v>0</v>
      </c>
      <c r="R369" s="22" t="s">
        <v>2721</v>
      </c>
      <c r="S369" s="42" t="s">
        <v>6910</v>
      </c>
      <c r="T369" s="3" t="s">
        <v>4868</v>
      </c>
      <c r="U369" s="45">
        <v>35</v>
      </c>
      <c r="V369" t="s">
        <v>6932</v>
      </c>
      <c r="W369" s="1" t="str">
        <f>HYPERLINK("http://ictvonline.org/taxonomy/p/taxonomy-history?taxnode_id=201900553","ICTVonline=201900553")</f>
        <v>ICTVonline=201900553</v>
      </c>
    </row>
    <row r="370" spans="1:23">
      <c r="A370" s="3">
        <v>369</v>
      </c>
      <c r="B370" s="1" t="s">
        <v>6915</v>
      </c>
      <c r="D370" s="1" t="s">
        <v>6916</v>
      </c>
      <c r="F370" s="1" t="s">
        <v>6920</v>
      </c>
      <c r="H370" s="1" t="s">
        <v>6921</v>
      </c>
      <c r="J370" s="1" t="s">
        <v>1324</v>
      </c>
      <c r="L370" s="1" t="s">
        <v>6928</v>
      </c>
      <c r="M370" s="1" t="s">
        <v>7075</v>
      </c>
      <c r="N370" s="1" t="s">
        <v>6449</v>
      </c>
      <c r="P370" s="1" t="s">
        <v>7174</v>
      </c>
      <c r="Q370" s="3">
        <v>0</v>
      </c>
      <c r="R370" s="22" t="s">
        <v>2721</v>
      </c>
      <c r="S370" s="42" t="s">
        <v>6914</v>
      </c>
      <c r="T370" s="3" t="s">
        <v>4866</v>
      </c>
      <c r="U370" s="45">
        <v>35</v>
      </c>
      <c r="V370" t="s">
        <v>6932</v>
      </c>
      <c r="W370" s="1" t="str">
        <f>HYPERLINK("http://ictvonline.org/taxonomy/p/taxonomy-history?taxnode_id=201908434","ICTVonline=201908434")</f>
        <v>ICTVonline=201908434</v>
      </c>
    </row>
    <row r="371" spans="1:23">
      <c r="A371" s="3">
        <v>370</v>
      </c>
      <c r="B371" s="1" t="s">
        <v>6915</v>
      </c>
      <c r="D371" s="1" t="s">
        <v>6916</v>
      </c>
      <c r="F371" s="1" t="s">
        <v>6920</v>
      </c>
      <c r="H371" s="1" t="s">
        <v>6921</v>
      </c>
      <c r="J371" s="1" t="s">
        <v>1324</v>
      </c>
      <c r="L371" s="1" t="s">
        <v>6928</v>
      </c>
      <c r="M371" s="1" t="s">
        <v>7075</v>
      </c>
      <c r="N371" s="1" t="s">
        <v>6449</v>
      </c>
      <c r="P371" s="1" t="s">
        <v>7175</v>
      </c>
      <c r="Q371" s="3">
        <v>0</v>
      </c>
      <c r="R371" s="22" t="s">
        <v>2721</v>
      </c>
      <c r="S371" s="42" t="s">
        <v>6914</v>
      </c>
      <c r="T371" s="3" t="s">
        <v>4866</v>
      </c>
      <c r="U371" s="45">
        <v>35</v>
      </c>
      <c r="V371" t="s">
        <v>6932</v>
      </c>
      <c r="W371" s="1" t="str">
        <f>HYPERLINK("http://ictvonline.org/taxonomy/p/taxonomy-history?taxnode_id=201908435","ICTVonline=201908435")</f>
        <v>ICTVonline=201908435</v>
      </c>
    </row>
    <row r="372" spans="1:23">
      <c r="A372" s="3">
        <v>371</v>
      </c>
      <c r="B372" s="1" t="s">
        <v>6915</v>
      </c>
      <c r="D372" s="1" t="s">
        <v>6916</v>
      </c>
      <c r="F372" s="1" t="s">
        <v>6920</v>
      </c>
      <c r="H372" s="1" t="s">
        <v>6921</v>
      </c>
      <c r="J372" s="1" t="s">
        <v>1324</v>
      </c>
      <c r="L372" s="1" t="s">
        <v>6928</v>
      </c>
      <c r="M372" s="1" t="s">
        <v>7075</v>
      </c>
      <c r="N372" s="1" t="s">
        <v>6449</v>
      </c>
      <c r="P372" s="1" t="s">
        <v>7176</v>
      </c>
      <c r="Q372" s="3">
        <v>0</v>
      </c>
      <c r="R372" s="22" t="s">
        <v>2721</v>
      </c>
      <c r="S372" s="42" t="s">
        <v>6914</v>
      </c>
      <c r="T372" s="3" t="s">
        <v>4866</v>
      </c>
      <c r="U372" s="45">
        <v>35</v>
      </c>
      <c r="V372" t="s">
        <v>6932</v>
      </c>
      <c r="W372" s="1" t="str">
        <f>HYPERLINK("http://ictvonline.org/taxonomy/p/taxonomy-history?taxnode_id=201908450","ICTVonline=201908450")</f>
        <v>ICTVonline=201908450</v>
      </c>
    </row>
    <row r="373" spans="1:23">
      <c r="A373" s="3">
        <v>372</v>
      </c>
      <c r="B373" s="1" t="s">
        <v>6915</v>
      </c>
      <c r="D373" s="1" t="s">
        <v>6916</v>
      </c>
      <c r="F373" s="1" t="s">
        <v>6920</v>
      </c>
      <c r="H373" s="1" t="s">
        <v>6921</v>
      </c>
      <c r="J373" s="1" t="s">
        <v>1324</v>
      </c>
      <c r="L373" s="1" t="s">
        <v>6928</v>
      </c>
      <c r="M373" s="1" t="s">
        <v>7075</v>
      </c>
      <c r="N373" s="1" t="s">
        <v>6449</v>
      </c>
      <c r="P373" s="1" t="s">
        <v>7177</v>
      </c>
      <c r="Q373" s="3">
        <v>0</v>
      </c>
      <c r="R373" s="22" t="s">
        <v>2721</v>
      </c>
      <c r="S373" s="42" t="s">
        <v>6914</v>
      </c>
      <c r="T373" s="3" t="s">
        <v>4866</v>
      </c>
      <c r="U373" s="45">
        <v>35</v>
      </c>
      <c r="V373" t="s">
        <v>6932</v>
      </c>
      <c r="W373" s="1" t="str">
        <f>HYPERLINK("http://ictvonline.org/taxonomy/p/taxonomy-history?taxnode_id=201908451","ICTVonline=201908451")</f>
        <v>ICTVonline=201908451</v>
      </c>
    </row>
    <row r="374" spans="1:23">
      <c r="A374" s="3">
        <v>373</v>
      </c>
      <c r="B374" s="1" t="s">
        <v>6915</v>
      </c>
      <c r="D374" s="1" t="s">
        <v>6916</v>
      </c>
      <c r="F374" s="1" t="s">
        <v>6920</v>
      </c>
      <c r="H374" s="1" t="s">
        <v>6921</v>
      </c>
      <c r="J374" s="1" t="s">
        <v>1324</v>
      </c>
      <c r="L374" s="1" t="s">
        <v>6928</v>
      </c>
      <c r="M374" s="1" t="s">
        <v>7075</v>
      </c>
      <c r="N374" s="1" t="s">
        <v>6449</v>
      </c>
      <c r="P374" s="1" t="s">
        <v>7178</v>
      </c>
      <c r="Q374" s="3">
        <v>0</v>
      </c>
      <c r="R374" s="22" t="s">
        <v>2721</v>
      </c>
      <c r="S374" s="42" t="s">
        <v>6914</v>
      </c>
      <c r="T374" s="3" t="s">
        <v>4866</v>
      </c>
      <c r="U374" s="45">
        <v>35</v>
      </c>
      <c r="V374" t="s">
        <v>6932</v>
      </c>
      <c r="W374" s="1" t="str">
        <f>HYPERLINK("http://ictvonline.org/taxonomy/p/taxonomy-history?taxnode_id=201908452","ICTVonline=201908452")</f>
        <v>ICTVonline=201908452</v>
      </c>
    </row>
    <row r="375" spans="1:23">
      <c r="A375" s="3">
        <v>374</v>
      </c>
      <c r="B375" s="1" t="s">
        <v>6915</v>
      </c>
      <c r="D375" s="1" t="s">
        <v>6916</v>
      </c>
      <c r="F375" s="1" t="s">
        <v>6920</v>
      </c>
      <c r="H375" s="1" t="s">
        <v>6921</v>
      </c>
      <c r="J375" s="1" t="s">
        <v>1324</v>
      </c>
      <c r="L375" s="1" t="s">
        <v>6928</v>
      </c>
      <c r="M375" s="1" t="s">
        <v>7075</v>
      </c>
      <c r="N375" s="1" t="s">
        <v>6449</v>
      </c>
      <c r="P375" s="1" t="s">
        <v>4215</v>
      </c>
      <c r="Q375" s="3">
        <v>0</v>
      </c>
      <c r="R375" s="22" t="s">
        <v>2721</v>
      </c>
      <c r="S375" s="42" t="s">
        <v>6910</v>
      </c>
      <c r="T375" s="3" t="s">
        <v>4868</v>
      </c>
      <c r="U375" s="45">
        <v>35</v>
      </c>
      <c r="V375" t="s">
        <v>6932</v>
      </c>
      <c r="W375" s="1" t="str">
        <f>HYPERLINK("http://ictvonline.org/taxonomy/p/taxonomy-history?taxnode_id=201900554","ICTVonline=201900554")</f>
        <v>ICTVonline=201900554</v>
      </c>
    </row>
    <row r="376" spans="1:23">
      <c r="A376" s="3">
        <v>375</v>
      </c>
      <c r="B376" s="1" t="s">
        <v>6915</v>
      </c>
      <c r="D376" s="1" t="s">
        <v>6916</v>
      </c>
      <c r="F376" s="1" t="s">
        <v>6920</v>
      </c>
      <c r="H376" s="1" t="s">
        <v>6921</v>
      </c>
      <c r="J376" s="1" t="s">
        <v>1324</v>
      </c>
      <c r="L376" s="1" t="s">
        <v>6928</v>
      </c>
      <c r="M376" s="1" t="s">
        <v>7075</v>
      </c>
      <c r="N376" s="1" t="s">
        <v>6449</v>
      </c>
      <c r="P376" s="1" t="s">
        <v>4216</v>
      </c>
      <c r="Q376" s="3">
        <v>1</v>
      </c>
      <c r="R376" s="22" t="s">
        <v>2721</v>
      </c>
      <c r="S376" s="42" t="s">
        <v>6910</v>
      </c>
      <c r="T376" s="3" t="s">
        <v>4868</v>
      </c>
      <c r="U376" s="45">
        <v>35</v>
      </c>
      <c r="V376" t="s">
        <v>6932</v>
      </c>
      <c r="W376" s="1" t="str">
        <f>HYPERLINK("http://ictvonline.org/taxonomy/p/taxonomy-history?taxnode_id=201900555","ICTVonline=201900555")</f>
        <v>ICTVonline=201900555</v>
      </c>
    </row>
    <row r="377" spans="1:23">
      <c r="A377" s="3">
        <v>376</v>
      </c>
      <c r="B377" s="1" t="s">
        <v>6915</v>
      </c>
      <c r="D377" s="1" t="s">
        <v>6916</v>
      </c>
      <c r="F377" s="1" t="s">
        <v>6920</v>
      </c>
      <c r="H377" s="1" t="s">
        <v>6921</v>
      </c>
      <c r="J377" s="1" t="s">
        <v>1324</v>
      </c>
      <c r="L377" s="1" t="s">
        <v>6928</v>
      </c>
      <c r="M377" s="1" t="s">
        <v>7075</v>
      </c>
      <c r="N377" s="1" t="s">
        <v>6449</v>
      </c>
      <c r="P377" s="1" t="s">
        <v>7179</v>
      </c>
      <c r="Q377" s="3">
        <v>0</v>
      </c>
      <c r="R377" s="22" t="s">
        <v>2721</v>
      </c>
      <c r="S377" s="42" t="s">
        <v>6914</v>
      </c>
      <c r="T377" s="3" t="s">
        <v>4866</v>
      </c>
      <c r="U377" s="45">
        <v>35</v>
      </c>
      <c r="V377" t="s">
        <v>6932</v>
      </c>
      <c r="W377" s="1" t="str">
        <f>HYPERLINK("http://ictvonline.org/taxonomy/p/taxonomy-history?taxnode_id=201908441","ICTVonline=201908441")</f>
        <v>ICTVonline=201908441</v>
      </c>
    </row>
    <row r="378" spans="1:23">
      <c r="A378" s="3">
        <v>377</v>
      </c>
      <c r="B378" s="1" t="s">
        <v>6915</v>
      </c>
      <c r="D378" s="1" t="s">
        <v>6916</v>
      </c>
      <c r="F378" s="1" t="s">
        <v>6920</v>
      </c>
      <c r="H378" s="1" t="s">
        <v>6921</v>
      </c>
      <c r="J378" s="1" t="s">
        <v>1324</v>
      </c>
      <c r="L378" s="1" t="s">
        <v>6928</v>
      </c>
      <c r="M378" s="1" t="s">
        <v>7075</v>
      </c>
      <c r="N378" s="1" t="s">
        <v>6449</v>
      </c>
      <c r="P378" s="1" t="s">
        <v>7180</v>
      </c>
      <c r="Q378" s="3">
        <v>0</v>
      </c>
      <c r="R378" s="22" t="s">
        <v>2721</v>
      </c>
      <c r="S378" s="42" t="s">
        <v>6914</v>
      </c>
      <c r="T378" s="3" t="s">
        <v>4866</v>
      </c>
      <c r="U378" s="45">
        <v>35</v>
      </c>
      <c r="V378" t="s">
        <v>6932</v>
      </c>
      <c r="W378" s="1" t="str">
        <f>HYPERLINK("http://ictvonline.org/taxonomy/p/taxonomy-history?taxnode_id=201908442","ICTVonline=201908442")</f>
        <v>ICTVonline=201908442</v>
      </c>
    </row>
    <row r="379" spans="1:23">
      <c r="A379" s="3">
        <v>378</v>
      </c>
      <c r="B379" s="1" t="s">
        <v>6915</v>
      </c>
      <c r="D379" s="1" t="s">
        <v>6916</v>
      </c>
      <c r="F379" s="1" t="s">
        <v>6920</v>
      </c>
      <c r="H379" s="1" t="s">
        <v>6921</v>
      </c>
      <c r="J379" s="1" t="s">
        <v>1324</v>
      </c>
      <c r="L379" s="1" t="s">
        <v>6928</v>
      </c>
      <c r="M379" s="1" t="s">
        <v>7075</v>
      </c>
      <c r="N379" s="1" t="s">
        <v>6449</v>
      </c>
      <c r="P379" s="1" t="s">
        <v>7181</v>
      </c>
      <c r="Q379" s="3">
        <v>0</v>
      </c>
      <c r="R379" s="22" t="s">
        <v>2721</v>
      </c>
      <c r="S379" s="42" t="s">
        <v>6914</v>
      </c>
      <c r="T379" s="3" t="s">
        <v>4866</v>
      </c>
      <c r="U379" s="45">
        <v>35</v>
      </c>
      <c r="V379" t="s">
        <v>6932</v>
      </c>
      <c r="W379" s="1" t="str">
        <f>HYPERLINK("http://ictvonline.org/taxonomy/p/taxonomy-history?taxnode_id=201908443","ICTVonline=201908443")</f>
        <v>ICTVonline=201908443</v>
      </c>
    </row>
    <row r="380" spans="1:23">
      <c r="A380" s="3">
        <v>379</v>
      </c>
      <c r="B380" s="1" t="s">
        <v>6915</v>
      </c>
      <c r="D380" s="1" t="s">
        <v>6916</v>
      </c>
      <c r="F380" s="1" t="s">
        <v>6920</v>
      </c>
      <c r="H380" s="1" t="s">
        <v>6921</v>
      </c>
      <c r="J380" s="1" t="s">
        <v>1324</v>
      </c>
      <c r="L380" s="1" t="s">
        <v>6928</v>
      </c>
      <c r="M380" s="1" t="s">
        <v>7075</v>
      </c>
      <c r="N380" s="1" t="s">
        <v>6449</v>
      </c>
      <c r="P380" s="1" t="s">
        <v>7182</v>
      </c>
      <c r="Q380" s="3">
        <v>0</v>
      </c>
      <c r="R380" s="22" t="s">
        <v>2721</v>
      </c>
      <c r="S380" s="42" t="s">
        <v>6914</v>
      </c>
      <c r="T380" s="3" t="s">
        <v>4866</v>
      </c>
      <c r="U380" s="45">
        <v>35</v>
      </c>
      <c r="V380" t="s">
        <v>6932</v>
      </c>
      <c r="W380" s="1" t="str">
        <f>HYPERLINK("http://ictvonline.org/taxonomy/p/taxonomy-history?taxnode_id=201908444","ICTVonline=201908444")</f>
        <v>ICTVonline=201908444</v>
      </c>
    </row>
    <row r="381" spans="1:23">
      <c r="A381" s="3">
        <v>380</v>
      </c>
      <c r="B381" s="1" t="s">
        <v>6915</v>
      </c>
      <c r="D381" s="1" t="s">
        <v>6916</v>
      </c>
      <c r="F381" s="1" t="s">
        <v>6920</v>
      </c>
      <c r="H381" s="1" t="s">
        <v>6921</v>
      </c>
      <c r="J381" s="1" t="s">
        <v>1324</v>
      </c>
      <c r="L381" s="1" t="s">
        <v>6928</v>
      </c>
      <c r="M381" s="1" t="s">
        <v>7075</v>
      </c>
      <c r="N381" s="1" t="s">
        <v>6449</v>
      </c>
      <c r="P381" s="1" t="s">
        <v>7183</v>
      </c>
      <c r="Q381" s="3">
        <v>0</v>
      </c>
      <c r="R381" s="22" t="s">
        <v>2721</v>
      </c>
      <c r="S381" s="42" t="s">
        <v>6914</v>
      </c>
      <c r="T381" s="3" t="s">
        <v>4866</v>
      </c>
      <c r="U381" s="45">
        <v>35</v>
      </c>
      <c r="V381" t="s">
        <v>6932</v>
      </c>
      <c r="W381" s="1" t="str">
        <f>HYPERLINK("http://ictvonline.org/taxonomy/p/taxonomy-history?taxnode_id=201908446","ICTVonline=201908446")</f>
        <v>ICTVonline=201908446</v>
      </c>
    </row>
    <row r="382" spans="1:23">
      <c r="A382" s="3">
        <v>381</v>
      </c>
      <c r="B382" s="1" t="s">
        <v>6915</v>
      </c>
      <c r="D382" s="1" t="s">
        <v>6916</v>
      </c>
      <c r="F382" s="1" t="s">
        <v>6920</v>
      </c>
      <c r="H382" s="1" t="s">
        <v>6921</v>
      </c>
      <c r="J382" s="1" t="s">
        <v>1324</v>
      </c>
      <c r="L382" s="1" t="s">
        <v>6928</v>
      </c>
      <c r="M382" s="1" t="s">
        <v>7075</v>
      </c>
      <c r="N382" s="1" t="s">
        <v>6449</v>
      </c>
      <c r="P382" s="1" t="s">
        <v>4217</v>
      </c>
      <c r="Q382" s="3">
        <v>0</v>
      </c>
      <c r="R382" s="22" t="s">
        <v>2721</v>
      </c>
      <c r="S382" s="42" t="s">
        <v>6910</v>
      </c>
      <c r="T382" s="3" t="s">
        <v>4868</v>
      </c>
      <c r="U382" s="45">
        <v>35</v>
      </c>
      <c r="V382" t="s">
        <v>6932</v>
      </c>
      <c r="W382" s="1" t="str">
        <f>HYPERLINK("http://ictvonline.org/taxonomy/p/taxonomy-history?taxnode_id=201900556","ICTVonline=201900556")</f>
        <v>ICTVonline=201900556</v>
      </c>
    </row>
    <row r="383" spans="1:23">
      <c r="A383" s="3">
        <v>382</v>
      </c>
      <c r="B383" s="1" t="s">
        <v>6915</v>
      </c>
      <c r="D383" s="1" t="s">
        <v>6916</v>
      </c>
      <c r="F383" s="1" t="s">
        <v>6920</v>
      </c>
      <c r="H383" s="1" t="s">
        <v>6921</v>
      </c>
      <c r="J383" s="1" t="s">
        <v>1324</v>
      </c>
      <c r="L383" s="1" t="s">
        <v>6928</v>
      </c>
      <c r="M383" s="1" t="s">
        <v>7075</v>
      </c>
      <c r="N383" s="1" t="s">
        <v>6449</v>
      </c>
      <c r="P383" s="1" t="s">
        <v>7184</v>
      </c>
      <c r="Q383" s="3">
        <v>0</v>
      </c>
      <c r="R383" s="22" t="s">
        <v>2721</v>
      </c>
      <c r="S383" s="42" t="s">
        <v>6914</v>
      </c>
      <c r="T383" s="3" t="s">
        <v>4866</v>
      </c>
      <c r="U383" s="45">
        <v>35</v>
      </c>
      <c r="V383" t="s">
        <v>6932</v>
      </c>
      <c r="W383" s="1" t="str">
        <f>HYPERLINK("http://ictvonline.org/taxonomy/p/taxonomy-history?taxnode_id=201908431","ICTVonline=201908431")</f>
        <v>ICTVonline=201908431</v>
      </c>
    </row>
    <row r="384" spans="1:23">
      <c r="A384" s="3">
        <v>383</v>
      </c>
      <c r="B384" s="1" t="s">
        <v>6915</v>
      </c>
      <c r="D384" s="1" t="s">
        <v>6916</v>
      </c>
      <c r="F384" s="1" t="s">
        <v>6920</v>
      </c>
      <c r="H384" s="1" t="s">
        <v>6921</v>
      </c>
      <c r="J384" s="1" t="s">
        <v>1324</v>
      </c>
      <c r="L384" s="1" t="s">
        <v>6928</v>
      </c>
      <c r="M384" s="1" t="s">
        <v>7075</v>
      </c>
      <c r="N384" s="1" t="s">
        <v>6449</v>
      </c>
      <c r="P384" s="1" t="s">
        <v>7185</v>
      </c>
      <c r="Q384" s="3">
        <v>0</v>
      </c>
      <c r="R384" s="22" t="s">
        <v>2721</v>
      </c>
      <c r="S384" s="42" t="s">
        <v>6914</v>
      </c>
      <c r="T384" s="3" t="s">
        <v>4866</v>
      </c>
      <c r="U384" s="45">
        <v>35</v>
      </c>
      <c r="V384" t="s">
        <v>6932</v>
      </c>
      <c r="W384" s="1" t="str">
        <f>HYPERLINK("http://ictvonline.org/taxonomy/p/taxonomy-history?taxnode_id=201908433","ICTVonline=201908433")</f>
        <v>ICTVonline=201908433</v>
      </c>
    </row>
    <row r="385" spans="1:23">
      <c r="A385" s="3">
        <v>384</v>
      </c>
      <c r="B385" s="1" t="s">
        <v>6915</v>
      </c>
      <c r="D385" s="1" t="s">
        <v>6916</v>
      </c>
      <c r="F385" s="1" t="s">
        <v>6920</v>
      </c>
      <c r="H385" s="1" t="s">
        <v>6921</v>
      </c>
      <c r="J385" s="1" t="s">
        <v>1324</v>
      </c>
      <c r="L385" s="1" t="s">
        <v>6928</v>
      </c>
      <c r="M385" s="1" t="s">
        <v>7075</v>
      </c>
      <c r="N385" s="1" t="s">
        <v>6449</v>
      </c>
      <c r="P385" s="1" t="s">
        <v>7186</v>
      </c>
      <c r="Q385" s="3">
        <v>0</v>
      </c>
      <c r="R385" s="22" t="s">
        <v>2721</v>
      </c>
      <c r="S385" s="42" t="s">
        <v>6914</v>
      </c>
      <c r="T385" s="3" t="s">
        <v>4866</v>
      </c>
      <c r="U385" s="45">
        <v>35</v>
      </c>
      <c r="V385" t="s">
        <v>6932</v>
      </c>
      <c r="W385" s="1" t="str">
        <f>HYPERLINK("http://ictvonline.org/taxonomy/p/taxonomy-history?taxnode_id=201908432","ICTVonline=201908432")</f>
        <v>ICTVonline=201908432</v>
      </c>
    </row>
    <row r="386" spans="1:23">
      <c r="A386" s="3">
        <v>385</v>
      </c>
      <c r="B386" s="1" t="s">
        <v>6915</v>
      </c>
      <c r="D386" s="1" t="s">
        <v>6916</v>
      </c>
      <c r="F386" s="1" t="s">
        <v>6920</v>
      </c>
      <c r="H386" s="1" t="s">
        <v>6921</v>
      </c>
      <c r="J386" s="1" t="s">
        <v>1324</v>
      </c>
      <c r="L386" s="1" t="s">
        <v>6928</v>
      </c>
      <c r="M386" s="1" t="s">
        <v>7075</v>
      </c>
      <c r="N386" s="1" t="s">
        <v>6449</v>
      </c>
      <c r="P386" s="1" t="s">
        <v>7187</v>
      </c>
      <c r="Q386" s="3">
        <v>0</v>
      </c>
      <c r="R386" s="22" t="s">
        <v>2721</v>
      </c>
      <c r="S386" s="42" t="s">
        <v>6914</v>
      </c>
      <c r="T386" s="3" t="s">
        <v>4866</v>
      </c>
      <c r="U386" s="45">
        <v>35</v>
      </c>
      <c r="V386" t="s">
        <v>6932</v>
      </c>
      <c r="W386" s="1" t="str">
        <f>HYPERLINK("http://ictvonline.org/taxonomy/p/taxonomy-history?taxnode_id=201908448","ICTVonline=201908448")</f>
        <v>ICTVonline=201908448</v>
      </c>
    </row>
    <row r="387" spans="1:23">
      <c r="A387" s="3">
        <v>386</v>
      </c>
      <c r="B387" s="1" t="s">
        <v>6915</v>
      </c>
      <c r="D387" s="1" t="s">
        <v>6916</v>
      </c>
      <c r="F387" s="1" t="s">
        <v>6920</v>
      </c>
      <c r="H387" s="1" t="s">
        <v>6921</v>
      </c>
      <c r="J387" s="1" t="s">
        <v>1324</v>
      </c>
      <c r="L387" s="1" t="s">
        <v>6928</v>
      </c>
      <c r="M387" s="1" t="s">
        <v>7075</v>
      </c>
      <c r="N387" s="1" t="s">
        <v>6449</v>
      </c>
      <c r="P387" s="1" t="s">
        <v>7188</v>
      </c>
      <c r="Q387" s="3">
        <v>0</v>
      </c>
      <c r="R387" s="22" t="s">
        <v>2721</v>
      </c>
      <c r="S387" s="42" t="s">
        <v>6914</v>
      </c>
      <c r="T387" s="3" t="s">
        <v>4866</v>
      </c>
      <c r="U387" s="45">
        <v>35</v>
      </c>
      <c r="V387" t="s">
        <v>6932</v>
      </c>
      <c r="W387" s="1" t="str">
        <f>HYPERLINK("http://ictvonline.org/taxonomy/p/taxonomy-history?taxnode_id=201908436","ICTVonline=201908436")</f>
        <v>ICTVonline=201908436</v>
      </c>
    </row>
    <row r="388" spans="1:23">
      <c r="A388" s="3">
        <v>387</v>
      </c>
      <c r="B388" s="1" t="s">
        <v>6915</v>
      </c>
      <c r="D388" s="1" t="s">
        <v>6916</v>
      </c>
      <c r="F388" s="1" t="s">
        <v>6920</v>
      </c>
      <c r="H388" s="1" t="s">
        <v>6921</v>
      </c>
      <c r="J388" s="1" t="s">
        <v>1324</v>
      </c>
      <c r="L388" s="1" t="s">
        <v>6928</v>
      </c>
      <c r="M388" s="1" t="s">
        <v>7075</v>
      </c>
      <c r="N388" s="1" t="s">
        <v>6449</v>
      </c>
      <c r="P388" s="1" t="s">
        <v>7189</v>
      </c>
      <c r="Q388" s="3">
        <v>0</v>
      </c>
      <c r="R388" s="22" t="s">
        <v>2721</v>
      </c>
      <c r="S388" s="42" t="s">
        <v>6914</v>
      </c>
      <c r="T388" s="3" t="s">
        <v>4866</v>
      </c>
      <c r="U388" s="45">
        <v>35</v>
      </c>
      <c r="V388" t="s">
        <v>6932</v>
      </c>
      <c r="W388" s="1" t="str">
        <f>HYPERLINK("http://ictvonline.org/taxonomy/p/taxonomy-history?taxnode_id=201908449","ICTVonline=201908449")</f>
        <v>ICTVonline=201908449</v>
      </c>
    </row>
    <row r="389" spans="1:23">
      <c r="A389" s="3">
        <v>388</v>
      </c>
      <c r="B389" s="1" t="s">
        <v>6915</v>
      </c>
      <c r="D389" s="1" t="s">
        <v>6916</v>
      </c>
      <c r="F389" s="1" t="s">
        <v>6920</v>
      </c>
      <c r="H389" s="1" t="s">
        <v>6921</v>
      </c>
      <c r="J389" s="1" t="s">
        <v>1324</v>
      </c>
      <c r="L389" s="1" t="s">
        <v>6928</v>
      </c>
      <c r="M389" s="1" t="s">
        <v>7075</v>
      </c>
      <c r="N389" s="1" t="s">
        <v>6449</v>
      </c>
      <c r="P389" s="1" t="s">
        <v>7190</v>
      </c>
      <c r="Q389" s="3">
        <v>0</v>
      </c>
      <c r="R389" s="22" t="s">
        <v>2721</v>
      </c>
      <c r="S389" s="42" t="s">
        <v>6914</v>
      </c>
      <c r="T389" s="3" t="s">
        <v>4866</v>
      </c>
      <c r="U389" s="45">
        <v>35</v>
      </c>
      <c r="V389" t="s">
        <v>6932</v>
      </c>
      <c r="W389" s="1" t="str">
        <f>HYPERLINK("http://ictvonline.org/taxonomy/p/taxonomy-history?taxnode_id=201908440","ICTVonline=201908440")</f>
        <v>ICTVonline=201908440</v>
      </c>
    </row>
    <row r="390" spans="1:23">
      <c r="A390" s="3">
        <v>389</v>
      </c>
      <c r="B390" s="1" t="s">
        <v>6915</v>
      </c>
      <c r="D390" s="1" t="s">
        <v>6916</v>
      </c>
      <c r="F390" s="1" t="s">
        <v>6920</v>
      </c>
      <c r="H390" s="1" t="s">
        <v>6921</v>
      </c>
      <c r="J390" s="1" t="s">
        <v>1324</v>
      </c>
      <c r="L390" s="1" t="s">
        <v>6928</v>
      </c>
      <c r="M390" s="1" t="s">
        <v>7075</v>
      </c>
      <c r="N390" s="1" t="s">
        <v>7191</v>
      </c>
      <c r="P390" s="1" t="s">
        <v>7192</v>
      </c>
      <c r="Q390" s="3">
        <v>0</v>
      </c>
      <c r="R390" s="22" t="s">
        <v>2721</v>
      </c>
      <c r="S390" s="42" t="s">
        <v>6914</v>
      </c>
      <c r="T390" s="3" t="s">
        <v>4866</v>
      </c>
      <c r="U390" s="45">
        <v>35</v>
      </c>
      <c r="V390" t="s">
        <v>6932</v>
      </c>
      <c r="W390" s="1" t="str">
        <f>HYPERLINK("http://ictvonline.org/taxonomy/p/taxonomy-history?taxnode_id=201908466","ICTVonline=201908466")</f>
        <v>ICTVonline=201908466</v>
      </c>
    </row>
    <row r="391" spans="1:23">
      <c r="A391" s="3">
        <v>390</v>
      </c>
      <c r="B391" s="1" t="s">
        <v>6915</v>
      </c>
      <c r="D391" s="1" t="s">
        <v>6916</v>
      </c>
      <c r="F391" s="1" t="s">
        <v>6920</v>
      </c>
      <c r="H391" s="1" t="s">
        <v>6921</v>
      </c>
      <c r="J391" s="1" t="s">
        <v>1324</v>
      </c>
      <c r="L391" s="1" t="s">
        <v>6928</v>
      </c>
      <c r="M391" s="1" t="s">
        <v>7075</v>
      </c>
      <c r="N391" s="1" t="s">
        <v>7191</v>
      </c>
      <c r="P391" s="1" t="s">
        <v>7193</v>
      </c>
      <c r="Q391" s="3">
        <v>0</v>
      </c>
      <c r="R391" s="22" t="s">
        <v>2721</v>
      </c>
      <c r="S391" s="42" t="s">
        <v>6914</v>
      </c>
      <c r="T391" s="3" t="s">
        <v>4866</v>
      </c>
      <c r="U391" s="45">
        <v>35</v>
      </c>
      <c r="V391" t="s">
        <v>6932</v>
      </c>
      <c r="W391" s="1" t="str">
        <f>HYPERLINK("http://ictvonline.org/taxonomy/p/taxonomy-history?taxnode_id=201908470","ICTVonline=201908470")</f>
        <v>ICTVonline=201908470</v>
      </c>
    </row>
    <row r="392" spans="1:23">
      <c r="A392" s="3">
        <v>391</v>
      </c>
      <c r="B392" s="1" t="s">
        <v>6915</v>
      </c>
      <c r="D392" s="1" t="s">
        <v>6916</v>
      </c>
      <c r="F392" s="1" t="s">
        <v>6920</v>
      </c>
      <c r="H392" s="1" t="s">
        <v>6921</v>
      </c>
      <c r="J392" s="1" t="s">
        <v>1324</v>
      </c>
      <c r="L392" s="1" t="s">
        <v>6928</v>
      </c>
      <c r="M392" s="1" t="s">
        <v>7075</v>
      </c>
      <c r="N392" s="1" t="s">
        <v>7191</v>
      </c>
      <c r="P392" s="1" t="s">
        <v>7194</v>
      </c>
      <c r="Q392" s="3">
        <v>0</v>
      </c>
      <c r="R392" s="22" t="s">
        <v>2721</v>
      </c>
      <c r="S392" s="42" t="s">
        <v>6914</v>
      </c>
      <c r="T392" s="3" t="s">
        <v>4866</v>
      </c>
      <c r="U392" s="45">
        <v>35</v>
      </c>
      <c r="V392" t="s">
        <v>6932</v>
      </c>
      <c r="W392" s="1" t="str">
        <f>HYPERLINK("http://ictvonline.org/taxonomy/p/taxonomy-history?taxnode_id=201908471","ICTVonline=201908471")</f>
        <v>ICTVonline=201908471</v>
      </c>
    </row>
    <row r="393" spans="1:23">
      <c r="A393" s="3">
        <v>392</v>
      </c>
      <c r="B393" s="1" t="s">
        <v>6915</v>
      </c>
      <c r="D393" s="1" t="s">
        <v>6916</v>
      </c>
      <c r="F393" s="1" t="s">
        <v>6920</v>
      </c>
      <c r="H393" s="1" t="s">
        <v>6921</v>
      </c>
      <c r="J393" s="1" t="s">
        <v>1324</v>
      </c>
      <c r="L393" s="1" t="s">
        <v>6928</v>
      </c>
      <c r="M393" s="1" t="s">
        <v>7075</v>
      </c>
      <c r="N393" s="1" t="s">
        <v>7191</v>
      </c>
      <c r="P393" s="1" t="s">
        <v>7195</v>
      </c>
      <c r="Q393" s="3">
        <v>0</v>
      </c>
      <c r="R393" s="22" t="s">
        <v>2721</v>
      </c>
      <c r="S393" s="42" t="s">
        <v>6914</v>
      </c>
      <c r="T393" s="3" t="s">
        <v>4866</v>
      </c>
      <c r="U393" s="45">
        <v>35</v>
      </c>
      <c r="V393" t="s">
        <v>6932</v>
      </c>
      <c r="W393" s="1" t="str">
        <f>HYPERLINK("http://ictvonline.org/taxonomy/p/taxonomy-history?taxnode_id=201908467","ICTVonline=201908467")</f>
        <v>ICTVonline=201908467</v>
      </c>
    </row>
    <row r="394" spans="1:23">
      <c r="A394" s="3">
        <v>393</v>
      </c>
      <c r="B394" s="1" t="s">
        <v>6915</v>
      </c>
      <c r="D394" s="1" t="s">
        <v>6916</v>
      </c>
      <c r="F394" s="1" t="s">
        <v>6920</v>
      </c>
      <c r="H394" s="1" t="s">
        <v>6921</v>
      </c>
      <c r="J394" s="1" t="s">
        <v>1324</v>
      </c>
      <c r="L394" s="1" t="s">
        <v>6928</v>
      </c>
      <c r="M394" s="1" t="s">
        <v>7075</v>
      </c>
      <c r="N394" s="1" t="s">
        <v>7191</v>
      </c>
      <c r="P394" s="1" t="s">
        <v>7196</v>
      </c>
      <c r="Q394" s="3">
        <v>0</v>
      </c>
      <c r="R394" s="22" t="s">
        <v>2721</v>
      </c>
      <c r="S394" s="42" t="s">
        <v>6914</v>
      </c>
      <c r="T394" s="3" t="s">
        <v>4866</v>
      </c>
      <c r="U394" s="45">
        <v>35</v>
      </c>
      <c r="V394" t="s">
        <v>6932</v>
      </c>
      <c r="W394" s="1" t="str">
        <f>HYPERLINK("http://ictvonline.org/taxonomy/p/taxonomy-history?taxnode_id=201908468","ICTVonline=201908468")</f>
        <v>ICTVonline=201908468</v>
      </c>
    </row>
    <row r="395" spans="1:23">
      <c r="A395" s="3">
        <v>394</v>
      </c>
      <c r="B395" s="1" t="s">
        <v>6915</v>
      </c>
      <c r="D395" s="1" t="s">
        <v>6916</v>
      </c>
      <c r="F395" s="1" t="s">
        <v>6920</v>
      </c>
      <c r="H395" s="1" t="s">
        <v>6921</v>
      </c>
      <c r="J395" s="1" t="s">
        <v>1324</v>
      </c>
      <c r="L395" s="1" t="s">
        <v>6928</v>
      </c>
      <c r="M395" s="1" t="s">
        <v>7075</v>
      </c>
      <c r="N395" s="1" t="s">
        <v>7191</v>
      </c>
      <c r="P395" s="1" t="s">
        <v>7197</v>
      </c>
      <c r="Q395" s="3">
        <v>0</v>
      </c>
      <c r="R395" s="22" t="s">
        <v>2721</v>
      </c>
      <c r="S395" s="42" t="s">
        <v>6914</v>
      </c>
      <c r="T395" s="3" t="s">
        <v>4866</v>
      </c>
      <c r="U395" s="45">
        <v>35</v>
      </c>
      <c r="V395" t="s">
        <v>6932</v>
      </c>
      <c r="W395" s="1" t="str">
        <f>HYPERLINK("http://ictvonline.org/taxonomy/p/taxonomy-history?taxnode_id=201908477","ICTVonline=201908477")</f>
        <v>ICTVonline=201908477</v>
      </c>
    </row>
    <row r="396" spans="1:23">
      <c r="A396" s="3">
        <v>395</v>
      </c>
      <c r="B396" s="1" t="s">
        <v>6915</v>
      </c>
      <c r="D396" s="1" t="s">
        <v>6916</v>
      </c>
      <c r="F396" s="1" t="s">
        <v>6920</v>
      </c>
      <c r="H396" s="1" t="s">
        <v>6921</v>
      </c>
      <c r="J396" s="1" t="s">
        <v>1324</v>
      </c>
      <c r="L396" s="1" t="s">
        <v>6928</v>
      </c>
      <c r="M396" s="1" t="s">
        <v>7075</v>
      </c>
      <c r="N396" s="1" t="s">
        <v>7191</v>
      </c>
      <c r="P396" s="1" t="s">
        <v>7198</v>
      </c>
      <c r="Q396" s="3">
        <v>0</v>
      </c>
      <c r="R396" s="22" t="s">
        <v>2721</v>
      </c>
      <c r="S396" s="42" t="s">
        <v>6914</v>
      </c>
      <c r="T396" s="3" t="s">
        <v>4866</v>
      </c>
      <c r="U396" s="45">
        <v>35</v>
      </c>
      <c r="V396" t="s">
        <v>6932</v>
      </c>
      <c r="W396" s="1" t="str">
        <f>HYPERLINK("http://ictvonline.org/taxonomy/p/taxonomy-history?taxnode_id=201908464","ICTVonline=201908464")</f>
        <v>ICTVonline=201908464</v>
      </c>
    </row>
    <row r="397" spans="1:23">
      <c r="A397" s="3">
        <v>396</v>
      </c>
      <c r="B397" s="1" t="s">
        <v>6915</v>
      </c>
      <c r="D397" s="1" t="s">
        <v>6916</v>
      </c>
      <c r="F397" s="1" t="s">
        <v>6920</v>
      </c>
      <c r="H397" s="1" t="s">
        <v>6921</v>
      </c>
      <c r="J397" s="1" t="s">
        <v>1324</v>
      </c>
      <c r="L397" s="1" t="s">
        <v>6928</v>
      </c>
      <c r="M397" s="1" t="s">
        <v>7075</v>
      </c>
      <c r="N397" s="1" t="s">
        <v>7191</v>
      </c>
      <c r="P397" s="1" t="s">
        <v>7199</v>
      </c>
      <c r="Q397" s="3">
        <v>0</v>
      </c>
      <c r="R397" s="22" t="s">
        <v>2721</v>
      </c>
      <c r="S397" s="42" t="s">
        <v>6914</v>
      </c>
      <c r="T397" s="3" t="s">
        <v>4866</v>
      </c>
      <c r="U397" s="45">
        <v>35</v>
      </c>
      <c r="V397" t="s">
        <v>6932</v>
      </c>
      <c r="W397" s="1" t="str">
        <f>HYPERLINK("http://ictvonline.org/taxonomy/p/taxonomy-history?taxnode_id=201908472","ICTVonline=201908472")</f>
        <v>ICTVonline=201908472</v>
      </c>
    </row>
    <row r="398" spans="1:23">
      <c r="A398" s="3">
        <v>397</v>
      </c>
      <c r="B398" s="1" t="s">
        <v>6915</v>
      </c>
      <c r="D398" s="1" t="s">
        <v>6916</v>
      </c>
      <c r="F398" s="1" t="s">
        <v>6920</v>
      </c>
      <c r="H398" s="1" t="s">
        <v>6921</v>
      </c>
      <c r="J398" s="1" t="s">
        <v>1324</v>
      </c>
      <c r="L398" s="1" t="s">
        <v>6928</v>
      </c>
      <c r="M398" s="1" t="s">
        <v>7075</v>
      </c>
      <c r="N398" s="1" t="s">
        <v>7191</v>
      </c>
      <c r="P398" s="1" t="s">
        <v>7200</v>
      </c>
      <c r="Q398" s="3">
        <v>0</v>
      </c>
      <c r="R398" s="22" t="s">
        <v>2721</v>
      </c>
      <c r="S398" s="42" t="s">
        <v>6914</v>
      </c>
      <c r="T398" s="3" t="s">
        <v>4866</v>
      </c>
      <c r="U398" s="45">
        <v>35</v>
      </c>
      <c r="V398" t="s">
        <v>6932</v>
      </c>
      <c r="W398" s="1" t="str">
        <f>HYPERLINK("http://ictvonline.org/taxonomy/p/taxonomy-history?taxnode_id=201908476","ICTVonline=201908476")</f>
        <v>ICTVonline=201908476</v>
      </c>
    </row>
    <row r="399" spans="1:23">
      <c r="A399" s="3">
        <v>398</v>
      </c>
      <c r="B399" s="1" t="s">
        <v>6915</v>
      </c>
      <c r="D399" s="1" t="s">
        <v>6916</v>
      </c>
      <c r="F399" s="1" t="s">
        <v>6920</v>
      </c>
      <c r="H399" s="1" t="s">
        <v>6921</v>
      </c>
      <c r="J399" s="1" t="s">
        <v>1324</v>
      </c>
      <c r="L399" s="1" t="s">
        <v>6928</v>
      </c>
      <c r="M399" s="1" t="s">
        <v>7075</v>
      </c>
      <c r="N399" s="1" t="s">
        <v>7191</v>
      </c>
      <c r="P399" s="1" t="s">
        <v>7201</v>
      </c>
      <c r="Q399" s="3">
        <v>1</v>
      </c>
      <c r="R399" s="22" t="s">
        <v>2721</v>
      </c>
      <c r="S399" s="42" t="s">
        <v>6914</v>
      </c>
      <c r="T399" s="3" t="s">
        <v>4866</v>
      </c>
      <c r="U399" s="45">
        <v>35</v>
      </c>
      <c r="V399" t="s">
        <v>6932</v>
      </c>
      <c r="W399" s="1" t="str">
        <f>HYPERLINK("http://ictvonline.org/taxonomy/p/taxonomy-history?taxnode_id=201908460","ICTVonline=201908460")</f>
        <v>ICTVonline=201908460</v>
      </c>
    </row>
    <row r="400" spans="1:23">
      <c r="A400" s="3">
        <v>399</v>
      </c>
      <c r="B400" s="1" t="s">
        <v>6915</v>
      </c>
      <c r="D400" s="1" t="s">
        <v>6916</v>
      </c>
      <c r="F400" s="1" t="s">
        <v>6920</v>
      </c>
      <c r="H400" s="1" t="s">
        <v>6921</v>
      </c>
      <c r="J400" s="1" t="s">
        <v>1324</v>
      </c>
      <c r="L400" s="1" t="s">
        <v>6928</v>
      </c>
      <c r="M400" s="1" t="s">
        <v>7075</v>
      </c>
      <c r="N400" s="1" t="s">
        <v>7191</v>
      </c>
      <c r="P400" s="1" t="s">
        <v>7202</v>
      </c>
      <c r="Q400" s="3">
        <v>0</v>
      </c>
      <c r="R400" s="22" t="s">
        <v>2721</v>
      </c>
      <c r="S400" s="42" t="s">
        <v>6914</v>
      </c>
      <c r="T400" s="3" t="s">
        <v>4866</v>
      </c>
      <c r="U400" s="45">
        <v>35</v>
      </c>
      <c r="V400" t="s">
        <v>6932</v>
      </c>
      <c r="W400" s="1" t="str">
        <f>HYPERLINK("http://ictvonline.org/taxonomy/p/taxonomy-history?taxnode_id=201908462","ICTVonline=201908462")</f>
        <v>ICTVonline=201908462</v>
      </c>
    </row>
    <row r="401" spans="1:23">
      <c r="A401" s="3">
        <v>400</v>
      </c>
      <c r="B401" s="1" t="s">
        <v>6915</v>
      </c>
      <c r="D401" s="1" t="s">
        <v>6916</v>
      </c>
      <c r="F401" s="1" t="s">
        <v>6920</v>
      </c>
      <c r="H401" s="1" t="s">
        <v>6921</v>
      </c>
      <c r="J401" s="1" t="s">
        <v>1324</v>
      </c>
      <c r="L401" s="1" t="s">
        <v>6928</v>
      </c>
      <c r="M401" s="1" t="s">
        <v>7075</v>
      </c>
      <c r="N401" s="1" t="s">
        <v>7191</v>
      </c>
      <c r="P401" s="1" t="s">
        <v>7203</v>
      </c>
      <c r="Q401" s="3">
        <v>0</v>
      </c>
      <c r="R401" s="22" t="s">
        <v>2721</v>
      </c>
      <c r="S401" s="42" t="s">
        <v>6914</v>
      </c>
      <c r="T401" s="3" t="s">
        <v>4866</v>
      </c>
      <c r="U401" s="45">
        <v>35</v>
      </c>
      <c r="V401" t="s">
        <v>6932</v>
      </c>
      <c r="W401" s="1" t="str">
        <f>HYPERLINK("http://ictvonline.org/taxonomy/p/taxonomy-history?taxnode_id=201908474","ICTVonline=201908474")</f>
        <v>ICTVonline=201908474</v>
      </c>
    </row>
    <row r="402" spans="1:23">
      <c r="A402" s="3">
        <v>401</v>
      </c>
      <c r="B402" s="1" t="s">
        <v>6915</v>
      </c>
      <c r="D402" s="1" t="s">
        <v>6916</v>
      </c>
      <c r="F402" s="1" t="s">
        <v>6920</v>
      </c>
      <c r="H402" s="1" t="s">
        <v>6921</v>
      </c>
      <c r="J402" s="1" t="s">
        <v>1324</v>
      </c>
      <c r="L402" s="1" t="s">
        <v>6928</v>
      </c>
      <c r="M402" s="1" t="s">
        <v>7075</v>
      </c>
      <c r="N402" s="1" t="s">
        <v>7191</v>
      </c>
      <c r="P402" s="1" t="s">
        <v>7204</v>
      </c>
      <c r="Q402" s="3">
        <v>0</v>
      </c>
      <c r="R402" s="22" t="s">
        <v>2721</v>
      </c>
      <c r="S402" s="42" t="s">
        <v>6914</v>
      </c>
      <c r="T402" s="3" t="s">
        <v>4866</v>
      </c>
      <c r="U402" s="45">
        <v>35</v>
      </c>
      <c r="V402" t="s">
        <v>6932</v>
      </c>
      <c r="W402" s="1" t="str">
        <f>HYPERLINK("http://ictvonline.org/taxonomy/p/taxonomy-history?taxnode_id=201908463","ICTVonline=201908463")</f>
        <v>ICTVonline=201908463</v>
      </c>
    </row>
    <row r="403" spans="1:23">
      <c r="A403" s="3">
        <v>402</v>
      </c>
      <c r="B403" s="1" t="s">
        <v>6915</v>
      </c>
      <c r="D403" s="1" t="s">
        <v>6916</v>
      </c>
      <c r="F403" s="1" t="s">
        <v>6920</v>
      </c>
      <c r="H403" s="1" t="s">
        <v>6921</v>
      </c>
      <c r="J403" s="1" t="s">
        <v>1324</v>
      </c>
      <c r="L403" s="1" t="s">
        <v>6928</v>
      </c>
      <c r="M403" s="1" t="s">
        <v>7075</v>
      </c>
      <c r="N403" s="1" t="s">
        <v>7191</v>
      </c>
      <c r="P403" s="1" t="s">
        <v>7205</v>
      </c>
      <c r="Q403" s="3">
        <v>0</v>
      </c>
      <c r="R403" s="22" t="s">
        <v>2721</v>
      </c>
      <c r="S403" s="42" t="s">
        <v>6914</v>
      </c>
      <c r="T403" s="3" t="s">
        <v>4866</v>
      </c>
      <c r="U403" s="45">
        <v>35</v>
      </c>
      <c r="V403" t="s">
        <v>6932</v>
      </c>
      <c r="W403" s="1" t="str">
        <f>HYPERLINK("http://ictvonline.org/taxonomy/p/taxonomy-history?taxnode_id=201908475","ICTVonline=201908475")</f>
        <v>ICTVonline=201908475</v>
      </c>
    </row>
    <row r="404" spans="1:23">
      <c r="A404" s="3">
        <v>403</v>
      </c>
      <c r="B404" s="1" t="s">
        <v>6915</v>
      </c>
      <c r="D404" s="1" t="s">
        <v>6916</v>
      </c>
      <c r="F404" s="1" t="s">
        <v>6920</v>
      </c>
      <c r="H404" s="1" t="s">
        <v>6921</v>
      </c>
      <c r="J404" s="1" t="s">
        <v>1324</v>
      </c>
      <c r="L404" s="1" t="s">
        <v>6928</v>
      </c>
      <c r="M404" s="1" t="s">
        <v>7075</v>
      </c>
      <c r="N404" s="1" t="s">
        <v>7191</v>
      </c>
      <c r="P404" s="1" t="s">
        <v>7206</v>
      </c>
      <c r="Q404" s="3">
        <v>0</v>
      </c>
      <c r="R404" s="22" t="s">
        <v>2721</v>
      </c>
      <c r="S404" s="42" t="s">
        <v>6914</v>
      </c>
      <c r="T404" s="3" t="s">
        <v>4866</v>
      </c>
      <c r="U404" s="45">
        <v>35</v>
      </c>
      <c r="V404" t="s">
        <v>6932</v>
      </c>
      <c r="W404" s="1" t="str">
        <f>HYPERLINK("http://ictvonline.org/taxonomy/p/taxonomy-history?taxnode_id=201908473","ICTVonline=201908473")</f>
        <v>ICTVonline=201908473</v>
      </c>
    </row>
    <row r="405" spans="1:23">
      <c r="A405" s="3">
        <v>404</v>
      </c>
      <c r="B405" s="1" t="s">
        <v>6915</v>
      </c>
      <c r="D405" s="1" t="s">
        <v>6916</v>
      </c>
      <c r="F405" s="1" t="s">
        <v>6920</v>
      </c>
      <c r="H405" s="1" t="s">
        <v>6921</v>
      </c>
      <c r="J405" s="1" t="s">
        <v>1324</v>
      </c>
      <c r="L405" s="1" t="s">
        <v>6928</v>
      </c>
      <c r="M405" s="1" t="s">
        <v>7075</v>
      </c>
      <c r="N405" s="1" t="s">
        <v>7191</v>
      </c>
      <c r="P405" s="1" t="s">
        <v>7207</v>
      </c>
      <c r="Q405" s="3">
        <v>0</v>
      </c>
      <c r="R405" s="22" t="s">
        <v>2721</v>
      </c>
      <c r="S405" s="42" t="s">
        <v>6914</v>
      </c>
      <c r="T405" s="3" t="s">
        <v>4866</v>
      </c>
      <c r="U405" s="45">
        <v>35</v>
      </c>
      <c r="V405" t="s">
        <v>6932</v>
      </c>
      <c r="W405" s="1" t="str">
        <f>HYPERLINK("http://ictvonline.org/taxonomy/p/taxonomy-history?taxnode_id=201908465","ICTVonline=201908465")</f>
        <v>ICTVonline=201908465</v>
      </c>
    </row>
    <row r="406" spans="1:23">
      <c r="A406" s="3">
        <v>405</v>
      </c>
      <c r="B406" s="1" t="s">
        <v>6915</v>
      </c>
      <c r="D406" s="1" t="s">
        <v>6916</v>
      </c>
      <c r="F406" s="1" t="s">
        <v>6920</v>
      </c>
      <c r="H406" s="1" t="s">
        <v>6921</v>
      </c>
      <c r="J406" s="1" t="s">
        <v>1324</v>
      </c>
      <c r="L406" s="1" t="s">
        <v>6928</v>
      </c>
      <c r="M406" s="1" t="s">
        <v>7075</v>
      </c>
      <c r="N406" s="1" t="s">
        <v>7191</v>
      </c>
      <c r="P406" s="1" t="s">
        <v>7208</v>
      </c>
      <c r="Q406" s="3">
        <v>0</v>
      </c>
      <c r="R406" s="22" t="s">
        <v>2721</v>
      </c>
      <c r="S406" s="42" t="s">
        <v>6914</v>
      </c>
      <c r="T406" s="3" t="s">
        <v>4866</v>
      </c>
      <c r="U406" s="45">
        <v>35</v>
      </c>
      <c r="V406" t="s">
        <v>6932</v>
      </c>
      <c r="W406" s="1" t="str">
        <f>HYPERLINK("http://ictvonline.org/taxonomy/p/taxonomy-history?taxnode_id=201908469","ICTVonline=201908469")</f>
        <v>ICTVonline=201908469</v>
      </c>
    </row>
    <row r="407" spans="1:23">
      <c r="A407" s="3">
        <v>406</v>
      </c>
      <c r="B407" s="1" t="s">
        <v>6915</v>
      </c>
      <c r="D407" s="1" t="s">
        <v>6916</v>
      </c>
      <c r="F407" s="1" t="s">
        <v>6920</v>
      </c>
      <c r="H407" s="1" t="s">
        <v>6921</v>
      </c>
      <c r="J407" s="1" t="s">
        <v>1324</v>
      </c>
      <c r="L407" s="1" t="s">
        <v>6928</v>
      </c>
      <c r="M407" s="1" t="s">
        <v>7075</v>
      </c>
      <c r="N407" s="1" t="s">
        <v>7191</v>
      </c>
      <c r="P407" s="1" t="s">
        <v>7209</v>
      </c>
      <c r="Q407" s="3">
        <v>0</v>
      </c>
      <c r="R407" s="22" t="s">
        <v>2721</v>
      </c>
      <c r="S407" s="42" t="s">
        <v>6914</v>
      </c>
      <c r="T407" s="3" t="s">
        <v>4866</v>
      </c>
      <c r="U407" s="45">
        <v>35</v>
      </c>
      <c r="V407" t="s">
        <v>6932</v>
      </c>
      <c r="W407" s="1" t="str">
        <f>HYPERLINK("http://ictvonline.org/taxonomy/p/taxonomy-history?taxnode_id=201908461","ICTVonline=201908461")</f>
        <v>ICTVonline=201908461</v>
      </c>
    </row>
    <row r="408" spans="1:23">
      <c r="A408" s="3">
        <v>407</v>
      </c>
      <c r="B408" s="1" t="s">
        <v>6915</v>
      </c>
      <c r="D408" s="1" t="s">
        <v>6916</v>
      </c>
      <c r="F408" s="1" t="s">
        <v>6920</v>
      </c>
      <c r="H408" s="1" t="s">
        <v>6921</v>
      </c>
      <c r="J408" s="1" t="s">
        <v>1324</v>
      </c>
      <c r="L408" s="1" t="s">
        <v>6928</v>
      </c>
      <c r="M408" s="1" t="s">
        <v>7075</v>
      </c>
      <c r="N408" s="1" t="s">
        <v>6450</v>
      </c>
      <c r="P408" s="1" t="s">
        <v>7210</v>
      </c>
      <c r="Q408" s="3">
        <v>0</v>
      </c>
      <c r="R408" s="22" t="s">
        <v>2721</v>
      </c>
      <c r="S408" s="42" t="s">
        <v>6914</v>
      </c>
      <c r="T408" s="3" t="s">
        <v>4866</v>
      </c>
      <c r="U408" s="45">
        <v>35</v>
      </c>
      <c r="V408" t="s">
        <v>6932</v>
      </c>
      <c r="W408" s="1" t="str">
        <f>HYPERLINK("http://ictvonline.org/taxonomy/p/taxonomy-history?taxnode_id=201908491","ICTVonline=201908491")</f>
        <v>ICTVonline=201908491</v>
      </c>
    </row>
    <row r="409" spans="1:23">
      <c r="A409" s="3">
        <v>408</v>
      </c>
      <c r="B409" s="1" t="s">
        <v>6915</v>
      </c>
      <c r="D409" s="1" t="s">
        <v>6916</v>
      </c>
      <c r="F409" s="1" t="s">
        <v>6920</v>
      </c>
      <c r="H409" s="1" t="s">
        <v>6921</v>
      </c>
      <c r="J409" s="1" t="s">
        <v>1324</v>
      </c>
      <c r="L409" s="1" t="s">
        <v>6928</v>
      </c>
      <c r="M409" s="1" t="s">
        <v>7075</v>
      </c>
      <c r="N409" s="1" t="s">
        <v>6450</v>
      </c>
      <c r="P409" s="1" t="s">
        <v>7211</v>
      </c>
      <c r="Q409" s="3">
        <v>0</v>
      </c>
      <c r="R409" s="22" t="s">
        <v>2721</v>
      </c>
      <c r="S409" s="42" t="s">
        <v>6914</v>
      </c>
      <c r="T409" s="3" t="s">
        <v>4866</v>
      </c>
      <c r="U409" s="45">
        <v>35</v>
      </c>
      <c r="V409" t="s">
        <v>6932</v>
      </c>
      <c r="W409" s="1" t="str">
        <f>HYPERLINK("http://ictvonline.org/taxonomy/p/taxonomy-history?taxnode_id=201908478","ICTVonline=201908478")</f>
        <v>ICTVonline=201908478</v>
      </c>
    </row>
    <row r="410" spans="1:23">
      <c r="A410" s="3">
        <v>409</v>
      </c>
      <c r="B410" s="1" t="s">
        <v>6915</v>
      </c>
      <c r="D410" s="1" t="s">
        <v>6916</v>
      </c>
      <c r="F410" s="1" t="s">
        <v>6920</v>
      </c>
      <c r="H410" s="1" t="s">
        <v>6921</v>
      </c>
      <c r="J410" s="1" t="s">
        <v>1324</v>
      </c>
      <c r="L410" s="1" t="s">
        <v>6928</v>
      </c>
      <c r="M410" s="1" t="s">
        <v>7075</v>
      </c>
      <c r="N410" s="1" t="s">
        <v>6450</v>
      </c>
      <c r="P410" s="1" t="s">
        <v>7212</v>
      </c>
      <c r="Q410" s="3">
        <v>0</v>
      </c>
      <c r="R410" s="22" t="s">
        <v>2721</v>
      </c>
      <c r="S410" s="42" t="s">
        <v>6914</v>
      </c>
      <c r="T410" s="3" t="s">
        <v>4866</v>
      </c>
      <c r="U410" s="45">
        <v>35</v>
      </c>
      <c r="V410" t="s">
        <v>6932</v>
      </c>
      <c r="W410" s="1" t="str">
        <f>HYPERLINK("http://ictvonline.org/taxonomy/p/taxonomy-history?taxnode_id=201908484","ICTVonline=201908484")</f>
        <v>ICTVonline=201908484</v>
      </c>
    </row>
    <row r="411" spans="1:23">
      <c r="A411" s="3">
        <v>410</v>
      </c>
      <c r="B411" s="1" t="s">
        <v>6915</v>
      </c>
      <c r="D411" s="1" t="s">
        <v>6916</v>
      </c>
      <c r="F411" s="1" t="s">
        <v>6920</v>
      </c>
      <c r="H411" s="1" t="s">
        <v>6921</v>
      </c>
      <c r="J411" s="1" t="s">
        <v>1324</v>
      </c>
      <c r="L411" s="1" t="s">
        <v>6928</v>
      </c>
      <c r="M411" s="1" t="s">
        <v>7075</v>
      </c>
      <c r="N411" s="1" t="s">
        <v>6450</v>
      </c>
      <c r="P411" s="1" t="s">
        <v>7213</v>
      </c>
      <c r="Q411" s="3">
        <v>0</v>
      </c>
      <c r="R411" s="22" t="s">
        <v>2721</v>
      </c>
      <c r="S411" s="42" t="s">
        <v>6914</v>
      </c>
      <c r="T411" s="3" t="s">
        <v>4866</v>
      </c>
      <c r="U411" s="45">
        <v>35</v>
      </c>
      <c r="V411" t="s">
        <v>6932</v>
      </c>
      <c r="W411" s="1" t="str">
        <f>HYPERLINK("http://ictvonline.org/taxonomy/p/taxonomy-history?taxnode_id=201908490","ICTVonline=201908490")</f>
        <v>ICTVonline=201908490</v>
      </c>
    </row>
    <row r="412" spans="1:23">
      <c r="A412" s="3">
        <v>411</v>
      </c>
      <c r="B412" s="1" t="s">
        <v>6915</v>
      </c>
      <c r="D412" s="1" t="s">
        <v>6916</v>
      </c>
      <c r="F412" s="1" t="s">
        <v>6920</v>
      </c>
      <c r="H412" s="1" t="s">
        <v>6921</v>
      </c>
      <c r="J412" s="1" t="s">
        <v>1324</v>
      </c>
      <c r="L412" s="1" t="s">
        <v>6928</v>
      </c>
      <c r="M412" s="1" t="s">
        <v>7075</v>
      </c>
      <c r="N412" s="1" t="s">
        <v>6450</v>
      </c>
      <c r="P412" s="1" t="s">
        <v>7214</v>
      </c>
      <c r="Q412" s="3">
        <v>0</v>
      </c>
      <c r="R412" s="22" t="s">
        <v>2721</v>
      </c>
      <c r="S412" s="42" t="s">
        <v>6914</v>
      </c>
      <c r="T412" s="3" t="s">
        <v>4866</v>
      </c>
      <c r="U412" s="45">
        <v>35</v>
      </c>
      <c r="V412" t="s">
        <v>6932</v>
      </c>
      <c r="W412" s="1" t="str">
        <f>HYPERLINK("http://ictvonline.org/taxonomy/p/taxonomy-history?taxnode_id=201908483","ICTVonline=201908483")</f>
        <v>ICTVonline=201908483</v>
      </c>
    </row>
    <row r="413" spans="1:23">
      <c r="A413" s="3">
        <v>412</v>
      </c>
      <c r="B413" s="1" t="s">
        <v>6915</v>
      </c>
      <c r="D413" s="1" t="s">
        <v>6916</v>
      </c>
      <c r="F413" s="1" t="s">
        <v>6920</v>
      </c>
      <c r="H413" s="1" t="s">
        <v>6921</v>
      </c>
      <c r="J413" s="1" t="s">
        <v>1324</v>
      </c>
      <c r="L413" s="1" t="s">
        <v>6928</v>
      </c>
      <c r="M413" s="1" t="s">
        <v>7075</v>
      </c>
      <c r="N413" s="1" t="s">
        <v>6450</v>
      </c>
      <c r="P413" s="1" t="s">
        <v>7215</v>
      </c>
      <c r="Q413" s="3">
        <v>0</v>
      </c>
      <c r="R413" s="22" t="s">
        <v>2721</v>
      </c>
      <c r="S413" s="42" t="s">
        <v>6914</v>
      </c>
      <c r="T413" s="3" t="s">
        <v>4866</v>
      </c>
      <c r="U413" s="45">
        <v>35</v>
      </c>
      <c r="V413" t="s">
        <v>6932</v>
      </c>
      <c r="W413" s="1" t="str">
        <f>HYPERLINK("http://ictvonline.org/taxonomy/p/taxonomy-history?taxnode_id=201908487","ICTVonline=201908487")</f>
        <v>ICTVonline=201908487</v>
      </c>
    </row>
    <row r="414" spans="1:23">
      <c r="A414" s="3">
        <v>413</v>
      </c>
      <c r="B414" s="1" t="s">
        <v>6915</v>
      </c>
      <c r="D414" s="1" t="s">
        <v>6916</v>
      </c>
      <c r="F414" s="1" t="s">
        <v>6920</v>
      </c>
      <c r="H414" s="1" t="s">
        <v>6921</v>
      </c>
      <c r="J414" s="1" t="s">
        <v>1324</v>
      </c>
      <c r="L414" s="1" t="s">
        <v>6928</v>
      </c>
      <c r="M414" s="1" t="s">
        <v>7075</v>
      </c>
      <c r="N414" s="1" t="s">
        <v>6450</v>
      </c>
      <c r="P414" s="1" t="s">
        <v>7216</v>
      </c>
      <c r="Q414" s="3">
        <v>0</v>
      </c>
      <c r="R414" s="22" t="s">
        <v>2721</v>
      </c>
      <c r="S414" s="42" t="s">
        <v>6914</v>
      </c>
      <c r="T414" s="3" t="s">
        <v>4866</v>
      </c>
      <c r="U414" s="45">
        <v>35</v>
      </c>
      <c r="V414" t="s">
        <v>6932</v>
      </c>
      <c r="W414" s="1" t="str">
        <f>HYPERLINK("http://ictvonline.org/taxonomy/p/taxonomy-history?taxnode_id=201908485","ICTVonline=201908485")</f>
        <v>ICTVonline=201908485</v>
      </c>
    </row>
    <row r="415" spans="1:23">
      <c r="A415" s="3">
        <v>414</v>
      </c>
      <c r="B415" s="1" t="s">
        <v>6915</v>
      </c>
      <c r="D415" s="1" t="s">
        <v>6916</v>
      </c>
      <c r="F415" s="1" t="s">
        <v>6920</v>
      </c>
      <c r="H415" s="1" t="s">
        <v>6921</v>
      </c>
      <c r="J415" s="1" t="s">
        <v>1324</v>
      </c>
      <c r="L415" s="1" t="s">
        <v>6928</v>
      </c>
      <c r="M415" s="1" t="s">
        <v>7075</v>
      </c>
      <c r="N415" s="1" t="s">
        <v>6450</v>
      </c>
      <c r="P415" s="1" t="s">
        <v>7217</v>
      </c>
      <c r="Q415" s="3">
        <v>0</v>
      </c>
      <c r="R415" s="22" t="s">
        <v>2721</v>
      </c>
      <c r="S415" s="42" t="s">
        <v>6914</v>
      </c>
      <c r="T415" s="3" t="s">
        <v>4866</v>
      </c>
      <c r="U415" s="45">
        <v>35</v>
      </c>
      <c r="V415" t="s">
        <v>6932</v>
      </c>
      <c r="W415" s="1" t="str">
        <f>HYPERLINK("http://ictvonline.org/taxonomy/p/taxonomy-history?taxnode_id=201908486","ICTVonline=201908486")</f>
        <v>ICTVonline=201908486</v>
      </c>
    </row>
    <row r="416" spans="1:23">
      <c r="A416" s="3">
        <v>415</v>
      </c>
      <c r="B416" s="1" t="s">
        <v>6915</v>
      </c>
      <c r="D416" s="1" t="s">
        <v>6916</v>
      </c>
      <c r="F416" s="1" t="s">
        <v>6920</v>
      </c>
      <c r="H416" s="1" t="s">
        <v>6921</v>
      </c>
      <c r="J416" s="1" t="s">
        <v>1324</v>
      </c>
      <c r="L416" s="1" t="s">
        <v>6928</v>
      </c>
      <c r="M416" s="1" t="s">
        <v>7075</v>
      </c>
      <c r="N416" s="1" t="s">
        <v>6450</v>
      </c>
      <c r="P416" s="1" t="s">
        <v>7218</v>
      </c>
      <c r="Q416" s="3">
        <v>0</v>
      </c>
      <c r="R416" s="22" t="s">
        <v>2721</v>
      </c>
      <c r="S416" s="42" t="s">
        <v>6914</v>
      </c>
      <c r="T416" s="3" t="s">
        <v>4866</v>
      </c>
      <c r="U416" s="45">
        <v>35</v>
      </c>
      <c r="V416" t="s">
        <v>6932</v>
      </c>
      <c r="W416" s="1" t="str">
        <f>HYPERLINK("http://ictvonline.org/taxonomy/p/taxonomy-history?taxnode_id=201908492","ICTVonline=201908492")</f>
        <v>ICTVonline=201908492</v>
      </c>
    </row>
    <row r="417" spans="1:23">
      <c r="A417" s="3">
        <v>416</v>
      </c>
      <c r="B417" s="1" t="s">
        <v>6915</v>
      </c>
      <c r="D417" s="1" t="s">
        <v>6916</v>
      </c>
      <c r="F417" s="1" t="s">
        <v>6920</v>
      </c>
      <c r="H417" s="1" t="s">
        <v>6921</v>
      </c>
      <c r="J417" s="1" t="s">
        <v>1324</v>
      </c>
      <c r="L417" s="1" t="s">
        <v>6928</v>
      </c>
      <c r="M417" s="1" t="s">
        <v>7075</v>
      </c>
      <c r="N417" s="1" t="s">
        <v>6450</v>
      </c>
      <c r="P417" s="1" t="s">
        <v>7219</v>
      </c>
      <c r="Q417" s="3">
        <v>0</v>
      </c>
      <c r="R417" s="22" t="s">
        <v>2721</v>
      </c>
      <c r="S417" s="42" t="s">
        <v>6914</v>
      </c>
      <c r="T417" s="3" t="s">
        <v>4866</v>
      </c>
      <c r="U417" s="45">
        <v>35</v>
      </c>
      <c r="V417" t="s">
        <v>6932</v>
      </c>
      <c r="W417" s="1" t="str">
        <f>HYPERLINK("http://ictvonline.org/taxonomy/p/taxonomy-history?taxnode_id=201908489","ICTVonline=201908489")</f>
        <v>ICTVonline=201908489</v>
      </c>
    </row>
    <row r="418" spans="1:23">
      <c r="A418" s="3">
        <v>417</v>
      </c>
      <c r="B418" s="1" t="s">
        <v>6915</v>
      </c>
      <c r="D418" s="1" t="s">
        <v>6916</v>
      </c>
      <c r="F418" s="1" t="s">
        <v>6920</v>
      </c>
      <c r="H418" s="1" t="s">
        <v>6921</v>
      </c>
      <c r="J418" s="1" t="s">
        <v>1324</v>
      </c>
      <c r="L418" s="1" t="s">
        <v>6928</v>
      </c>
      <c r="M418" s="1" t="s">
        <v>7075</v>
      </c>
      <c r="N418" s="1" t="s">
        <v>6450</v>
      </c>
      <c r="P418" s="1" t="s">
        <v>7220</v>
      </c>
      <c r="Q418" s="3">
        <v>0</v>
      </c>
      <c r="R418" s="22" t="s">
        <v>2721</v>
      </c>
      <c r="S418" s="42" t="s">
        <v>6914</v>
      </c>
      <c r="T418" s="3" t="s">
        <v>4866</v>
      </c>
      <c r="U418" s="45">
        <v>35</v>
      </c>
      <c r="V418" t="s">
        <v>6932</v>
      </c>
      <c r="W418" s="1" t="str">
        <f>HYPERLINK("http://ictvonline.org/taxonomy/p/taxonomy-history?taxnode_id=201908493","ICTVonline=201908493")</f>
        <v>ICTVonline=201908493</v>
      </c>
    </row>
    <row r="419" spans="1:23">
      <c r="A419" s="3">
        <v>418</v>
      </c>
      <c r="B419" s="1" t="s">
        <v>6915</v>
      </c>
      <c r="D419" s="1" t="s">
        <v>6916</v>
      </c>
      <c r="F419" s="1" t="s">
        <v>6920</v>
      </c>
      <c r="H419" s="1" t="s">
        <v>6921</v>
      </c>
      <c r="J419" s="1" t="s">
        <v>1324</v>
      </c>
      <c r="L419" s="1" t="s">
        <v>6928</v>
      </c>
      <c r="M419" s="1" t="s">
        <v>7075</v>
      </c>
      <c r="N419" s="1" t="s">
        <v>6450</v>
      </c>
      <c r="P419" s="1" t="s">
        <v>2957</v>
      </c>
      <c r="Q419" s="3">
        <v>1</v>
      </c>
      <c r="R419" s="22" t="s">
        <v>2721</v>
      </c>
      <c r="S419" s="42" t="s">
        <v>6910</v>
      </c>
      <c r="T419" s="3" t="s">
        <v>4868</v>
      </c>
      <c r="U419" s="45">
        <v>35</v>
      </c>
      <c r="V419" t="s">
        <v>6932</v>
      </c>
      <c r="W419" s="1" t="str">
        <f>HYPERLINK("http://ictvonline.org/taxonomy/p/taxonomy-history?taxnode_id=201900583","ICTVonline=201900583")</f>
        <v>ICTVonline=201900583</v>
      </c>
    </row>
    <row r="420" spans="1:23">
      <c r="A420" s="3">
        <v>419</v>
      </c>
      <c r="B420" s="1" t="s">
        <v>6915</v>
      </c>
      <c r="D420" s="1" t="s">
        <v>6916</v>
      </c>
      <c r="F420" s="1" t="s">
        <v>6920</v>
      </c>
      <c r="H420" s="1" t="s">
        <v>6921</v>
      </c>
      <c r="J420" s="1" t="s">
        <v>1324</v>
      </c>
      <c r="L420" s="1" t="s">
        <v>6928</v>
      </c>
      <c r="M420" s="1" t="s">
        <v>7075</v>
      </c>
      <c r="N420" s="1" t="s">
        <v>6450</v>
      </c>
      <c r="P420" s="1" t="s">
        <v>7221</v>
      </c>
      <c r="Q420" s="3">
        <v>0</v>
      </c>
      <c r="R420" s="22" t="s">
        <v>2721</v>
      </c>
      <c r="S420" s="42" t="s">
        <v>6914</v>
      </c>
      <c r="T420" s="3" t="s">
        <v>4866</v>
      </c>
      <c r="U420" s="45">
        <v>35</v>
      </c>
      <c r="V420" t="s">
        <v>6932</v>
      </c>
      <c r="W420" s="1" t="str">
        <f>HYPERLINK("http://ictvonline.org/taxonomy/p/taxonomy-history?taxnode_id=201908488","ICTVonline=201908488")</f>
        <v>ICTVonline=201908488</v>
      </c>
    </row>
    <row r="421" spans="1:23">
      <c r="A421" s="3">
        <v>420</v>
      </c>
      <c r="B421" s="1" t="s">
        <v>6915</v>
      </c>
      <c r="D421" s="1" t="s">
        <v>6916</v>
      </c>
      <c r="F421" s="1" t="s">
        <v>6920</v>
      </c>
      <c r="H421" s="1" t="s">
        <v>6921</v>
      </c>
      <c r="J421" s="1" t="s">
        <v>1324</v>
      </c>
      <c r="L421" s="1" t="s">
        <v>6928</v>
      </c>
      <c r="M421" s="1" t="s">
        <v>7075</v>
      </c>
      <c r="N421" s="1" t="s">
        <v>6450</v>
      </c>
      <c r="P421" s="1" t="s">
        <v>7222</v>
      </c>
      <c r="Q421" s="3">
        <v>0</v>
      </c>
      <c r="R421" s="22" t="s">
        <v>2721</v>
      </c>
      <c r="S421" s="42" t="s">
        <v>6914</v>
      </c>
      <c r="T421" s="3" t="s">
        <v>4866</v>
      </c>
      <c r="U421" s="45">
        <v>35</v>
      </c>
      <c r="V421" t="s">
        <v>6932</v>
      </c>
      <c r="W421" s="1" t="str">
        <f>HYPERLINK("http://ictvonline.org/taxonomy/p/taxonomy-history?taxnode_id=201908479","ICTVonline=201908479")</f>
        <v>ICTVonline=201908479</v>
      </c>
    </row>
    <row r="422" spans="1:23">
      <c r="A422" s="3">
        <v>421</v>
      </c>
      <c r="B422" s="1" t="s">
        <v>6915</v>
      </c>
      <c r="D422" s="1" t="s">
        <v>6916</v>
      </c>
      <c r="F422" s="1" t="s">
        <v>6920</v>
      </c>
      <c r="H422" s="1" t="s">
        <v>6921</v>
      </c>
      <c r="J422" s="1" t="s">
        <v>1324</v>
      </c>
      <c r="L422" s="1" t="s">
        <v>6928</v>
      </c>
      <c r="M422" s="1" t="s">
        <v>7075</v>
      </c>
      <c r="N422" s="1" t="s">
        <v>6450</v>
      </c>
      <c r="P422" s="1" t="s">
        <v>7223</v>
      </c>
      <c r="Q422" s="3">
        <v>0</v>
      </c>
      <c r="R422" s="22" t="s">
        <v>2721</v>
      </c>
      <c r="S422" s="42" t="s">
        <v>6914</v>
      </c>
      <c r="T422" s="3" t="s">
        <v>4866</v>
      </c>
      <c r="U422" s="45">
        <v>35</v>
      </c>
      <c r="V422" t="s">
        <v>6932</v>
      </c>
      <c r="W422" s="1" t="str">
        <f>HYPERLINK("http://ictvonline.org/taxonomy/p/taxonomy-history?taxnode_id=201908482","ICTVonline=201908482")</f>
        <v>ICTVonline=201908482</v>
      </c>
    </row>
    <row r="423" spans="1:23">
      <c r="A423" s="3">
        <v>422</v>
      </c>
      <c r="B423" s="1" t="s">
        <v>6915</v>
      </c>
      <c r="D423" s="1" t="s">
        <v>6916</v>
      </c>
      <c r="F423" s="1" t="s">
        <v>6920</v>
      </c>
      <c r="H423" s="1" t="s">
        <v>6921</v>
      </c>
      <c r="J423" s="1" t="s">
        <v>1324</v>
      </c>
      <c r="L423" s="1" t="s">
        <v>6928</v>
      </c>
      <c r="M423" s="1" t="s">
        <v>7075</v>
      </c>
      <c r="N423" s="1" t="s">
        <v>6450</v>
      </c>
      <c r="P423" s="1" t="s">
        <v>7224</v>
      </c>
      <c r="Q423" s="3">
        <v>0</v>
      </c>
      <c r="R423" s="22" t="s">
        <v>2721</v>
      </c>
      <c r="S423" s="42" t="s">
        <v>6914</v>
      </c>
      <c r="T423" s="3" t="s">
        <v>4866</v>
      </c>
      <c r="U423" s="45">
        <v>35</v>
      </c>
      <c r="V423" t="s">
        <v>6932</v>
      </c>
      <c r="W423" s="1" t="str">
        <f>HYPERLINK("http://ictvonline.org/taxonomy/p/taxonomy-history?taxnode_id=201908480","ICTVonline=201908480")</f>
        <v>ICTVonline=201908480</v>
      </c>
    </row>
    <row r="424" spans="1:23">
      <c r="A424" s="3">
        <v>423</v>
      </c>
      <c r="B424" s="1" t="s">
        <v>6915</v>
      </c>
      <c r="D424" s="1" t="s">
        <v>6916</v>
      </c>
      <c r="F424" s="1" t="s">
        <v>6920</v>
      </c>
      <c r="H424" s="1" t="s">
        <v>6921</v>
      </c>
      <c r="J424" s="1" t="s">
        <v>1324</v>
      </c>
      <c r="L424" s="1" t="s">
        <v>6928</v>
      </c>
      <c r="M424" s="1" t="s">
        <v>7075</v>
      </c>
      <c r="N424" s="1" t="s">
        <v>6450</v>
      </c>
      <c r="P424" s="1" t="s">
        <v>7225</v>
      </c>
      <c r="Q424" s="3">
        <v>0</v>
      </c>
      <c r="R424" s="22" t="s">
        <v>2721</v>
      </c>
      <c r="S424" s="42" t="s">
        <v>6914</v>
      </c>
      <c r="T424" s="3" t="s">
        <v>4866</v>
      </c>
      <c r="U424" s="45">
        <v>35</v>
      </c>
      <c r="V424" t="s">
        <v>6932</v>
      </c>
      <c r="W424" s="1" t="str">
        <f>HYPERLINK("http://ictvonline.org/taxonomy/p/taxonomy-history?taxnode_id=201908481","ICTVonline=201908481")</f>
        <v>ICTVonline=201908481</v>
      </c>
    </row>
    <row r="425" spans="1:23">
      <c r="A425" s="3">
        <v>424</v>
      </c>
      <c r="B425" s="1" t="s">
        <v>6915</v>
      </c>
      <c r="D425" s="1" t="s">
        <v>6916</v>
      </c>
      <c r="F425" s="1" t="s">
        <v>6920</v>
      </c>
      <c r="H425" s="1" t="s">
        <v>6921</v>
      </c>
      <c r="J425" s="1" t="s">
        <v>1324</v>
      </c>
      <c r="L425" s="1" t="s">
        <v>6928</v>
      </c>
      <c r="M425" s="1" t="s">
        <v>7075</v>
      </c>
      <c r="N425" s="1" t="s">
        <v>7226</v>
      </c>
      <c r="P425" s="1" t="s">
        <v>7227</v>
      </c>
      <c r="Q425" s="3">
        <v>1</v>
      </c>
      <c r="R425" s="22" t="s">
        <v>2721</v>
      </c>
      <c r="S425" s="42" t="s">
        <v>6914</v>
      </c>
      <c r="T425" s="3" t="s">
        <v>4866</v>
      </c>
      <c r="U425" s="45">
        <v>35</v>
      </c>
      <c r="V425" t="s">
        <v>6932</v>
      </c>
      <c r="W425" s="1" t="str">
        <f>HYPERLINK("http://ictvonline.org/taxonomy/p/taxonomy-history?taxnode_id=201908359","ICTVonline=201908359")</f>
        <v>ICTVonline=201908359</v>
      </c>
    </row>
    <row r="426" spans="1:23">
      <c r="A426" s="3">
        <v>425</v>
      </c>
      <c r="B426" s="1" t="s">
        <v>6915</v>
      </c>
      <c r="D426" s="1" t="s">
        <v>6916</v>
      </c>
      <c r="F426" s="1" t="s">
        <v>6920</v>
      </c>
      <c r="H426" s="1" t="s">
        <v>6921</v>
      </c>
      <c r="J426" s="1" t="s">
        <v>1324</v>
      </c>
      <c r="L426" s="1" t="s">
        <v>6928</v>
      </c>
      <c r="M426" s="1" t="s">
        <v>7075</v>
      </c>
      <c r="N426" s="1" t="s">
        <v>7228</v>
      </c>
      <c r="P426" s="1" t="s">
        <v>7229</v>
      </c>
      <c r="Q426" s="3">
        <v>1</v>
      </c>
      <c r="R426" s="22" t="s">
        <v>2721</v>
      </c>
      <c r="S426" s="42" t="s">
        <v>6914</v>
      </c>
      <c r="T426" s="3" t="s">
        <v>4866</v>
      </c>
      <c r="U426" s="45">
        <v>35</v>
      </c>
      <c r="V426" t="s">
        <v>6932</v>
      </c>
      <c r="W426" s="1" t="str">
        <f>HYPERLINK("http://ictvonline.org/taxonomy/p/taxonomy-history?taxnode_id=201908456","ICTVonline=201908456")</f>
        <v>ICTVonline=201908456</v>
      </c>
    </row>
    <row r="427" spans="1:23">
      <c r="A427" s="3">
        <v>426</v>
      </c>
      <c r="B427" s="1" t="s">
        <v>6915</v>
      </c>
      <c r="D427" s="1" t="s">
        <v>6916</v>
      </c>
      <c r="F427" s="1" t="s">
        <v>6920</v>
      </c>
      <c r="H427" s="1" t="s">
        <v>6921</v>
      </c>
      <c r="J427" s="1" t="s">
        <v>1324</v>
      </c>
      <c r="L427" s="1" t="s">
        <v>6928</v>
      </c>
      <c r="N427" s="1" t="s">
        <v>7230</v>
      </c>
      <c r="P427" s="1" t="s">
        <v>7231</v>
      </c>
      <c r="Q427" s="3">
        <v>1</v>
      </c>
      <c r="R427" s="22" t="s">
        <v>2721</v>
      </c>
      <c r="S427" s="42" t="s">
        <v>6914</v>
      </c>
      <c r="T427" s="3" t="s">
        <v>4866</v>
      </c>
      <c r="U427" s="45">
        <v>35</v>
      </c>
      <c r="V427" t="s">
        <v>6932</v>
      </c>
      <c r="W427" s="1" t="str">
        <f>HYPERLINK("http://ictvonline.org/taxonomy/p/taxonomy-history?taxnode_id=201908235","ICTVonline=201908235")</f>
        <v>ICTVonline=201908235</v>
      </c>
    </row>
    <row r="428" spans="1:23">
      <c r="A428" s="3">
        <v>427</v>
      </c>
      <c r="B428" s="1" t="s">
        <v>6915</v>
      </c>
      <c r="D428" s="1" t="s">
        <v>6916</v>
      </c>
      <c r="F428" s="1" t="s">
        <v>6920</v>
      </c>
      <c r="H428" s="1" t="s">
        <v>6921</v>
      </c>
      <c r="J428" s="1" t="s">
        <v>1324</v>
      </c>
      <c r="L428" s="1" t="s">
        <v>6928</v>
      </c>
      <c r="N428" s="1" t="s">
        <v>6460</v>
      </c>
      <c r="P428" s="1" t="s">
        <v>6461</v>
      </c>
      <c r="Q428" s="3">
        <v>1</v>
      </c>
      <c r="R428" s="22" t="s">
        <v>2721</v>
      </c>
      <c r="S428" s="42" t="s">
        <v>6910</v>
      </c>
      <c r="T428" s="3" t="s">
        <v>4868</v>
      </c>
      <c r="U428" s="45">
        <v>35</v>
      </c>
      <c r="V428" t="s">
        <v>6932</v>
      </c>
      <c r="W428" s="1" t="str">
        <f>HYPERLINK("http://ictvonline.org/taxonomy/p/taxonomy-history?taxnode_id=201906761","ICTVonline=201906761")</f>
        <v>ICTVonline=201906761</v>
      </c>
    </row>
    <row r="429" spans="1:23">
      <c r="A429" s="3">
        <v>428</v>
      </c>
      <c r="B429" s="1" t="s">
        <v>6915</v>
      </c>
      <c r="D429" s="1" t="s">
        <v>6916</v>
      </c>
      <c r="F429" s="1" t="s">
        <v>6920</v>
      </c>
      <c r="H429" s="1" t="s">
        <v>6921</v>
      </c>
      <c r="J429" s="1" t="s">
        <v>1324</v>
      </c>
      <c r="L429" s="1" t="s">
        <v>6928</v>
      </c>
      <c r="N429" s="1" t="s">
        <v>7232</v>
      </c>
      <c r="P429" s="1" t="s">
        <v>7233</v>
      </c>
      <c r="Q429" s="3">
        <v>1</v>
      </c>
      <c r="R429" s="22" t="s">
        <v>2721</v>
      </c>
      <c r="S429" s="42" t="s">
        <v>6914</v>
      </c>
      <c r="T429" s="3" t="s">
        <v>4866</v>
      </c>
      <c r="U429" s="45">
        <v>35</v>
      </c>
      <c r="V429" t="s">
        <v>6932</v>
      </c>
      <c r="W429" s="1" t="str">
        <f>HYPERLINK("http://ictvonline.org/taxonomy/p/taxonomy-history?taxnode_id=201908245","ICTVonline=201908245")</f>
        <v>ICTVonline=201908245</v>
      </c>
    </row>
    <row r="430" spans="1:23">
      <c r="A430" s="3">
        <v>429</v>
      </c>
      <c r="B430" s="1" t="s">
        <v>6915</v>
      </c>
      <c r="D430" s="1" t="s">
        <v>6916</v>
      </c>
      <c r="F430" s="1" t="s">
        <v>6920</v>
      </c>
      <c r="H430" s="1" t="s">
        <v>6921</v>
      </c>
      <c r="J430" s="1" t="s">
        <v>1324</v>
      </c>
      <c r="L430" s="1" t="s">
        <v>6928</v>
      </c>
      <c r="N430" s="1" t="s">
        <v>7234</v>
      </c>
      <c r="P430" s="1" t="s">
        <v>7235</v>
      </c>
      <c r="Q430" s="3">
        <v>1</v>
      </c>
      <c r="R430" s="22" t="s">
        <v>2721</v>
      </c>
      <c r="S430" s="42" t="s">
        <v>6914</v>
      </c>
      <c r="T430" s="3" t="s">
        <v>4866</v>
      </c>
      <c r="U430" s="45">
        <v>35</v>
      </c>
      <c r="V430" t="s">
        <v>6932</v>
      </c>
      <c r="W430" s="1" t="str">
        <f>HYPERLINK("http://ictvonline.org/taxonomy/p/taxonomy-history?taxnode_id=201908213","ICTVonline=201908213")</f>
        <v>ICTVonline=201908213</v>
      </c>
    </row>
    <row r="431" spans="1:23">
      <c r="A431" s="3">
        <v>430</v>
      </c>
      <c r="B431" s="1" t="s">
        <v>6915</v>
      </c>
      <c r="D431" s="1" t="s">
        <v>6916</v>
      </c>
      <c r="F431" s="1" t="s">
        <v>6920</v>
      </c>
      <c r="H431" s="1" t="s">
        <v>6921</v>
      </c>
      <c r="J431" s="1" t="s">
        <v>1324</v>
      </c>
      <c r="L431" s="1" t="s">
        <v>6928</v>
      </c>
      <c r="N431" s="1" t="s">
        <v>7234</v>
      </c>
      <c r="P431" s="1" t="s">
        <v>7236</v>
      </c>
      <c r="Q431" s="3">
        <v>0</v>
      </c>
      <c r="R431" s="22" t="s">
        <v>2721</v>
      </c>
      <c r="S431" s="42" t="s">
        <v>6914</v>
      </c>
      <c r="T431" s="3" t="s">
        <v>4866</v>
      </c>
      <c r="U431" s="45">
        <v>35</v>
      </c>
      <c r="V431" t="s">
        <v>6932</v>
      </c>
      <c r="W431" s="1" t="str">
        <f>HYPERLINK("http://ictvonline.org/taxonomy/p/taxonomy-history?taxnode_id=201908214","ICTVonline=201908214")</f>
        <v>ICTVonline=201908214</v>
      </c>
    </row>
    <row r="432" spans="1:23">
      <c r="A432" s="3">
        <v>431</v>
      </c>
      <c r="B432" s="1" t="s">
        <v>6915</v>
      </c>
      <c r="D432" s="1" t="s">
        <v>6916</v>
      </c>
      <c r="F432" s="1" t="s">
        <v>6920</v>
      </c>
      <c r="H432" s="1" t="s">
        <v>6921</v>
      </c>
      <c r="J432" s="1" t="s">
        <v>1324</v>
      </c>
      <c r="L432" s="1" t="s">
        <v>6928</v>
      </c>
      <c r="N432" s="1" t="s">
        <v>7237</v>
      </c>
      <c r="P432" s="1" t="s">
        <v>7238</v>
      </c>
      <c r="Q432" s="3">
        <v>1</v>
      </c>
      <c r="R432" s="22" t="s">
        <v>2721</v>
      </c>
      <c r="S432" s="42" t="s">
        <v>6914</v>
      </c>
      <c r="T432" s="3" t="s">
        <v>4866</v>
      </c>
      <c r="U432" s="45">
        <v>35</v>
      </c>
      <c r="V432" t="s">
        <v>6932</v>
      </c>
      <c r="W432" s="1" t="str">
        <f>HYPERLINK("http://ictvonline.org/taxonomy/p/taxonomy-history?taxnode_id=201908249","ICTVonline=201908249")</f>
        <v>ICTVonline=201908249</v>
      </c>
    </row>
    <row r="433" spans="1:23">
      <c r="A433" s="3">
        <v>432</v>
      </c>
      <c r="B433" s="1" t="s">
        <v>6915</v>
      </c>
      <c r="D433" s="1" t="s">
        <v>6916</v>
      </c>
      <c r="F433" s="1" t="s">
        <v>6920</v>
      </c>
      <c r="H433" s="1" t="s">
        <v>6921</v>
      </c>
      <c r="J433" s="1" t="s">
        <v>1324</v>
      </c>
      <c r="L433" s="1" t="s">
        <v>6928</v>
      </c>
      <c r="N433" s="1" t="s">
        <v>7239</v>
      </c>
      <c r="P433" s="1" t="s">
        <v>7240</v>
      </c>
      <c r="Q433" s="3">
        <v>1</v>
      </c>
      <c r="R433" s="22" t="s">
        <v>2721</v>
      </c>
      <c r="S433" s="42" t="s">
        <v>6914</v>
      </c>
      <c r="T433" s="3" t="s">
        <v>4866</v>
      </c>
      <c r="U433" s="45">
        <v>35</v>
      </c>
      <c r="V433" t="s">
        <v>6932</v>
      </c>
      <c r="W433" s="1" t="str">
        <f>HYPERLINK("http://ictvonline.org/taxonomy/p/taxonomy-history?taxnode_id=201908284","ICTVonline=201908284")</f>
        <v>ICTVonline=201908284</v>
      </c>
    </row>
    <row r="434" spans="1:23">
      <c r="A434" s="3">
        <v>433</v>
      </c>
      <c r="B434" s="1" t="s">
        <v>6915</v>
      </c>
      <c r="D434" s="1" t="s">
        <v>6916</v>
      </c>
      <c r="F434" s="1" t="s">
        <v>6920</v>
      </c>
      <c r="H434" s="1" t="s">
        <v>6921</v>
      </c>
      <c r="J434" s="1" t="s">
        <v>1324</v>
      </c>
      <c r="L434" s="1" t="s">
        <v>6928</v>
      </c>
      <c r="N434" s="1" t="s">
        <v>7241</v>
      </c>
      <c r="P434" s="1" t="s">
        <v>7242</v>
      </c>
      <c r="Q434" s="3">
        <v>1</v>
      </c>
      <c r="R434" s="22" t="s">
        <v>2721</v>
      </c>
      <c r="S434" s="42" t="s">
        <v>6914</v>
      </c>
      <c r="T434" s="3" t="s">
        <v>4866</v>
      </c>
      <c r="U434" s="45">
        <v>35</v>
      </c>
      <c r="V434" t="s">
        <v>6932</v>
      </c>
      <c r="W434" s="1" t="str">
        <f>HYPERLINK("http://ictvonline.org/taxonomy/p/taxonomy-history?taxnode_id=201908274","ICTVonline=201908274")</f>
        <v>ICTVonline=201908274</v>
      </c>
    </row>
    <row r="435" spans="1:23">
      <c r="A435" s="3">
        <v>434</v>
      </c>
      <c r="B435" s="1" t="s">
        <v>6915</v>
      </c>
      <c r="D435" s="1" t="s">
        <v>6916</v>
      </c>
      <c r="F435" s="1" t="s">
        <v>6920</v>
      </c>
      <c r="H435" s="1" t="s">
        <v>6921</v>
      </c>
      <c r="J435" s="1" t="s">
        <v>1324</v>
      </c>
      <c r="L435" s="1" t="s">
        <v>6928</v>
      </c>
      <c r="N435" s="1" t="s">
        <v>6463</v>
      </c>
      <c r="P435" s="1" t="s">
        <v>6464</v>
      </c>
      <c r="Q435" s="3">
        <v>0</v>
      </c>
      <c r="R435" s="22" t="s">
        <v>2721</v>
      </c>
      <c r="S435" s="42" t="s">
        <v>6910</v>
      </c>
      <c r="T435" s="3" t="s">
        <v>4868</v>
      </c>
      <c r="U435" s="45">
        <v>35</v>
      </c>
      <c r="V435" t="s">
        <v>6932</v>
      </c>
      <c r="W435" s="1" t="str">
        <f>HYPERLINK("http://ictvonline.org/taxonomy/p/taxonomy-history?taxnode_id=201906804","ICTVonline=201906804")</f>
        <v>ICTVonline=201906804</v>
      </c>
    </row>
    <row r="436" spans="1:23">
      <c r="A436" s="3">
        <v>435</v>
      </c>
      <c r="B436" s="1" t="s">
        <v>6915</v>
      </c>
      <c r="D436" s="1" t="s">
        <v>6916</v>
      </c>
      <c r="F436" s="1" t="s">
        <v>6920</v>
      </c>
      <c r="H436" s="1" t="s">
        <v>6921</v>
      </c>
      <c r="J436" s="1" t="s">
        <v>1324</v>
      </c>
      <c r="L436" s="1" t="s">
        <v>6928</v>
      </c>
      <c r="N436" s="1" t="s">
        <v>6463</v>
      </c>
      <c r="P436" s="1" t="s">
        <v>6465</v>
      </c>
      <c r="Q436" s="3">
        <v>1</v>
      </c>
      <c r="R436" s="22" t="s">
        <v>2721</v>
      </c>
      <c r="S436" s="42" t="s">
        <v>6910</v>
      </c>
      <c r="T436" s="3" t="s">
        <v>4868</v>
      </c>
      <c r="U436" s="45">
        <v>35</v>
      </c>
      <c r="V436" t="s">
        <v>6932</v>
      </c>
      <c r="W436" s="1" t="str">
        <f>HYPERLINK("http://ictvonline.org/taxonomy/p/taxonomy-history?taxnode_id=201906803","ICTVonline=201906803")</f>
        <v>ICTVonline=201906803</v>
      </c>
    </row>
    <row r="437" spans="1:23">
      <c r="A437" s="3">
        <v>436</v>
      </c>
      <c r="B437" s="1" t="s">
        <v>6915</v>
      </c>
      <c r="D437" s="1" t="s">
        <v>6916</v>
      </c>
      <c r="F437" s="1" t="s">
        <v>6920</v>
      </c>
      <c r="H437" s="1" t="s">
        <v>6921</v>
      </c>
      <c r="J437" s="1" t="s">
        <v>1324</v>
      </c>
      <c r="L437" s="1" t="s">
        <v>6928</v>
      </c>
      <c r="N437" s="1" t="s">
        <v>7243</v>
      </c>
      <c r="P437" s="1" t="s">
        <v>7244</v>
      </c>
      <c r="Q437" s="3">
        <v>1</v>
      </c>
      <c r="R437" s="22" t="s">
        <v>2721</v>
      </c>
      <c r="S437" s="42" t="s">
        <v>6914</v>
      </c>
      <c r="T437" s="3" t="s">
        <v>4866</v>
      </c>
      <c r="U437" s="45">
        <v>35</v>
      </c>
      <c r="V437" t="s">
        <v>6932</v>
      </c>
      <c r="W437" s="1" t="str">
        <f>HYPERLINK("http://ictvonline.org/taxonomy/p/taxonomy-history?taxnode_id=201908229","ICTVonline=201908229")</f>
        <v>ICTVonline=201908229</v>
      </c>
    </row>
    <row r="438" spans="1:23">
      <c r="A438" s="3">
        <v>437</v>
      </c>
      <c r="B438" s="1" t="s">
        <v>6915</v>
      </c>
      <c r="D438" s="1" t="s">
        <v>6916</v>
      </c>
      <c r="F438" s="1" t="s">
        <v>6920</v>
      </c>
      <c r="H438" s="1" t="s">
        <v>6921</v>
      </c>
      <c r="J438" s="1" t="s">
        <v>1324</v>
      </c>
      <c r="L438" s="1" t="s">
        <v>6928</v>
      </c>
      <c r="N438" s="1" t="s">
        <v>7243</v>
      </c>
      <c r="P438" s="1" t="s">
        <v>7245</v>
      </c>
      <c r="Q438" s="3">
        <v>0</v>
      </c>
      <c r="R438" s="22" t="s">
        <v>2721</v>
      </c>
      <c r="S438" s="42" t="s">
        <v>6914</v>
      </c>
      <c r="T438" s="3" t="s">
        <v>4866</v>
      </c>
      <c r="U438" s="45">
        <v>35</v>
      </c>
      <c r="V438" t="s">
        <v>6932</v>
      </c>
      <c r="W438" s="1" t="str">
        <f>HYPERLINK("http://ictvonline.org/taxonomy/p/taxonomy-history?taxnode_id=201908230","ICTVonline=201908230")</f>
        <v>ICTVonline=201908230</v>
      </c>
    </row>
    <row r="439" spans="1:23">
      <c r="A439" s="3">
        <v>438</v>
      </c>
      <c r="B439" s="1" t="s">
        <v>6915</v>
      </c>
      <c r="D439" s="1" t="s">
        <v>6916</v>
      </c>
      <c r="F439" s="1" t="s">
        <v>6920</v>
      </c>
      <c r="H439" s="1" t="s">
        <v>6921</v>
      </c>
      <c r="J439" s="1" t="s">
        <v>1324</v>
      </c>
      <c r="L439" s="1" t="s">
        <v>6928</v>
      </c>
      <c r="N439" s="1" t="s">
        <v>7246</v>
      </c>
      <c r="P439" s="1" t="s">
        <v>7247</v>
      </c>
      <c r="Q439" s="3">
        <v>1</v>
      </c>
      <c r="R439" s="22" t="s">
        <v>2721</v>
      </c>
      <c r="S439" s="42" t="s">
        <v>6914</v>
      </c>
      <c r="T439" s="3" t="s">
        <v>4866</v>
      </c>
      <c r="U439" s="45">
        <v>35</v>
      </c>
      <c r="V439" t="s">
        <v>6932</v>
      </c>
      <c r="W439" s="1" t="str">
        <f>HYPERLINK("http://ictvonline.org/taxonomy/p/taxonomy-history?taxnode_id=201908316","ICTVonline=201908316")</f>
        <v>ICTVonline=201908316</v>
      </c>
    </row>
    <row r="440" spans="1:23">
      <c r="A440" s="3">
        <v>439</v>
      </c>
      <c r="B440" s="1" t="s">
        <v>6915</v>
      </c>
      <c r="D440" s="1" t="s">
        <v>6916</v>
      </c>
      <c r="F440" s="1" t="s">
        <v>6920</v>
      </c>
      <c r="H440" s="1" t="s">
        <v>6921</v>
      </c>
      <c r="J440" s="1" t="s">
        <v>1324</v>
      </c>
      <c r="L440" s="1" t="s">
        <v>6928</v>
      </c>
      <c r="N440" s="1" t="s">
        <v>7248</v>
      </c>
      <c r="P440" s="1" t="s">
        <v>7249</v>
      </c>
      <c r="Q440" s="3">
        <v>1</v>
      </c>
      <c r="R440" s="22" t="s">
        <v>2721</v>
      </c>
      <c r="S440" s="42" t="s">
        <v>6914</v>
      </c>
      <c r="T440" s="3" t="s">
        <v>4866</v>
      </c>
      <c r="U440" s="45">
        <v>35</v>
      </c>
      <c r="V440" t="s">
        <v>6932</v>
      </c>
      <c r="W440" s="1" t="str">
        <f>HYPERLINK("http://ictvonline.org/taxonomy/p/taxonomy-history?taxnode_id=201908314","ICTVonline=201908314")</f>
        <v>ICTVonline=201908314</v>
      </c>
    </row>
    <row r="441" spans="1:23">
      <c r="A441" s="3">
        <v>440</v>
      </c>
      <c r="B441" s="1" t="s">
        <v>6915</v>
      </c>
      <c r="D441" s="1" t="s">
        <v>6916</v>
      </c>
      <c r="F441" s="1" t="s">
        <v>6920</v>
      </c>
      <c r="H441" s="1" t="s">
        <v>6921</v>
      </c>
      <c r="J441" s="1" t="s">
        <v>1324</v>
      </c>
      <c r="L441" s="1" t="s">
        <v>6928</v>
      </c>
      <c r="N441" s="1" t="s">
        <v>7250</v>
      </c>
      <c r="P441" s="1" t="s">
        <v>7251</v>
      </c>
      <c r="Q441" s="3">
        <v>1</v>
      </c>
      <c r="R441" s="22" t="s">
        <v>2721</v>
      </c>
      <c r="S441" s="42" t="s">
        <v>6914</v>
      </c>
      <c r="T441" s="3" t="s">
        <v>4866</v>
      </c>
      <c r="U441" s="45">
        <v>35</v>
      </c>
      <c r="V441" t="s">
        <v>6932</v>
      </c>
      <c r="W441" s="1" t="str">
        <f>HYPERLINK("http://ictvonline.org/taxonomy/p/taxonomy-history?taxnode_id=201908225","ICTVonline=201908225")</f>
        <v>ICTVonline=201908225</v>
      </c>
    </row>
    <row r="442" spans="1:23">
      <c r="A442" s="3">
        <v>441</v>
      </c>
      <c r="B442" s="1" t="s">
        <v>6915</v>
      </c>
      <c r="D442" s="1" t="s">
        <v>6916</v>
      </c>
      <c r="F442" s="1" t="s">
        <v>6920</v>
      </c>
      <c r="H442" s="1" t="s">
        <v>6921</v>
      </c>
      <c r="J442" s="1" t="s">
        <v>1324</v>
      </c>
      <c r="L442" s="1" t="s">
        <v>6928</v>
      </c>
      <c r="N442" s="1" t="s">
        <v>7250</v>
      </c>
      <c r="P442" s="1" t="s">
        <v>7252</v>
      </c>
      <c r="Q442" s="3">
        <v>0</v>
      </c>
      <c r="R442" s="22" t="s">
        <v>2721</v>
      </c>
      <c r="S442" s="42" t="s">
        <v>6914</v>
      </c>
      <c r="T442" s="3" t="s">
        <v>4866</v>
      </c>
      <c r="U442" s="45">
        <v>35</v>
      </c>
      <c r="V442" t="s">
        <v>6932</v>
      </c>
      <c r="W442" s="1" t="str">
        <f>HYPERLINK("http://ictvonline.org/taxonomy/p/taxonomy-history?taxnode_id=201908226","ICTVonline=201908226")</f>
        <v>ICTVonline=201908226</v>
      </c>
    </row>
    <row r="443" spans="1:23">
      <c r="A443" s="3">
        <v>442</v>
      </c>
      <c r="B443" s="1" t="s">
        <v>6915</v>
      </c>
      <c r="D443" s="1" t="s">
        <v>6916</v>
      </c>
      <c r="F443" s="1" t="s">
        <v>6920</v>
      </c>
      <c r="H443" s="1" t="s">
        <v>6921</v>
      </c>
      <c r="J443" s="1" t="s">
        <v>1324</v>
      </c>
      <c r="L443" s="1" t="s">
        <v>6928</v>
      </c>
      <c r="N443" s="1" t="s">
        <v>7250</v>
      </c>
      <c r="P443" s="1" t="s">
        <v>7253</v>
      </c>
      <c r="Q443" s="3">
        <v>0</v>
      </c>
      <c r="R443" s="22" t="s">
        <v>2721</v>
      </c>
      <c r="S443" s="42" t="s">
        <v>6914</v>
      </c>
      <c r="T443" s="3" t="s">
        <v>4866</v>
      </c>
      <c r="U443" s="45">
        <v>35</v>
      </c>
      <c r="V443" t="s">
        <v>6932</v>
      </c>
      <c r="W443" s="1" t="str">
        <f>HYPERLINK("http://ictvonline.org/taxonomy/p/taxonomy-history?taxnode_id=201908227","ICTVonline=201908227")</f>
        <v>ICTVonline=201908227</v>
      </c>
    </row>
    <row r="444" spans="1:23">
      <c r="A444" s="3">
        <v>443</v>
      </c>
      <c r="B444" s="1" t="s">
        <v>6915</v>
      </c>
      <c r="D444" s="1" t="s">
        <v>6916</v>
      </c>
      <c r="F444" s="1" t="s">
        <v>6920</v>
      </c>
      <c r="H444" s="1" t="s">
        <v>6921</v>
      </c>
      <c r="J444" s="1" t="s">
        <v>1324</v>
      </c>
      <c r="L444" s="1" t="s">
        <v>6928</v>
      </c>
      <c r="N444" s="1" t="s">
        <v>7254</v>
      </c>
      <c r="P444" s="1" t="s">
        <v>7255</v>
      </c>
      <c r="Q444" s="3">
        <v>1</v>
      </c>
      <c r="R444" s="22" t="s">
        <v>2721</v>
      </c>
      <c r="S444" s="42" t="s">
        <v>6914</v>
      </c>
      <c r="T444" s="3" t="s">
        <v>4866</v>
      </c>
      <c r="U444" s="45">
        <v>35</v>
      </c>
      <c r="V444" t="s">
        <v>6932</v>
      </c>
      <c r="W444" s="1" t="str">
        <f>HYPERLINK("http://ictvonline.org/taxonomy/p/taxonomy-history?taxnode_id=201908310","ICTVonline=201908310")</f>
        <v>ICTVonline=201908310</v>
      </c>
    </row>
    <row r="445" spans="1:23">
      <c r="A445" s="3">
        <v>444</v>
      </c>
      <c r="B445" s="1" t="s">
        <v>6915</v>
      </c>
      <c r="D445" s="1" t="s">
        <v>6916</v>
      </c>
      <c r="F445" s="1" t="s">
        <v>6920</v>
      </c>
      <c r="H445" s="1" t="s">
        <v>6921</v>
      </c>
      <c r="J445" s="1" t="s">
        <v>1324</v>
      </c>
      <c r="L445" s="1" t="s">
        <v>6928</v>
      </c>
      <c r="N445" s="1" t="s">
        <v>7256</v>
      </c>
      <c r="P445" s="1" t="s">
        <v>7257</v>
      </c>
      <c r="Q445" s="3">
        <v>0</v>
      </c>
      <c r="R445" s="22" t="s">
        <v>2721</v>
      </c>
      <c r="S445" s="42" t="s">
        <v>6914</v>
      </c>
      <c r="T445" s="3" t="s">
        <v>4866</v>
      </c>
      <c r="U445" s="45">
        <v>35</v>
      </c>
      <c r="V445" t="s">
        <v>6932</v>
      </c>
      <c r="W445" s="1" t="str">
        <f>HYPERLINK("http://ictvonline.org/taxonomy/p/taxonomy-history?taxnode_id=201908211","ICTVonline=201908211")</f>
        <v>ICTVonline=201908211</v>
      </c>
    </row>
    <row r="446" spans="1:23">
      <c r="A446" s="3">
        <v>445</v>
      </c>
      <c r="B446" s="1" t="s">
        <v>6915</v>
      </c>
      <c r="D446" s="1" t="s">
        <v>6916</v>
      </c>
      <c r="F446" s="1" t="s">
        <v>6920</v>
      </c>
      <c r="H446" s="1" t="s">
        <v>6921</v>
      </c>
      <c r="J446" s="1" t="s">
        <v>1324</v>
      </c>
      <c r="L446" s="1" t="s">
        <v>6928</v>
      </c>
      <c r="N446" s="1" t="s">
        <v>7256</v>
      </c>
      <c r="P446" s="1" t="s">
        <v>7258</v>
      </c>
      <c r="Q446" s="3">
        <v>1</v>
      </c>
      <c r="R446" s="22" t="s">
        <v>2721</v>
      </c>
      <c r="S446" s="42" t="s">
        <v>6914</v>
      </c>
      <c r="T446" s="3" t="s">
        <v>4866</v>
      </c>
      <c r="U446" s="45">
        <v>35</v>
      </c>
      <c r="V446" t="s">
        <v>6932</v>
      </c>
      <c r="W446" s="1" t="str">
        <f>HYPERLINK("http://ictvonline.org/taxonomy/p/taxonomy-history?taxnode_id=201908210","ICTVonline=201908210")</f>
        <v>ICTVonline=201908210</v>
      </c>
    </row>
    <row r="447" spans="1:23">
      <c r="A447" s="3">
        <v>446</v>
      </c>
      <c r="B447" s="1" t="s">
        <v>6915</v>
      </c>
      <c r="D447" s="1" t="s">
        <v>6916</v>
      </c>
      <c r="F447" s="1" t="s">
        <v>6920</v>
      </c>
      <c r="H447" s="1" t="s">
        <v>6921</v>
      </c>
      <c r="J447" s="1" t="s">
        <v>1324</v>
      </c>
      <c r="L447" s="1" t="s">
        <v>6928</v>
      </c>
      <c r="N447" s="1" t="s">
        <v>7259</v>
      </c>
      <c r="P447" s="1" t="s">
        <v>7260</v>
      </c>
      <c r="Q447" s="3">
        <v>1</v>
      </c>
      <c r="R447" s="22" t="s">
        <v>2721</v>
      </c>
      <c r="S447" s="42" t="s">
        <v>6914</v>
      </c>
      <c r="T447" s="3" t="s">
        <v>4866</v>
      </c>
      <c r="U447" s="45">
        <v>35</v>
      </c>
      <c r="V447" t="s">
        <v>6932</v>
      </c>
      <c r="W447" s="1" t="str">
        <f>HYPERLINK("http://ictvonline.org/taxonomy/p/taxonomy-history?taxnode_id=201908308","ICTVonline=201908308")</f>
        <v>ICTVonline=201908308</v>
      </c>
    </row>
    <row r="448" spans="1:23">
      <c r="A448" s="3">
        <v>447</v>
      </c>
      <c r="B448" s="1" t="s">
        <v>6915</v>
      </c>
      <c r="D448" s="1" t="s">
        <v>6916</v>
      </c>
      <c r="F448" s="1" t="s">
        <v>6920</v>
      </c>
      <c r="H448" s="1" t="s">
        <v>6921</v>
      </c>
      <c r="J448" s="1" t="s">
        <v>1324</v>
      </c>
      <c r="L448" s="1" t="s">
        <v>6928</v>
      </c>
      <c r="N448" s="1" t="s">
        <v>7261</v>
      </c>
      <c r="P448" s="1" t="s">
        <v>7262</v>
      </c>
      <c r="Q448" s="3">
        <v>1</v>
      </c>
      <c r="R448" s="22" t="s">
        <v>2721</v>
      </c>
      <c r="S448" s="42" t="s">
        <v>6914</v>
      </c>
      <c r="T448" s="3" t="s">
        <v>4866</v>
      </c>
      <c r="U448" s="45">
        <v>35</v>
      </c>
      <c r="V448" t="s">
        <v>6932</v>
      </c>
      <c r="W448" s="1" t="str">
        <f>HYPERLINK("http://ictvonline.org/taxonomy/p/taxonomy-history?taxnode_id=201908326","ICTVonline=201908326")</f>
        <v>ICTVonline=201908326</v>
      </c>
    </row>
    <row r="449" spans="1:23">
      <c r="A449" s="3">
        <v>448</v>
      </c>
      <c r="B449" s="1" t="s">
        <v>6915</v>
      </c>
      <c r="D449" s="1" t="s">
        <v>6916</v>
      </c>
      <c r="F449" s="1" t="s">
        <v>6920</v>
      </c>
      <c r="H449" s="1" t="s">
        <v>6921</v>
      </c>
      <c r="J449" s="1" t="s">
        <v>1324</v>
      </c>
      <c r="L449" s="1" t="s">
        <v>6928</v>
      </c>
      <c r="N449" s="1" t="s">
        <v>7263</v>
      </c>
      <c r="P449" s="1" t="s">
        <v>7264</v>
      </c>
      <c r="Q449" s="3">
        <v>1</v>
      </c>
      <c r="R449" s="22" t="s">
        <v>2721</v>
      </c>
      <c r="S449" s="42" t="s">
        <v>6914</v>
      </c>
      <c r="T449" s="3" t="s">
        <v>4866</v>
      </c>
      <c r="U449" s="45">
        <v>35</v>
      </c>
      <c r="V449" t="s">
        <v>6932</v>
      </c>
      <c r="W449" s="1" t="str">
        <f>HYPERLINK("http://ictvonline.org/taxonomy/p/taxonomy-history?taxnode_id=201908253","ICTVonline=201908253")</f>
        <v>ICTVonline=201908253</v>
      </c>
    </row>
    <row r="450" spans="1:23">
      <c r="A450" s="3">
        <v>449</v>
      </c>
      <c r="B450" s="1" t="s">
        <v>6915</v>
      </c>
      <c r="D450" s="1" t="s">
        <v>6916</v>
      </c>
      <c r="F450" s="1" t="s">
        <v>6920</v>
      </c>
      <c r="H450" s="1" t="s">
        <v>6921</v>
      </c>
      <c r="J450" s="1" t="s">
        <v>1324</v>
      </c>
      <c r="L450" s="1" t="s">
        <v>6928</v>
      </c>
      <c r="N450" s="1" t="s">
        <v>7265</v>
      </c>
      <c r="P450" s="1" t="s">
        <v>7266</v>
      </c>
      <c r="Q450" s="3">
        <v>1</v>
      </c>
      <c r="R450" s="22" t="s">
        <v>2721</v>
      </c>
      <c r="S450" s="42" t="s">
        <v>6914</v>
      </c>
      <c r="T450" s="3" t="s">
        <v>4866</v>
      </c>
      <c r="U450" s="45">
        <v>35</v>
      </c>
      <c r="V450" t="s">
        <v>6932</v>
      </c>
      <c r="W450" s="1" t="str">
        <f>HYPERLINK("http://ictvonline.org/taxonomy/p/taxonomy-history?taxnode_id=201908207","ICTVonline=201908207")</f>
        <v>ICTVonline=201908207</v>
      </c>
    </row>
    <row r="451" spans="1:23">
      <c r="A451" s="3">
        <v>450</v>
      </c>
      <c r="B451" s="1" t="s">
        <v>6915</v>
      </c>
      <c r="D451" s="1" t="s">
        <v>6916</v>
      </c>
      <c r="F451" s="1" t="s">
        <v>6920</v>
      </c>
      <c r="H451" s="1" t="s">
        <v>6921</v>
      </c>
      <c r="J451" s="1" t="s">
        <v>1324</v>
      </c>
      <c r="L451" s="1" t="s">
        <v>6928</v>
      </c>
      <c r="N451" s="1" t="s">
        <v>7265</v>
      </c>
      <c r="P451" s="1" t="s">
        <v>7267</v>
      </c>
      <c r="Q451" s="3">
        <v>0</v>
      </c>
      <c r="R451" s="22" t="s">
        <v>2721</v>
      </c>
      <c r="S451" s="42" t="s">
        <v>6914</v>
      </c>
      <c r="T451" s="3" t="s">
        <v>4866</v>
      </c>
      <c r="U451" s="45">
        <v>35</v>
      </c>
      <c r="V451" t="s">
        <v>6932</v>
      </c>
      <c r="W451" s="1" t="str">
        <f>HYPERLINK("http://ictvonline.org/taxonomy/p/taxonomy-history?taxnode_id=201908208","ICTVonline=201908208")</f>
        <v>ICTVonline=201908208</v>
      </c>
    </row>
    <row r="452" spans="1:23">
      <c r="A452" s="3">
        <v>451</v>
      </c>
      <c r="B452" s="1" t="s">
        <v>6915</v>
      </c>
      <c r="D452" s="1" t="s">
        <v>6916</v>
      </c>
      <c r="F452" s="1" t="s">
        <v>6920</v>
      </c>
      <c r="H452" s="1" t="s">
        <v>6921</v>
      </c>
      <c r="J452" s="1" t="s">
        <v>1324</v>
      </c>
      <c r="L452" s="1" t="s">
        <v>6928</v>
      </c>
      <c r="N452" s="1" t="s">
        <v>7268</v>
      </c>
      <c r="P452" s="1" t="s">
        <v>7269</v>
      </c>
      <c r="Q452" s="3">
        <v>1</v>
      </c>
      <c r="R452" s="22" t="s">
        <v>2721</v>
      </c>
      <c r="S452" s="42" t="s">
        <v>6914</v>
      </c>
      <c r="T452" s="3" t="s">
        <v>4866</v>
      </c>
      <c r="U452" s="45">
        <v>35</v>
      </c>
      <c r="V452" t="s">
        <v>6932</v>
      </c>
      <c r="W452" s="1" t="str">
        <f>HYPERLINK("http://ictvonline.org/taxonomy/p/taxonomy-history?taxnode_id=201908216","ICTVonline=201908216")</f>
        <v>ICTVonline=201908216</v>
      </c>
    </row>
    <row r="453" spans="1:23">
      <c r="A453" s="3">
        <v>452</v>
      </c>
      <c r="B453" s="1" t="s">
        <v>6915</v>
      </c>
      <c r="D453" s="1" t="s">
        <v>6916</v>
      </c>
      <c r="F453" s="1" t="s">
        <v>6920</v>
      </c>
      <c r="H453" s="1" t="s">
        <v>6921</v>
      </c>
      <c r="J453" s="1" t="s">
        <v>1324</v>
      </c>
      <c r="L453" s="1" t="s">
        <v>6928</v>
      </c>
      <c r="N453" s="1" t="s">
        <v>7268</v>
      </c>
      <c r="P453" s="1" t="s">
        <v>7270</v>
      </c>
      <c r="Q453" s="3">
        <v>0</v>
      </c>
      <c r="R453" s="22" t="s">
        <v>2721</v>
      </c>
      <c r="S453" s="42" t="s">
        <v>6914</v>
      </c>
      <c r="T453" s="3" t="s">
        <v>4866</v>
      </c>
      <c r="U453" s="45">
        <v>35</v>
      </c>
      <c r="V453" t="s">
        <v>6932</v>
      </c>
      <c r="W453" s="1" t="str">
        <f>HYPERLINK("http://ictvonline.org/taxonomy/p/taxonomy-history?taxnode_id=201908217","ICTVonline=201908217")</f>
        <v>ICTVonline=201908217</v>
      </c>
    </row>
    <row r="454" spans="1:23">
      <c r="A454" s="3">
        <v>453</v>
      </c>
      <c r="B454" s="1" t="s">
        <v>6915</v>
      </c>
      <c r="D454" s="1" t="s">
        <v>6916</v>
      </c>
      <c r="F454" s="1" t="s">
        <v>6920</v>
      </c>
      <c r="H454" s="1" t="s">
        <v>6921</v>
      </c>
      <c r="J454" s="1" t="s">
        <v>1324</v>
      </c>
      <c r="L454" s="1" t="s">
        <v>6928</v>
      </c>
      <c r="N454" s="1" t="s">
        <v>7271</v>
      </c>
      <c r="P454" s="1" t="s">
        <v>7272</v>
      </c>
      <c r="Q454" s="3">
        <v>1</v>
      </c>
      <c r="R454" s="22" t="s">
        <v>2721</v>
      </c>
      <c r="S454" s="42" t="s">
        <v>6914</v>
      </c>
      <c r="T454" s="3" t="s">
        <v>4866</v>
      </c>
      <c r="U454" s="45">
        <v>35</v>
      </c>
      <c r="V454" t="s">
        <v>6932</v>
      </c>
      <c r="W454" s="1" t="str">
        <f>HYPERLINK("http://ictvonline.org/taxonomy/p/taxonomy-history?taxnode_id=201908278","ICTVonline=201908278")</f>
        <v>ICTVonline=201908278</v>
      </c>
    </row>
    <row r="455" spans="1:23">
      <c r="A455" s="3">
        <v>454</v>
      </c>
      <c r="B455" s="1" t="s">
        <v>6915</v>
      </c>
      <c r="D455" s="1" t="s">
        <v>6916</v>
      </c>
      <c r="F455" s="1" t="s">
        <v>6920</v>
      </c>
      <c r="H455" s="1" t="s">
        <v>6921</v>
      </c>
      <c r="J455" s="1" t="s">
        <v>1324</v>
      </c>
      <c r="L455" s="1" t="s">
        <v>6928</v>
      </c>
      <c r="N455" s="1" t="s">
        <v>7273</v>
      </c>
      <c r="P455" s="1" t="s">
        <v>7274</v>
      </c>
      <c r="Q455" s="3">
        <v>1</v>
      </c>
      <c r="R455" s="22" t="s">
        <v>2721</v>
      </c>
      <c r="S455" s="42" t="s">
        <v>6914</v>
      </c>
      <c r="T455" s="3" t="s">
        <v>4866</v>
      </c>
      <c r="U455" s="45">
        <v>35</v>
      </c>
      <c r="V455" t="s">
        <v>6932</v>
      </c>
      <c r="W455" s="1" t="str">
        <f>HYPERLINK("http://ictvonline.org/taxonomy/p/taxonomy-history?taxnode_id=201908296","ICTVonline=201908296")</f>
        <v>ICTVonline=201908296</v>
      </c>
    </row>
    <row r="456" spans="1:23">
      <c r="A456" s="3">
        <v>455</v>
      </c>
      <c r="B456" s="1" t="s">
        <v>6915</v>
      </c>
      <c r="D456" s="1" t="s">
        <v>6916</v>
      </c>
      <c r="F456" s="1" t="s">
        <v>6920</v>
      </c>
      <c r="H456" s="1" t="s">
        <v>6921</v>
      </c>
      <c r="J456" s="1" t="s">
        <v>1324</v>
      </c>
      <c r="L456" s="1" t="s">
        <v>6928</v>
      </c>
      <c r="N456" s="1" t="s">
        <v>7275</v>
      </c>
      <c r="P456" s="1" t="s">
        <v>7276</v>
      </c>
      <c r="Q456" s="3">
        <v>1</v>
      </c>
      <c r="R456" s="22" t="s">
        <v>2721</v>
      </c>
      <c r="S456" s="42" t="s">
        <v>6914</v>
      </c>
      <c r="T456" s="3" t="s">
        <v>4866</v>
      </c>
      <c r="U456" s="45">
        <v>35</v>
      </c>
      <c r="V456" t="s">
        <v>6932</v>
      </c>
      <c r="W456" s="1" t="str">
        <f>HYPERLINK("http://ictvonline.org/taxonomy/p/taxonomy-history?taxnode_id=201908247","ICTVonline=201908247")</f>
        <v>ICTVonline=201908247</v>
      </c>
    </row>
    <row r="457" spans="1:23">
      <c r="A457" s="3">
        <v>456</v>
      </c>
      <c r="B457" s="1" t="s">
        <v>6915</v>
      </c>
      <c r="D457" s="1" t="s">
        <v>6916</v>
      </c>
      <c r="F457" s="1" t="s">
        <v>6920</v>
      </c>
      <c r="H457" s="1" t="s">
        <v>6921</v>
      </c>
      <c r="J457" s="1" t="s">
        <v>1324</v>
      </c>
      <c r="L457" s="1" t="s">
        <v>6928</v>
      </c>
      <c r="N457" s="1" t="s">
        <v>7277</v>
      </c>
      <c r="P457" s="1" t="s">
        <v>7278</v>
      </c>
      <c r="Q457" s="3">
        <v>1</v>
      </c>
      <c r="R457" s="22" t="s">
        <v>2721</v>
      </c>
      <c r="S457" s="42" t="s">
        <v>6914</v>
      </c>
      <c r="T457" s="3" t="s">
        <v>4866</v>
      </c>
      <c r="U457" s="45">
        <v>35</v>
      </c>
      <c r="V457" t="s">
        <v>6932</v>
      </c>
      <c r="W457" s="1" t="str">
        <f>HYPERLINK("http://ictvonline.org/taxonomy/p/taxonomy-history?taxnode_id=201908304","ICTVonline=201908304")</f>
        <v>ICTVonline=201908304</v>
      </c>
    </row>
    <row r="458" spans="1:23">
      <c r="A458" s="3">
        <v>457</v>
      </c>
      <c r="B458" s="1" t="s">
        <v>6915</v>
      </c>
      <c r="D458" s="1" t="s">
        <v>6916</v>
      </c>
      <c r="F458" s="1" t="s">
        <v>6920</v>
      </c>
      <c r="H458" s="1" t="s">
        <v>6921</v>
      </c>
      <c r="J458" s="1" t="s">
        <v>1324</v>
      </c>
      <c r="L458" s="1" t="s">
        <v>6928</v>
      </c>
      <c r="N458" s="1" t="s">
        <v>7279</v>
      </c>
      <c r="P458" s="1" t="s">
        <v>7280</v>
      </c>
      <c r="Q458" s="3">
        <v>1</v>
      </c>
      <c r="R458" s="22" t="s">
        <v>2721</v>
      </c>
      <c r="S458" s="42" t="s">
        <v>6914</v>
      </c>
      <c r="T458" s="3" t="s">
        <v>4866</v>
      </c>
      <c r="U458" s="45">
        <v>35</v>
      </c>
      <c r="V458" t="s">
        <v>6932</v>
      </c>
      <c r="W458" s="1" t="str">
        <f>HYPERLINK("http://ictvonline.org/taxonomy/p/taxonomy-history?taxnode_id=201908322","ICTVonline=201908322")</f>
        <v>ICTVonline=201908322</v>
      </c>
    </row>
    <row r="459" spans="1:23">
      <c r="A459" s="3">
        <v>458</v>
      </c>
      <c r="B459" s="1" t="s">
        <v>6915</v>
      </c>
      <c r="D459" s="1" t="s">
        <v>6916</v>
      </c>
      <c r="F459" s="1" t="s">
        <v>6920</v>
      </c>
      <c r="H459" s="1" t="s">
        <v>6921</v>
      </c>
      <c r="J459" s="1" t="s">
        <v>1324</v>
      </c>
      <c r="L459" s="1" t="s">
        <v>6928</v>
      </c>
      <c r="N459" s="1" t="s">
        <v>7281</v>
      </c>
      <c r="P459" s="1" t="s">
        <v>7282</v>
      </c>
      <c r="Q459" s="3">
        <v>1</v>
      </c>
      <c r="R459" s="22" t="s">
        <v>2721</v>
      </c>
      <c r="S459" s="42" t="s">
        <v>6914</v>
      </c>
      <c r="T459" s="3" t="s">
        <v>4866</v>
      </c>
      <c r="U459" s="45">
        <v>35</v>
      </c>
      <c r="V459" t="s">
        <v>6932</v>
      </c>
      <c r="W459" s="1" t="str">
        <f>HYPERLINK("http://ictvonline.org/taxonomy/p/taxonomy-history?taxnode_id=201908312","ICTVonline=201908312")</f>
        <v>ICTVonline=201908312</v>
      </c>
    </row>
    <row r="460" spans="1:23">
      <c r="A460" s="3">
        <v>459</v>
      </c>
      <c r="B460" s="1" t="s">
        <v>6915</v>
      </c>
      <c r="D460" s="1" t="s">
        <v>6916</v>
      </c>
      <c r="F460" s="1" t="s">
        <v>6920</v>
      </c>
      <c r="H460" s="1" t="s">
        <v>6921</v>
      </c>
      <c r="J460" s="1" t="s">
        <v>1324</v>
      </c>
      <c r="L460" s="1" t="s">
        <v>6928</v>
      </c>
      <c r="N460" s="1" t="s">
        <v>7283</v>
      </c>
      <c r="P460" s="1" t="s">
        <v>7284</v>
      </c>
      <c r="Q460" s="3">
        <v>1</v>
      </c>
      <c r="R460" s="22" t="s">
        <v>2721</v>
      </c>
      <c r="S460" s="42" t="s">
        <v>6914</v>
      </c>
      <c r="T460" s="3" t="s">
        <v>4866</v>
      </c>
      <c r="U460" s="45">
        <v>35</v>
      </c>
      <c r="V460" t="s">
        <v>6932</v>
      </c>
      <c r="W460" s="1" t="str">
        <f>HYPERLINK("http://ictvonline.org/taxonomy/p/taxonomy-history?taxnode_id=201908265","ICTVonline=201908265")</f>
        <v>ICTVonline=201908265</v>
      </c>
    </row>
    <row r="461" spans="1:23">
      <c r="A461" s="3">
        <v>460</v>
      </c>
      <c r="B461" s="1" t="s">
        <v>6915</v>
      </c>
      <c r="D461" s="1" t="s">
        <v>6916</v>
      </c>
      <c r="F461" s="1" t="s">
        <v>6920</v>
      </c>
      <c r="H461" s="1" t="s">
        <v>6921</v>
      </c>
      <c r="J461" s="1" t="s">
        <v>1324</v>
      </c>
      <c r="L461" s="1" t="s">
        <v>6928</v>
      </c>
      <c r="N461" s="1" t="s">
        <v>7285</v>
      </c>
      <c r="P461" s="1" t="s">
        <v>7286</v>
      </c>
      <c r="Q461" s="3">
        <v>1</v>
      </c>
      <c r="R461" s="22" t="s">
        <v>2721</v>
      </c>
      <c r="S461" s="42" t="s">
        <v>6914</v>
      </c>
      <c r="T461" s="3" t="s">
        <v>4866</v>
      </c>
      <c r="U461" s="45">
        <v>35</v>
      </c>
      <c r="V461" t="s">
        <v>6932</v>
      </c>
      <c r="W461" s="1" t="str">
        <f>HYPERLINK("http://ictvonline.org/taxonomy/p/taxonomy-history?taxnode_id=201908501","ICTVonline=201908501")</f>
        <v>ICTVonline=201908501</v>
      </c>
    </row>
    <row r="462" spans="1:23">
      <c r="A462" s="3">
        <v>461</v>
      </c>
      <c r="B462" s="1" t="s">
        <v>6915</v>
      </c>
      <c r="D462" s="1" t="s">
        <v>6916</v>
      </c>
      <c r="F462" s="1" t="s">
        <v>6920</v>
      </c>
      <c r="H462" s="1" t="s">
        <v>6921</v>
      </c>
      <c r="J462" s="1" t="s">
        <v>1324</v>
      </c>
      <c r="L462" s="1" t="s">
        <v>6928</v>
      </c>
      <c r="N462" s="1" t="s">
        <v>7287</v>
      </c>
      <c r="P462" s="1" t="s">
        <v>7288</v>
      </c>
      <c r="Q462" s="3">
        <v>1</v>
      </c>
      <c r="R462" s="22" t="s">
        <v>2721</v>
      </c>
      <c r="S462" s="42" t="s">
        <v>6914</v>
      </c>
      <c r="T462" s="3" t="s">
        <v>4866</v>
      </c>
      <c r="U462" s="45">
        <v>35</v>
      </c>
      <c r="V462" t="s">
        <v>6932</v>
      </c>
      <c r="W462" s="1" t="str">
        <f>HYPERLINK("http://ictvonline.org/taxonomy/p/taxonomy-history?taxnode_id=201908276","ICTVonline=201908276")</f>
        <v>ICTVonline=201908276</v>
      </c>
    </row>
    <row r="463" spans="1:23">
      <c r="A463" s="3">
        <v>462</v>
      </c>
      <c r="B463" s="1" t="s">
        <v>6915</v>
      </c>
      <c r="D463" s="1" t="s">
        <v>6916</v>
      </c>
      <c r="F463" s="1" t="s">
        <v>6920</v>
      </c>
      <c r="H463" s="1" t="s">
        <v>6921</v>
      </c>
      <c r="J463" s="1" t="s">
        <v>1324</v>
      </c>
      <c r="L463" s="1" t="s">
        <v>6928</v>
      </c>
      <c r="N463" s="1" t="s">
        <v>7289</v>
      </c>
      <c r="P463" s="1" t="s">
        <v>7290</v>
      </c>
      <c r="Q463" s="3">
        <v>1</v>
      </c>
      <c r="R463" s="22" t="s">
        <v>2721</v>
      </c>
      <c r="S463" s="42" t="s">
        <v>6914</v>
      </c>
      <c r="T463" s="3" t="s">
        <v>4866</v>
      </c>
      <c r="U463" s="45">
        <v>35</v>
      </c>
      <c r="V463" t="s">
        <v>6932</v>
      </c>
      <c r="W463" s="1" t="str">
        <f>HYPERLINK("http://ictvonline.org/taxonomy/p/taxonomy-history?taxnode_id=201908292","ICTVonline=201908292")</f>
        <v>ICTVonline=201908292</v>
      </c>
    </row>
    <row r="464" spans="1:23">
      <c r="A464" s="3">
        <v>463</v>
      </c>
      <c r="B464" s="1" t="s">
        <v>6915</v>
      </c>
      <c r="D464" s="1" t="s">
        <v>6916</v>
      </c>
      <c r="F464" s="1" t="s">
        <v>6920</v>
      </c>
      <c r="H464" s="1" t="s">
        <v>6921</v>
      </c>
      <c r="J464" s="1" t="s">
        <v>1324</v>
      </c>
      <c r="L464" s="1" t="s">
        <v>6928</v>
      </c>
      <c r="N464" s="1" t="s">
        <v>7291</v>
      </c>
      <c r="P464" s="1" t="s">
        <v>7292</v>
      </c>
      <c r="Q464" s="3">
        <v>1</v>
      </c>
      <c r="R464" s="22" t="s">
        <v>2721</v>
      </c>
      <c r="S464" s="42" t="s">
        <v>6914</v>
      </c>
      <c r="T464" s="3" t="s">
        <v>4866</v>
      </c>
      <c r="U464" s="45">
        <v>35</v>
      </c>
      <c r="V464" t="s">
        <v>6932</v>
      </c>
      <c r="W464" s="1" t="str">
        <f>HYPERLINK("http://ictvonline.org/taxonomy/p/taxonomy-history?taxnode_id=201908238","ICTVonline=201908238")</f>
        <v>ICTVonline=201908238</v>
      </c>
    </row>
    <row r="465" spans="1:23">
      <c r="A465" s="3">
        <v>464</v>
      </c>
      <c r="B465" s="1" t="s">
        <v>6915</v>
      </c>
      <c r="D465" s="1" t="s">
        <v>6916</v>
      </c>
      <c r="F465" s="1" t="s">
        <v>6920</v>
      </c>
      <c r="H465" s="1" t="s">
        <v>6921</v>
      </c>
      <c r="J465" s="1" t="s">
        <v>1324</v>
      </c>
      <c r="L465" s="1" t="s">
        <v>6928</v>
      </c>
      <c r="N465" s="1" t="s">
        <v>7293</v>
      </c>
      <c r="P465" s="1" t="s">
        <v>7294</v>
      </c>
      <c r="Q465" s="3">
        <v>1</v>
      </c>
      <c r="R465" s="22" t="s">
        <v>2721</v>
      </c>
      <c r="S465" s="42" t="s">
        <v>6914</v>
      </c>
      <c r="T465" s="3" t="s">
        <v>4871</v>
      </c>
      <c r="U465" s="45">
        <v>35</v>
      </c>
      <c r="V465" t="s">
        <v>6932</v>
      </c>
      <c r="W465" s="1" t="str">
        <f>HYPERLINK("http://ictvonline.org/taxonomy/p/taxonomy-history?taxnode_id=201900568","ICTVonline=201900568")</f>
        <v>ICTVonline=201900568</v>
      </c>
    </row>
    <row r="466" spans="1:23">
      <c r="A466" s="3">
        <v>465</v>
      </c>
      <c r="B466" s="1" t="s">
        <v>6915</v>
      </c>
      <c r="D466" s="1" t="s">
        <v>6916</v>
      </c>
      <c r="F466" s="1" t="s">
        <v>6920</v>
      </c>
      <c r="H466" s="1" t="s">
        <v>6921</v>
      </c>
      <c r="J466" s="1" t="s">
        <v>1324</v>
      </c>
      <c r="L466" s="1" t="s">
        <v>6928</v>
      </c>
      <c r="N466" s="1" t="s">
        <v>7295</v>
      </c>
      <c r="P466" s="1" t="s">
        <v>7296</v>
      </c>
      <c r="Q466" s="3">
        <v>1</v>
      </c>
      <c r="R466" s="22" t="s">
        <v>2721</v>
      </c>
      <c r="S466" s="42" t="s">
        <v>6914</v>
      </c>
      <c r="T466" s="3" t="s">
        <v>4866</v>
      </c>
      <c r="U466" s="45">
        <v>35</v>
      </c>
      <c r="V466" t="s">
        <v>6932</v>
      </c>
      <c r="W466" s="1" t="str">
        <f>HYPERLINK("http://ictvonline.org/taxonomy/p/taxonomy-history?taxnode_id=201908318","ICTVonline=201908318")</f>
        <v>ICTVonline=201908318</v>
      </c>
    </row>
    <row r="467" spans="1:23">
      <c r="A467" s="3">
        <v>466</v>
      </c>
      <c r="B467" s="1" t="s">
        <v>6915</v>
      </c>
      <c r="D467" s="1" t="s">
        <v>6916</v>
      </c>
      <c r="F467" s="1" t="s">
        <v>6920</v>
      </c>
      <c r="H467" s="1" t="s">
        <v>6921</v>
      </c>
      <c r="J467" s="1" t="s">
        <v>1324</v>
      </c>
      <c r="L467" s="1" t="s">
        <v>6928</v>
      </c>
      <c r="N467" s="1" t="s">
        <v>7297</v>
      </c>
      <c r="P467" s="1" t="s">
        <v>7298</v>
      </c>
      <c r="Q467" s="3">
        <v>1</v>
      </c>
      <c r="R467" s="22" t="s">
        <v>2721</v>
      </c>
      <c r="S467" s="42" t="s">
        <v>6914</v>
      </c>
      <c r="T467" s="3" t="s">
        <v>4866</v>
      </c>
      <c r="U467" s="45">
        <v>35</v>
      </c>
      <c r="V467" t="s">
        <v>6932</v>
      </c>
      <c r="W467" s="1" t="str">
        <f>HYPERLINK("http://ictvonline.org/taxonomy/p/taxonomy-history?taxnode_id=201908320","ICTVonline=201908320")</f>
        <v>ICTVonline=201908320</v>
      </c>
    </row>
    <row r="468" spans="1:23">
      <c r="A468" s="3">
        <v>467</v>
      </c>
      <c r="B468" s="1" t="s">
        <v>6915</v>
      </c>
      <c r="D468" s="1" t="s">
        <v>6916</v>
      </c>
      <c r="F468" s="1" t="s">
        <v>6920</v>
      </c>
      <c r="H468" s="1" t="s">
        <v>6921</v>
      </c>
      <c r="J468" s="1" t="s">
        <v>1324</v>
      </c>
      <c r="L468" s="1" t="s">
        <v>6928</v>
      </c>
      <c r="N468" s="1" t="s">
        <v>7299</v>
      </c>
      <c r="P468" s="1" t="s">
        <v>7300</v>
      </c>
      <c r="Q468" s="3">
        <v>1</v>
      </c>
      <c r="R468" s="22" t="s">
        <v>2721</v>
      </c>
      <c r="S468" s="42" t="s">
        <v>6914</v>
      </c>
      <c r="T468" s="3" t="s">
        <v>4866</v>
      </c>
      <c r="U468" s="45">
        <v>35</v>
      </c>
      <c r="V468" t="s">
        <v>6932</v>
      </c>
      <c r="W468" s="1" t="str">
        <f>HYPERLINK("http://ictvonline.org/taxonomy/p/taxonomy-history?taxnode_id=201908267","ICTVonline=201908267")</f>
        <v>ICTVonline=201908267</v>
      </c>
    </row>
    <row r="469" spans="1:23">
      <c r="A469" s="3">
        <v>468</v>
      </c>
      <c r="B469" s="1" t="s">
        <v>6915</v>
      </c>
      <c r="D469" s="1" t="s">
        <v>6916</v>
      </c>
      <c r="F469" s="1" t="s">
        <v>6920</v>
      </c>
      <c r="H469" s="1" t="s">
        <v>6921</v>
      </c>
      <c r="J469" s="1" t="s">
        <v>1324</v>
      </c>
      <c r="L469" s="1" t="s">
        <v>6928</v>
      </c>
      <c r="N469" s="1" t="s">
        <v>7301</v>
      </c>
      <c r="P469" s="1" t="s">
        <v>7302</v>
      </c>
      <c r="Q469" s="3">
        <v>0</v>
      </c>
      <c r="R469" s="22" t="s">
        <v>2721</v>
      </c>
      <c r="S469" s="42" t="s">
        <v>6914</v>
      </c>
      <c r="T469" s="3" t="s">
        <v>4866</v>
      </c>
      <c r="U469" s="45">
        <v>35</v>
      </c>
      <c r="V469" t="s">
        <v>6932</v>
      </c>
      <c r="W469" s="1" t="str">
        <f>HYPERLINK("http://ictvonline.org/taxonomy/p/taxonomy-history?taxnode_id=201908198","ICTVonline=201908198")</f>
        <v>ICTVonline=201908198</v>
      </c>
    </row>
    <row r="470" spans="1:23">
      <c r="A470" s="3">
        <v>469</v>
      </c>
      <c r="B470" s="1" t="s">
        <v>6915</v>
      </c>
      <c r="D470" s="1" t="s">
        <v>6916</v>
      </c>
      <c r="F470" s="1" t="s">
        <v>6920</v>
      </c>
      <c r="H470" s="1" t="s">
        <v>6921</v>
      </c>
      <c r="J470" s="1" t="s">
        <v>1324</v>
      </c>
      <c r="L470" s="1" t="s">
        <v>6928</v>
      </c>
      <c r="N470" s="1" t="s">
        <v>7301</v>
      </c>
      <c r="P470" s="1" t="s">
        <v>7303</v>
      </c>
      <c r="Q470" s="3">
        <v>0</v>
      </c>
      <c r="R470" s="22" t="s">
        <v>2721</v>
      </c>
      <c r="S470" s="42" t="s">
        <v>6914</v>
      </c>
      <c r="T470" s="3" t="s">
        <v>4866</v>
      </c>
      <c r="U470" s="45">
        <v>35</v>
      </c>
      <c r="V470" t="s">
        <v>6932</v>
      </c>
      <c r="W470" s="1" t="str">
        <f>HYPERLINK("http://ictvonline.org/taxonomy/p/taxonomy-history?taxnode_id=201908199","ICTVonline=201908199")</f>
        <v>ICTVonline=201908199</v>
      </c>
    </row>
    <row r="471" spans="1:23">
      <c r="A471" s="3">
        <v>470</v>
      </c>
      <c r="B471" s="1" t="s">
        <v>6915</v>
      </c>
      <c r="D471" s="1" t="s">
        <v>6916</v>
      </c>
      <c r="F471" s="1" t="s">
        <v>6920</v>
      </c>
      <c r="H471" s="1" t="s">
        <v>6921</v>
      </c>
      <c r="J471" s="1" t="s">
        <v>1324</v>
      </c>
      <c r="L471" s="1" t="s">
        <v>6928</v>
      </c>
      <c r="N471" s="1" t="s">
        <v>7301</v>
      </c>
      <c r="P471" s="1" t="s">
        <v>7304</v>
      </c>
      <c r="Q471" s="3">
        <v>0</v>
      </c>
      <c r="R471" s="22" t="s">
        <v>2721</v>
      </c>
      <c r="S471" s="42" t="s">
        <v>6914</v>
      </c>
      <c r="T471" s="3" t="s">
        <v>4866</v>
      </c>
      <c r="U471" s="45">
        <v>35</v>
      </c>
      <c r="V471" t="s">
        <v>6932</v>
      </c>
      <c r="W471" s="1" t="str">
        <f>HYPERLINK("http://ictvonline.org/taxonomy/p/taxonomy-history?taxnode_id=201908200","ICTVonline=201908200")</f>
        <v>ICTVonline=201908200</v>
      </c>
    </row>
    <row r="472" spans="1:23">
      <c r="A472" s="3">
        <v>471</v>
      </c>
      <c r="B472" s="1" t="s">
        <v>6915</v>
      </c>
      <c r="D472" s="1" t="s">
        <v>6916</v>
      </c>
      <c r="F472" s="1" t="s">
        <v>6920</v>
      </c>
      <c r="H472" s="1" t="s">
        <v>6921</v>
      </c>
      <c r="J472" s="1" t="s">
        <v>1324</v>
      </c>
      <c r="L472" s="1" t="s">
        <v>6928</v>
      </c>
      <c r="N472" s="1" t="s">
        <v>7301</v>
      </c>
      <c r="P472" s="1" t="s">
        <v>7305</v>
      </c>
      <c r="Q472" s="3">
        <v>1</v>
      </c>
      <c r="R472" s="22" t="s">
        <v>2721</v>
      </c>
      <c r="S472" s="42" t="s">
        <v>6914</v>
      </c>
      <c r="T472" s="3" t="s">
        <v>4866</v>
      </c>
      <c r="U472" s="45">
        <v>35</v>
      </c>
      <c r="V472" t="s">
        <v>6932</v>
      </c>
      <c r="W472" s="1" t="str">
        <f>HYPERLINK("http://ictvonline.org/taxonomy/p/taxonomy-history?taxnode_id=201908197","ICTVonline=201908197")</f>
        <v>ICTVonline=201908197</v>
      </c>
    </row>
    <row r="473" spans="1:23">
      <c r="A473" s="3">
        <v>472</v>
      </c>
      <c r="B473" s="1" t="s">
        <v>6915</v>
      </c>
      <c r="D473" s="1" t="s">
        <v>6916</v>
      </c>
      <c r="F473" s="1" t="s">
        <v>6920</v>
      </c>
      <c r="H473" s="1" t="s">
        <v>6921</v>
      </c>
      <c r="J473" s="1" t="s">
        <v>1324</v>
      </c>
      <c r="L473" s="1" t="s">
        <v>6928</v>
      </c>
      <c r="N473" s="1" t="s">
        <v>6440</v>
      </c>
      <c r="P473" s="1" t="s">
        <v>6441</v>
      </c>
      <c r="Q473" s="3">
        <v>1</v>
      </c>
      <c r="R473" s="22" t="s">
        <v>2721</v>
      </c>
      <c r="S473" s="42" t="s">
        <v>6910</v>
      </c>
      <c r="T473" s="3" t="s">
        <v>4868</v>
      </c>
      <c r="U473" s="45">
        <v>35</v>
      </c>
      <c r="V473" t="s">
        <v>6932</v>
      </c>
      <c r="W473" s="1" t="str">
        <f>HYPERLINK("http://ictvonline.org/taxonomy/p/taxonomy-history?taxnode_id=201906881","ICTVonline=201906881")</f>
        <v>ICTVonline=201906881</v>
      </c>
    </row>
    <row r="474" spans="1:23">
      <c r="A474" s="3">
        <v>473</v>
      </c>
      <c r="B474" s="1" t="s">
        <v>6915</v>
      </c>
      <c r="D474" s="1" t="s">
        <v>6916</v>
      </c>
      <c r="F474" s="1" t="s">
        <v>6920</v>
      </c>
      <c r="H474" s="1" t="s">
        <v>6921</v>
      </c>
      <c r="J474" s="1" t="s">
        <v>1324</v>
      </c>
      <c r="L474" s="1" t="s">
        <v>6928</v>
      </c>
      <c r="N474" s="1" t="s">
        <v>7306</v>
      </c>
      <c r="P474" s="1" t="s">
        <v>7307</v>
      </c>
      <c r="Q474" s="3">
        <v>1</v>
      </c>
      <c r="R474" s="22" t="s">
        <v>2721</v>
      </c>
      <c r="S474" s="42" t="s">
        <v>6914</v>
      </c>
      <c r="T474" s="3" t="s">
        <v>4866</v>
      </c>
      <c r="U474" s="45">
        <v>35</v>
      </c>
      <c r="V474" t="s">
        <v>6932</v>
      </c>
      <c r="W474" s="1" t="str">
        <f>HYPERLINK("http://ictvonline.org/taxonomy/p/taxonomy-history?taxnode_id=201908288","ICTVonline=201908288")</f>
        <v>ICTVonline=201908288</v>
      </c>
    </row>
    <row r="475" spans="1:23">
      <c r="A475" s="3">
        <v>474</v>
      </c>
      <c r="B475" s="1" t="s">
        <v>6915</v>
      </c>
      <c r="D475" s="1" t="s">
        <v>6916</v>
      </c>
      <c r="F475" s="1" t="s">
        <v>6920</v>
      </c>
      <c r="H475" s="1" t="s">
        <v>6921</v>
      </c>
      <c r="J475" s="1" t="s">
        <v>1324</v>
      </c>
      <c r="L475" s="1" t="s">
        <v>6928</v>
      </c>
      <c r="N475" s="1" t="s">
        <v>7308</v>
      </c>
      <c r="P475" s="1" t="s">
        <v>7309</v>
      </c>
      <c r="Q475" s="3">
        <v>1</v>
      </c>
      <c r="R475" s="22" t="s">
        <v>2721</v>
      </c>
      <c r="S475" s="42" t="s">
        <v>6914</v>
      </c>
      <c r="T475" s="3" t="s">
        <v>4866</v>
      </c>
      <c r="U475" s="45">
        <v>35</v>
      </c>
      <c r="V475" t="s">
        <v>6932</v>
      </c>
      <c r="W475" s="1" t="str">
        <f>HYPERLINK("http://ictvonline.org/taxonomy/p/taxonomy-history?taxnode_id=201908286","ICTVonline=201908286")</f>
        <v>ICTVonline=201908286</v>
      </c>
    </row>
    <row r="476" spans="1:23">
      <c r="A476" s="3">
        <v>475</v>
      </c>
      <c r="B476" s="1" t="s">
        <v>6915</v>
      </c>
      <c r="D476" s="1" t="s">
        <v>6916</v>
      </c>
      <c r="F476" s="1" t="s">
        <v>6920</v>
      </c>
      <c r="H476" s="1" t="s">
        <v>6921</v>
      </c>
      <c r="J476" s="1" t="s">
        <v>1324</v>
      </c>
      <c r="L476" s="1" t="s">
        <v>6928</v>
      </c>
      <c r="N476" s="1" t="s">
        <v>7310</v>
      </c>
      <c r="P476" s="1" t="s">
        <v>7311</v>
      </c>
      <c r="Q476" s="3">
        <v>1</v>
      </c>
      <c r="R476" s="22" t="s">
        <v>2721</v>
      </c>
      <c r="S476" s="42" t="s">
        <v>6914</v>
      </c>
      <c r="T476" s="3" t="s">
        <v>4866</v>
      </c>
      <c r="U476" s="45">
        <v>35</v>
      </c>
      <c r="V476" t="s">
        <v>6932</v>
      </c>
      <c r="W476" s="1" t="str">
        <f>HYPERLINK("http://ictvonline.org/taxonomy/p/taxonomy-history?taxnode_id=201908257","ICTVonline=201908257")</f>
        <v>ICTVonline=201908257</v>
      </c>
    </row>
    <row r="477" spans="1:23">
      <c r="A477" s="3">
        <v>476</v>
      </c>
      <c r="B477" s="1" t="s">
        <v>6915</v>
      </c>
      <c r="D477" s="1" t="s">
        <v>6916</v>
      </c>
      <c r="F477" s="1" t="s">
        <v>6920</v>
      </c>
      <c r="H477" s="1" t="s">
        <v>6921</v>
      </c>
      <c r="J477" s="1" t="s">
        <v>1324</v>
      </c>
      <c r="L477" s="1" t="s">
        <v>6928</v>
      </c>
      <c r="N477" s="1" t="s">
        <v>7312</v>
      </c>
      <c r="P477" s="1" t="s">
        <v>7313</v>
      </c>
      <c r="Q477" s="3">
        <v>1</v>
      </c>
      <c r="R477" s="22" t="s">
        <v>2721</v>
      </c>
      <c r="S477" s="42" t="s">
        <v>6914</v>
      </c>
      <c r="T477" s="3" t="s">
        <v>4866</v>
      </c>
      <c r="U477" s="45">
        <v>35</v>
      </c>
      <c r="V477" t="s">
        <v>6932</v>
      </c>
      <c r="W477" s="1" t="str">
        <f>HYPERLINK("http://ictvonline.org/taxonomy/p/taxonomy-history?taxnode_id=201908302","ICTVonline=201908302")</f>
        <v>ICTVonline=201908302</v>
      </c>
    </row>
    <row r="478" spans="1:23">
      <c r="A478" s="3">
        <v>477</v>
      </c>
      <c r="B478" s="1" t="s">
        <v>6915</v>
      </c>
      <c r="D478" s="1" t="s">
        <v>6916</v>
      </c>
      <c r="F478" s="1" t="s">
        <v>6920</v>
      </c>
      <c r="H478" s="1" t="s">
        <v>6921</v>
      </c>
      <c r="J478" s="1" t="s">
        <v>1324</v>
      </c>
      <c r="L478" s="1" t="s">
        <v>6928</v>
      </c>
      <c r="N478" s="1" t="s">
        <v>7314</v>
      </c>
      <c r="P478" s="1" t="s">
        <v>7315</v>
      </c>
      <c r="Q478" s="3">
        <v>1</v>
      </c>
      <c r="R478" s="22" t="s">
        <v>2721</v>
      </c>
      <c r="S478" s="42" t="s">
        <v>6914</v>
      </c>
      <c r="T478" s="3" t="s">
        <v>4866</v>
      </c>
      <c r="U478" s="45">
        <v>35</v>
      </c>
      <c r="V478" t="s">
        <v>6932</v>
      </c>
      <c r="W478" s="1" t="str">
        <f>HYPERLINK("http://ictvonline.org/taxonomy/p/taxonomy-history?taxnode_id=201908259","ICTVonline=201908259")</f>
        <v>ICTVonline=201908259</v>
      </c>
    </row>
    <row r="479" spans="1:23">
      <c r="A479" s="3">
        <v>478</v>
      </c>
      <c r="B479" s="1" t="s">
        <v>6915</v>
      </c>
      <c r="D479" s="1" t="s">
        <v>6916</v>
      </c>
      <c r="F479" s="1" t="s">
        <v>6920</v>
      </c>
      <c r="H479" s="1" t="s">
        <v>6921</v>
      </c>
      <c r="J479" s="1" t="s">
        <v>1324</v>
      </c>
      <c r="L479" s="1" t="s">
        <v>6928</v>
      </c>
      <c r="N479" s="1" t="s">
        <v>7316</v>
      </c>
      <c r="P479" s="1" t="s">
        <v>7317</v>
      </c>
      <c r="Q479" s="3">
        <v>1</v>
      </c>
      <c r="R479" s="22" t="s">
        <v>2721</v>
      </c>
      <c r="S479" s="42" t="s">
        <v>6914</v>
      </c>
      <c r="T479" s="3" t="s">
        <v>4866</v>
      </c>
      <c r="U479" s="45">
        <v>35</v>
      </c>
      <c r="V479" t="s">
        <v>6932</v>
      </c>
      <c r="W479" s="1" t="str">
        <f>HYPERLINK("http://ictvonline.org/taxonomy/p/taxonomy-history?taxnode_id=201908324","ICTVonline=201908324")</f>
        <v>ICTVonline=201908324</v>
      </c>
    </row>
    <row r="480" spans="1:23">
      <c r="A480" s="3">
        <v>479</v>
      </c>
      <c r="B480" s="1" t="s">
        <v>6915</v>
      </c>
      <c r="D480" s="1" t="s">
        <v>6916</v>
      </c>
      <c r="F480" s="1" t="s">
        <v>6920</v>
      </c>
      <c r="H480" s="1" t="s">
        <v>6921</v>
      </c>
      <c r="J480" s="1" t="s">
        <v>1324</v>
      </c>
      <c r="L480" s="1" t="s">
        <v>6928</v>
      </c>
      <c r="N480" s="1" t="s">
        <v>7318</v>
      </c>
      <c r="P480" s="1" t="s">
        <v>7319</v>
      </c>
      <c r="Q480" s="3">
        <v>1</v>
      </c>
      <c r="R480" s="22" t="s">
        <v>2721</v>
      </c>
      <c r="S480" s="42" t="s">
        <v>6914</v>
      </c>
      <c r="T480" s="3" t="s">
        <v>4866</v>
      </c>
      <c r="U480" s="45">
        <v>35</v>
      </c>
      <c r="V480" t="s">
        <v>6932</v>
      </c>
      <c r="W480" s="1" t="str">
        <f>HYPERLINK("http://ictvonline.org/taxonomy/p/taxonomy-history?taxnode_id=201908298","ICTVonline=201908298")</f>
        <v>ICTVonline=201908298</v>
      </c>
    </row>
    <row r="481" spans="1:23">
      <c r="A481" s="3">
        <v>480</v>
      </c>
      <c r="B481" s="1" t="s">
        <v>6915</v>
      </c>
      <c r="D481" s="1" t="s">
        <v>6916</v>
      </c>
      <c r="F481" s="1" t="s">
        <v>6920</v>
      </c>
      <c r="H481" s="1" t="s">
        <v>6921</v>
      </c>
      <c r="J481" s="1" t="s">
        <v>1324</v>
      </c>
      <c r="L481" s="1" t="s">
        <v>6928</v>
      </c>
      <c r="N481" s="1" t="s">
        <v>7320</v>
      </c>
      <c r="P481" s="1" t="s">
        <v>7321</v>
      </c>
      <c r="Q481" s="3">
        <v>1</v>
      </c>
      <c r="R481" s="22" t="s">
        <v>2721</v>
      </c>
      <c r="S481" s="42" t="s">
        <v>6914</v>
      </c>
      <c r="T481" s="3" t="s">
        <v>4866</v>
      </c>
      <c r="U481" s="45">
        <v>35</v>
      </c>
      <c r="V481" t="s">
        <v>6932</v>
      </c>
      <c r="W481" s="1" t="str">
        <f>HYPERLINK("http://ictvonline.org/taxonomy/p/taxonomy-history?taxnode_id=201908232","ICTVonline=201908232")</f>
        <v>ICTVonline=201908232</v>
      </c>
    </row>
    <row r="482" spans="1:23">
      <c r="A482" s="3">
        <v>481</v>
      </c>
      <c r="B482" s="1" t="s">
        <v>6915</v>
      </c>
      <c r="D482" s="1" t="s">
        <v>6916</v>
      </c>
      <c r="F482" s="1" t="s">
        <v>6920</v>
      </c>
      <c r="H482" s="1" t="s">
        <v>6921</v>
      </c>
      <c r="J482" s="1" t="s">
        <v>1324</v>
      </c>
      <c r="L482" s="1" t="s">
        <v>6928</v>
      </c>
      <c r="N482" s="1" t="s">
        <v>7320</v>
      </c>
      <c r="P482" s="1" t="s">
        <v>7322</v>
      </c>
      <c r="Q482" s="3">
        <v>0</v>
      </c>
      <c r="R482" s="22" t="s">
        <v>2721</v>
      </c>
      <c r="S482" s="42" t="s">
        <v>6914</v>
      </c>
      <c r="T482" s="3" t="s">
        <v>4866</v>
      </c>
      <c r="U482" s="45">
        <v>35</v>
      </c>
      <c r="V482" t="s">
        <v>6932</v>
      </c>
      <c r="W482" s="1" t="str">
        <f>HYPERLINK("http://ictvonline.org/taxonomy/p/taxonomy-history?taxnode_id=201908233","ICTVonline=201908233")</f>
        <v>ICTVonline=201908233</v>
      </c>
    </row>
    <row r="483" spans="1:23">
      <c r="A483" s="3">
        <v>482</v>
      </c>
      <c r="B483" s="1" t="s">
        <v>6915</v>
      </c>
      <c r="D483" s="1" t="s">
        <v>6916</v>
      </c>
      <c r="F483" s="1" t="s">
        <v>6920</v>
      </c>
      <c r="H483" s="1" t="s">
        <v>6921</v>
      </c>
      <c r="J483" s="1" t="s">
        <v>1324</v>
      </c>
      <c r="L483" s="1" t="s">
        <v>6928</v>
      </c>
      <c r="N483" s="1" t="s">
        <v>7323</v>
      </c>
      <c r="P483" s="1" t="s">
        <v>7324</v>
      </c>
      <c r="Q483" s="3">
        <v>1</v>
      </c>
      <c r="R483" s="22" t="s">
        <v>2721</v>
      </c>
      <c r="S483" s="42" t="s">
        <v>6914</v>
      </c>
      <c r="T483" s="3" t="s">
        <v>4866</v>
      </c>
      <c r="U483" s="45">
        <v>35</v>
      </c>
      <c r="V483" t="s">
        <v>6932</v>
      </c>
      <c r="W483" s="1" t="str">
        <f>HYPERLINK("http://ictvonline.org/taxonomy/p/taxonomy-history?taxnode_id=201908263","ICTVonline=201908263")</f>
        <v>ICTVonline=201908263</v>
      </c>
    </row>
    <row r="484" spans="1:23">
      <c r="A484" s="3">
        <v>483</v>
      </c>
      <c r="B484" s="1" t="s">
        <v>6915</v>
      </c>
      <c r="D484" s="1" t="s">
        <v>6916</v>
      </c>
      <c r="F484" s="1" t="s">
        <v>6920</v>
      </c>
      <c r="H484" s="1" t="s">
        <v>6921</v>
      </c>
      <c r="J484" s="1" t="s">
        <v>1324</v>
      </c>
      <c r="L484" s="1" t="s">
        <v>6928</v>
      </c>
      <c r="N484" s="1" t="s">
        <v>7325</v>
      </c>
      <c r="P484" s="1" t="s">
        <v>7326</v>
      </c>
      <c r="Q484" s="3">
        <v>1</v>
      </c>
      <c r="R484" s="22" t="s">
        <v>2721</v>
      </c>
      <c r="S484" s="42" t="s">
        <v>6914</v>
      </c>
      <c r="T484" s="3" t="s">
        <v>4866</v>
      </c>
      <c r="U484" s="45">
        <v>35</v>
      </c>
      <c r="V484" t="s">
        <v>6932</v>
      </c>
      <c r="W484" s="1" t="str">
        <f>HYPERLINK("http://ictvonline.org/taxonomy/p/taxonomy-history?taxnode_id=201908261","ICTVonline=201908261")</f>
        <v>ICTVonline=201908261</v>
      </c>
    </row>
    <row r="485" spans="1:23">
      <c r="A485" s="3">
        <v>484</v>
      </c>
      <c r="B485" s="1" t="s">
        <v>6915</v>
      </c>
      <c r="D485" s="1" t="s">
        <v>6916</v>
      </c>
      <c r="F485" s="1" t="s">
        <v>6920</v>
      </c>
      <c r="H485" s="1" t="s">
        <v>6921</v>
      </c>
      <c r="J485" s="1" t="s">
        <v>1324</v>
      </c>
      <c r="L485" s="1" t="s">
        <v>6928</v>
      </c>
      <c r="N485" s="1" t="s">
        <v>7327</v>
      </c>
      <c r="P485" s="1" t="s">
        <v>7328</v>
      </c>
      <c r="Q485" s="3">
        <v>1</v>
      </c>
      <c r="R485" s="22" t="s">
        <v>2721</v>
      </c>
      <c r="S485" s="42" t="s">
        <v>6914</v>
      </c>
      <c r="T485" s="3" t="s">
        <v>4866</v>
      </c>
      <c r="U485" s="45">
        <v>35</v>
      </c>
      <c r="V485" t="s">
        <v>6932</v>
      </c>
      <c r="W485" s="1" t="str">
        <f>HYPERLINK("http://ictvonline.org/taxonomy/p/taxonomy-history?taxnode_id=201908300","ICTVonline=201908300")</f>
        <v>ICTVonline=201908300</v>
      </c>
    </row>
    <row r="486" spans="1:23">
      <c r="A486" s="3">
        <v>485</v>
      </c>
      <c r="B486" s="1" t="s">
        <v>6915</v>
      </c>
      <c r="D486" s="1" t="s">
        <v>6916</v>
      </c>
      <c r="F486" s="1" t="s">
        <v>6920</v>
      </c>
      <c r="H486" s="1" t="s">
        <v>6921</v>
      </c>
      <c r="J486" s="1" t="s">
        <v>1324</v>
      </c>
      <c r="L486" s="1" t="s">
        <v>6928</v>
      </c>
      <c r="N486" s="1" t="s">
        <v>6447</v>
      </c>
      <c r="P486" s="1" t="s">
        <v>6448</v>
      </c>
      <c r="Q486" s="3">
        <v>1</v>
      </c>
      <c r="R486" s="22" t="s">
        <v>2721</v>
      </c>
      <c r="S486" s="42" t="s">
        <v>6910</v>
      </c>
      <c r="T486" s="3" t="s">
        <v>4868</v>
      </c>
      <c r="U486" s="45">
        <v>35</v>
      </c>
      <c r="V486" t="s">
        <v>6932</v>
      </c>
      <c r="W486" s="1" t="str">
        <f>HYPERLINK("http://ictvonline.org/taxonomy/p/taxonomy-history?taxnode_id=201906861","ICTVonline=201906861")</f>
        <v>ICTVonline=201906861</v>
      </c>
    </row>
    <row r="487" spans="1:23">
      <c r="A487" s="3">
        <v>486</v>
      </c>
      <c r="B487" s="1" t="s">
        <v>6915</v>
      </c>
      <c r="D487" s="1" t="s">
        <v>6916</v>
      </c>
      <c r="F487" s="1" t="s">
        <v>6920</v>
      </c>
      <c r="H487" s="1" t="s">
        <v>6921</v>
      </c>
      <c r="J487" s="1" t="s">
        <v>1324</v>
      </c>
      <c r="L487" s="1" t="s">
        <v>6928</v>
      </c>
      <c r="N487" s="1" t="s">
        <v>7329</v>
      </c>
      <c r="P487" s="1" t="s">
        <v>7330</v>
      </c>
      <c r="Q487" s="3">
        <v>1</v>
      </c>
      <c r="R487" s="22" t="s">
        <v>2721</v>
      </c>
      <c r="S487" s="42" t="s">
        <v>6914</v>
      </c>
      <c r="T487" s="3" t="s">
        <v>4866</v>
      </c>
      <c r="U487" s="45">
        <v>35</v>
      </c>
      <c r="V487" t="s">
        <v>6932</v>
      </c>
      <c r="W487" s="1" t="str">
        <f>HYPERLINK("http://ictvonline.org/taxonomy/p/taxonomy-history?taxnode_id=201908202","ICTVonline=201908202")</f>
        <v>ICTVonline=201908202</v>
      </c>
    </row>
    <row r="488" spans="1:23">
      <c r="A488" s="3">
        <v>487</v>
      </c>
      <c r="B488" s="1" t="s">
        <v>6915</v>
      </c>
      <c r="D488" s="1" t="s">
        <v>6916</v>
      </c>
      <c r="F488" s="1" t="s">
        <v>6920</v>
      </c>
      <c r="H488" s="1" t="s">
        <v>6921</v>
      </c>
      <c r="J488" s="1" t="s">
        <v>1324</v>
      </c>
      <c r="L488" s="1" t="s">
        <v>6928</v>
      </c>
      <c r="N488" s="1" t="s">
        <v>7331</v>
      </c>
      <c r="P488" s="1" t="s">
        <v>7332</v>
      </c>
      <c r="Q488" s="3">
        <v>1</v>
      </c>
      <c r="R488" s="22" t="s">
        <v>2721</v>
      </c>
      <c r="S488" s="42" t="s">
        <v>6914</v>
      </c>
      <c r="T488" s="3" t="s">
        <v>4866</v>
      </c>
      <c r="U488" s="45">
        <v>35</v>
      </c>
      <c r="V488" t="s">
        <v>6932</v>
      </c>
      <c r="W488" s="1" t="str">
        <f>HYPERLINK("http://ictvonline.org/taxonomy/p/taxonomy-history?taxnode_id=201908272","ICTVonline=201908272")</f>
        <v>ICTVonline=201908272</v>
      </c>
    </row>
    <row r="489" spans="1:23">
      <c r="A489" s="3">
        <v>488</v>
      </c>
      <c r="B489" s="1" t="s">
        <v>6915</v>
      </c>
      <c r="D489" s="1" t="s">
        <v>6916</v>
      </c>
      <c r="F489" s="1" t="s">
        <v>6920</v>
      </c>
      <c r="H489" s="1" t="s">
        <v>6921</v>
      </c>
      <c r="J489" s="1" t="s">
        <v>1324</v>
      </c>
      <c r="L489" s="1" t="s">
        <v>6928</v>
      </c>
      <c r="N489" s="1" t="s">
        <v>4222</v>
      </c>
      <c r="P489" s="1" t="s">
        <v>4223</v>
      </c>
      <c r="Q489" s="3">
        <v>0</v>
      </c>
      <c r="R489" s="22" t="s">
        <v>2721</v>
      </c>
      <c r="S489" s="42" t="s">
        <v>6910</v>
      </c>
      <c r="T489" s="3" t="s">
        <v>4868</v>
      </c>
      <c r="U489" s="45">
        <v>35</v>
      </c>
      <c r="V489" t="s">
        <v>6932</v>
      </c>
      <c r="W489" s="1" t="str">
        <f>HYPERLINK("http://ictvonline.org/taxonomy/p/taxonomy-history?taxnode_id=201900573","ICTVonline=201900573")</f>
        <v>ICTVonline=201900573</v>
      </c>
    </row>
    <row r="490" spans="1:23">
      <c r="A490" s="3">
        <v>489</v>
      </c>
      <c r="B490" s="1" t="s">
        <v>6915</v>
      </c>
      <c r="D490" s="1" t="s">
        <v>6916</v>
      </c>
      <c r="F490" s="1" t="s">
        <v>6920</v>
      </c>
      <c r="H490" s="1" t="s">
        <v>6921</v>
      </c>
      <c r="J490" s="1" t="s">
        <v>1324</v>
      </c>
      <c r="L490" s="1" t="s">
        <v>6928</v>
      </c>
      <c r="N490" s="1" t="s">
        <v>4222</v>
      </c>
      <c r="P490" s="1" t="s">
        <v>4224</v>
      </c>
      <c r="Q490" s="3">
        <v>0</v>
      </c>
      <c r="R490" s="22" t="s">
        <v>2721</v>
      </c>
      <c r="S490" s="42" t="s">
        <v>6910</v>
      </c>
      <c r="T490" s="3" t="s">
        <v>4868</v>
      </c>
      <c r="U490" s="45">
        <v>35</v>
      </c>
      <c r="V490" t="s">
        <v>6932</v>
      </c>
      <c r="W490" s="1" t="str">
        <f>HYPERLINK("http://ictvonline.org/taxonomy/p/taxonomy-history?taxnode_id=201900574","ICTVonline=201900574")</f>
        <v>ICTVonline=201900574</v>
      </c>
    </row>
    <row r="491" spans="1:23">
      <c r="A491" s="3">
        <v>490</v>
      </c>
      <c r="B491" s="1" t="s">
        <v>6915</v>
      </c>
      <c r="D491" s="1" t="s">
        <v>6916</v>
      </c>
      <c r="F491" s="1" t="s">
        <v>6920</v>
      </c>
      <c r="H491" s="1" t="s">
        <v>6921</v>
      </c>
      <c r="J491" s="1" t="s">
        <v>1324</v>
      </c>
      <c r="L491" s="1" t="s">
        <v>6928</v>
      </c>
      <c r="N491" s="1" t="s">
        <v>4222</v>
      </c>
      <c r="P491" s="1" t="s">
        <v>7333</v>
      </c>
      <c r="Q491" s="3">
        <v>0</v>
      </c>
      <c r="R491" s="22" t="s">
        <v>2721</v>
      </c>
      <c r="S491" s="42" t="s">
        <v>6914</v>
      </c>
      <c r="T491" s="3" t="s">
        <v>4866</v>
      </c>
      <c r="U491" s="45">
        <v>35</v>
      </c>
      <c r="V491" t="s">
        <v>6932</v>
      </c>
      <c r="W491" s="1" t="str">
        <f>HYPERLINK("http://ictvonline.org/taxonomy/p/taxonomy-history?taxnode_id=201908242","ICTVonline=201908242")</f>
        <v>ICTVonline=201908242</v>
      </c>
    </row>
    <row r="492" spans="1:23">
      <c r="A492" s="3">
        <v>491</v>
      </c>
      <c r="B492" s="1" t="s">
        <v>6915</v>
      </c>
      <c r="D492" s="1" t="s">
        <v>6916</v>
      </c>
      <c r="F492" s="1" t="s">
        <v>6920</v>
      </c>
      <c r="H492" s="1" t="s">
        <v>6921</v>
      </c>
      <c r="J492" s="1" t="s">
        <v>1324</v>
      </c>
      <c r="L492" s="1" t="s">
        <v>6928</v>
      </c>
      <c r="N492" s="1" t="s">
        <v>4222</v>
      </c>
      <c r="P492" s="1" t="s">
        <v>7334</v>
      </c>
      <c r="Q492" s="3">
        <v>0</v>
      </c>
      <c r="R492" s="22" t="s">
        <v>2721</v>
      </c>
      <c r="S492" s="42" t="s">
        <v>6914</v>
      </c>
      <c r="T492" s="3" t="s">
        <v>4866</v>
      </c>
      <c r="U492" s="45">
        <v>35</v>
      </c>
      <c r="V492" t="s">
        <v>6932</v>
      </c>
      <c r="W492" s="1" t="str">
        <f>HYPERLINK("http://ictvonline.org/taxonomy/p/taxonomy-history?taxnode_id=201908243","ICTVonline=201908243")</f>
        <v>ICTVonline=201908243</v>
      </c>
    </row>
    <row r="493" spans="1:23">
      <c r="A493" s="3">
        <v>492</v>
      </c>
      <c r="B493" s="1" t="s">
        <v>6915</v>
      </c>
      <c r="D493" s="1" t="s">
        <v>6916</v>
      </c>
      <c r="F493" s="1" t="s">
        <v>6920</v>
      </c>
      <c r="H493" s="1" t="s">
        <v>6921</v>
      </c>
      <c r="J493" s="1" t="s">
        <v>1324</v>
      </c>
      <c r="L493" s="1" t="s">
        <v>6928</v>
      </c>
      <c r="N493" s="1" t="s">
        <v>4222</v>
      </c>
      <c r="P493" s="1" t="s">
        <v>4225</v>
      </c>
      <c r="Q493" s="3">
        <v>1</v>
      </c>
      <c r="R493" s="22" t="s">
        <v>2721</v>
      </c>
      <c r="S493" s="42" t="s">
        <v>6910</v>
      </c>
      <c r="T493" s="3" t="s">
        <v>4868</v>
      </c>
      <c r="U493" s="45">
        <v>35</v>
      </c>
      <c r="V493" t="s">
        <v>6932</v>
      </c>
      <c r="W493" s="1" t="str">
        <f>HYPERLINK("http://ictvonline.org/taxonomy/p/taxonomy-history?taxnode_id=201900575","ICTVonline=201900575")</f>
        <v>ICTVonline=201900575</v>
      </c>
    </row>
    <row r="494" spans="1:23">
      <c r="A494" s="3">
        <v>493</v>
      </c>
      <c r="B494" s="1" t="s">
        <v>6915</v>
      </c>
      <c r="D494" s="1" t="s">
        <v>6916</v>
      </c>
      <c r="F494" s="1" t="s">
        <v>6920</v>
      </c>
      <c r="H494" s="1" t="s">
        <v>6921</v>
      </c>
      <c r="J494" s="1" t="s">
        <v>1324</v>
      </c>
      <c r="L494" s="1" t="s">
        <v>6928</v>
      </c>
      <c r="N494" s="1" t="s">
        <v>7335</v>
      </c>
      <c r="P494" s="1" t="s">
        <v>7336</v>
      </c>
      <c r="Q494" s="3">
        <v>1</v>
      </c>
      <c r="R494" s="22" t="s">
        <v>2721</v>
      </c>
      <c r="S494" s="42" t="s">
        <v>6914</v>
      </c>
      <c r="T494" s="3" t="s">
        <v>4866</v>
      </c>
      <c r="U494" s="45">
        <v>35</v>
      </c>
      <c r="V494" t="s">
        <v>6932</v>
      </c>
      <c r="W494" s="1" t="str">
        <f>HYPERLINK("http://ictvonline.org/taxonomy/p/taxonomy-history?taxnode_id=201908280","ICTVonline=201908280")</f>
        <v>ICTVonline=201908280</v>
      </c>
    </row>
    <row r="495" spans="1:23">
      <c r="A495" s="3">
        <v>494</v>
      </c>
      <c r="B495" s="1" t="s">
        <v>6915</v>
      </c>
      <c r="D495" s="1" t="s">
        <v>6916</v>
      </c>
      <c r="F495" s="1" t="s">
        <v>6920</v>
      </c>
      <c r="H495" s="1" t="s">
        <v>6921</v>
      </c>
      <c r="J495" s="1" t="s">
        <v>1324</v>
      </c>
      <c r="L495" s="1" t="s">
        <v>6928</v>
      </c>
      <c r="N495" s="1" t="s">
        <v>7337</v>
      </c>
      <c r="P495" s="1" t="s">
        <v>7338</v>
      </c>
      <c r="Q495" s="3">
        <v>1</v>
      </c>
      <c r="R495" s="22" t="s">
        <v>2721</v>
      </c>
      <c r="S495" s="42" t="s">
        <v>6914</v>
      </c>
      <c r="T495" s="3" t="s">
        <v>4866</v>
      </c>
      <c r="U495" s="45">
        <v>35</v>
      </c>
      <c r="V495" t="s">
        <v>6932</v>
      </c>
      <c r="W495" s="1" t="str">
        <f>HYPERLINK("http://ictvonline.org/taxonomy/p/taxonomy-history?taxnode_id=201908269","ICTVonline=201908269")</f>
        <v>ICTVonline=201908269</v>
      </c>
    </row>
    <row r="496" spans="1:23">
      <c r="A496" s="3">
        <v>495</v>
      </c>
      <c r="B496" s="1" t="s">
        <v>6915</v>
      </c>
      <c r="D496" s="1" t="s">
        <v>6916</v>
      </c>
      <c r="F496" s="1" t="s">
        <v>6920</v>
      </c>
      <c r="H496" s="1" t="s">
        <v>6921</v>
      </c>
      <c r="J496" s="1" t="s">
        <v>1324</v>
      </c>
      <c r="L496" s="1" t="s">
        <v>6928</v>
      </c>
      <c r="N496" s="1" t="s">
        <v>7339</v>
      </c>
      <c r="P496" s="1" t="s">
        <v>7340</v>
      </c>
      <c r="Q496" s="3">
        <v>1</v>
      </c>
      <c r="R496" s="22" t="s">
        <v>2721</v>
      </c>
      <c r="S496" s="42" t="s">
        <v>6914</v>
      </c>
      <c r="T496" s="3" t="s">
        <v>4866</v>
      </c>
      <c r="U496" s="45">
        <v>35</v>
      </c>
      <c r="V496" t="s">
        <v>6932</v>
      </c>
      <c r="W496" s="1" t="str">
        <f>HYPERLINK("http://ictvonline.org/taxonomy/p/taxonomy-history?taxnode_id=201908219","ICTVonline=201908219")</f>
        <v>ICTVonline=201908219</v>
      </c>
    </row>
    <row r="497" spans="1:23">
      <c r="A497" s="3">
        <v>496</v>
      </c>
      <c r="B497" s="1" t="s">
        <v>6915</v>
      </c>
      <c r="D497" s="1" t="s">
        <v>6916</v>
      </c>
      <c r="F497" s="1" t="s">
        <v>6920</v>
      </c>
      <c r="H497" s="1" t="s">
        <v>6921</v>
      </c>
      <c r="J497" s="1" t="s">
        <v>1324</v>
      </c>
      <c r="L497" s="1" t="s">
        <v>6928</v>
      </c>
      <c r="N497" s="1" t="s">
        <v>7341</v>
      </c>
      <c r="P497" s="1" t="s">
        <v>7342</v>
      </c>
      <c r="Q497" s="3">
        <v>1</v>
      </c>
      <c r="R497" s="22" t="s">
        <v>2721</v>
      </c>
      <c r="S497" s="42" t="s">
        <v>6914</v>
      </c>
      <c r="T497" s="3" t="s">
        <v>4866</v>
      </c>
      <c r="U497" s="45">
        <v>35</v>
      </c>
      <c r="V497" t="s">
        <v>6932</v>
      </c>
      <c r="W497" s="1" t="str">
        <f>HYPERLINK("http://ictvonline.org/taxonomy/p/taxonomy-history?taxnode_id=201908499","ICTVonline=201908499")</f>
        <v>ICTVonline=201908499</v>
      </c>
    </row>
    <row r="498" spans="1:23">
      <c r="A498" s="3">
        <v>497</v>
      </c>
      <c r="B498" s="1" t="s">
        <v>6915</v>
      </c>
      <c r="D498" s="1" t="s">
        <v>6916</v>
      </c>
      <c r="F498" s="1" t="s">
        <v>6920</v>
      </c>
      <c r="H498" s="1" t="s">
        <v>6921</v>
      </c>
      <c r="J498" s="1" t="s">
        <v>1324</v>
      </c>
      <c r="L498" s="1" t="s">
        <v>6928</v>
      </c>
      <c r="N498" s="1" t="s">
        <v>7343</v>
      </c>
      <c r="P498" s="1" t="s">
        <v>7344</v>
      </c>
      <c r="Q498" s="3">
        <v>1</v>
      </c>
      <c r="R498" s="22" t="s">
        <v>2721</v>
      </c>
      <c r="S498" s="42" t="s">
        <v>6914</v>
      </c>
      <c r="T498" s="3" t="s">
        <v>4866</v>
      </c>
      <c r="U498" s="45">
        <v>35</v>
      </c>
      <c r="V498" t="s">
        <v>6932</v>
      </c>
      <c r="W498" s="1" t="str">
        <f>HYPERLINK("http://ictvonline.org/taxonomy/p/taxonomy-history?taxnode_id=201908328","ICTVonline=201908328")</f>
        <v>ICTVonline=201908328</v>
      </c>
    </row>
    <row r="499" spans="1:23">
      <c r="A499" s="3">
        <v>498</v>
      </c>
      <c r="B499" s="1" t="s">
        <v>6915</v>
      </c>
      <c r="D499" s="1" t="s">
        <v>6916</v>
      </c>
      <c r="F499" s="1" t="s">
        <v>6920</v>
      </c>
      <c r="H499" s="1" t="s">
        <v>6921</v>
      </c>
      <c r="J499" s="1" t="s">
        <v>1324</v>
      </c>
      <c r="L499" s="1" t="s">
        <v>6928</v>
      </c>
      <c r="N499" s="1" t="s">
        <v>7345</v>
      </c>
      <c r="P499" s="1" t="s">
        <v>7346</v>
      </c>
      <c r="Q499" s="3">
        <v>1</v>
      </c>
      <c r="R499" s="22" t="s">
        <v>2721</v>
      </c>
      <c r="S499" s="42" t="s">
        <v>6914</v>
      </c>
      <c r="T499" s="3" t="s">
        <v>4866</v>
      </c>
      <c r="U499" s="45">
        <v>35</v>
      </c>
      <c r="V499" t="s">
        <v>6932</v>
      </c>
      <c r="W499" s="1" t="str">
        <f>HYPERLINK("http://ictvonline.org/taxonomy/p/taxonomy-history?taxnode_id=201908503","ICTVonline=201908503")</f>
        <v>ICTVonline=201908503</v>
      </c>
    </row>
    <row r="500" spans="1:23">
      <c r="A500" s="3">
        <v>499</v>
      </c>
      <c r="B500" s="1" t="s">
        <v>6915</v>
      </c>
      <c r="D500" s="1" t="s">
        <v>6916</v>
      </c>
      <c r="F500" s="1" t="s">
        <v>6920</v>
      </c>
      <c r="H500" s="1" t="s">
        <v>6921</v>
      </c>
      <c r="J500" s="1" t="s">
        <v>1324</v>
      </c>
      <c r="L500" s="1" t="s">
        <v>6928</v>
      </c>
      <c r="N500" s="1" t="s">
        <v>7347</v>
      </c>
      <c r="P500" s="1" t="s">
        <v>7348</v>
      </c>
      <c r="Q500" s="3">
        <v>1</v>
      </c>
      <c r="R500" s="22" t="s">
        <v>2721</v>
      </c>
      <c r="S500" s="42" t="s">
        <v>6914</v>
      </c>
      <c r="T500" s="3" t="s">
        <v>4866</v>
      </c>
      <c r="U500" s="45">
        <v>35</v>
      </c>
      <c r="V500" t="s">
        <v>6932</v>
      </c>
      <c r="W500" s="1" t="str">
        <f>HYPERLINK("http://ictvonline.org/taxonomy/p/taxonomy-history?taxnode_id=201908290","ICTVonline=201908290")</f>
        <v>ICTVonline=201908290</v>
      </c>
    </row>
    <row r="501" spans="1:23">
      <c r="A501" s="3">
        <v>500</v>
      </c>
      <c r="B501" s="1" t="s">
        <v>6915</v>
      </c>
      <c r="D501" s="1" t="s">
        <v>6916</v>
      </c>
      <c r="F501" s="1" t="s">
        <v>6920</v>
      </c>
      <c r="H501" s="1" t="s">
        <v>6921</v>
      </c>
      <c r="J501" s="1" t="s">
        <v>1324</v>
      </c>
      <c r="L501" s="1" t="s">
        <v>6928</v>
      </c>
      <c r="N501" s="1" t="s">
        <v>7349</v>
      </c>
      <c r="P501" s="1" t="s">
        <v>7350</v>
      </c>
      <c r="Q501" s="3">
        <v>1</v>
      </c>
      <c r="R501" s="22" t="s">
        <v>2721</v>
      </c>
      <c r="S501" s="42" t="s">
        <v>6914</v>
      </c>
      <c r="T501" s="3" t="s">
        <v>4866</v>
      </c>
      <c r="U501" s="45">
        <v>35</v>
      </c>
      <c r="V501" t="s">
        <v>6932</v>
      </c>
      <c r="W501" s="1" t="str">
        <f>HYPERLINK("http://ictvonline.org/taxonomy/p/taxonomy-history?taxnode_id=201908251","ICTVonline=201908251")</f>
        <v>ICTVonline=201908251</v>
      </c>
    </row>
    <row r="502" spans="1:23">
      <c r="A502" s="3">
        <v>501</v>
      </c>
      <c r="B502" s="1" t="s">
        <v>6915</v>
      </c>
      <c r="D502" s="1" t="s">
        <v>6916</v>
      </c>
      <c r="F502" s="1" t="s">
        <v>6920</v>
      </c>
      <c r="H502" s="1" t="s">
        <v>6921</v>
      </c>
      <c r="J502" s="1" t="s">
        <v>1324</v>
      </c>
      <c r="L502" s="1" t="s">
        <v>6928</v>
      </c>
      <c r="N502" s="1" t="s">
        <v>7351</v>
      </c>
      <c r="P502" s="1" t="s">
        <v>7352</v>
      </c>
      <c r="Q502" s="3">
        <v>1</v>
      </c>
      <c r="R502" s="22" t="s">
        <v>2721</v>
      </c>
      <c r="S502" s="42" t="s">
        <v>6914</v>
      </c>
      <c r="T502" s="3" t="s">
        <v>4866</v>
      </c>
      <c r="U502" s="45">
        <v>35</v>
      </c>
      <c r="V502" t="s">
        <v>6932</v>
      </c>
      <c r="W502" s="1" t="str">
        <f>HYPERLINK("http://ictvonline.org/taxonomy/p/taxonomy-history?taxnode_id=201908255","ICTVonline=201908255")</f>
        <v>ICTVonline=201908255</v>
      </c>
    </row>
    <row r="503" spans="1:23">
      <c r="A503" s="3">
        <v>502</v>
      </c>
      <c r="B503" s="1" t="s">
        <v>6915</v>
      </c>
      <c r="D503" s="1" t="s">
        <v>6916</v>
      </c>
      <c r="F503" s="1" t="s">
        <v>6920</v>
      </c>
      <c r="H503" s="1" t="s">
        <v>6921</v>
      </c>
      <c r="J503" s="1" t="s">
        <v>1324</v>
      </c>
      <c r="L503" s="1" t="s">
        <v>6928</v>
      </c>
      <c r="N503" s="1" t="s">
        <v>7353</v>
      </c>
      <c r="P503" s="1" t="s">
        <v>7354</v>
      </c>
      <c r="Q503" s="3">
        <v>1</v>
      </c>
      <c r="R503" s="22" t="s">
        <v>2721</v>
      </c>
      <c r="S503" s="42" t="s">
        <v>6914</v>
      </c>
      <c r="T503" s="3" t="s">
        <v>4866</v>
      </c>
      <c r="U503" s="45">
        <v>35</v>
      </c>
      <c r="V503" t="s">
        <v>6932</v>
      </c>
      <c r="W503" s="1" t="str">
        <f>HYPERLINK("http://ictvonline.org/taxonomy/p/taxonomy-history?taxnode_id=201908223","ICTVonline=201908223")</f>
        <v>ICTVonline=201908223</v>
      </c>
    </row>
    <row r="504" spans="1:23">
      <c r="A504" s="3">
        <v>503</v>
      </c>
      <c r="B504" s="1" t="s">
        <v>6915</v>
      </c>
      <c r="D504" s="1" t="s">
        <v>6916</v>
      </c>
      <c r="F504" s="1" t="s">
        <v>6920</v>
      </c>
      <c r="H504" s="1" t="s">
        <v>6921</v>
      </c>
      <c r="J504" s="1" t="s">
        <v>1324</v>
      </c>
      <c r="L504" s="1" t="s">
        <v>6928</v>
      </c>
      <c r="N504" s="1" t="s">
        <v>7353</v>
      </c>
      <c r="P504" s="1" t="s">
        <v>7355</v>
      </c>
      <c r="Q504" s="3">
        <v>0</v>
      </c>
      <c r="R504" s="22" t="s">
        <v>2721</v>
      </c>
      <c r="S504" s="42" t="s">
        <v>6914</v>
      </c>
      <c r="T504" s="3" t="s">
        <v>4866</v>
      </c>
      <c r="U504" s="45">
        <v>35</v>
      </c>
      <c r="V504" t="s">
        <v>6932</v>
      </c>
      <c r="W504" s="1" t="str">
        <f>HYPERLINK("http://ictvonline.org/taxonomy/p/taxonomy-history?taxnode_id=201908221","ICTVonline=201908221")</f>
        <v>ICTVonline=201908221</v>
      </c>
    </row>
    <row r="505" spans="1:23">
      <c r="A505" s="3">
        <v>504</v>
      </c>
      <c r="B505" s="1" t="s">
        <v>6915</v>
      </c>
      <c r="D505" s="1" t="s">
        <v>6916</v>
      </c>
      <c r="F505" s="1" t="s">
        <v>6920</v>
      </c>
      <c r="H505" s="1" t="s">
        <v>6921</v>
      </c>
      <c r="J505" s="1" t="s">
        <v>1324</v>
      </c>
      <c r="L505" s="1" t="s">
        <v>6928</v>
      </c>
      <c r="N505" s="1" t="s">
        <v>7353</v>
      </c>
      <c r="P505" s="1" t="s">
        <v>7356</v>
      </c>
      <c r="Q505" s="3">
        <v>0</v>
      </c>
      <c r="R505" s="22" t="s">
        <v>2721</v>
      </c>
      <c r="S505" s="42" t="s">
        <v>6914</v>
      </c>
      <c r="T505" s="3" t="s">
        <v>4866</v>
      </c>
      <c r="U505" s="45">
        <v>35</v>
      </c>
      <c r="V505" t="s">
        <v>6932</v>
      </c>
      <c r="W505" s="1" t="str">
        <f>HYPERLINK("http://ictvonline.org/taxonomy/p/taxonomy-history?taxnode_id=201908222","ICTVonline=201908222")</f>
        <v>ICTVonline=201908222</v>
      </c>
    </row>
    <row r="506" spans="1:23">
      <c r="A506" s="3">
        <v>505</v>
      </c>
      <c r="B506" s="1" t="s">
        <v>6915</v>
      </c>
      <c r="D506" s="1" t="s">
        <v>6916</v>
      </c>
      <c r="F506" s="1" t="s">
        <v>6920</v>
      </c>
      <c r="H506" s="1" t="s">
        <v>6921</v>
      </c>
      <c r="J506" s="1" t="s">
        <v>1324</v>
      </c>
      <c r="L506" s="1" t="s">
        <v>6928</v>
      </c>
      <c r="N506" s="1" t="s">
        <v>7357</v>
      </c>
      <c r="P506" s="1" t="s">
        <v>7358</v>
      </c>
      <c r="Q506" s="3">
        <v>1</v>
      </c>
      <c r="R506" s="22" t="s">
        <v>2721</v>
      </c>
      <c r="S506" s="42" t="s">
        <v>6914</v>
      </c>
      <c r="T506" s="3" t="s">
        <v>4866</v>
      </c>
      <c r="U506" s="45">
        <v>35</v>
      </c>
      <c r="V506" t="s">
        <v>6932</v>
      </c>
      <c r="W506" s="1" t="str">
        <f>HYPERLINK("http://ictvonline.org/taxonomy/p/taxonomy-history?taxnode_id=201908306","ICTVonline=201908306")</f>
        <v>ICTVonline=201908306</v>
      </c>
    </row>
    <row r="507" spans="1:23">
      <c r="A507" s="3">
        <v>506</v>
      </c>
      <c r="B507" s="1" t="s">
        <v>6915</v>
      </c>
      <c r="D507" s="1" t="s">
        <v>6916</v>
      </c>
      <c r="F507" s="1" t="s">
        <v>6920</v>
      </c>
      <c r="H507" s="1" t="s">
        <v>6921</v>
      </c>
      <c r="J507" s="1" t="s">
        <v>1324</v>
      </c>
      <c r="L507" s="1" t="s">
        <v>6928</v>
      </c>
      <c r="N507" s="1" t="s">
        <v>7359</v>
      </c>
      <c r="P507" s="1" t="s">
        <v>2960</v>
      </c>
      <c r="Q507" s="3">
        <v>1</v>
      </c>
      <c r="R507" s="22" t="s">
        <v>2721</v>
      </c>
      <c r="S507" s="42" t="s">
        <v>6914</v>
      </c>
      <c r="T507" s="3" t="s">
        <v>4871</v>
      </c>
      <c r="U507" s="45">
        <v>35</v>
      </c>
      <c r="V507" t="s">
        <v>6932</v>
      </c>
      <c r="W507" s="1" t="str">
        <f>HYPERLINK("http://ictvonline.org/taxonomy/p/taxonomy-history?taxnode_id=201900587","ICTVonline=201900587")</f>
        <v>ICTVonline=201900587</v>
      </c>
    </row>
    <row r="508" spans="1:23">
      <c r="A508" s="3">
        <v>507</v>
      </c>
      <c r="B508" s="1" t="s">
        <v>6915</v>
      </c>
      <c r="D508" s="1" t="s">
        <v>6916</v>
      </c>
      <c r="F508" s="1" t="s">
        <v>6920</v>
      </c>
      <c r="H508" s="1" t="s">
        <v>6921</v>
      </c>
      <c r="J508" s="1" t="s">
        <v>1324</v>
      </c>
      <c r="L508" s="1" t="s">
        <v>6928</v>
      </c>
      <c r="N508" s="1" t="s">
        <v>7360</v>
      </c>
      <c r="P508" s="1" t="s">
        <v>2961</v>
      </c>
      <c r="Q508" s="3">
        <v>1</v>
      </c>
      <c r="R508" s="22" t="s">
        <v>2721</v>
      </c>
      <c r="S508" s="42" t="s">
        <v>6914</v>
      </c>
      <c r="T508" s="3" t="s">
        <v>4871</v>
      </c>
      <c r="U508" s="45">
        <v>35</v>
      </c>
      <c r="V508" t="s">
        <v>6932</v>
      </c>
      <c r="W508" s="1" t="str">
        <f>HYPERLINK("http://ictvonline.org/taxonomy/p/taxonomy-history?taxnode_id=201900588","ICTVonline=201900588")</f>
        <v>ICTVonline=201900588</v>
      </c>
    </row>
    <row r="509" spans="1:23">
      <c r="A509" s="3">
        <v>508</v>
      </c>
      <c r="B509" s="1" t="s">
        <v>6915</v>
      </c>
      <c r="D509" s="1" t="s">
        <v>6916</v>
      </c>
      <c r="F509" s="1" t="s">
        <v>6920</v>
      </c>
      <c r="H509" s="1" t="s">
        <v>6921</v>
      </c>
      <c r="J509" s="1" t="s">
        <v>1324</v>
      </c>
      <c r="L509" s="1" t="s">
        <v>6928</v>
      </c>
      <c r="N509" s="1" t="s">
        <v>7361</v>
      </c>
      <c r="P509" s="1" t="s">
        <v>7362</v>
      </c>
      <c r="Q509" s="3">
        <v>0</v>
      </c>
      <c r="R509" s="22" t="s">
        <v>2721</v>
      </c>
      <c r="S509" s="42" t="s">
        <v>6914</v>
      </c>
      <c r="T509" s="3" t="s">
        <v>4866</v>
      </c>
      <c r="U509" s="45">
        <v>35</v>
      </c>
      <c r="V509" t="s">
        <v>6932</v>
      </c>
      <c r="W509" s="1" t="str">
        <f>HYPERLINK("http://ictvonline.org/taxonomy/p/taxonomy-history?taxnode_id=201908204","ICTVonline=201908204")</f>
        <v>ICTVonline=201908204</v>
      </c>
    </row>
    <row r="510" spans="1:23">
      <c r="A510" s="3">
        <v>509</v>
      </c>
      <c r="B510" s="1" t="s">
        <v>6915</v>
      </c>
      <c r="D510" s="1" t="s">
        <v>6916</v>
      </c>
      <c r="F510" s="1" t="s">
        <v>6920</v>
      </c>
      <c r="H510" s="1" t="s">
        <v>6921</v>
      </c>
      <c r="J510" s="1" t="s">
        <v>1324</v>
      </c>
      <c r="L510" s="1" t="s">
        <v>6928</v>
      </c>
      <c r="N510" s="1" t="s">
        <v>7361</v>
      </c>
      <c r="P510" s="1" t="s">
        <v>7363</v>
      </c>
      <c r="Q510" s="3">
        <v>1</v>
      </c>
      <c r="R510" s="22" t="s">
        <v>2721</v>
      </c>
      <c r="S510" s="42" t="s">
        <v>6914</v>
      </c>
      <c r="T510" s="3" t="s">
        <v>4866</v>
      </c>
      <c r="U510" s="45">
        <v>35</v>
      </c>
      <c r="V510" t="s">
        <v>6932</v>
      </c>
      <c r="W510" s="1" t="str">
        <f>HYPERLINK("http://ictvonline.org/taxonomy/p/taxonomy-history?taxnode_id=201908205","ICTVonline=201908205")</f>
        <v>ICTVonline=201908205</v>
      </c>
    </row>
    <row r="511" spans="1:23">
      <c r="A511" s="3">
        <v>510</v>
      </c>
      <c r="B511" s="1" t="s">
        <v>6915</v>
      </c>
      <c r="D511" s="1" t="s">
        <v>6916</v>
      </c>
      <c r="F511" s="1" t="s">
        <v>6920</v>
      </c>
      <c r="H511" s="1" t="s">
        <v>6921</v>
      </c>
      <c r="J511" s="1" t="s">
        <v>1324</v>
      </c>
      <c r="L511" s="1" t="s">
        <v>6928</v>
      </c>
      <c r="N511" s="1" t="s">
        <v>7364</v>
      </c>
      <c r="P511" s="1" t="s">
        <v>2962</v>
      </c>
      <c r="Q511" s="3">
        <v>1</v>
      </c>
      <c r="R511" s="22" t="s">
        <v>2721</v>
      </c>
      <c r="S511" s="42" t="s">
        <v>6914</v>
      </c>
      <c r="T511" s="3" t="s">
        <v>4871</v>
      </c>
      <c r="U511" s="45">
        <v>35</v>
      </c>
      <c r="V511" t="s">
        <v>6932</v>
      </c>
      <c r="W511" s="1" t="str">
        <f>HYPERLINK("http://ictvonline.org/taxonomy/p/taxonomy-history?taxnode_id=201900589","ICTVonline=201900589")</f>
        <v>ICTVonline=201900589</v>
      </c>
    </row>
    <row r="512" spans="1:23">
      <c r="A512" s="3">
        <v>511</v>
      </c>
      <c r="B512" s="1" t="s">
        <v>6915</v>
      </c>
      <c r="D512" s="1" t="s">
        <v>6916</v>
      </c>
      <c r="F512" s="1" t="s">
        <v>6920</v>
      </c>
      <c r="H512" s="1" t="s">
        <v>6921</v>
      </c>
      <c r="J512" s="1" t="s">
        <v>1324</v>
      </c>
      <c r="L512" s="1" t="s">
        <v>6928</v>
      </c>
      <c r="N512" s="1" t="s">
        <v>7365</v>
      </c>
      <c r="P512" s="1" t="s">
        <v>7366</v>
      </c>
      <c r="Q512" s="3">
        <v>1</v>
      </c>
      <c r="R512" s="22" t="s">
        <v>2721</v>
      </c>
      <c r="S512" s="42" t="s">
        <v>6914</v>
      </c>
      <c r="T512" s="3" t="s">
        <v>4866</v>
      </c>
      <c r="U512" s="45">
        <v>35</v>
      </c>
      <c r="V512" t="s">
        <v>6932</v>
      </c>
      <c r="W512" s="1" t="str">
        <f>HYPERLINK("http://ictvonline.org/taxonomy/p/taxonomy-history?taxnode_id=201908282","ICTVonline=201908282")</f>
        <v>ICTVonline=201908282</v>
      </c>
    </row>
    <row r="513" spans="1:23">
      <c r="A513" s="3">
        <v>512</v>
      </c>
      <c r="B513" s="1" t="s">
        <v>6915</v>
      </c>
      <c r="D513" s="1" t="s">
        <v>6916</v>
      </c>
      <c r="F513" s="1" t="s">
        <v>6920</v>
      </c>
      <c r="H513" s="1" t="s">
        <v>6921</v>
      </c>
      <c r="J513" s="1" t="s">
        <v>1324</v>
      </c>
      <c r="L513" s="1" t="s">
        <v>6928</v>
      </c>
      <c r="N513" s="1" t="s">
        <v>7367</v>
      </c>
      <c r="P513" s="1" t="s">
        <v>7368</v>
      </c>
      <c r="Q513" s="3">
        <v>1</v>
      </c>
      <c r="R513" s="22" t="s">
        <v>2721</v>
      </c>
      <c r="S513" s="42" t="s">
        <v>6914</v>
      </c>
      <c r="T513" s="3" t="s">
        <v>4871</v>
      </c>
      <c r="U513" s="45">
        <v>35</v>
      </c>
      <c r="V513" t="s">
        <v>6932</v>
      </c>
      <c r="W513" s="1" t="str">
        <f>HYPERLINK("http://ictvonline.org/taxonomy/p/taxonomy-history?taxnode_id=201900569","ICTVonline=201900569")</f>
        <v>ICTVonline=201900569</v>
      </c>
    </row>
    <row r="514" spans="1:23">
      <c r="A514" s="3">
        <v>513</v>
      </c>
      <c r="B514" s="1" t="s">
        <v>6915</v>
      </c>
      <c r="D514" s="1" t="s">
        <v>6916</v>
      </c>
      <c r="F514" s="1" t="s">
        <v>6920</v>
      </c>
      <c r="H514" s="1" t="s">
        <v>6921</v>
      </c>
      <c r="J514" s="1" t="s">
        <v>1324</v>
      </c>
      <c r="L514" s="1" t="s">
        <v>6928</v>
      </c>
      <c r="N514" s="1" t="s">
        <v>7369</v>
      </c>
      <c r="P514" s="1" t="s">
        <v>7370</v>
      </c>
      <c r="Q514" s="3">
        <v>0</v>
      </c>
      <c r="R514" s="22" t="s">
        <v>2721</v>
      </c>
      <c r="S514" s="42" t="s">
        <v>6914</v>
      </c>
      <c r="T514" s="3" t="s">
        <v>4866</v>
      </c>
      <c r="U514" s="45">
        <v>35</v>
      </c>
      <c r="V514" t="s">
        <v>6932</v>
      </c>
      <c r="W514" s="1" t="str">
        <f>HYPERLINK("http://ictvonline.org/taxonomy/p/taxonomy-history?taxnode_id=201908195","ICTVonline=201908195")</f>
        <v>ICTVonline=201908195</v>
      </c>
    </row>
    <row r="515" spans="1:23">
      <c r="A515" s="3">
        <v>514</v>
      </c>
      <c r="B515" s="1" t="s">
        <v>6915</v>
      </c>
      <c r="D515" s="1" t="s">
        <v>6916</v>
      </c>
      <c r="F515" s="1" t="s">
        <v>6920</v>
      </c>
      <c r="H515" s="1" t="s">
        <v>6921</v>
      </c>
      <c r="J515" s="1" t="s">
        <v>1324</v>
      </c>
      <c r="L515" s="1" t="s">
        <v>6928</v>
      </c>
      <c r="N515" s="1" t="s">
        <v>7369</v>
      </c>
      <c r="P515" s="1" t="s">
        <v>7371</v>
      </c>
      <c r="Q515" s="3">
        <v>1</v>
      </c>
      <c r="R515" s="22" t="s">
        <v>2721</v>
      </c>
      <c r="S515" s="42" t="s">
        <v>6914</v>
      </c>
      <c r="T515" s="3" t="s">
        <v>4866</v>
      </c>
      <c r="U515" s="45">
        <v>35</v>
      </c>
      <c r="V515" t="s">
        <v>6932</v>
      </c>
      <c r="W515" s="1" t="str">
        <f>HYPERLINK("http://ictvonline.org/taxonomy/p/taxonomy-history?taxnode_id=201908194","ICTVonline=201908194")</f>
        <v>ICTVonline=201908194</v>
      </c>
    </row>
    <row r="516" spans="1:23">
      <c r="A516" s="3">
        <v>515</v>
      </c>
      <c r="B516" s="1" t="s">
        <v>6915</v>
      </c>
      <c r="D516" s="1" t="s">
        <v>6916</v>
      </c>
      <c r="F516" s="1" t="s">
        <v>6920</v>
      </c>
      <c r="H516" s="1" t="s">
        <v>6921</v>
      </c>
      <c r="J516" s="1" t="s">
        <v>1324</v>
      </c>
      <c r="L516" s="1" t="s">
        <v>7372</v>
      </c>
      <c r="N516" s="1" t="s">
        <v>7373</v>
      </c>
      <c r="P516" s="1" t="s">
        <v>7374</v>
      </c>
      <c r="Q516" s="3">
        <v>1</v>
      </c>
      <c r="R516" s="22" t="s">
        <v>2721</v>
      </c>
      <c r="S516" s="42" t="s">
        <v>6914</v>
      </c>
      <c r="T516" s="3" t="s">
        <v>4866</v>
      </c>
      <c r="U516" s="45">
        <v>35</v>
      </c>
      <c r="V516" t="s">
        <v>7375</v>
      </c>
      <c r="W516" s="1" t="str">
        <f>HYPERLINK("http://ictvonline.org/taxonomy/p/taxonomy-history?taxnode_id=201907739","ICTVonline=201907739")</f>
        <v>ICTVonline=201907739</v>
      </c>
    </row>
    <row r="517" spans="1:23">
      <c r="A517" s="3">
        <v>516</v>
      </c>
      <c r="B517" s="1" t="s">
        <v>6915</v>
      </c>
      <c r="D517" s="1" t="s">
        <v>6916</v>
      </c>
      <c r="F517" s="1" t="s">
        <v>6920</v>
      </c>
      <c r="H517" s="1" t="s">
        <v>6921</v>
      </c>
      <c r="J517" s="1" t="s">
        <v>1324</v>
      </c>
      <c r="L517" s="1" t="s">
        <v>7372</v>
      </c>
      <c r="N517" s="1" t="s">
        <v>7373</v>
      </c>
      <c r="P517" s="1" t="s">
        <v>7376</v>
      </c>
      <c r="Q517" s="3">
        <v>0</v>
      </c>
      <c r="R517" s="22" t="s">
        <v>2721</v>
      </c>
      <c r="S517" s="42" t="s">
        <v>6914</v>
      </c>
      <c r="T517" s="3" t="s">
        <v>4866</v>
      </c>
      <c r="U517" s="45">
        <v>35</v>
      </c>
      <c r="V517" t="s">
        <v>7375</v>
      </c>
      <c r="W517" s="1" t="str">
        <f>HYPERLINK("http://ictvonline.org/taxonomy/p/taxonomy-history?taxnode_id=201907740","ICTVonline=201907740")</f>
        <v>ICTVonline=201907740</v>
      </c>
    </row>
    <row r="518" spans="1:23">
      <c r="A518" s="3">
        <v>517</v>
      </c>
      <c r="B518" s="1" t="s">
        <v>6915</v>
      </c>
      <c r="D518" s="1" t="s">
        <v>6916</v>
      </c>
      <c r="F518" s="1" t="s">
        <v>6920</v>
      </c>
      <c r="H518" s="1" t="s">
        <v>6921</v>
      </c>
      <c r="J518" s="1" t="s">
        <v>1324</v>
      </c>
      <c r="L518" s="1" t="s">
        <v>7372</v>
      </c>
      <c r="N518" s="1" t="s">
        <v>7377</v>
      </c>
      <c r="P518" s="1" t="s">
        <v>7378</v>
      </c>
      <c r="Q518" s="3">
        <v>1</v>
      </c>
      <c r="R518" s="22" t="s">
        <v>2721</v>
      </c>
      <c r="S518" s="42" t="s">
        <v>6914</v>
      </c>
      <c r="T518" s="3" t="s">
        <v>4866</v>
      </c>
      <c r="U518" s="45">
        <v>35</v>
      </c>
      <c r="V518" t="s">
        <v>7375</v>
      </c>
      <c r="W518" s="1" t="str">
        <f>HYPERLINK("http://ictvonline.org/taxonomy/p/taxonomy-history?taxnode_id=201907742","ICTVonline=201907742")</f>
        <v>ICTVonline=201907742</v>
      </c>
    </row>
    <row r="519" spans="1:23">
      <c r="A519" s="3">
        <v>518</v>
      </c>
      <c r="B519" s="1" t="s">
        <v>6915</v>
      </c>
      <c r="D519" s="1" t="s">
        <v>6916</v>
      </c>
      <c r="F519" s="1" t="s">
        <v>6920</v>
      </c>
      <c r="H519" s="1" t="s">
        <v>6921</v>
      </c>
      <c r="J519" s="1" t="s">
        <v>1324</v>
      </c>
      <c r="L519" s="1" t="s">
        <v>7372</v>
      </c>
      <c r="N519" s="1" t="s">
        <v>7379</v>
      </c>
      <c r="P519" s="1" t="s">
        <v>7380</v>
      </c>
      <c r="Q519" s="3">
        <v>1</v>
      </c>
      <c r="R519" s="22" t="s">
        <v>2721</v>
      </c>
      <c r="S519" s="42" t="s">
        <v>6914</v>
      </c>
      <c r="T519" s="3" t="s">
        <v>4866</v>
      </c>
      <c r="U519" s="45">
        <v>35</v>
      </c>
      <c r="V519" t="s">
        <v>7375</v>
      </c>
      <c r="W519" s="1" t="str">
        <f>HYPERLINK("http://ictvonline.org/taxonomy/p/taxonomy-history?taxnode_id=201907752","ICTVonline=201907752")</f>
        <v>ICTVonline=201907752</v>
      </c>
    </row>
    <row r="520" spans="1:23">
      <c r="A520" s="3">
        <v>519</v>
      </c>
      <c r="B520" s="1" t="s">
        <v>6915</v>
      </c>
      <c r="D520" s="1" t="s">
        <v>6916</v>
      </c>
      <c r="F520" s="1" t="s">
        <v>6920</v>
      </c>
      <c r="H520" s="1" t="s">
        <v>6921</v>
      </c>
      <c r="J520" s="1" t="s">
        <v>1324</v>
      </c>
      <c r="L520" s="1" t="s">
        <v>7372</v>
      </c>
      <c r="N520" s="1" t="s">
        <v>7381</v>
      </c>
      <c r="P520" s="1" t="s">
        <v>7382</v>
      </c>
      <c r="Q520" s="3">
        <v>1</v>
      </c>
      <c r="R520" s="22" t="s">
        <v>2721</v>
      </c>
      <c r="S520" s="42" t="s">
        <v>6914</v>
      </c>
      <c r="T520" s="3" t="s">
        <v>4866</v>
      </c>
      <c r="U520" s="45">
        <v>35</v>
      </c>
      <c r="V520" t="s">
        <v>7375</v>
      </c>
      <c r="W520" s="1" t="str">
        <f>HYPERLINK("http://ictvonline.org/taxonomy/p/taxonomy-history?taxnode_id=201907750","ICTVonline=201907750")</f>
        <v>ICTVonline=201907750</v>
      </c>
    </row>
    <row r="521" spans="1:23">
      <c r="A521" s="3">
        <v>520</v>
      </c>
      <c r="B521" s="1" t="s">
        <v>6915</v>
      </c>
      <c r="D521" s="1" t="s">
        <v>6916</v>
      </c>
      <c r="F521" s="1" t="s">
        <v>6920</v>
      </c>
      <c r="H521" s="1" t="s">
        <v>6921</v>
      </c>
      <c r="J521" s="1" t="s">
        <v>1324</v>
      </c>
      <c r="L521" s="1" t="s">
        <v>7372</v>
      </c>
      <c r="N521" s="1" t="s">
        <v>7383</v>
      </c>
      <c r="P521" s="1" t="s">
        <v>7384</v>
      </c>
      <c r="Q521" s="3">
        <v>1</v>
      </c>
      <c r="R521" s="22" t="s">
        <v>2721</v>
      </c>
      <c r="S521" s="42" t="s">
        <v>6914</v>
      </c>
      <c r="T521" s="3" t="s">
        <v>4866</v>
      </c>
      <c r="U521" s="45">
        <v>35</v>
      </c>
      <c r="V521" t="s">
        <v>7375</v>
      </c>
      <c r="W521" s="1" t="str">
        <f>HYPERLINK("http://ictvonline.org/taxonomy/p/taxonomy-history?taxnode_id=201907744","ICTVonline=201907744")</f>
        <v>ICTVonline=201907744</v>
      </c>
    </row>
    <row r="522" spans="1:23">
      <c r="A522" s="3">
        <v>521</v>
      </c>
      <c r="B522" s="1" t="s">
        <v>6915</v>
      </c>
      <c r="D522" s="1" t="s">
        <v>6916</v>
      </c>
      <c r="F522" s="1" t="s">
        <v>6920</v>
      </c>
      <c r="H522" s="1" t="s">
        <v>6921</v>
      </c>
      <c r="J522" s="1" t="s">
        <v>1324</v>
      </c>
      <c r="L522" s="1" t="s">
        <v>7372</v>
      </c>
      <c r="N522" s="1" t="s">
        <v>7383</v>
      </c>
      <c r="P522" s="1" t="s">
        <v>7385</v>
      </c>
      <c r="Q522" s="3">
        <v>0</v>
      </c>
      <c r="R522" s="22" t="s">
        <v>2721</v>
      </c>
      <c r="S522" s="42" t="s">
        <v>6914</v>
      </c>
      <c r="T522" s="3" t="s">
        <v>4866</v>
      </c>
      <c r="U522" s="45">
        <v>35</v>
      </c>
      <c r="V522" t="s">
        <v>7375</v>
      </c>
      <c r="W522" s="1" t="str">
        <f>HYPERLINK("http://ictvonline.org/taxonomy/p/taxonomy-history?taxnode_id=201907745","ICTVonline=201907745")</f>
        <v>ICTVonline=201907745</v>
      </c>
    </row>
    <row r="523" spans="1:23">
      <c r="A523" s="3">
        <v>522</v>
      </c>
      <c r="B523" s="1" t="s">
        <v>6915</v>
      </c>
      <c r="D523" s="1" t="s">
        <v>6916</v>
      </c>
      <c r="F523" s="1" t="s">
        <v>6920</v>
      </c>
      <c r="H523" s="1" t="s">
        <v>6921</v>
      </c>
      <c r="J523" s="1" t="s">
        <v>1324</v>
      </c>
      <c r="L523" s="1" t="s">
        <v>7372</v>
      </c>
      <c r="N523" s="1" t="s">
        <v>7386</v>
      </c>
      <c r="P523" s="1" t="s">
        <v>7387</v>
      </c>
      <c r="Q523" s="3">
        <v>1</v>
      </c>
      <c r="R523" s="22" t="s">
        <v>2721</v>
      </c>
      <c r="S523" s="42" t="s">
        <v>6914</v>
      </c>
      <c r="T523" s="3" t="s">
        <v>4866</v>
      </c>
      <c r="U523" s="45">
        <v>35</v>
      </c>
      <c r="V523" t="s">
        <v>7375</v>
      </c>
      <c r="W523" s="1" t="str">
        <f>HYPERLINK("http://ictvonline.org/taxonomy/p/taxonomy-history?taxnode_id=201907747","ICTVonline=201907747")</f>
        <v>ICTVonline=201907747</v>
      </c>
    </row>
    <row r="524" spans="1:23">
      <c r="A524" s="3">
        <v>523</v>
      </c>
      <c r="B524" s="1" t="s">
        <v>6915</v>
      </c>
      <c r="D524" s="1" t="s">
        <v>6916</v>
      </c>
      <c r="F524" s="1" t="s">
        <v>6920</v>
      </c>
      <c r="H524" s="1" t="s">
        <v>6921</v>
      </c>
      <c r="J524" s="1" t="s">
        <v>1324</v>
      </c>
      <c r="L524" s="1" t="s">
        <v>7372</v>
      </c>
      <c r="N524" s="1" t="s">
        <v>7386</v>
      </c>
      <c r="P524" s="1" t="s">
        <v>7388</v>
      </c>
      <c r="Q524" s="3">
        <v>0</v>
      </c>
      <c r="R524" s="22" t="s">
        <v>2721</v>
      </c>
      <c r="S524" s="42" t="s">
        <v>6914</v>
      </c>
      <c r="T524" s="3" t="s">
        <v>4866</v>
      </c>
      <c r="U524" s="45">
        <v>35</v>
      </c>
      <c r="V524" t="s">
        <v>7375</v>
      </c>
      <c r="W524" s="1" t="str">
        <f>HYPERLINK("http://ictvonline.org/taxonomy/p/taxonomy-history?taxnode_id=201907748","ICTVonline=201907748")</f>
        <v>ICTVonline=201907748</v>
      </c>
    </row>
    <row r="525" spans="1:23">
      <c r="A525" s="3">
        <v>524</v>
      </c>
      <c r="B525" s="1" t="s">
        <v>6915</v>
      </c>
      <c r="D525" s="1" t="s">
        <v>6916</v>
      </c>
      <c r="F525" s="1" t="s">
        <v>6920</v>
      </c>
      <c r="H525" s="1" t="s">
        <v>6921</v>
      </c>
      <c r="J525" s="1" t="s">
        <v>1324</v>
      </c>
      <c r="L525" s="1" t="s">
        <v>7389</v>
      </c>
      <c r="M525" s="1" t="s">
        <v>7390</v>
      </c>
      <c r="N525" s="1" t="s">
        <v>6552</v>
      </c>
      <c r="P525" s="1" t="s">
        <v>6553</v>
      </c>
      <c r="Q525" s="3">
        <v>1</v>
      </c>
      <c r="R525" s="22" t="s">
        <v>2721</v>
      </c>
      <c r="S525" s="42" t="s">
        <v>6910</v>
      </c>
      <c r="T525" s="3" t="s">
        <v>4868</v>
      </c>
      <c r="U525" s="45">
        <v>35</v>
      </c>
      <c r="V525" t="s">
        <v>7391</v>
      </c>
      <c r="W525" s="1" t="str">
        <f>HYPERLINK("http://ictvonline.org/taxonomy/p/taxonomy-history?taxnode_id=201907086","ICTVonline=201907086")</f>
        <v>ICTVonline=201907086</v>
      </c>
    </row>
    <row r="526" spans="1:23">
      <c r="A526" s="3">
        <v>525</v>
      </c>
      <c r="B526" s="1" t="s">
        <v>6915</v>
      </c>
      <c r="D526" s="1" t="s">
        <v>6916</v>
      </c>
      <c r="F526" s="1" t="s">
        <v>6920</v>
      </c>
      <c r="H526" s="1" t="s">
        <v>6921</v>
      </c>
      <c r="J526" s="1" t="s">
        <v>1324</v>
      </c>
      <c r="L526" s="1" t="s">
        <v>7389</v>
      </c>
      <c r="M526" s="1" t="s">
        <v>7390</v>
      </c>
      <c r="N526" s="1" t="s">
        <v>6552</v>
      </c>
      <c r="P526" s="1" t="s">
        <v>6555</v>
      </c>
      <c r="Q526" s="3">
        <v>0</v>
      </c>
      <c r="R526" s="22" t="s">
        <v>2721</v>
      </c>
      <c r="S526" s="42" t="s">
        <v>6910</v>
      </c>
      <c r="T526" s="3" t="s">
        <v>4868</v>
      </c>
      <c r="U526" s="45">
        <v>35</v>
      </c>
      <c r="V526" t="s">
        <v>7391</v>
      </c>
      <c r="W526" s="1" t="str">
        <f>HYPERLINK("http://ictvonline.org/taxonomy/p/taxonomy-history?taxnode_id=201907087","ICTVonline=201907087")</f>
        <v>ICTVonline=201907087</v>
      </c>
    </row>
    <row r="527" spans="1:23">
      <c r="A527" s="3">
        <v>526</v>
      </c>
      <c r="B527" s="1" t="s">
        <v>6915</v>
      </c>
      <c r="D527" s="1" t="s">
        <v>6916</v>
      </c>
      <c r="F527" s="1" t="s">
        <v>6920</v>
      </c>
      <c r="H527" s="1" t="s">
        <v>6921</v>
      </c>
      <c r="J527" s="1" t="s">
        <v>1324</v>
      </c>
      <c r="L527" s="1" t="s">
        <v>7389</v>
      </c>
      <c r="M527" s="1" t="s">
        <v>7390</v>
      </c>
      <c r="N527" s="1" t="s">
        <v>6638</v>
      </c>
      <c r="P527" s="1" t="s">
        <v>6639</v>
      </c>
      <c r="Q527" s="3">
        <v>1</v>
      </c>
      <c r="R527" s="22" t="s">
        <v>2721</v>
      </c>
      <c r="S527" s="42" t="s">
        <v>6910</v>
      </c>
      <c r="T527" s="3" t="s">
        <v>4868</v>
      </c>
      <c r="U527" s="45">
        <v>35</v>
      </c>
      <c r="V527" t="s">
        <v>7391</v>
      </c>
      <c r="W527" s="1" t="str">
        <f>HYPERLINK("http://ictvonline.org/taxonomy/p/taxonomy-history?taxnode_id=201906955","ICTVonline=201906955")</f>
        <v>ICTVonline=201906955</v>
      </c>
    </row>
    <row r="528" spans="1:23">
      <c r="A528" s="3">
        <v>527</v>
      </c>
      <c r="B528" s="1" t="s">
        <v>6915</v>
      </c>
      <c r="D528" s="1" t="s">
        <v>6916</v>
      </c>
      <c r="F528" s="1" t="s">
        <v>6920</v>
      </c>
      <c r="H528" s="1" t="s">
        <v>6921</v>
      </c>
      <c r="J528" s="1" t="s">
        <v>1324</v>
      </c>
      <c r="L528" s="1" t="s">
        <v>7389</v>
      </c>
      <c r="M528" s="1" t="s">
        <v>7390</v>
      </c>
      <c r="N528" s="1" t="s">
        <v>6638</v>
      </c>
      <c r="P528" s="1" t="s">
        <v>7392</v>
      </c>
      <c r="Q528" s="3">
        <v>0</v>
      </c>
      <c r="R528" s="22" t="s">
        <v>2721</v>
      </c>
      <c r="S528" s="42" t="s">
        <v>6914</v>
      </c>
      <c r="T528" s="3" t="s">
        <v>4866</v>
      </c>
      <c r="U528" s="45">
        <v>35</v>
      </c>
      <c r="V528" t="s">
        <v>7391</v>
      </c>
      <c r="W528" s="1" t="str">
        <f>HYPERLINK("http://ictvonline.org/taxonomy/p/taxonomy-history?taxnode_id=201908127","ICTVonline=201908127")</f>
        <v>ICTVonline=201908127</v>
      </c>
    </row>
    <row r="529" spans="1:23">
      <c r="A529" s="3">
        <v>528</v>
      </c>
      <c r="B529" s="1" t="s">
        <v>6915</v>
      </c>
      <c r="D529" s="1" t="s">
        <v>6916</v>
      </c>
      <c r="F529" s="1" t="s">
        <v>6920</v>
      </c>
      <c r="H529" s="1" t="s">
        <v>6921</v>
      </c>
      <c r="J529" s="1" t="s">
        <v>1324</v>
      </c>
      <c r="L529" s="1" t="s">
        <v>7389</v>
      </c>
      <c r="M529" s="1" t="s">
        <v>7390</v>
      </c>
      <c r="N529" s="1" t="s">
        <v>6638</v>
      </c>
      <c r="P529" s="1" t="s">
        <v>6640</v>
      </c>
      <c r="Q529" s="3">
        <v>0</v>
      </c>
      <c r="R529" s="22" t="s">
        <v>2721</v>
      </c>
      <c r="S529" s="42" t="s">
        <v>6910</v>
      </c>
      <c r="T529" s="3" t="s">
        <v>4868</v>
      </c>
      <c r="U529" s="45">
        <v>35</v>
      </c>
      <c r="V529" t="s">
        <v>7391</v>
      </c>
      <c r="W529" s="1" t="str">
        <f>HYPERLINK("http://ictvonline.org/taxonomy/p/taxonomy-history?taxnode_id=201906956","ICTVonline=201906956")</f>
        <v>ICTVonline=201906956</v>
      </c>
    </row>
    <row r="530" spans="1:23">
      <c r="A530" s="3">
        <v>529</v>
      </c>
      <c r="B530" s="1" t="s">
        <v>6915</v>
      </c>
      <c r="D530" s="1" t="s">
        <v>6916</v>
      </c>
      <c r="F530" s="1" t="s">
        <v>6920</v>
      </c>
      <c r="H530" s="1" t="s">
        <v>6921</v>
      </c>
      <c r="J530" s="1" t="s">
        <v>1324</v>
      </c>
      <c r="L530" s="1" t="s">
        <v>7389</v>
      </c>
      <c r="M530" s="1" t="s">
        <v>7390</v>
      </c>
      <c r="N530" s="1" t="s">
        <v>7393</v>
      </c>
      <c r="P530" s="1" t="s">
        <v>6554</v>
      </c>
      <c r="Q530" s="3">
        <v>1</v>
      </c>
      <c r="R530" s="22" t="s">
        <v>2721</v>
      </c>
      <c r="S530" s="42" t="s">
        <v>6914</v>
      </c>
      <c r="T530" s="3" t="s">
        <v>4871</v>
      </c>
      <c r="U530" s="45">
        <v>35</v>
      </c>
      <c r="V530" t="s">
        <v>7391</v>
      </c>
      <c r="W530" s="1" t="str">
        <f>HYPERLINK("http://ictvonline.org/taxonomy/p/taxonomy-history?taxnode_id=201907088","ICTVonline=201907088")</f>
        <v>ICTVonline=201907088</v>
      </c>
    </row>
    <row r="531" spans="1:23">
      <c r="A531" s="3">
        <v>530</v>
      </c>
      <c r="B531" s="1" t="s">
        <v>6915</v>
      </c>
      <c r="D531" s="1" t="s">
        <v>6916</v>
      </c>
      <c r="F531" s="1" t="s">
        <v>6920</v>
      </c>
      <c r="H531" s="1" t="s">
        <v>6921</v>
      </c>
      <c r="J531" s="1" t="s">
        <v>1324</v>
      </c>
      <c r="L531" s="1" t="s">
        <v>7389</v>
      </c>
      <c r="M531" s="1" t="s">
        <v>7394</v>
      </c>
      <c r="N531" s="1" t="s">
        <v>7395</v>
      </c>
      <c r="P531" s="1" t="s">
        <v>3388</v>
      </c>
      <c r="Q531" s="3">
        <v>1</v>
      </c>
      <c r="R531" s="22" t="s">
        <v>2721</v>
      </c>
      <c r="S531" s="42" t="s">
        <v>6914</v>
      </c>
      <c r="T531" s="3" t="s">
        <v>4871</v>
      </c>
      <c r="U531" s="45">
        <v>35</v>
      </c>
      <c r="V531" t="s">
        <v>7391</v>
      </c>
      <c r="W531" s="1" t="str">
        <f>HYPERLINK("http://ictvonline.org/taxonomy/p/taxonomy-history?taxnode_id=201901324","ICTVonline=201901324")</f>
        <v>ICTVonline=201901324</v>
      </c>
    </row>
    <row r="532" spans="1:23">
      <c r="A532" s="3">
        <v>531</v>
      </c>
      <c r="B532" s="1" t="s">
        <v>6915</v>
      </c>
      <c r="D532" s="1" t="s">
        <v>6916</v>
      </c>
      <c r="F532" s="1" t="s">
        <v>6920</v>
      </c>
      <c r="H532" s="1" t="s">
        <v>6921</v>
      </c>
      <c r="J532" s="1" t="s">
        <v>1324</v>
      </c>
      <c r="L532" s="1" t="s">
        <v>7389</v>
      </c>
      <c r="M532" s="1" t="s">
        <v>7394</v>
      </c>
      <c r="N532" s="1" t="s">
        <v>7395</v>
      </c>
      <c r="P532" s="1" t="s">
        <v>7396</v>
      </c>
      <c r="Q532" s="3">
        <v>0</v>
      </c>
      <c r="R532" s="22" t="s">
        <v>2721</v>
      </c>
      <c r="S532" s="42" t="s">
        <v>6914</v>
      </c>
      <c r="T532" s="3" t="s">
        <v>4866</v>
      </c>
      <c r="U532" s="45">
        <v>35</v>
      </c>
      <c r="V532" t="s">
        <v>7391</v>
      </c>
      <c r="W532" s="1" t="str">
        <f>HYPERLINK("http://ictvonline.org/taxonomy/p/taxonomy-history?taxnode_id=201908097","ICTVonline=201908097")</f>
        <v>ICTVonline=201908097</v>
      </c>
    </row>
    <row r="533" spans="1:23">
      <c r="A533" s="3">
        <v>532</v>
      </c>
      <c r="B533" s="1" t="s">
        <v>6915</v>
      </c>
      <c r="D533" s="1" t="s">
        <v>6916</v>
      </c>
      <c r="F533" s="1" t="s">
        <v>6920</v>
      </c>
      <c r="H533" s="1" t="s">
        <v>6921</v>
      </c>
      <c r="J533" s="1" t="s">
        <v>1324</v>
      </c>
      <c r="L533" s="1" t="s">
        <v>7389</v>
      </c>
      <c r="M533" s="1" t="s">
        <v>7394</v>
      </c>
      <c r="N533" s="1" t="s">
        <v>7395</v>
      </c>
      <c r="P533" s="1" t="s">
        <v>7397</v>
      </c>
      <c r="Q533" s="3">
        <v>0</v>
      </c>
      <c r="R533" s="22" t="s">
        <v>2721</v>
      </c>
      <c r="S533" s="42" t="s">
        <v>6914</v>
      </c>
      <c r="T533" s="3" t="s">
        <v>4866</v>
      </c>
      <c r="U533" s="45">
        <v>35</v>
      </c>
      <c r="V533" t="s">
        <v>7391</v>
      </c>
      <c r="W533" s="1" t="str">
        <f>HYPERLINK("http://ictvonline.org/taxonomy/p/taxonomy-history?taxnode_id=201908111","ICTVonline=201908111")</f>
        <v>ICTVonline=201908111</v>
      </c>
    </row>
    <row r="534" spans="1:23">
      <c r="A534" s="3">
        <v>533</v>
      </c>
      <c r="B534" s="1" t="s">
        <v>6915</v>
      </c>
      <c r="D534" s="1" t="s">
        <v>6916</v>
      </c>
      <c r="F534" s="1" t="s">
        <v>6920</v>
      </c>
      <c r="H534" s="1" t="s">
        <v>6921</v>
      </c>
      <c r="J534" s="1" t="s">
        <v>1324</v>
      </c>
      <c r="L534" s="1" t="s">
        <v>7389</v>
      </c>
      <c r="M534" s="1" t="s">
        <v>7394</v>
      </c>
      <c r="N534" s="1" t="s">
        <v>7395</v>
      </c>
      <c r="P534" s="1" t="s">
        <v>7398</v>
      </c>
      <c r="Q534" s="3">
        <v>0</v>
      </c>
      <c r="R534" s="22" t="s">
        <v>2721</v>
      </c>
      <c r="S534" s="42" t="s">
        <v>6914</v>
      </c>
      <c r="T534" s="3" t="s">
        <v>4866</v>
      </c>
      <c r="U534" s="45">
        <v>35</v>
      </c>
      <c r="V534" t="s">
        <v>7391</v>
      </c>
      <c r="W534" s="1" t="str">
        <f>HYPERLINK("http://ictvonline.org/taxonomy/p/taxonomy-history?taxnode_id=201908098","ICTVonline=201908098")</f>
        <v>ICTVonline=201908098</v>
      </c>
    </row>
    <row r="535" spans="1:23">
      <c r="A535" s="3">
        <v>534</v>
      </c>
      <c r="B535" s="1" t="s">
        <v>6915</v>
      </c>
      <c r="D535" s="1" t="s">
        <v>6916</v>
      </c>
      <c r="F535" s="1" t="s">
        <v>6920</v>
      </c>
      <c r="H535" s="1" t="s">
        <v>6921</v>
      </c>
      <c r="J535" s="1" t="s">
        <v>1324</v>
      </c>
      <c r="L535" s="1" t="s">
        <v>7389</v>
      </c>
      <c r="M535" s="1" t="s">
        <v>7394</v>
      </c>
      <c r="N535" s="1" t="s">
        <v>7395</v>
      </c>
      <c r="P535" s="1" t="s">
        <v>7399</v>
      </c>
      <c r="Q535" s="3">
        <v>0</v>
      </c>
      <c r="R535" s="22" t="s">
        <v>2721</v>
      </c>
      <c r="S535" s="42" t="s">
        <v>6914</v>
      </c>
      <c r="T535" s="3" t="s">
        <v>4866</v>
      </c>
      <c r="U535" s="45">
        <v>35</v>
      </c>
      <c r="V535" t="s">
        <v>7391</v>
      </c>
      <c r="W535" s="1" t="str">
        <f>HYPERLINK("http://ictvonline.org/taxonomy/p/taxonomy-history?taxnode_id=201908105","ICTVonline=201908105")</f>
        <v>ICTVonline=201908105</v>
      </c>
    </row>
    <row r="536" spans="1:23">
      <c r="A536" s="3">
        <v>535</v>
      </c>
      <c r="B536" s="1" t="s">
        <v>6915</v>
      </c>
      <c r="D536" s="1" t="s">
        <v>6916</v>
      </c>
      <c r="F536" s="1" t="s">
        <v>6920</v>
      </c>
      <c r="H536" s="1" t="s">
        <v>6921</v>
      </c>
      <c r="J536" s="1" t="s">
        <v>1324</v>
      </c>
      <c r="L536" s="1" t="s">
        <v>7389</v>
      </c>
      <c r="M536" s="1" t="s">
        <v>7394</v>
      </c>
      <c r="N536" s="1" t="s">
        <v>7395</v>
      </c>
      <c r="P536" s="1" t="s">
        <v>4435</v>
      </c>
      <c r="Q536" s="3">
        <v>0</v>
      </c>
      <c r="R536" s="22" t="s">
        <v>2721</v>
      </c>
      <c r="S536" s="42" t="s">
        <v>6914</v>
      </c>
      <c r="T536" s="3" t="s">
        <v>4868</v>
      </c>
      <c r="U536" s="45">
        <v>35</v>
      </c>
      <c r="V536" t="s">
        <v>7391</v>
      </c>
      <c r="W536" s="1" t="str">
        <f>HYPERLINK("http://ictvonline.org/taxonomy/p/taxonomy-history?taxnode_id=201901329","ICTVonline=201901329")</f>
        <v>ICTVonline=201901329</v>
      </c>
    </row>
    <row r="537" spans="1:23">
      <c r="A537" s="3">
        <v>536</v>
      </c>
      <c r="B537" s="1" t="s">
        <v>6915</v>
      </c>
      <c r="D537" s="1" t="s">
        <v>6916</v>
      </c>
      <c r="F537" s="1" t="s">
        <v>6920</v>
      </c>
      <c r="H537" s="1" t="s">
        <v>6921</v>
      </c>
      <c r="J537" s="1" t="s">
        <v>1324</v>
      </c>
      <c r="L537" s="1" t="s">
        <v>7389</v>
      </c>
      <c r="M537" s="1" t="s">
        <v>7394</v>
      </c>
      <c r="N537" s="1" t="s">
        <v>7395</v>
      </c>
      <c r="P537" s="1" t="s">
        <v>7400</v>
      </c>
      <c r="Q537" s="3">
        <v>0</v>
      </c>
      <c r="R537" s="22" t="s">
        <v>2721</v>
      </c>
      <c r="S537" s="42" t="s">
        <v>6914</v>
      </c>
      <c r="T537" s="3" t="s">
        <v>4866</v>
      </c>
      <c r="U537" s="45">
        <v>35</v>
      </c>
      <c r="V537" t="s">
        <v>7391</v>
      </c>
      <c r="W537" s="1" t="str">
        <f>HYPERLINK("http://ictvonline.org/taxonomy/p/taxonomy-history?taxnode_id=201908112","ICTVonline=201908112")</f>
        <v>ICTVonline=201908112</v>
      </c>
    </row>
    <row r="538" spans="1:23">
      <c r="A538" s="3">
        <v>537</v>
      </c>
      <c r="B538" s="1" t="s">
        <v>6915</v>
      </c>
      <c r="D538" s="1" t="s">
        <v>6916</v>
      </c>
      <c r="F538" s="1" t="s">
        <v>6920</v>
      </c>
      <c r="H538" s="1" t="s">
        <v>6921</v>
      </c>
      <c r="J538" s="1" t="s">
        <v>1324</v>
      </c>
      <c r="L538" s="1" t="s">
        <v>7389</v>
      </c>
      <c r="M538" s="1" t="s">
        <v>7394</v>
      </c>
      <c r="N538" s="1" t="s">
        <v>7395</v>
      </c>
      <c r="P538" s="1" t="s">
        <v>7401</v>
      </c>
      <c r="Q538" s="3">
        <v>0</v>
      </c>
      <c r="R538" s="22" t="s">
        <v>2721</v>
      </c>
      <c r="S538" s="42" t="s">
        <v>6914</v>
      </c>
      <c r="T538" s="3" t="s">
        <v>4866</v>
      </c>
      <c r="U538" s="45">
        <v>35</v>
      </c>
      <c r="V538" t="s">
        <v>7391</v>
      </c>
      <c r="W538" s="1" t="str">
        <f>HYPERLINK("http://ictvonline.org/taxonomy/p/taxonomy-history?taxnode_id=201908100","ICTVonline=201908100")</f>
        <v>ICTVonline=201908100</v>
      </c>
    </row>
    <row r="539" spans="1:23">
      <c r="A539" s="3">
        <v>538</v>
      </c>
      <c r="B539" s="1" t="s">
        <v>6915</v>
      </c>
      <c r="D539" s="1" t="s">
        <v>6916</v>
      </c>
      <c r="F539" s="1" t="s">
        <v>6920</v>
      </c>
      <c r="H539" s="1" t="s">
        <v>6921</v>
      </c>
      <c r="J539" s="1" t="s">
        <v>1324</v>
      </c>
      <c r="L539" s="1" t="s">
        <v>7389</v>
      </c>
      <c r="M539" s="1" t="s">
        <v>7394</v>
      </c>
      <c r="N539" s="1" t="s">
        <v>7395</v>
      </c>
      <c r="P539" s="1" t="s">
        <v>7402</v>
      </c>
      <c r="Q539" s="3">
        <v>0</v>
      </c>
      <c r="R539" s="22" t="s">
        <v>2721</v>
      </c>
      <c r="S539" s="42" t="s">
        <v>6914</v>
      </c>
      <c r="T539" s="3" t="s">
        <v>4866</v>
      </c>
      <c r="U539" s="45">
        <v>35</v>
      </c>
      <c r="V539" t="s">
        <v>7391</v>
      </c>
      <c r="W539" s="1" t="str">
        <f>HYPERLINK("http://ictvonline.org/taxonomy/p/taxonomy-history?taxnode_id=201908102","ICTVonline=201908102")</f>
        <v>ICTVonline=201908102</v>
      </c>
    </row>
    <row r="540" spans="1:23">
      <c r="A540" s="3">
        <v>539</v>
      </c>
      <c r="B540" s="1" t="s">
        <v>6915</v>
      </c>
      <c r="D540" s="1" t="s">
        <v>6916</v>
      </c>
      <c r="F540" s="1" t="s">
        <v>6920</v>
      </c>
      <c r="H540" s="1" t="s">
        <v>6921</v>
      </c>
      <c r="J540" s="1" t="s">
        <v>1324</v>
      </c>
      <c r="L540" s="1" t="s">
        <v>7389</v>
      </c>
      <c r="M540" s="1" t="s">
        <v>7394</v>
      </c>
      <c r="N540" s="1" t="s">
        <v>7395</v>
      </c>
      <c r="P540" s="1" t="s">
        <v>7403</v>
      </c>
      <c r="Q540" s="3">
        <v>0</v>
      </c>
      <c r="R540" s="22" t="s">
        <v>2721</v>
      </c>
      <c r="S540" s="42" t="s">
        <v>6914</v>
      </c>
      <c r="T540" s="3" t="s">
        <v>4866</v>
      </c>
      <c r="U540" s="45">
        <v>35</v>
      </c>
      <c r="V540" t="s">
        <v>7391</v>
      </c>
      <c r="W540" s="1" t="str">
        <f>HYPERLINK("http://ictvonline.org/taxonomy/p/taxonomy-history?taxnode_id=201908106","ICTVonline=201908106")</f>
        <v>ICTVonline=201908106</v>
      </c>
    </row>
    <row r="541" spans="1:23">
      <c r="A541" s="3">
        <v>540</v>
      </c>
      <c r="B541" s="1" t="s">
        <v>6915</v>
      </c>
      <c r="D541" s="1" t="s">
        <v>6916</v>
      </c>
      <c r="F541" s="1" t="s">
        <v>6920</v>
      </c>
      <c r="H541" s="1" t="s">
        <v>6921</v>
      </c>
      <c r="J541" s="1" t="s">
        <v>1324</v>
      </c>
      <c r="L541" s="1" t="s">
        <v>7389</v>
      </c>
      <c r="M541" s="1" t="s">
        <v>7394</v>
      </c>
      <c r="N541" s="1" t="s">
        <v>7395</v>
      </c>
      <c r="P541" s="1" t="s">
        <v>7404</v>
      </c>
      <c r="Q541" s="3">
        <v>0</v>
      </c>
      <c r="R541" s="22" t="s">
        <v>2721</v>
      </c>
      <c r="S541" s="42" t="s">
        <v>6914</v>
      </c>
      <c r="T541" s="3" t="s">
        <v>4866</v>
      </c>
      <c r="U541" s="45">
        <v>35</v>
      </c>
      <c r="V541" t="s">
        <v>7391</v>
      </c>
      <c r="W541" s="1" t="str">
        <f>HYPERLINK("http://ictvonline.org/taxonomy/p/taxonomy-history?taxnode_id=201908096","ICTVonline=201908096")</f>
        <v>ICTVonline=201908096</v>
      </c>
    </row>
    <row r="542" spans="1:23">
      <c r="A542" s="3">
        <v>541</v>
      </c>
      <c r="B542" s="1" t="s">
        <v>6915</v>
      </c>
      <c r="D542" s="1" t="s">
        <v>6916</v>
      </c>
      <c r="F542" s="1" t="s">
        <v>6920</v>
      </c>
      <c r="H542" s="1" t="s">
        <v>6921</v>
      </c>
      <c r="J542" s="1" t="s">
        <v>1324</v>
      </c>
      <c r="L542" s="1" t="s">
        <v>7389</v>
      </c>
      <c r="M542" s="1" t="s">
        <v>7394</v>
      </c>
      <c r="N542" s="1" t="s">
        <v>7395</v>
      </c>
      <c r="P542" s="1" t="s">
        <v>7405</v>
      </c>
      <c r="Q542" s="3">
        <v>0</v>
      </c>
      <c r="R542" s="22" t="s">
        <v>2721</v>
      </c>
      <c r="S542" s="42" t="s">
        <v>6914</v>
      </c>
      <c r="T542" s="3" t="s">
        <v>4866</v>
      </c>
      <c r="U542" s="45">
        <v>35</v>
      </c>
      <c r="V542" t="s">
        <v>7391</v>
      </c>
      <c r="W542" s="1" t="str">
        <f>HYPERLINK("http://ictvonline.org/taxonomy/p/taxonomy-history?taxnode_id=201908099","ICTVonline=201908099")</f>
        <v>ICTVonline=201908099</v>
      </c>
    </row>
    <row r="543" spans="1:23">
      <c r="A543" s="3">
        <v>542</v>
      </c>
      <c r="B543" s="1" t="s">
        <v>6915</v>
      </c>
      <c r="D543" s="1" t="s">
        <v>6916</v>
      </c>
      <c r="F543" s="1" t="s">
        <v>6920</v>
      </c>
      <c r="H543" s="1" t="s">
        <v>6921</v>
      </c>
      <c r="J543" s="1" t="s">
        <v>1324</v>
      </c>
      <c r="L543" s="1" t="s">
        <v>7389</v>
      </c>
      <c r="M543" s="1" t="s">
        <v>7394</v>
      </c>
      <c r="N543" s="1" t="s">
        <v>7395</v>
      </c>
      <c r="P543" s="1" t="s">
        <v>7406</v>
      </c>
      <c r="Q543" s="3">
        <v>0</v>
      </c>
      <c r="R543" s="22" t="s">
        <v>2721</v>
      </c>
      <c r="S543" s="42" t="s">
        <v>6914</v>
      </c>
      <c r="T543" s="3" t="s">
        <v>4866</v>
      </c>
      <c r="U543" s="45">
        <v>35</v>
      </c>
      <c r="V543" t="s">
        <v>7391</v>
      </c>
      <c r="W543" s="1" t="str">
        <f>HYPERLINK("http://ictvonline.org/taxonomy/p/taxonomy-history?taxnode_id=201908109","ICTVonline=201908109")</f>
        <v>ICTVonline=201908109</v>
      </c>
    </row>
    <row r="544" spans="1:23">
      <c r="A544" s="3">
        <v>543</v>
      </c>
      <c r="B544" s="1" t="s">
        <v>6915</v>
      </c>
      <c r="D544" s="1" t="s">
        <v>6916</v>
      </c>
      <c r="F544" s="1" t="s">
        <v>6920</v>
      </c>
      <c r="H544" s="1" t="s">
        <v>6921</v>
      </c>
      <c r="J544" s="1" t="s">
        <v>1324</v>
      </c>
      <c r="L544" s="1" t="s">
        <v>7389</v>
      </c>
      <c r="M544" s="1" t="s">
        <v>7394</v>
      </c>
      <c r="N544" s="1" t="s">
        <v>7395</v>
      </c>
      <c r="P544" s="1" t="s">
        <v>7407</v>
      </c>
      <c r="Q544" s="3">
        <v>0</v>
      </c>
      <c r="R544" s="22" t="s">
        <v>2721</v>
      </c>
      <c r="S544" s="42" t="s">
        <v>6914</v>
      </c>
      <c r="T544" s="3" t="s">
        <v>4866</v>
      </c>
      <c r="U544" s="45">
        <v>35</v>
      </c>
      <c r="V544" t="s">
        <v>7391</v>
      </c>
      <c r="W544" s="1" t="str">
        <f>HYPERLINK("http://ictvonline.org/taxonomy/p/taxonomy-history?taxnode_id=201908103","ICTVonline=201908103")</f>
        <v>ICTVonline=201908103</v>
      </c>
    </row>
    <row r="545" spans="1:23">
      <c r="A545" s="3">
        <v>544</v>
      </c>
      <c r="B545" s="1" t="s">
        <v>6915</v>
      </c>
      <c r="D545" s="1" t="s">
        <v>6916</v>
      </c>
      <c r="F545" s="1" t="s">
        <v>6920</v>
      </c>
      <c r="H545" s="1" t="s">
        <v>6921</v>
      </c>
      <c r="J545" s="1" t="s">
        <v>1324</v>
      </c>
      <c r="L545" s="1" t="s">
        <v>7389</v>
      </c>
      <c r="M545" s="1" t="s">
        <v>7394</v>
      </c>
      <c r="N545" s="1" t="s">
        <v>7395</v>
      </c>
      <c r="P545" s="1" t="s">
        <v>7408</v>
      </c>
      <c r="Q545" s="3">
        <v>0</v>
      </c>
      <c r="R545" s="22" t="s">
        <v>2721</v>
      </c>
      <c r="S545" s="42" t="s">
        <v>6914</v>
      </c>
      <c r="T545" s="3" t="s">
        <v>4866</v>
      </c>
      <c r="U545" s="45">
        <v>35</v>
      </c>
      <c r="V545" t="s">
        <v>7391</v>
      </c>
      <c r="W545" s="1" t="str">
        <f>HYPERLINK("http://ictvonline.org/taxonomy/p/taxonomy-history?taxnode_id=201908101","ICTVonline=201908101")</f>
        <v>ICTVonline=201908101</v>
      </c>
    </row>
    <row r="546" spans="1:23">
      <c r="A546" s="3">
        <v>545</v>
      </c>
      <c r="B546" s="1" t="s">
        <v>6915</v>
      </c>
      <c r="D546" s="1" t="s">
        <v>6916</v>
      </c>
      <c r="F546" s="1" t="s">
        <v>6920</v>
      </c>
      <c r="H546" s="1" t="s">
        <v>6921</v>
      </c>
      <c r="J546" s="1" t="s">
        <v>1324</v>
      </c>
      <c r="L546" s="1" t="s">
        <v>7389</v>
      </c>
      <c r="M546" s="1" t="s">
        <v>7394</v>
      </c>
      <c r="N546" s="1" t="s">
        <v>7395</v>
      </c>
      <c r="P546" s="1" t="s">
        <v>7409</v>
      </c>
      <c r="Q546" s="3">
        <v>0</v>
      </c>
      <c r="R546" s="22" t="s">
        <v>2721</v>
      </c>
      <c r="S546" s="42" t="s">
        <v>6914</v>
      </c>
      <c r="T546" s="3" t="s">
        <v>4866</v>
      </c>
      <c r="U546" s="45">
        <v>35</v>
      </c>
      <c r="V546" t="s">
        <v>7391</v>
      </c>
      <c r="W546" s="1" t="str">
        <f>HYPERLINK("http://ictvonline.org/taxonomy/p/taxonomy-history?taxnode_id=201908104","ICTVonline=201908104")</f>
        <v>ICTVonline=201908104</v>
      </c>
    </row>
    <row r="547" spans="1:23">
      <c r="A547" s="3">
        <v>546</v>
      </c>
      <c r="B547" s="1" t="s">
        <v>6915</v>
      </c>
      <c r="D547" s="1" t="s">
        <v>6916</v>
      </c>
      <c r="F547" s="1" t="s">
        <v>6920</v>
      </c>
      <c r="H547" s="1" t="s">
        <v>6921</v>
      </c>
      <c r="J547" s="1" t="s">
        <v>1324</v>
      </c>
      <c r="L547" s="1" t="s">
        <v>7389</v>
      </c>
      <c r="M547" s="1" t="s">
        <v>7394</v>
      </c>
      <c r="N547" s="1" t="s">
        <v>7395</v>
      </c>
      <c r="P547" s="1" t="s">
        <v>7410</v>
      </c>
      <c r="Q547" s="3">
        <v>0</v>
      </c>
      <c r="R547" s="22" t="s">
        <v>2721</v>
      </c>
      <c r="S547" s="42" t="s">
        <v>6914</v>
      </c>
      <c r="T547" s="3" t="s">
        <v>4866</v>
      </c>
      <c r="U547" s="45">
        <v>35</v>
      </c>
      <c r="V547" t="s">
        <v>7391</v>
      </c>
      <c r="W547" s="1" t="str">
        <f>HYPERLINK("http://ictvonline.org/taxonomy/p/taxonomy-history?taxnode_id=201908107","ICTVonline=201908107")</f>
        <v>ICTVonline=201908107</v>
      </c>
    </row>
    <row r="548" spans="1:23">
      <c r="A548" s="3">
        <v>547</v>
      </c>
      <c r="B548" s="1" t="s">
        <v>6915</v>
      </c>
      <c r="D548" s="1" t="s">
        <v>6916</v>
      </c>
      <c r="F548" s="1" t="s">
        <v>6920</v>
      </c>
      <c r="H548" s="1" t="s">
        <v>6921</v>
      </c>
      <c r="J548" s="1" t="s">
        <v>1324</v>
      </c>
      <c r="L548" s="1" t="s">
        <v>7389</v>
      </c>
      <c r="M548" s="1" t="s">
        <v>7394</v>
      </c>
      <c r="N548" s="1" t="s">
        <v>7395</v>
      </c>
      <c r="P548" s="1" t="s">
        <v>7411</v>
      </c>
      <c r="Q548" s="3">
        <v>0</v>
      </c>
      <c r="R548" s="22" t="s">
        <v>2721</v>
      </c>
      <c r="S548" s="42" t="s">
        <v>6914</v>
      </c>
      <c r="T548" s="3" t="s">
        <v>4866</v>
      </c>
      <c r="U548" s="45">
        <v>35</v>
      </c>
      <c r="V548" t="s">
        <v>7391</v>
      </c>
      <c r="W548" s="1" t="str">
        <f>HYPERLINK("http://ictvonline.org/taxonomy/p/taxonomy-history?taxnode_id=201908110","ICTVonline=201908110")</f>
        <v>ICTVonline=201908110</v>
      </c>
    </row>
    <row r="549" spans="1:23">
      <c r="A549" s="3">
        <v>548</v>
      </c>
      <c r="B549" s="1" t="s">
        <v>6915</v>
      </c>
      <c r="D549" s="1" t="s">
        <v>6916</v>
      </c>
      <c r="F549" s="1" t="s">
        <v>6920</v>
      </c>
      <c r="H549" s="1" t="s">
        <v>6921</v>
      </c>
      <c r="J549" s="1" t="s">
        <v>1324</v>
      </c>
      <c r="L549" s="1" t="s">
        <v>7389</v>
      </c>
      <c r="M549" s="1" t="s">
        <v>7394</v>
      </c>
      <c r="N549" s="1" t="s">
        <v>7395</v>
      </c>
      <c r="P549" s="1" t="s">
        <v>3394</v>
      </c>
      <c r="Q549" s="3">
        <v>0</v>
      </c>
      <c r="R549" s="22" t="s">
        <v>2721</v>
      </c>
      <c r="S549" s="42" t="s">
        <v>6914</v>
      </c>
      <c r="T549" s="3" t="s">
        <v>4868</v>
      </c>
      <c r="U549" s="45">
        <v>35</v>
      </c>
      <c r="V549" t="s">
        <v>7391</v>
      </c>
      <c r="W549" s="1" t="str">
        <f>HYPERLINK("http://ictvonline.org/taxonomy/p/taxonomy-history?taxnode_id=201901332","ICTVonline=201901332")</f>
        <v>ICTVonline=201901332</v>
      </c>
    </row>
    <row r="550" spans="1:23">
      <c r="A550" s="3">
        <v>549</v>
      </c>
      <c r="B550" s="1" t="s">
        <v>6915</v>
      </c>
      <c r="D550" s="1" t="s">
        <v>6916</v>
      </c>
      <c r="F550" s="1" t="s">
        <v>6920</v>
      </c>
      <c r="H550" s="1" t="s">
        <v>6921</v>
      </c>
      <c r="J550" s="1" t="s">
        <v>1324</v>
      </c>
      <c r="L550" s="1" t="s">
        <v>7389</v>
      </c>
      <c r="M550" s="1" t="s">
        <v>7394</v>
      </c>
      <c r="N550" s="1" t="s">
        <v>7395</v>
      </c>
      <c r="P550" s="1" t="s">
        <v>7412</v>
      </c>
      <c r="Q550" s="3">
        <v>0</v>
      </c>
      <c r="R550" s="22" t="s">
        <v>2721</v>
      </c>
      <c r="S550" s="42" t="s">
        <v>6914</v>
      </c>
      <c r="T550" s="3" t="s">
        <v>4866</v>
      </c>
      <c r="U550" s="45">
        <v>35</v>
      </c>
      <c r="V550" t="s">
        <v>7391</v>
      </c>
      <c r="W550" s="1" t="str">
        <f>HYPERLINK("http://ictvonline.org/taxonomy/p/taxonomy-history?taxnode_id=201908108","ICTVonline=201908108")</f>
        <v>ICTVonline=201908108</v>
      </c>
    </row>
    <row r="551" spans="1:23">
      <c r="A551" s="3">
        <v>550</v>
      </c>
      <c r="B551" s="1" t="s">
        <v>6915</v>
      </c>
      <c r="D551" s="1" t="s">
        <v>6916</v>
      </c>
      <c r="F551" s="1" t="s">
        <v>6920</v>
      </c>
      <c r="H551" s="1" t="s">
        <v>6921</v>
      </c>
      <c r="J551" s="1" t="s">
        <v>1324</v>
      </c>
      <c r="L551" s="1" t="s">
        <v>7389</v>
      </c>
      <c r="M551" s="1" t="s">
        <v>7394</v>
      </c>
      <c r="N551" s="1" t="s">
        <v>7413</v>
      </c>
      <c r="P551" s="1" t="s">
        <v>7414</v>
      </c>
      <c r="Q551" s="3">
        <v>1</v>
      </c>
      <c r="R551" s="22" t="s">
        <v>2721</v>
      </c>
      <c r="S551" s="42" t="s">
        <v>6914</v>
      </c>
      <c r="T551" s="3" t="s">
        <v>4866</v>
      </c>
      <c r="U551" s="45">
        <v>35</v>
      </c>
      <c r="V551" t="s">
        <v>7391</v>
      </c>
      <c r="W551" s="1" t="str">
        <f>HYPERLINK("http://ictvonline.org/taxonomy/p/taxonomy-history?taxnode_id=201908114","ICTVonline=201908114")</f>
        <v>ICTVonline=201908114</v>
      </c>
    </row>
    <row r="552" spans="1:23">
      <c r="A552" s="3">
        <v>551</v>
      </c>
      <c r="B552" s="1" t="s">
        <v>6915</v>
      </c>
      <c r="D552" s="1" t="s">
        <v>6916</v>
      </c>
      <c r="F552" s="1" t="s">
        <v>6920</v>
      </c>
      <c r="H552" s="1" t="s">
        <v>6921</v>
      </c>
      <c r="J552" s="1" t="s">
        <v>1324</v>
      </c>
      <c r="L552" s="1" t="s">
        <v>7389</v>
      </c>
      <c r="M552" s="1" t="s">
        <v>7394</v>
      </c>
      <c r="N552" s="1" t="s">
        <v>6731</v>
      </c>
      <c r="P552" s="1" t="s">
        <v>3385</v>
      </c>
      <c r="Q552" s="3">
        <v>0</v>
      </c>
      <c r="R552" s="22" t="s">
        <v>2721</v>
      </c>
      <c r="S552" s="42" t="s">
        <v>6910</v>
      </c>
      <c r="T552" s="3" t="s">
        <v>4868</v>
      </c>
      <c r="U552" s="45">
        <v>35</v>
      </c>
      <c r="V552" t="s">
        <v>7391</v>
      </c>
      <c r="W552" s="1" t="str">
        <f>HYPERLINK("http://ictvonline.org/taxonomy/p/taxonomy-history?taxnode_id=201901321","ICTVonline=201901321")</f>
        <v>ICTVonline=201901321</v>
      </c>
    </row>
    <row r="553" spans="1:23">
      <c r="A553" s="3">
        <v>552</v>
      </c>
      <c r="B553" s="1" t="s">
        <v>6915</v>
      </c>
      <c r="D553" s="1" t="s">
        <v>6916</v>
      </c>
      <c r="F553" s="1" t="s">
        <v>6920</v>
      </c>
      <c r="H553" s="1" t="s">
        <v>6921</v>
      </c>
      <c r="J553" s="1" t="s">
        <v>1324</v>
      </c>
      <c r="L553" s="1" t="s">
        <v>7389</v>
      </c>
      <c r="M553" s="1" t="s">
        <v>7394</v>
      </c>
      <c r="N553" s="1" t="s">
        <v>6731</v>
      </c>
      <c r="P553" s="1" t="s">
        <v>3386</v>
      </c>
      <c r="Q553" s="3">
        <v>0</v>
      </c>
      <c r="R553" s="22" t="s">
        <v>2721</v>
      </c>
      <c r="S553" s="42" t="s">
        <v>6910</v>
      </c>
      <c r="T553" s="3" t="s">
        <v>4868</v>
      </c>
      <c r="U553" s="45">
        <v>35</v>
      </c>
      <c r="V553" t="s">
        <v>7391</v>
      </c>
      <c r="W553" s="1" t="str">
        <f>HYPERLINK("http://ictvonline.org/taxonomy/p/taxonomy-history?taxnode_id=201901322","ICTVonline=201901322")</f>
        <v>ICTVonline=201901322</v>
      </c>
    </row>
    <row r="554" spans="1:23">
      <c r="A554" s="3">
        <v>553</v>
      </c>
      <c r="B554" s="1" t="s">
        <v>6915</v>
      </c>
      <c r="D554" s="1" t="s">
        <v>6916</v>
      </c>
      <c r="F554" s="1" t="s">
        <v>6920</v>
      </c>
      <c r="H554" s="1" t="s">
        <v>6921</v>
      </c>
      <c r="J554" s="1" t="s">
        <v>1324</v>
      </c>
      <c r="L554" s="1" t="s">
        <v>7389</v>
      </c>
      <c r="M554" s="1" t="s">
        <v>7394</v>
      </c>
      <c r="N554" s="1" t="s">
        <v>6731</v>
      </c>
      <c r="P554" s="1" t="s">
        <v>7415</v>
      </c>
      <c r="Q554" s="3">
        <v>0</v>
      </c>
      <c r="R554" s="22" t="s">
        <v>2721</v>
      </c>
      <c r="S554" s="42" t="s">
        <v>6914</v>
      </c>
      <c r="T554" s="3" t="s">
        <v>4866</v>
      </c>
      <c r="U554" s="45">
        <v>35</v>
      </c>
      <c r="V554" t="s">
        <v>7391</v>
      </c>
      <c r="W554" s="1" t="str">
        <f>HYPERLINK("http://ictvonline.org/taxonomy/p/taxonomy-history?taxnode_id=201908093","ICTVonline=201908093")</f>
        <v>ICTVonline=201908093</v>
      </c>
    </row>
    <row r="555" spans="1:23">
      <c r="A555" s="3">
        <v>554</v>
      </c>
      <c r="B555" s="1" t="s">
        <v>6915</v>
      </c>
      <c r="D555" s="1" t="s">
        <v>6916</v>
      </c>
      <c r="F555" s="1" t="s">
        <v>6920</v>
      </c>
      <c r="H555" s="1" t="s">
        <v>6921</v>
      </c>
      <c r="J555" s="1" t="s">
        <v>1324</v>
      </c>
      <c r="L555" s="1" t="s">
        <v>7389</v>
      </c>
      <c r="M555" s="1" t="s">
        <v>7394</v>
      </c>
      <c r="N555" s="1" t="s">
        <v>6731</v>
      </c>
      <c r="P555" s="1" t="s">
        <v>7416</v>
      </c>
      <c r="Q555" s="3">
        <v>0</v>
      </c>
      <c r="R555" s="22" t="s">
        <v>2721</v>
      </c>
      <c r="S555" s="42" t="s">
        <v>6914</v>
      </c>
      <c r="T555" s="3" t="s">
        <v>4866</v>
      </c>
      <c r="U555" s="45">
        <v>35</v>
      </c>
      <c r="V555" t="s">
        <v>7391</v>
      </c>
      <c r="W555" s="1" t="str">
        <f>HYPERLINK("http://ictvonline.org/taxonomy/p/taxonomy-history?taxnode_id=201908083","ICTVonline=201908083")</f>
        <v>ICTVonline=201908083</v>
      </c>
    </row>
    <row r="556" spans="1:23">
      <c r="A556" s="3">
        <v>555</v>
      </c>
      <c r="B556" s="1" t="s">
        <v>6915</v>
      </c>
      <c r="D556" s="1" t="s">
        <v>6916</v>
      </c>
      <c r="F556" s="1" t="s">
        <v>6920</v>
      </c>
      <c r="H556" s="1" t="s">
        <v>6921</v>
      </c>
      <c r="J556" s="1" t="s">
        <v>1324</v>
      </c>
      <c r="L556" s="1" t="s">
        <v>7389</v>
      </c>
      <c r="M556" s="1" t="s">
        <v>7394</v>
      </c>
      <c r="N556" s="1" t="s">
        <v>6731</v>
      </c>
      <c r="P556" s="1" t="s">
        <v>3387</v>
      </c>
      <c r="Q556" s="3">
        <v>0</v>
      </c>
      <c r="R556" s="22" t="s">
        <v>2721</v>
      </c>
      <c r="S556" s="42" t="s">
        <v>6910</v>
      </c>
      <c r="T556" s="3" t="s">
        <v>4868</v>
      </c>
      <c r="U556" s="45">
        <v>35</v>
      </c>
      <c r="V556" t="s">
        <v>7391</v>
      </c>
      <c r="W556" s="1" t="str">
        <f>HYPERLINK("http://ictvonline.org/taxonomy/p/taxonomy-history?taxnode_id=201901323","ICTVonline=201901323")</f>
        <v>ICTVonline=201901323</v>
      </c>
    </row>
    <row r="557" spans="1:23">
      <c r="A557" s="3">
        <v>556</v>
      </c>
      <c r="B557" s="1" t="s">
        <v>6915</v>
      </c>
      <c r="D557" s="1" t="s">
        <v>6916</v>
      </c>
      <c r="F557" s="1" t="s">
        <v>6920</v>
      </c>
      <c r="H557" s="1" t="s">
        <v>6921</v>
      </c>
      <c r="J557" s="1" t="s">
        <v>1324</v>
      </c>
      <c r="L557" s="1" t="s">
        <v>7389</v>
      </c>
      <c r="M557" s="1" t="s">
        <v>7394</v>
      </c>
      <c r="N557" s="1" t="s">
        <v>6731</v>
      </c>
      <c r="P557" s="1" t="s">
        <v>3389</v>
      </c>
      <c r="Q557" s="3">
        <v>0</v>
      </c>
      <c r="R557" s="22" t="s">
        <v>2721</v>
      </c>
      <c r="S557" s="42" t="s">
        <v>6910</v>
      </c>
      <c r="T557" s="3" t="s">
        <v>4868</v>
      </c>
      <c r="U557" s="45">
        <v>35</v>
      </c>
      <c r="V557" t="s">
        <v>7391</v>
      </c>
      <c r="W557" s="1" t="str">
        <f>HYPERLINK("http://ictvonline.org/taxonomy/p/taxonomy-history?taxnode_id=201901325","ICTVonline=201901325")</f>
        <v>ICTVonline=201901325</v>
      </c>
    </row>
    <row r="558" spans="1:23">
      <c r="A558" s="3">
        <v>557</v>
      </c>
      <c r="B558" s="1" t="s">
        <v>6915</v>
      </c>
      <c r="D558" s="1" t="s">
        <v>6916</v>
      </c>
      <c r="F558" s="1" t="s">
        <v>6920</v>
      </c>
      <c r="H558" s="1" t="s">
        <v>6921</v>
      </c>
      <c r="J558" s="1" t="s">
        <v>1324</v>
      </c>
      <c r="L558" s="1" t="s">
        <v>7389</v>
      </c>
      <c r="M558" s="1" t="s">
        <v>7394</v>
      </c>
      <c r="N558" s="1" t="s">
        <v>6731</v>
      </c>
      <c r="P558" s="1" t="s">
        <v>7417</v>
      </c>
      <c r="Q558" s="3">
        <v>0</v>
      </c>
      <c r="R558" s="22" t="s">
        <v>2721</v>
      </c>
      <c r="S558" s="42" t="s">
        <v>6914</v>
      </c>
      <c r="T558" s="3" t="s">
        <v>4866</v>
      </c>
      <c r="U558" s="45">
        <v>35</v>
      </c>
      <c r="V558" t="s">
        <v>7391</v>
      </c>
      <c r="W558" s="1" t="str">
        <f>HYPERLINK("http://ictvonline.org/taxonomy/p/taxonomy-history?taxnode_id=201908082","ICTVonline=201908082")</f>
        <v>ICTVonline=201908082</v>
      </c>
    </row>
    <row r="559" spans="1:23">
      <c r="A559" s="3">
        <v>558</v>
      </c>
      <c r="B559" s="1" t="s">
        <v>6915</v>
      </c>
      <c r="D559" s="1" t="s">
        <v>6916</v>
      </c>
      <c r="F559" s="1" t="s">
        <v>6920</v>
      </c>
      <c r="H559" s="1" t="s">
        <v>6921</v>
      </c>
      <c r="J559" s="1" t="s">
        <v>1324</v>
      </c>
      <c r="L559" s="1" t="s">
        <v>7389</v>
      </c>
      <c r="M559" s="1" t="s">
        <v>7394</v>
      </c>
      <c r="N559" s="1" t="s">
        <v>6731</v>
      </c>
      <c r="P559" s="1" t="s">
        <v>3390</v>
      </c>
      <c r="Q559" s="3">
        <v>0</v>
      </c>
      <c r="R559" s="22" t="s">
        <v>2721</v>
      </c>
      <c r="S559" s="42" t="s">
        <v>6910</v>
      </c>
      <c r="T559" s="3" t="s">
        <v>4868</v>
      </c>
      <c r="U559" s="45">
        <v>35</v>
      </c>
      <c r="V559" t="s">
        <v>7391</v>
      </c>
      <c r="W559" s="1" t="str">
        <f>HYPERLINK("http://ictvonline.org/taxonomy/p/taxonomy-history?taxnode_id=201901326","ICTVonline=201901326")</f>
        <v>ICTVonline=201901326</v>
      </c>
    </row>
    <row r="560" spans="1:23">
      <c r="A560" s="3">
        <v>559</v>
      </c>
      <c r="B560" s="1" t="s">
        <v>6915</v>
      </c>
      <c r="D560" s="1" t="s">
        <v>6916</v>
      </c>
      <c r="F560" s="1" t="s">
        <v>6920</v>
      </c>
      <c r="H560" s="1" t="s">
        <v>6921</v>
      </c>
      <c r="J560" s="1" t="s">
        <v>1324</v>
      </c>
      <c r="L560" s="1" t="s">
        <v>7389</v>
      </c>
      <c r="M560" s="1" t="s">
        <v>7394</v>
      </c>
      <c r="N560" s="1" t="s">
        <v>6731</v>
      </c>
      <c r="P560" s="1" t="s">
        <v>7418</v>
      </c>
      <c r="Q560" s="3">
        <v>0</v>
      </c>
      <c r="R560" s="22" t="s">
        <v>2721</v>
      </c>
      <c r="S560" s="42" t="s">
        <v>6914</v>
      </c>
      <c r="T560" s="3" t="s">
        <v>4866</v>
      </c>
      <c r="U560" s="45">
        <v>35</v>
      </c>
      <c r="V560" t="s">
        <v>7391</v>
      </c>
      <c r="W560" s="1" t="str">
        <f>HYPERLINK("http://ictvonline.org/taxonomy/p/taxonomy-history?taxnode_id=201908088","ICTVonline=201908088")</f>
        <v>ICTVonline=201908088</v>
      </c>
    </row>
    <row r="561" spans="1:23">
      <c r="A561" s="3">
        <v>560</v>
      </c>
      <c r="B561" s="1" t="s">
        <v>6915</v>
      </c>
      <c r="D561" s="1" t="s">
        <v>6916</v>
      </c>
      <c r="F561" s="1" t="s">
        <v>6920</v>
      </c>
      <c r="H561" s="1" t="s">
        <v>6921</v>
      </c>
      <c r="J561" s="1" t="s">
        <v>1324</v>
      </c>
      <c r="L561" s="1" t="s">
        <v>7389</v>
      </c>
      <c r="M561" s="1" t="s">
        <v>7394</v>
      </c>
      <c r="N561" s="1" t="s">
        <v>6731</v>
      </c>
      <c r="P561" s="1" t="s">
        <v>7419</v>
      </c>
      <c r="Q561" s="3">
        <v>0</v>
      </c>
      <c r="R561" s="22" t="s">
        <v>2721</v>
      </c>
      <c r="S561" s="42" t="s">
        <v>6914</v>
      </c>
      <c r="T561" s="3" t="s">
        <v>4866</v>
      </c>
      <c r="U561" s="45">
        <v>35</v>
      </c>
      <c r="V561" t="s">
        <v>7391</v>
      </c>
      <c r="W561" s="1" t="str">
        <f>HYPERLINK("http://ictvonline.org/taxonomy/p/taxonomy-history?taxnode_id=201908091","ICTVonline=201908091")</f>
        <v>ICTVonline=201908091</v>
      </c>
    </row>
    <row r="562" spans="1:23">
      <c r="A562" s="3">
        <v>561</v>
      </c>
      <c r="B562" s="1" t="s">
        <v>6915</v>
      </c>
      <c r="D562" s="1" t="s">
        <v>6916</v>
      </c>
      <c r="F562" s="1" t="s">
        <v>6920</v>
      </c>
      <c r="H562" s="1" t="s">
        <v>6921</v>
      </c>
      <c r="J562" s="1" t="s">
        <v>1324</v>
      </c>
      <c r="L562" s="1" t="s">
        <v>7389</v>
      </c>
      <c r="M562" s="1" t="s">
        <v>7394</v>
      </c>
      <c r="N562" s="1" t="s">
        <v>6731</v>
      </c>
      <c r="P562" s="1" t="s">
        <v>7420</v>
      </c>
      <c r="Q562" s="3">
        <v>0</v>
      </c>
      <c r="R562" s="22" t="s">
        <v>2721</v>
      </c>
      <c r="S562" s="42" t="s">
        <v>6914</v>
      </c>
      <c r="T562" s="3" t="s">
        <v>4866</v>
      </c>
      <c r="U562" s="45">
        <v>35</v>
      </c>
      <c r="V562" t="s">
        <v>7391</v>
      </c>
      <c r="W562" s="1" t="str">
        <f>HYPERLINK("http://ictvonline.org/taxonomy/p/taxonomy-history?taxnode_id=201908092","ICTVonline=201908092")</f>
        <v>ICTVonline=201908092</v>
      </c>
    </row>
    <row r="563" spans="1:23">
      <c r="A563" s="3">
        <v>562</v>
      </c>
      <c r="B563" s="1" t="s">
        <v>6915</v>
      </c>
      <c r="D563" s="1" t="s">
        <v>6916</v>
      </c>
      <c r="F563" s="1" t="s">
        <v>6920</v>
      </c>
      <c r="H563" s="1" t="s">
        <v>6921</v>
      </c>
      <c r="J563" s="1" t="s">
        <v>1324</v>
      </c>
      <c r="L563" s="1" t="s">
        <v>7389</v>
      </c>
      <c r="M563" s="1" t="s">
        <v>7394</v>
      </c>
      <c r="N563" s="1" t="s">
        <v>6731</v>
      </c>
      <c r="P563" s="1" t="s">
        <v>7421</v>
      </c>
      <c r="Q563" s="3">
        <v>0</v>
      </c>
      <c r="R563" s="22" t="s">
        <v>2721</v>
      </c>
      <c r="S563" s="42" t="s">
        <v>6914</v>
      </c>
      <c r="T563" s="3" t="s">
        <v>4866</v>
      </c>
      <c r="U563" s="45">
        <v>35</v>
      </c>
      <c r="V563" t="s">
        <v>7391</v>
      </c>
      <c r="W563" s="1" t="str">
        <f>HYPERLINK("http://ictvonline.org/taxonomy/p/taxonomy-history?taxnode_id=201908089","ICTVonline=201908089")</f>
        <v>ICTVonline=201908089</v>
      </c>
    </row>
    <row r="564" spans="1:23">
      <c r="A564" s="3">
        <v>563</v>
      </c>
      <c r="B564" s="1" t="s">
        <v>6915</v>
      </c>
      <c r="D564" s="1" t="s">
        <v>6916</v>
      </c>
      <c r="F564" s="1" t="s">
        <v>6920</v>
      </c>
      <c r="H564" s="1" t="s">
        <v>6921</v>
      </c>
      <c r="J564" s="1" t="s">
        <v>1324</v>
      </c>
      <c r="L564" s="1" t="s">
        <v>7389</v>
      </c>
      <c r="M564" s="1" t="s">
        <v>7394</v>
      </c>
      <c r="N564" s="1" t="s">
        <v>6731</v>
      </c>
      <c r="P564" s="1" t="s">
        <v>4434</v>
      </c>
      <c r="Q564" s="3">
        <v>0</v>
      </c>
      <c r="R564" s="22" t="s">
        <v>2721</v>
      </c>
      <c r="S564" s="42" t="s">
        <v>6910</v>
      </c>
      <c r="T564" s="3" t="s">
        <v>4868</v>
      </c>
      <c r="U564" s="45">
        <v>35</v>
      </c>
      <c r="V564" t="s">
        <v>7391</v>
      </c>
      <c r="W564" s="1" t="str">
        <f>HYPERLINK("http://ictvonline.org/taxonomy/p/taxonomy-history?taxnode_id=201901327","ICTVonline=201901327")</f>
        <v>ICTVonline=201901327</v>
      </c>
    </row>
    <row r="565" spans="1:23">
      <c r="A565" s="3">
        <v>564</v>
      </c>
      <c r="B565" s="1" t="s">
        <v>6915</v>
      </c>
      <c r="D565" s="1" t="s">
        <v>6916</v>
      </c>
      <c r="F565" s="1" t="s">
        <v>6920</v>
      </c>
      <c r="H565" s="1" t="s">
        <v>6921</v>
      </c>
      <c r="J565" s="1" t="s">
        <v>1324</v>
      </c>
      <c r="L565" s="1" t="s">
        <v>7389</v>
      </c>
      <c r="M565" s="1" t="s">
        <v>7394</v>
      </c>
      <c r="N565" s="1" t="s">
        <v>6731</v>
      </c>
      <c r="P565" s="1" t="s">
        <v>3391</v>
      </c>
      <c r="Q565" s="3">
        <v>1</v>
      </c>
      <c r="R565" s="22" t="s">
        <v>2721</v>
      </c>
      <c r="S565" s="42" t="s">
        <v>6910</v>
      </c>
      <c r="T565" s="3" t="s">
        <v>4868</v>
      </c>
      <c r="U565" s="45">
        <v>35</v>
      </c>
      <c r="V565" t="s">
        <v>7391</v>
      </c>
      <c r="W565" s="1" t="str">
        <f>HYPERLINK("http://ictvonline.org/taxonomy/p/taxonomy-history?taxnode_id=201901328","ICTVonline=201901328")</f>
        <v>ICTVonline=201901328</v>
      </c>
    </row>
    <row r="566" spans="1:23">
      <c r="A566" s="3">
        <v>565</v>
      </c>
      <c r="B566" s="1" t="s">
        <v>6915</v>
      </c>
      <c r="D566" s="1" t="s">
        <v>6916</v>
      </c>
      <c r="F566" s="1" t="s">
        <v>6920</v>
      </c>
      <c r="H566" s="1" t="s">
        <v>6921</v>
      </c>
      <c r="J566" s="1" t="s">
        <v>1324</v>
      </c>
      <c r="L566" s="1" t="s">
        <v>7389</v>
      </c>
      <c r="M566" s="1" t="s">
        <v>7394</v>
      </c>
      <c r="N566" s="1" t="s">
        <v>6731</v>
      </c>
      <c r="P566" s="1" t="s">
        <v>7422</v>
      </c>
      <c r="Q566" s="3">
        <v>0</v>
      </c>
      <c r="R566" s="22" t="s">
        <v>2721</v>
      </c>
      <c r="S566" s="42" t="s">
        <v>6914</v>
      </c>
      <c r="T566" s="3" t="s">
        <v>4866</v>
      </c>
      <c r="U566" s="45">
        <v>35</v>
      </c>
      <c r="V566" t="s">
        <v>7391</v>
      </c>
      <c r="W566" s="1" t="str">
        <f>HYPERLINK("http://ictvonline.org/taxonomy/p/taxonomy-history?taxnode_id=201908084","ICTVonline=201908084")</f>
        <v>ICTVonline=201908084</v>
      </c>
    </row>
    <row r="567" spans="1:23">
      <c r="A567" s="3">
        <v>566</v>
      </c>
      <c r="B567" s="1" t="s">
        <v>6915</v>
      </c>
      <c r="D567" s="1" t="s">
        <v>6916</v>
      </c>
      <c r="F567" s="1" t="s">
        <v>6920</v>
      </c>
      <c r="H567" s="1" t="s">
        <v>6921</v>
      </c>
      <c r="J567" s="1" t="s">
        <v>1324</v>
      </c>
      <c r="L567" s="1" t="s">
        <v>7389</v>
      </c>
      <c r="M567" s="1" t="s">
        <v>7394</v>
      </c>
      <c r="N567" s="1" t="s">
        <v>6731</v>
      </c>
      <c r="P567" s="1" t="s">
        <v>7423</v>
      </c>
      <c r="Q567" s="3">
        <v>0</v>
      </c>
      <c r="R567" s="22" t="s">
        <v>2721</v>
      </c>
      <c r="S567" s="42" t="s">
        <v>6914</v>
      </c>
      <c r="T567" s="3" t="s">
        <v>4866</v>
      </c>
      <c r="U567" s="45">
        <v>35</v>
      </c>
      <c r="V567" t="s">
        <v>7391</v>
      </c>
      <c r="W567" s="1" t="str">
        <f>HYPERLINK("http://ictvonline.org/taxonomy/p/taxonomy-history?taxnode_id=201908090","ICTVonline=201908090")</f>
        <v>ICTVonline=201908090</v>
      </c>
    </row>
    <row r="568" spans="1:23">
      <c r="A568" s="3">
        <v>567</v>
      </c>
      <c r="B568" s="1" t="s">
        <v>6915</v>
      </c>
      <c r="D568" s="1" t="s">
        <v>6916</v>
      </c>
      <c r="F568" s="1" t="s">
        <v>6920</v>
      </c>
      <c r="H568" s="1" t="s">
        <v>6921</v>
      </c>
      <c r="J568" s="1" t="s">
        <v>1324</v>
      </c>
      <c r="L568" s="1" t="s">
        <v>7389</v>
      </c>
      <c r="M568" s="1" t="s">
        <v>7394</v>
      </c>
      <c r="N568" s="1" t="s">
        <v>6731</v>
      </c>
      <c r="P568" s="1" t="s">
        <v>3392</v>
      </c>
      <c r="Q568" s="3">
        <v>0</v>
      </c>
      <c r="R568" s="22" t="s">
        <v>2721</v>
      </c>
      <c r="S568" s="42" t="s">
        <v>6910</v>
      </c>
      <c r="T568" s="3" t="s">
        <v>4868</v>
      </c>
      <c r="U568" s="45">
        <v>35</v>
      </c>
      <c r="V568" t="s">
        <v>7391</v>
      </c>
      <c r="W568" s="1" t="str">
        <f>HYPERLINK("http://ictvonline.org/taxonomy/p/taxonomy-history?taxnode_id=201901330","ICTVonline=201901330")</f>
        <v>ICTVonline=201901330</v>
      </c>
    </row>
    <row r="569" spans="1:23">
      <c r="A569" s="3">
        <v>568</v>
      </c>
      <c r="B569" s="1" t="s">
        <v>6915</v>
      </c>
      <c r="D569" s="1" t="s">
        <v>6916</v>
      </c>
      <c r="F569" s="1" t="s">
        <v>6920</v>
      </c>
      <c r="H569" s="1" t="s">
        <v>6921</v>
      </c>
      <c r="J569" s="1" t="s">
        <v>1324</v>
      </c>
      <c r="L569" s="1" t="s">
        <v>7389</v>
      </c>
      <c r="M569" s="1" t="s">
        <v>7394</v>
      </c>
      <c r="N569" s="1" t="s">
        <v>6731</v>
      </c>
      <c r="P569" s="1" t="s">
        <v>7424</v>
      </c>
      <c r="Q569" s="3">
        <v>0</v>
      </c>
      <c r="R569" s="22" t="s">
        <v>2721</v>
      </c>
      <c r="S569" s="42" t="s">
        <v>6914</v>
      </c>
      <c r="T569" s="3" t="s">
        <v>4866</v>
      </c>
      <c r="U569" s="45">
        <v>35</v>
      </c>
      <c r="V569" t="s">
        <v>7391</v>
      </c>
      <c r="W569" s="1" t="str">
        <f>HYPERLINK("http://ictvonline.org/taxonomy/p/taxonomy-history?taxnode_id=201908086","ICTVonline=201908086")</f>
        <v>ICTVonline=201908086</v>
      </c>
    </row>
    <row r="570" spans="1:23">
      <c r="A570" s="3">
        <v>569</v>
      </c>
      <c r="B570" s="1" t="s">
        <v>6915</v>
      </c>
      <c r="D570" s="1" t="s">
        <v>6916</v>
      </c>
      <c r="F570" s="1" t="s">
        <v>6920</v>
      </c>
      <c r="H570" s="1" t="s">
        <v>6921</v>
      </c>
      <c r="J570" s="1" t="s">
        <v>1324</v>
      </c>
      <c r="L570" s="1" t="s">
        <v>7389</v>
      </c>
      <c r="M570" s="1" t="s">
        <v>7394</v>
      </c>
      <c r="N570" s="1" t="s">
        <v>6731</v>
      </c>
      <c r="P570" s="1" t="s">
        <v>7425</v>
      </c>
      <c r="Q570" s="3">
        <v>0</v>
      </c>
      <c r="R570" s="22" t="s">
        <v>2721</v>
      </c>
      <c r="S570" s="42" t="s">
        <v>6914</v>
      </c>
      <c r="T570" s="3" t="s">
        <v>4866</v>
      </c>
      <c r="U570" s="45">
        <v>35</v>
      </c>
      <c r="V570" t="s">
        <v>7391</v>
      </c>
      <c r="W570" s="1" t="str">
        <f>HYPERLINK("http://ictvonline.org/taxonomy/p/taxonomy-history?taxnode_id=201908085","ICTVonline=201908085")</f>
        <v>ICTVonline=201908085</v>
      </c>
    </row>
    <row r="571" spans="1:23">
      <c r="A571" s="3">
        <v>570</v>
      </c>
      <c r="B571" s="1" t="s">
        <v>6915</v>
      </c>
      <c r="D571" s="1" t="s">
        <v>6916</v>
      </c>
      <c r="F571" s="1" t="s">
        <v>6920</v>
      </c>
      <c r="H571" s="1" t="s">
        <v>6921</v>
      </c>
      <c r="J571" s="1" t="s">
        <v>1324</v>
      </c>
      <c r="L571" s="1" t="s">
        <v>7389</v>
      </c>
      <c r="M571" s="1" t="s">
        <v>7394</v>
      </c>
      <c r="N571" s="1" t="s">
        <v>6731</v>
      </c>
      <c r="P571" s="1" t="s">
        <v>3393</v>
      </c>
      <c r="Q571" s="3">
        <v>0</v>
      </c>
      <c r="R571" s="22" t="s">
        <v>2721</v>
      </c>
      <c r="S571" s="42" t="s">
        <v>6910</v>
      </c>
      <c r="T571" s="3" t="s">
        <v>4868</v>
      </c>
      <c r="U571" s="45">
        <v>35</v>
      </c>
      <c r="V571" t="s">
        <v>7391</v>
      </c>
      <c r="W571" s="1" t="str">
        <f>HYPERLINK("http://ictvonline.org/taxonomy/p/taxonomy-history?taxnode_id=201901331","ICTVonline=201901331")</f>
        <v>ICTVonline=201901331</v>
      </c>
    </row>
    <row r="572" spans="1:23">
      <c r="A572" s="3">
        <v>571</v>
      </c>
      <c r="B572" s="1" t="s">
        <v>6915</v>
      </c>
      <c r="D572" s="1" t="s">
        <v>6916</v>
      </c>
      <c r="F572" s="1" t="s">
        <v>6920</v>
      </c>
      <c r="H572" s="1" t="s">
        <v>6921</v>
      </c>
      <c r="J572" s="1" t="s">
        <v>1324</v>
      </c>
      <c r="L572" s="1" t="s">
        <v>7389</v>
      </c>
      <c r="M572" s="1" t="s">
        <v>7394</v>
      </c>
      <c r="N572" s="1" t="s">
        <v>6731</v>
      </c>
      <c r="P572" s="1" t="s">
        <v>7426</v>
      </c>
      <c r="Q572" s="3">
        <v>0</v>
      </c>
      <c r="R572" s="22" t="s">
        <v>2721</v>
      </c>
      <c r="S572" s="42" t="s">
        <v>6914</v>
      </c>
      <c r="T572" s="3" t="s">
        <v>4866</v>
      </c>
      <c r="U572" s="45">
        <v>35</v>
      </c>
      <c r="V572" t="s">
        <v>7391</v>
      </c>
      <c r="W572" s="1" t="str">
        <f>HYPERLINK("http://ictvonline.org/taxonomy/p/taxonomy-history?taxnode_id=201908094","ICTVonline=201908094")</f>
        <v>ICTVonline=201908094</v>
      </c>
    </row>
    <row r="573" spans="1:23">
      <c r="A573" s="3">
        <v>572</v>
      </c>
      <c r="B573" s="1" t="s">
        <v>6915</v>
      </c>
      <c r="D573" s="1" t="s">
        <v>6916</v>
      </c>
      <c r="F573" s="1" t="s">
        <v>6920</v>
      </c>
      <c r="H573" s="1" t="s">
        <v>6921</v>
      </c>
      <c r="J573" s="1" t="s">
        <v>1324</v>
      </c>
      <c r="L573" s="1" t="s">
        <v>7389</v>
      </c>
      <c r="M573" s="1" t="s">
        <v>7394</v>
      </c>
      <c r="N573" s="1" t="s">
        <v>6731</v>
      </c>
      <c r="P573" s="1" t="s">
        <v>7427</v>
      </c>
      <c r="Q573" s="3">
        <v>0</v>
      </c>
      <c r="R573" s="22" t="s">
        <v>2721</v>
      </c>
      <c r="S573" s="42" t="s">
        <v>6914</v>
      </c>
      <c r="T573" s="3" t="s">
        <v>4866</v>
      </c>
      <c r="U573" s="45">
        <v>35</v>
      </c>
      <c r="V573" t="s">
        <v>7391</v>
      </c>
      <c r="W573" s="1" t="str">
        <f>HYPERLINK("http://ictvonline.org/taxonomy/p/taxonomy-history?taxnode_id=201908087","ICTVonline=201908087")</f>
        <v>ICTVonline=201908087</v>
      </c>
    </row>
    <row r="574" spans="1:23">
      <c r="A574" s="3">
        <v>573</v>
      </c>
      <c r="B574" s="1" t="s">
        <v>6915</v>
      </c>
      <c r="D574" s="1" t="s">
        <v>6916</v>
      </c>
      <c r="F574" s="1" t="s">
        <v>6920</v>
      </c>
      <c r="H574" s="1" t="s">
        <v>6921</v>
      </c>
      <c r="J574" s="1" t="s">
        <v>1324</v>
      </c>
      <c r="L574" s="1" t="s">
        <v>7389</v>
      </c>
      <c r="M574" s="1" t="s">
        <v>7428</v>
      </c>
      <c r="N574" s="1" t="s">
        <v>7429</v>
      </c>
      <c r="P574" s="1" t="s">
        <v>7430</v>
      </c>
      <c r="Q574" s="3">
        <v>1</v>
      </c>
      <c r="R574" s="22" t="s">
        <v>2721</v>
      </c>
      <c r="S574" s="42" t="s">
        <v>6914</v>
      </c>
      <c r="T574" s="3" t="s">
        <v>4866</v>
      </c>
      <c r="U574" s="45">
        <v>35</v>
      </c>
      <c r="V574" t="s">
        <v>7391</v>
      </c>
      <c r="W574" s="1" t="str">
        <f>HYPERLINK("http://ictvonline.org/taxonomy/p/taxonomy-history?taxnode_id=201908124","ICTVonline=201908124")</f>
        <v>ICTVonline=201908124</v>
      </c>
    </row>
    <row r="575" spans="1:23">
      <c r="A575" s="3">
        <v>574</v>
      </c>
      <c r="B575" s="1" t="s">
        <v>6915</v>
      </c>
      <c r="D575" s="1" t="s">
        <v>6916</v>
      </c>
      <c r="F575" s="1" t="s">
        <v>6920</v>
      </c>
      <c r="H575" s="1" t="s">
        <v>6921</v>
      </c>
      <c r="J575" s="1" t="s">
        <v>1324</v>
      </c>
      <c r="L575" s="1" t="s">
        <v>7389</v>
      </c>
      <c r="M575" s="1" t="s">
        <v>7428</v>
      </c>
      <c r="N575" s="1" t="s">
        <v>6668</v>
      </c>
      <c r="P575" s="1" t="s">
        <v>6669</v>
      </c>
      <c r="Q575" s="3">
        <v>1</v>
      </c>
      <c r="R575" s="22" t="s">
        <v>2721</v>
      </c>
      <c r="S575" s="42" t="s">
        <v>6910</v>
      </c>
      <c r="T575" s="3" t="s">
        <v>4868</v>
      </c>
      <c r="U575" s="45">
        <v>35</v>
      </c>
      <c r="V575" t="s">
        <v>7391</v>
      </c>
      <c r="W575" s="1" t="str">
        <f>HYPERLINK("http://ictvonline.org/taxonomy/p/taxonomy-history?taxnode_id=201907058","ICTVonline=201907058")</f>
        <v>ICTVonline=201907058</v>
      </c>
    </row>
    <row r="576" spans="1:23">
      <c r="A576" s="3">
        <v>575</v>
      </c>
      <c r="B576" s="1" t="s">
        <v>6915</v>
      </c>
      <c r="D576" s="1" t="s">
        <v>6916</v>
      </c>
      <c r="F576" s="1" t="s">
        <v>6920</v>
      </c>
      <c r="H576" s="1" t="s">
        <v>6921</v>
      </c>
      <c r="J576" s="1" t="s">
        <v>1324</v>
      </c>
      <c r="L576" s="1" t="s">
        <v>7389</v>
      </c>
      <c r="N576" s="1" t="s">
        <v>6676</v>
      </c>
      <c r="P576" s="1" t="s">
        <v>6677</v>
      </c>
      <c r="Q576" s="3">
        <v>1</v>
      </c>
      <c r="R576" s="22" t="s">
        <v>2721</v>
      </c>
      <c r="S576" s="42" t="s">
        <v>6910</v>
      </c>
      <c r="T576" s="3" t="s">
        <v>4868</v>
      </c>
      <c r="U576" s="45">
        <v>35</v>
      </c>
      <c r="V576" t="s">
        <v>7391</v>
      </c>
      <c r="W576" s="1" t="str">
        <f>HYPERLINK("http://ictvonline.org/taxonomy/p/taxonomy-history?taxnode_id=201907060","ICTVonline=201907060")</f>
        <v>ICTVonline=201907060</v>
      </c>
    </row>
    <row r="577" spans="1:23">
      <c r="A577" s="3">
        <v>576</v>
      </c>
      <c r="B577" s="1" t="s">
        <v>6915</v>
      </c>
      <c r="D577" s="1" t="s">
        <v>6916</v>
      </c>
      <c r="F577" s="1" t="s">
        <v>6920</v>
      </c>
      <c r="H577" s="1" t="s">
        <v>6921</v>
      </c>
      <c r="J577" s="1" t="s">
        <v>1324</v>
      </c>
      <c r="L577" s="1" t="s">
        <v>7389</v>
      </c>
      <c r="N577" s="1" t="s">
        <v>6676</v>
      </c>
      <c r="P577" s="1" t="s">
        <v>7431</v>
      </c>
      <c r="Q577" s="3">
        <v>0</v>
      </c>
      <c r="R577" s="22" t="s">
        <v>2721</v>
      </c>
      <c r="S577" s="42" t="s">
        <v>6914</v>
      </c>
      <c r="T577" s="3" t="s">
        <v>4866</v>
      </c>
      <c r="U577" s="45">
        <v>35</v>
      </c>
      <c r="V577" t="s">
        <v>7391</v>
      </c>
      <c r="W577" s="1" t="str">
        <f>HYPERLINK("http://ictvonline.org/taxonomy/p/taxonomy-history?taxnode_id=201908118","ICTVonline=201908118")</f>
        <v>ICTVonline=201908118</v>
      </c>
    </row>
    <row r="578" spans="1:23">
      <c r="A578" s="3">
        <v>577</v>
      </c>
      <c r="B578" s="1" t="s">
        <v>6915</v>
      </c>
      <c r="D578" s="1" t="s">
        <v>6916</v>
      </c>
      <c r="F578" s="1" t="s">
        <v>6920</v>
      </c>
      <c r="H578" s="1" t="s">
        <v>6921</v>
      </c>
      <c r="J578" s="1" t="s">
        <v>1324</v>
      </c>
      <c r="L578" s="1" t="s">
        <v>7389</v>
      </c>
      <c r="N578" s="1" t="s">
        <v>7432</v>
      </c>
      <c r="P578" s="1" t="s">
        <v>7433</v>
      </c>
      <c r="Q578" s="3">
        <v>1</v>
      </c>
      <c r="R578" s="22" t="s">
        <v>2721</v>
      </c>
      <c r="S578" s="42" t="s">
        <v>6914</v>
      </c>
      <c r="T578" s="3" t="s">
        <v>4866</v>
      </c>
      <c r="U578" s="45">
        <v>35</v>
      </c>
      <c r="V578" t="s">
        <v>7391</v>
      </c>
      <c r="W578" s="1" t="str">
        <f>HYPERLINK("http://ictvonline.org/taxonomy/p/taxonomy-history?taxnode_id=201908120","ICTVonline=201908120")</f>
        <v>ICTVonline=201908120</v>
      </c>
    </row>
    <row r="579" spans="1:23">
      <c r="A579" s="3">
        <v>578</v>
      </c>
      <c r="B579" s="1" t="s">
        <v>6915</v>
      </c>
      <c r="D579" s="1" t="s">
        <v>6916</v>
      </c>
      <c r="F579" s="1" t="s">
        <v>6920</v>
      </c>
      <c r="H579" s="1" t="s">
        <v>6921</v>
      </c>
      <c r="J579" s="1" t="s">
        <v>1324</v>
      </c>
      <c r="L579" s="1" t="s">
        <v>7389</v>
      </c>
      <c r="N579" s="1" t="s">
        <v>7432</v>
      </c>
      <c r="P579" s="1" t="s">
        <v>7434</v>
      </c>
      <c r="Q579" s="3">
        <v>0</v>
      </c>
      <c r="R579" s="22" t="s">
        <v>2721</v>
      </c>
      <c r="S579" s="42" t="s">
        <v>6914</v>
      </c>
      <c r="T579" s="3" t="s">
        <v>4866</v>
      </c>
      <c r="U579" s="45">
        <v>35</v>
      </c>
      <c r="V579" t="s">
        <v>7391</v>
      </c>
      <c r="W579" s="1" t="str">
        <f>HYPERLINK("http://ictvonline.org/taxonomy/p/taxonomy-history?taxnode_id=201908121","ICTVonline=201908121")</f>
        <v>ICTVonline=201908121</v>
      </c>
    </row>
    <row r="580" spans="1:23">
      <c r="A580" s="3">
        <v>579</v>
      </c>
      <c r="B580" s="1" t="s">
        <v>6915</v>
      </c>
      <c r="D580" s="1" t="s">
        <v>6916</v>
      </c>
      <c r="F580" s="1" t="s">
        <v>6920</v>
      </c>
      <c r="H580" s="1" t="s">
        <v>6921</v>
      </c>
      <c r="J580" s="1" t="s">
        <v>1324</v>
      </c>
      <c r="L580" s="1" t="s">
        <v>7389</v>
      </c>
      <c r="N580" s="1" t="s">
        <v>7435</v>
      </c>
      <c r="P580" s="1" t="s">
        <v>7436</v>
      </c>
      <c r="Q580" s="3">
        <v>0</v>
      </c>
      <c r="R580" s="22" t="s">
        <v>2721</v>
      </c>
      <c r="S580" s="42" t="s">
        <v>6914</v>
      </c>
      <c r="T580" s="3" t="s">
        <v>4866</v>
      </c>
      <c r="U580" s="45">
        <v>35</v>
      </c>
      <c r="V580" t="s">
        <v>7391</v>
      </c>
      <c r="W580" s="1" t="str">
        <f>HYPERLINK("http://ictvonline.org/taxonomy/p/taxonomy-history?taxnode_id=201908117","ICTVonline=201908117")</f>
        <v>ICTVonline=201908117</v>
      </c>
    </row>
    <row r="581" spans="1:23">
      <c r="A581" s="3">
        <v>580</v>
      </c>
      <c r="B581" s="1" t="s">
        <v>6915</v>
      </c>
      <c r="D581" s="1" t="s">
        <v>6916</v>
      </c>
      <c r="F581" s="1" t="s">
        <v>6920</v>
      </c>
      <c r="H581" s="1" t="s">
        <v>6921</v>
      </c>
      <c r="J581" s="1" t="s">
        <v>1324</v>
      </c>
      <c r="L581" s="1" t="s">
        <v>7389</v>
      </c>
      <c r="N581" s="1" t="s">
        <v>7435</v>
      </c>
      <c r="P581" s="1" t="s">
        <v>7437</v>
      </c>
      <c r="Q581" s="3">
        <v>1</v>
      </c>
      <c r="R581" s="22" t="s">
        <v>2721</v>
      </c>
      <c r="S581" s="42" t="s">
        <v>6914</v>
      </c>
      <c r="T581" s="3" t="s">
        <v>4866</v>
      </c>
      <c r="U581" s="45">
        <v>35</v>
      </c>
      <c r="V581" t="s">
        <v>7391</v>
      </c>
      <c r="W581" s="1" t="str">
        <f>HYPERLINK("http://ictvonline.org/taxonomy/p/taxonomy-history?taxnode_id=201908116","ICTVonline=201908116")</f>
        <v>ICTVonline=201908116</v>
      </c>
    </row>
    <row r="582" spans="1:23">
      <c r="A582" s="3">
        <v>581</v>
      </c>
      <c r="B582" s="1" t="s">
        <v>6915</v>
      </c>
      <c r="D582" s="1" t="s">
        <v>6916</v>
      </c>
      <c r="F582" s="1" t="s">
        <v>6920</v>
      </c>
      <c r="H582" s="1" t="s">
        <v>6921</v>
      </c>
      <c r="J582" s="1" t="s">
        <v>1324</v>
      </c>
      <c r="L582" s="1" t="s">
        <v>7389</v>
      </c>
      <c r="N582" s="1" t="s">
        <v>6728</v>
      </c>
      <c r="P582" s="1" t="s">
        <v>6729</v>
      </c>
      <c r="Q582" s="3">
        <v>0</v>
      </c>
      <c r="R582" s="22" t="s">
        <v>2721</v>
      </c>
      <c r="S582" s="42" t="s">
        <v>6910</v>
      </c>
      <c r="T582" s="3" t="s">
        <v>4868</v>
      </c>
      <c r="U582" s="45">
        <v>35</v>
      </c>
      <c r="V582" t="s">
        <v>7391</v>
      </c>
      <c r="W582" s="1" t="str">
        <f>HYPERLINK("http://ictvonline.org/taxonomy/p/taxonomy-history?taxnode_id=201907065","ICTVonline=201907065")</f>
        <v>ICTVonline=201907065</v>
      </c>
    </row>
    <row r="583" spans="1:23">
      <c r="A583" s="3">
        <v>582</v>
      </c>
      <c r="B583" s="1" t="s">
        <v>6915</v>
      </c>
      <c r="D583" s="1" t="s">
        <v>6916</v>
      </c>
      <c r="F583" s="1" t="s">
        <v>6920</v>
      </c>
      <c r="H583" s="1" t="s">
        <v>6921</v>
      </c>
      <c r="J583" s="1" t="s">
        <v>1324</v>
      </c>
      <c r="L583" s="1" t="s">
        <v>7389</v>
      </c>
      <c r="N583" s="1" t="s">
        <v>6728</v>
      </c>
      <c r="P583" s="1" t="s">
        <v>6730</v>
      </c>
      <c r="Q583" s="3">
        <v>1</v>
      </c>
      <c r="R583" s="22" t="s">
        <v>2721</v>
      </c>
      <c r="S583" s="42" t="s">
        <v>6910</v>
      </c>
      <c r="T583" s="3" t="s">
        <v>4868</v>
      </c>
      <c r="U583" s="45">
        <v>35</v>
      </c>
      <c r="V583" t="s">
        <v>7391</v>
      </c>
      <c r="W583" s="1" t="str">
        <f>HYPERLINK("http://ictvonline.org/taxonomy/p/taxonomy-history?taxnode_id=201907064","ICTVonline=201907064")</f>
        <v>ICTVonline=201907064</v>
      </c>
    </row>
    <row r="584" spans="1:23">
      <c r="A584" s="3">
        <v>583</v>
      </c>
      <c r="B584" s="1" t="s">
        <v>6915</v>
      </c>
      <c r="D584" s="1" t="s">
        <v>6916</v>
      </c>
      <c r="F584" s="1" t="s">
        <v>6920</v>
      </c>
      <c r="H584" s="1" t="s">
        <v>6921</v>
      </c>
      <c r="J584" s="1" t="s">
        <v>1324</v>
      </c>
      <c r="L584" s="1" t="s">
        <v>7438</v>
      </c>
      <c r="M584" s="1" t="s">
        <v>7439</v>
      </c>
      <c r="N584" s="1" t="s">
        <v>7440</v>
      </c>
      <c r="P584" s="1" t="s">
        <v>7441</v>
      </c>
      <c r="Q584" s="3">
        <v>1</v>
      </c>
      <c r="R584" s="22" t="s">
        <v>2721</v>
      </c>
      <c r="S584" s="42" t="s">
        <v>6914</v>
      </c>
      <c r="T584" s="3" t="s">
        <v>4866</v>
      </c>
      <c r="U584" s="45">
        <v>35</v>
      </c>
      <c r="V584" t="s">
        <v>7442</v>
      </c>
      <c r="W584" s="1" t="str">
        <f>HYPERLINK("http://ictvonline.org/taxonomy/p/taxonomy-history?taxnode_id=201908146","ICTVonline=201908146")</f>
        <v>ICTVonline=201908146</v>
      </c>
    </row>
    <row r="585" spans="1:23">
      <c r="A585" s="3">
        <v>584</v>
      </c>
      <c r="B585" s="1" t="s">
        <v>6915</v>
      </c>
      <c r="D585" s="1" t="s">
        <v>6916</v>
      </c>
      <c r="F585" s="1" t="s">
        <v>6920</v>
      </c>
      <c r="H585" s="1" t="s">
        <v>6921</v>
      </c>
      <c r="J585" s="1" t="s">
        <v>1324</v>
      </c>
      <c r="L585" s="1" t="s">
        <v>7438</v>
      </c>
      <c r="M585" s="1" t="s">
        <v>7439</v>
      </c>
      <c r="N585" s="1" t="s">
        <v>7443</v>
      </c>
      <c r="P585" s="1" t="s">
        <v>3062</v>
      </c>
      <c r="Q585" s="3">
        <v>1</v>
      </c>
      <c r="R585" s="22" t="s">
        <v>2721</v>
      </c>
      <c r="S585" s="42" t="s">
        <v>6914</v>
      </c>
      <c r="T585" s="3" t="s">
        <v>4871</v>
      </c>
      <c r="U585" s="45">
        <v>35</v>
      </c>
      <c r="V585" t="s">
        <v>7442</v>
      </c>
      <c r="W585" s="1" t="str">
        <f>HYPERLINK("http://ictvonline.org/taxonomy/p/taxonomy-history?taxnode_id=201900822","ICTVonline=201900822")</f>
        <v>ICTVonline=201900822</v>
      </c>
    </row>
    <row r="586" spans="1:23">
      <c r="A586" s="3">
        <v>585</v>
      </c>
      <c r="B586" s="1" t="s">
        <v>6915</v>
      </c>
      <c r="D586" s="1" t="s">
        <v>6916</v>
      </c>
      <c r="F586" s="1" t="s">
        <v>6920</v>
      </c>
      <c r="H586" s="1" t="s">
        <v>6921</v>
      </c>
      <c r="J586" s="1" t="s">
        <v>1324</v>
      </c>
      <c r="L586" s="1" t="s">
        <v>7438</v>
      </c>
      <c r="M586" s="1" t="s">
        <v>7439</v>
      </c>
      <c r="N586" s="1" t="s">
        <v>7443</v>
      </c>
      <c r="P586" s="1" t="s">
        <v>7444</v>
      </c>
      <c r="Q586" s="3">
        <v>0</v>
      </c>
      <c r="R586" s="22" t="s">
        <v>2721</v>
      </c>
      <c r="S586" s="42" t="s">
        <v>6914</v>
      </c>
      <c r="T586" s="3" t="s">
        <v>4866</v>
      </c>
      <c r="U586" s="45">
        <v>35</v>
      </c>
      <c r="V586" t="s">
        <v>7442</v>
      </c>
      <c r="W586" s="1" t="str">
        <f>HYPERLINK("http://ictvonline.org/taxonomy/p/taxonomy-history?taxnode_id=201908150","ICTVonline=201908150")</f>
        <v>ICTVonline=201908150</v>
      </c>
    </row>
    <row r="587" spans="1:23">
      <c r="A587" s="3">
        <v>586</v>
      </c>
      <c r="B587" s="1" t="s">
        <v>6915</v>
      </c>
      <c r="D587" s="1" t="s">
        <v>6916</v>
      </c>
      <c r="F587" s="1" t="s">
        <v>6920</v>
      </c>
      <c r="H587" s="1" t="s">
        <v>6921</v>
      </c>
      <c r="J587" s="1" t="s">
        <v>1324</v>
      </c>
      <c r="L587" s="1" t="s">
        <v>7438</v>
      </c>
      <c r="M587" s="1" t="s">
        <v>7439</v>
      </c>
      <c r="N587" s="1" t="s">
        <v>7445</v>
      </c>
      <c r="P587" s="1" t="s">
        <v>7446</v>
      </c>
      <c r="Q587" s="3">
        <v>1</v>
      </c>
      <c r="R587" s="22" t="s">
        <v>2721</v>
      </c>
      <c r="S587" s="42" t="s">
        <v>6914</v>
      </c>
      <c r="T587" s="3" t="s">
        <v>4866</v>
      </c>
      <c r="U587" s="45">
        <v>35</v>
      </c>
      <c r="V587" t="s">
        <v>7442</v>
      </c>
      <c r="W587" s="1" t="str">
        <f>HYPERLINK("http://ictvonline.org/taxonomy/p/taxonomy-history?taxnode_id=201908148","ICTVonline=201908148")</f>
        <v>ICTVonline=201908148</v>
      </c>
    </row>
    <row r="588" spans="1:23">
      <c r="A588" s="3">
        <v>587</v>
      </c>
      <c r="B588" s="1" t="s">
        <v>6915</v>
      </c>
      <c r="D588" s="1" t="s">
        <v>6916</v>
      </c>
      <c r="F588" s="1" t="s">
        <v>6920</v>
      </c>
      <c r="H588" s="1" t="s">
        <v>6921</v>
      </c>
      <c r="J588" s="1" t="s">
        <v>1324</v>
      </c>
      <c r="L588" s="1" t="s">
        <v>7438</v>
      </c>
      <c r="M588" s="1" t="s">
        <v>7439</v>
      </c>
      <c r="N588" s="1" t="s">
        <v>3061</v>
      </c>
      <c r="P588" s="1" t="s">
        <v>7447</v>
      </c>
      <c r="Q588" s="3">
        <v>0</v>
      </c>
      <c r="R588" s="22" t="s">
        <v>2721</v>
      </c>
      <c r="S588" s="42" t="s">
        <v>6914</v>
      </c>
      <c r="T588" s="3" t="s">
        <v>4866</v>
      </c>
      <c r="U588" s="45">
        <v>35</v>
      </c>
      <c r="V588" t="s">
        <v>7442</v>
      </c>
      <c r="W588" s="1" t="str">
        <f>HYPERLINK("http://ictvonline.org/taxonomy/p/taxonomy-history?taxnode_id=201908144","ICTVonline=201908144")</f>
        <v>ICTVonline=201908144</v>
      </c>
    </row>
    <row r="589" spans="1:23">
      <c r="A589" s="3">
        <v>588</v>
      </c>
      <c r="B589" s="1" t="s">
        <v>6915</v>
      </c>
      <c r="D589" s="1" t="s">
        <v>6916</v>
      </c>
      <c r="F589" s="1" t="s">
        <v>6920</v>
      </c>
      <c r="H589" s="1" t="s">
        <v>6921</v>
      </c>
      <c r="J589" s="1" t="s">
        <v>1324</v>
      </c>
      <c r="L589" s="1" t="s">
        <v>7438</v>
      </c>
      <c r="M589" s="1" t="s">
        <v>7439</v>
      </c>
      <c r="N589" s="1" t="s">
        <v>3061</v>
      </c>
      <c r="P589" s="1" t="s">
        <v>3063</v>
      </c>
      <c r="Q589" s="3">
        <v>1</v>
      </c>
      <c r="R589" s="22" t="s">
        <v>2721</v>
      </c>
      <c r="S589" s="42" t="s">
        <v>6910</v>
      </c>
      <c r="T589" s="3" t="s">
        <v>4868</v>
      </c>
      <c r="U589" s="45">
        <v>35</v>
      </c>
      <c r="V589" t="s">
        <v>7442</v>
      </c>
      <c r="W589" s="1" t="str">
        <f>HYPERLINK("http://ictvonline.org/taxonomy/p/taxonomy-history?taxnode_id=201900823","ICTVonline=201900823")</f>
        <v>ICTVonline=201900823</v>
      </c>
    </row>
    <row r="590" spans="1:23">
      <c r="A590" s="3">
        <v>589</v>
      </c>
      <c r="B590" s="1" t="s">
        <v>6915</v>
      </c>
      <c r="D590" s="1" t="s">
        <v>6916</v>
      </c>
      <c r="F590" s="1" t="s">
        <v>6920</v>
      </c>
      <c r="H590" s="1" t="s">
        <v>6921</v>
      </c>
      <c r="J590" s="1" t="s">
        <v>1324</v>
      </c>
      <c r="L590" s="1" t="s">
        <v>7438</v>
      </c>
      <c r="M590" s="1" t="s">
        <v>7448</v>
      </c>
      <c r="N590" s="1" t="s">
        <v>7449</v>
      </c>
      <c r="P590" s="1" t="s">
        <v>7450</v>
      </c>
      <c r="Q590" s="3">
        <v>1</v>
      </c>
      <c r="R590" s="22" t="s">
        <v>2721</v>
      </c>
      <c r="S590" s="42" t="s">
        <v>6914</v>
      </c>
      <c r="T590" s="3" t="s">
        <v>4866</v>
      </c>
      <c r="U590" s="45">
        <v>35</v>
      </c>
      <c r="V590" t="s">
        <v>7442</v>
      </c>
      <c r="W590" s="1" t="str">
        <f>HYPERLINK("http://ictvonline.org/taxonomy/p/taxonomy-history?taxnode_id=201908154","ICTVonline=201908154")</f>
        <v>ICTVonline=201908154</v>
      </c>
    </row>
    <row r="591" spans="1:23">
      <c r="A591" s="3">
        <v>590</v>
      </c>
      <c r="B591" s="1" t="s">
        <v>6915</v>
      </c>
      <c r="D591" s="1" t="s">
        <v>6916</v>
      </c>
      <c r="F591" s="1" t="s">
        <v>6920</v>
      </c>
      <c r="H591" s="1" t="s">
        <v>6921</v>
      </c>
      <c r="J591" s="1" t="s">
        <v>1324</v>
      </c>
      <c r="L591" s="1" t="s">
        <v>7438</v>
      </c>
      <c r="M591" s="1" t="s">
        <v>7448</v>
      </c>
      <c r="N591" s="1" t="s">
        <v>7451</v>
      </c>
      <c r="P591" s="1" t="s">
        <v>7452</v>
      </c>
      <c r="Q591" s="3">
        <v>1</v>
      </c>
      <c r="R591" s="22" t="s">
        <v>2721</v>
      </c>
      <c r="S591" s="42" t="s">
        <v>6914</v>
      </c>
      <c r="T591" s="3" t="s">
        <v>4866</v>
      </c>
      <c r="U591" s="45">
        <v>35</v>
      </c>
      <c r="V591" t="s">
        <v>7442</v>
      </c>
      <c r="W591" s="1" t="str">
        <f>HYPERLINK("http://ictvonline.org/taxonomy/p/taxonomy-history?taxnode_id=201908158","ICTVonline=201908158")</f>
        <v>ICTVonline=201908158</v>
      </c>
    </row>
    <row r="592" spans="1:23">
      <c r="A592" s="3">
        <v>591</v>
      </c>
      <c r="B592" s="1" t="s">
        <v>6915</v>
      </c>
      <c r="D592" s="1" t="s">
        <v>6916</v>
      </c>
      <c r="F592" s="1" t="s">
        <v>6920</v>
      </c>
      <c r="H592" s="1" t="s">
        <v>6921</v>
      </c>
      <c r="J592" s="1" t="s">
        <v>1324</v>
      </c>
      <c r="L592" s="1" t="s">
        <v>7438</v>
      </c>
      <c r="M592" s="1" t="s">
        <v>7448</v>
      </c>
      <c r="N592" s="1" t="s">
        <v>6516</v>
      </c>
      <c r="P592" s="1" t="s">
        <v>3053</v>
      </c>
      <c r="Q592" s="3">
        <v>0</v>
      </c>
      <c r="R592" s="22" t="s">
        <v>2721</v>
      </c>
      <c r="S592" s="42" t="s">
        <v>6910</v>
      </c>
      <c r="T592" s="3" t="s">
        <v>4868</v>
      </c>
      <c r="U592" s="45">
        <v>35</v>
      </c>
      <c r="V592" t="s">
        <v>7442</v>
      </c>
      <c r="W592" s="1" t="str">
        <f>HYPERLINK("http://ictvonline.org/taxonomy/p/taxonomy-history?taxnode_id=201900812","ICTVonline=201900812")</f>
        <v>ICTVonline=201900812</v>
      </c>
    </row>
    <row r="593" spans="1:23">
      <c r="A593" s="3">
        <v>592</v>
      </c>
      <c r="B593" s="1" t="s">
        <v>6915</v>
      </c>
      <c r="D593" s="1" t="s">
        <v>6916</v>
      </c>
      <c r="F593" s="1" t="s">
        <v>6920</v>
      </c>
      <c r="H593" s="1" t="s">
        <v>6921</v>
      </c>
      <c r="J593" s="1" t="s">
        <v>1324</v>
      </c>
      <c r="L593" s="1" t="s">
        <v>7438</v>
      </c>
      <c r="M593" s="1" t="s">
        <v>7448</v>
      </c>
      <c r="N593" s="1" t="s">
        <v>6516</v>
      </c>
      <c r="P593" s="1" t="s">
        <v>3054</v>
      </c>
      <c r="Q593" s="3">
        <v>0</v>
      </c>
      <c r="R593" s="22" t="s">
        <v>2721</v>
      </c>
      <c r="S593" s="42" t="s">
        <v>6910</v>
      </c>
      <c r="T593" s="3" t="s">
        <v>4868</v>
      </c>
      <c r="U593" s="45">
        <v>35</v>
      </c>
      <c r="V593" t="s">
        <v>7442</v>
      </c>
      <c r="W593" s="1" t="str">
        <f>HYPERLINK("http://ictvonline.org/taxonomy/p/taxonomy-history?taxnode_id=201900813","ICTVonline=201900813")</f>
        <v>ICTVonline=201900813</v>
      </c>
    </row>
    <row r="594" spans="1:23">
      <c r="A594" s="3">
        <v>593</v>
      </c>
      <c r="B594" s="1" t="s">
        <v>6915</v>
      </c>
      <c r="D594" s="1" t="s">
        <v>6916</v>
      </c>
      <c r="F594" s="1" t="s">
        <v>6920</v>
      </c>
      <c r="H594" s="1" t="s">
        <v>6921</v>
      </c>
      <c r="J594" s="1" t="s">
        <v>1324</v>
      </c>
      <c r="L594" s="1" t="s">
        <v>7438</v>
      </c>
      <c r="M594" s="1" t="s">
        <v>7448</v>
      </c>
      <c r="N594" s="1" t="s">
        <v>6516</v>
      </c>
      <c r="P594" s="1" t="s">
        <v>3055</v>
      </c>
      <c r="Q594" s="3">
        <v>0</v>
      </c>
      <c r="R594" s="22" t="s">
        <v>2721</v>
      </c>
      <c r="S594" s="42" t="s">
        <v>6910</v>
      </c>
      <c r="T594" s="3" t="s">
        <v>4868</v>
      </c>
      <c r="U594" s="45">
        <v>35</v>
      </c>
      <c r="V594" t="s">
        <v>7442</v>
      </c>
      <c r="W594" s="1" t="str">
        <f>HYPERLINK("http://ictvonline.org/taxonomy/p/taxonomy-history?taxnode_id=201900814","ICTVonline=201900814")</f>
        <v>ICTVonline=201900814</v>
      </c>
    </row>
    <row r="595" spans="1:23">
      <c r="A595" s="3">
        <v>594</v>
      </c>
      <c r="B595" s="1" t="s">
        <v>6915</v>
      </c>
      <c r="D595" s="1" t="s">
        <v>6916</v>
      </c>
      <c r="F595" s="1" t="s">
        <v>6920</v>
      </c>
      <c r="H595" s="1" t="s">
        <v>6921</v>
      </c>
      <c r="J595" s="1" t="s">
        <v>1324</v>
      </c>
      <c r="L595" s="1" t="s">
        <v>7438</v>
      </c>
      <c r="M595" s="1" t="s">
        <v>7448</v>
      </c>
      <c r="N595" s="1" t="s">
        <v>6516</v>
      </c>
      <c r="P595" s="1" t="s">
        <v>4293</v>
      </c>
      <c r="Q595" s="3">
        <v>0</v>
      </c>
      <c r="R595" s="22" t="s">
        <v>2721</v>
      </c>
      <c r="S595" s="42" t="s">
        <v>6910</v>
      </c>
      <c r="T595" s="3" t="s">
        <v>4868</v>
      </c>
      <c r="U595" s="45">
        <v>35</v>
      </c>
      <c r="V595" t="s">
        <v>7442</v>
      </c>
      <c r="W595" s="1" t="str">
        <f>HYPERLINK("http://ictvonline.org/taxonomy/p/taxonomy-history?taxnode_id=201900815","ICTVonline=201900815")</f>
        <v>ICTVonline=201900815</v>
      </c>
    </row>
    <row r="596" spans="1:23">
      <c r="A596" s="3">
        <v>595</v>
      </c>
      <c r="B596" s="1" t="s">
        <v>6915</v>
      </c>
      <c r="D596" s="1" t="s">
        <v>6916</v>
      </c>
      <c r="F596" s="1" t="s">
        <v>6920</v>
      </c>
      <c r="H596" s="1" t="s">
        <v>6921</v>
      </c>
      <c r="J596" s="1" t="s">
        <v>1324</v>
      </c>
      <c r="L596" s="1" t="s">
        <v>7438</v>
      </c>
      <c r="M596" s="1" t="s">
        <v>7448</v>
      </c>
      <c r="N596" s="1" t="s">
        <v>6516</v>
      </c>
      <c r="P596" s="1" t="s">
        <v>3056</v>
      </c>
      <c r="Q596" s="3">
        <v>0</v>
      </c>
      <c r="R596" s="22" t="s">
        <v>2721</v>
      </c>
      <c r="S596" s="42" t="s">
        <v>6910</v>
      </c>
      <c r="T596" s="3" t="s">
        <v>4868</v>
      </c>
      <c r="U596" s="45">
        <v>35</v>
      </c>
      <c r="V596" t="s">
        <v>7442</v>
      </c>
      <c r="W596" s="1" t="str">
        <f>HYPERLINK("http://ictvonline.org/taxonomy/p/taxonomy-history?taxnode_id=201900816","ICTVonline=201900816")</f>
        <v>ICTVonline=201900816</v>
      </c>
    </row>
    <row r="597" spans="1:23">
      <c r="A597" s="3">
        <v>596</v>
      </c>
      <c r="B597" s="1" t="s">
        <v>6915</v>
      </c>
      <c r="D597" s="1" t="s">
        <v>6916</v>
      </c>
      <c r="F597" s="1" t="s">
        <v>6920</v>
      </c>
      <c r="H597" s="1" t="s">
        <v>6921</v>
      </c>
      <c r="J597" s="1" t="s">
        <v>1324</v>
      </c>
      <c r="L597" s="1" t="s">
        <v>7438</v>
      </c>
      <c r="M597" s="1" t="s">
        <v>7448</v>
      </c>
      <c r="N597" s="1" t="s">
        <v>6516</v>
      </c>
      <c r="P597" s="1" t="s">
        <v>3057</v>
      </c>
      <c r="Q597" s="3">
        <v>0</v>
      </c>
      <c r="R597" s="22" t="s">
        <v>2721</v>
      </c>
      <c r="S597" s="42" t="s">
        <v>6910</v>
      </c>
      <c r="T597" s="3" t="s">
        <v>4868</v>
      </c>
      <c r="U597" s="45">
        <v>35</v>
      </c>
      <c r="V597" t="s">
        <v>7442</v>
      </c>
      <c r="W597" s="1" t="str">
        <f>HYPERLINK("http://ictvonline.org/taxonomy/p/taxonomy-history?taxnode_id=201900817","ICTVonline=201900817")</f>
        <v>ICTVonline=201900817</v>
      </c>
    </row>
    <row r="598" spans="1:23">
      <c r="A598" s="3">
        <v>597</v>
      </c>
      <c r="B598" s="1" t="s">
        <v>6915</v>
      </c>
      <c r="D598" s="1" t="s">
        <v>6916</v>
      </c>
      <c r="F598" s="1" t="s">
        <v>6920</v>
      </c>
      <c r="H598" s="1" t="s">
        <v>6921</v>
      </c>
      <c r="J598" s="1" t="s">
        <v>1324</v>
      </c>
      <c r="L598" s="1" t="s">
        <v>7438</v>
      </c>
      <c r="M598" s="1" t="s">
        <v>7448</v>
      </c>
      <c r="N598" s="1" t="s">
        <v>6516</v>
      </c>
      <c r="P598" s="1" t="s">
        <v>3058</v>
      </c>
      <c r="Q598" s="3">
        <v>0</v>
      </c>
      <c r="R598" s="22" t="s">
        <v>2721</v>
      </c>
      <c r="S598" s="42" t="s">
        <v>6910</v>
      </c>
      <c r="T598" s="3" t="s">
        <v>4868</v>
      </c>
      <c r="U598" s="45">
        <v>35</v>
      </c>
      <c r="V598" t="s">
        <v>7442</v>
      </c>
      <c r="W598" s="1" t="str">
        <f>HYPERLINK("http://ictvonline.org/taxonomy/p/taxonomy-history?taxnode_id=201900818","ICTVonline=201900818")</f>
        <v>ICTVonline=201900818</v>
      </c>
    </row>
    <row r="599" spans="1:23">
      <c r="A599" s="3">
        <v>598</v>
      </c>
      <c r="B599" s="1" t="s">
        <v>6915</v>
      </c>
      <c r="D599" s="1" t="s">
        <v>6916</v>
      </c>
      <c r="F599" s="1" t="s">
        <v>6920</v>
      </c>
      <c r="H599" s="1" t="s">
        <v>6921</v>
      </c>
      <c r="J599" s="1" t="s">
        <v>1324</v>
      </c>
      <c r="L599" s="1" t="s">
        <v>7438</v>
      </c>
      <c r="M599" s="1" t="s">
        <v>7448</v>
      </c>
      <c r="N599" s="1" t="s">
        <v>6516</v>
      </c>
      <c r="P599" s="1" t="s">
        <v>3059</v>
      </c>
      <c r="Q599" s="3">
        <v>0</v>
      </c>
      <c r="R599" s="22" t="s">
        <v>2721</v>
      </c>
      <c r="S599" s="42" t="s">
        <v>6910</v>
      </c>
      <c r="T599" s="3" t="s">
        <v>4868</v>
      </c>
      <c r="U599" s="45">
        <v>35</v>
      </c>
      <c r="V599" t="s">
        <v>7442</v>
      </c>
      <c r="W599" s="1" t="str">
        <f>HYPERLINK("http://ictvonline.org/taxonomy/p/taxonomy-history?taxnode_id=201900819","ICTVonline=201900819")</f>
        <v>ICTVonline=201900819</v>
      </c>
    </row>
    <row r="600" spans="1:23">
      <c r="A600" s="3">
        <v>599</v>
      </c>
      <c r="B600" s="1" t="s">
        <v>6915</v>
      </c>
      <c r="D600" s="1" t="s">
        <v>6916</v>
      </c>
      <c r="F600" s="1" t="s">
        <v>6920</v>
      </c>
      <c r="H600" s="1" t="s">
        <v>6921</v>
      </c>
      <c r="J600" s="1" t="s">
        <v>1324</v>
      </c>
      <c r="L600" s="1" t="s">
        <v>7438</v>
      </c>
      <c r="M600" s="1" t="s">
        <v>7448</v>
      </c>
      <c r="N600" s="1" t="s">
        <v>6516</v>
      </c>
      <c r="P600" s="1" t="s">
        <v>7453</v>
      </c>
      <c r="Q600" s="3">
        <v>0</v>
      </c>
      <c r="R600" s="22" t="s">
        <v>2721</v>
      </c>
      <c r="S600" s="42" t="s">
        <v>6914</v>
      </c>
      <c r="T600" s="3" t="s">
        <v>4866</v>
      </c>
      <c r="U600" s="45">
        <v>35</v>
      </c>
      <c r="V600" t="s">
        <v>7442</v>
      </c>
      <c r="W600" s="1" t="str">
        <f>HYPERLINK("http://ictvonline.org/taxonomy/p/taxonomy-history?taxnode_id=201908152","ICTVonline=201908152")</f>
        <v>ICTVonline=201908152</v>
      </c>
    </row>
    <row r="601" spans="1:23">
      <c r="A601" s="3">
        <v>600</v>
      </c>
      <c r="B601" s="1" t="s">
        <v>6915</v>
      </c>
      <c r="D601" s="1" t="s">
        <v>6916</v>
      </c>
      <c r="F601" s="1" t="s">
        <v>6920</v>
      </c>
      <c r="H601" s="1" t="s">
        <v>6921</v>
      </c>
      <c r="J601" s="1" t="s">
        <v>1324</v>
      </c>
      <c r="L601" s="1" t="s">
        <v>7438</v>
      </c>
      <c r="M601" s="1" t="s">
        <v>7448</v>
      </c>
      <c r="N601" s="1" t="s">
        <v>6516</v>
      </c>
      <c r="P601" s="1" t="s">
        <v>3060</v>
      </c>
      <c r="Q601" s="3">
        <v>1</v>
      </c>
      <c r="R601" s="22" t="s">
        <v>2721</v>
      </c>
      <c r="S601" s="42" t="s">
        <v>6910</v>
      </c>
      <c r="T601" s="3" t="s">
        <v>4868</v>
      </c>
      <c r="U601" s="45">
        <v>35</v>
      </c>
      <c r="V601" t="s">
        <v>7442</v>
      </c>
      <c r="W601" s="1" t="str">
        <f>HYPERLINK("http://ictvonline.org/taxonomy/p/taxonomy-history?taxnode_id=201900820","ICTVonline=201900820")</f>
        <v>ICTVonline=201900820</v>
      </c>
    </row>
    <row r="602" spans="1:23">
      <c r="A602" s="3">
        <v>601</v>
      </c>
      <c r="B602" s="1" t="s">
        <v>6915</v>
      </c>
      <c r="D602" s="1" t="s">
        <v>6916</v>
      </c>
      <c r="F602" s="1" t="s">
        <v>6920</v>
      </c>
      <c r="H602" s="1" t="s">
        <v>6921</v>
      </c>
      <c r="J602" s="1" t="s">
        <v>1324</v>
      </c>
      <c r="L602" s="1" t="s">
        <v>7438</v>
      </c>
      <c r="M602" s="1" t="s">
        <v>7448</v>
      </c>
      <c r="N602" s="1" t="s">
        <v>7454</v>
      </c>
      <c r="P602" s="1" t="s">
        <v>7455</v>
      </c>
      <c r="Q602" s="3">
        <v>1</v>
      </c>
      <c r="R602" s="22" t="s">
        <v>2721</v>
      </c>
      <c r="S602" s="42" t="s">
        <v>6914</v>
      </c>
      <c r="T602" s="3" t="s">
        <v>4866</v>
      </c>
      <c r="U602" s="45">
        <v>35</v>
      </c>
      <c r="V602" t="s">
        <v>7442</v>
      </c>
      <c r="W602" s="1" t="str">
        <f>HYPERLINK("http://ictvonline.org/taxonomy/p/taxonomy-history?taxnode_id=201908156","ICTVonline=201908156")</f>
        <v>ICTVonline=201908156</v>
      </c>
    </row>
    <row r="603" spans="1:23">
      <c r="A603" s="3">
        <v>602</v>
      </c>
      <c r="B603" s="1" t="s">
        <v>6915</v>
      </c>
      <c r="D603" s="1" t="s">
        <v>6916</v>
      </c>
      <c r="F603" s="1" t="s">
        <v>6920</v>
      </c>
      <c r="H603" s="1" t="s">
        <v>6921</v>
      </c>
      <c r="J603" s="1" t="s">
        <v>1324</v>
      </c>
      <c r="L603" s="1" t="s">
        <v>7438</v>
      </c>
      <c r="M603" s="1" t="s">
        <v>7456</v>
      </c>
      <c r="N603" s="1" t="s">
        <v>6514</v>
      </c>
      <c r="P603" s="1" t="s">
        <v>6515</v>
      </c>
      <c r="Q603" s="3">
        <v>1</v>
      </c>
      <c r="R603" s="22" t="s">
        <v>2721</v>
      </c>
      <c r="S603" s="42" t="s">
        <v>6910</v>
      </c>
      <c r="T603" s="3" t="s">
        <v>4868</v>
      </c>
      <c r="U603" s="45">
        <v>35</v>
      </c>
      <c r="V603" t="s">
        <v>7442</v>
      </c>
      <c r="W603" s="1" t="str">
        <f>HYPERLINK("http://ictvonline.org/taxonomy/p/taxonomy-history?taxnode_id=201907069","ICTVonline=201907069")</f>
        <v>ICTVonline=201907069</v>
      </c>
    </row>
    <row r="604" spans="1:23">
      <c r="A604" s="3">
        <v>603</v>
      </c>
      <c r="B604" s="1" t="s">
        <v>6915</v>
      </c>
      <c r="D604" s="1" t="s">
        <v>6916</v>
      </c>
      <c r="F604" s="1" t="s">
        <v>6920</v>
      </c>
      <c r="H604" s="1" t="s">
        <v>6921</v>
      </c>
      <c r="J604" s="1" t="s">
        <v>1324</v>
      </c>
      <c r="L604" s="1" t="s">
        <v>7438</v>
      </c>
      <c r="M604" s="1" t="s">
        <v>7456</v>
      </c>
      <c r="N604" s="1" t="s">
        <v>3068</v>
      </c>
      <c r="P604" s="1" t="s">
        <v>7457</v>
      </c>
      <c r="Q604" s="3">
        <v>0</v>
      </c>
      <c r="R604" s="22" t="s">
        <v>2721</v>
      </c>
      <c r="S604" s="42" t="s">
        <v>6914</v>
      </c>
      <c r="T604" s="3" t="s">
        <v>4866</v>
      </c>
      <c r="U604" s="45">
        <v>35</v>
      </c>
      <c r="V604" t="s">
        <v>7442</v>
      </c>
      <c r="W604" s="1" t="str">
        <f>HYPERLINK("http://ictvonline.org/taxonomy/p/taxonomy-history?taxnode_id=201908140","ICTVonline=201908140")</f>
        <v>ICTVonline=201908140</v>
      </c>
    </row>
    <row r="605" spans="1:23">
      <c r="A605" s="3">
        <v>604</v>
      </c>
      <c r="B605" s="1" t="s">
        <v>6915</v>
      </c>
      <c r="D605" s="1" t="s">
        <v>6916</v>
      </c>
      <c r="F605" s="1" t="s">
        <v>6920</v>
      </c>
      <c r="H605" s="1" t="s">
        <v>6921</v>
      </c>
      <c r="J605" s="1" t="s">
        <v>1324</v>
      </c>
      <c r="L605" s="1" t="s">
        <v>7438</v>
      </c>
      <c r="M605" s="1" t="s">
        <v>7456</v>
      </c>
      <c r="N605" s="1" t="s">
        <v>3068</v>
      </c>
      <c r="P605" s="1" t="s">
        <v>7458</v>
      </c>
      <c r="Q605" s="3">
        <v>0</v>
      </c>
      <c r="R605" s="22" t="s">
        <v>2721</v>
      </c>
      <c r="S605" s="42" t="s">
        <v>6914</v>
      </c>
      <c r="T605" s="3" t="s">
        <v>4866</v>
      </c>
      <c r="U605" s="45">
        <v>35</v>
      </c>
      <c r="V605" t="s">
        <v>7442</v>
      </c>
      <c r="W605" s="1" t="str">
        <f>HYPERLINK("http://ictvonline.org/taxonomy/p/taxonomy-history?taxnode_id=201908142","ICTVonline=201908142")</f>
        <v>ICTVonline=201908142</v>
      </c>
    </row>
    <row r="606" spans="1:23">
      <c r="A606" s="3">
        <v>605</v>
      </c>
      <c r="B606" s="1" t="s">
        <v>6915</v>
      </c>
      <c r="D606" s="1" t="s">
        <v>6916</v>
      </c>
      <c r="F606" s="1" t="s">
        <v>6920</v>
      </c>
      <c r="H606" s="1" t="s">
        <v>6921</v>
      </c>
      <c r="J606" s="1" t="s">
        <v>1324</v>
      </c>
      <c r="L606" s="1" t="s">
        <v>7438</v>
      </c>
      <c r="M606" s="1" t="s">
        <v>7456</v>
      </c>
      <c r="N606" s="1" t="s">
        <v>3068</v>
      </c>
      <c r="P606" s="1" t="s">
        <v>3069</v>
      </c>
      <c r="Q606" s="3">
        <v>0</v>
      </c>
      <c r="R606" s="22" t="s">
        <v>2721</v>
      </c>
      <c r="S606" s="42" t="s">
        <v>6910</v>
      </c>
      <c r="T606" s="3" t="s">
        <v>4868</v>
      </c>
      <c r="U606" s="45">
        <v>35</v>
      </c>
      <c r="V606" t="s">
        <v>7442</v>
      </c>
      <c r="W606" s="1" t="str">
        <f>HYPERLINK("http://ictvonline.org/taxonomy/p/taxonomy-history?taxnode_id=201900832","ICTVonline=201900832")</f>
        <v>ICTVonline=201900832</v>
      </c>
    </row>
    <row r="607" spans="1:23">
      <c r="A607" s="3">
        <v>606</v>
      </c>
      <c r="B607" s="1" t="s">
        <v>6915</v>
      </c>
      <c r="D607" s="1" t="s">
        <v>6916</v>
      </c>
      <c r="F607" s="1" t="s">
        <v>6920</v>
      </c>
      <c r="H607" s="1" t="s">
        <v>6921</v>
      </c>
      <c r="J607" s="1" t="s">
        <v>1324</v>
      </c>
      <c r="L607" s="1" t="s">
        <v>7438</v>
      </c>
      <c r="M607" s="1" t="s">
        <v>7456</v>
      </c>
      <c r="N607" s="1" t="s">
        <v>3068</v>
      </c>
      <c r="P607" s="1" t="s">
        <v>7459</v>
      </c>
      <c r="Q607" s="3">
        <v>0</v>
      </c>
      <c r="R607" s="22" t="s">
        <v>2721</v>
      </c>
      <c r="S607" s="42" t="s">
        <v>6914</v>
      </c>
      <c r="T607" s="3" t="s">
        <v>4866</v>
      </c>
      <c r="U607" s="45">
        <v>35</v>
      </c>
      <c r="V607" t="s">
        <v>7442</v>
      </c>
      <c r="W607" s="1" t="str">
        <f>HYPERLINK("http://ictvonline.org/taxonomy/p/taxonomy-history?taxnode_id=201908139","ICTVonline=201908139")</f>
        <v>ICTVonline=201908139</v>
      </c>
    </row>
    <row r="608" spans="1:23">
      <c r="A608" s="3">
        <v>607</v>
      </c>
      <c r="B608" s="1" t="s">
        <v>6915</v>
      </c>
      <c r="D608" s="1" t="s">
        <v>6916</v>
      </c>
      <c r="F608" s="1" t="s">
        <v>6920</v>
      </c>
      <c r="H608" s="1" t="s">
        <v>6921</v>
      </c>
      <c r="J608" s="1" t="s">
        <v>1324</v>
      </c>
      <c r="L608" s="1" t="s">
        <v>7438</v>
      </c>
      <c r="M608" s="1" t="s">
        <v>7456</v>
      </c>
      <c r="N608" s="1" t="s">
        <v>3068</v>
      </c>
      <c r="P608" s="1" t="s">
        <v>3070</v>
      </c>
      <c r="Q608" s="3">
        <v>1</v>
      </c>
      <c r="R608" s="22" t="s">
        <v>2721</v>
      </c>
      <c r="S608" s="42" t="s">
        <v>6910</v>
      </c>
      <c r="T608" s="3" t="s">
        <v>4868</v>
      </c>
      <c r="U608" s="45">
        <v>35</v>
      </c>
      <c r="V608" t="s">
        <v>7442</v>
      </c>
      <c r="W608" s="1" t="str">
        <f>HYPERLINK("http://ictvonline.org/taxonomy/p/taxonomy-history?taxnode_id=201900833","ICTVonline=201900833")</f>
        <v>ICTVonline=201900833</v>
      </c>
    </row>
    <row r="609" spans="1:23">
      <c r="A609" s="3">
        <v>608</v>
      </c>
      <c r="B609" s="1" t="s">
        <v>6915</v>
      </c>
      <c r="D609" s="1" t="s">
        <v>6916</v>
      </c>
      <c r="F609" s="1" t="s">
        <v>6920</v>
      </c>
      <c r="H609" s="1" t="s">
        <v>6921</v>
      </c>
      <c r="J609" s="1" t="s">
        <v>1324</v>
      </c>
      <c r="L609" s="1" t="s">
        <v>7438</v>
      </c>
      <c r="M609" s="1" t="s">
        <v>7456</v>
      </c>
      <c r="N609" s="1" t="s">
        <v>3068</v>
      </c>
      <c r="P609" s="1" t="s">
        <v>7460</v>
      </c>
      <c r="Q609" s="3">
        <v>0</v>
      </c>
      <c r="R609" s="22" t="s">
        <v>2721</v>
      </c>
      <c r="S609" s="42" t="s">
        <v>6914</v>
      </c>
      <c r="T609" s="3" t="s">
        <v>4866</v>
      </c>
      <c r="U609" s="45">
        <v>35</v>
      </c>
      <c r="V609" t="s">
        <v>7442</v>
      </c>
      <c r="W609" s="1" t="str">
        <f>HYPERLINK("http://ictvonline.org/taxonomy/p/taxonomy-history?taxnode_id=201908136","ICTVonline=201908136")</f>
        <v>ICTVonline=201908136</v>
      </c>
    </row>
    <row r="610" spans="1:23">
      <c r="A610" s="3">
        <v>609</v>
      </c>
      <c r="B610" s="1" t="s">
        <v>6915</v>
      </c>
      <c r="D610" s="1" t="s">
        <v>6916</v>
      </c>
      <c r="F610" s="1" t="s">
        <v>6920</v>
      </c>
      <c r="H610" s="1" t="s">
        <v>6921</v>
      </c>
      <c r="J610" s="1" t="s">
        <v>1324</v>
      </c>
      <c r="L610" s="1" t="s">
        <v>7438</v>
      </c>
      <c r="M610" s="1" t="s">
        <v>7456</v>
      </c>
      <c r="N610" s="1" t="s">
        <v>3068</v>
      </c>
      <c r="P610" s="1" t="s">
        <v>7461</v>
      </c>
      <c r="Q610" s="3">
        <v>0</v>
      </c>
      <c r="R610" s="22" t="s">
        <v>2721</v>
      </c>
      <c r="S610" s="42" t="s">
        <v>6914</v>
      </c>
      <c r="T610" s="3" t="s">
        <v>4866</v>
      </c>
      <c r="U610" s="45">
        <v>35</v>
      </c>
      <c r="V610" t="s">
        <v>7442</v>
      </c>
      <c r="W610" s="1" t="str">
        <f>HYPERLINK("http://ictvonline.org/taxonomy/p/taxonomy-history?taxnode_id=201908137","ICTVonline=201908137")</f>
        <v>ICTVonline=201908137</v>
      </c>
    </row>
    <row r="611" spans="1:23">
      <c r="A611" s="3">
        <v>610</v>
      </c>
      <c r="B611" s="1" t="s">
        <v>6915</v>
      </c>
      <c r="D611" s="1" t="s">
        <v>6916</v>
      </c>
      <c r="F611" s="1" t="s">
        <v>6920</v>
      </c>
      <c r="H611" s="1" t="s">
        <v>6921</v>
      </c>
      <c r="J611" s="1" t="s">
        <v>1324</v>
      </c>
      <c r="L611" s="1" t="s">
        <v>7438</v>
      </c>
      <c r="M611" s="1" t="s">
        <v>7456</v>
      </c>
      <c r="N611" s="1" t="s">
        <v>3068</v>
      </c>
      <c r="P611" s="1" t="s">
        <v>7462</v>
      </c>
      <c r="Q611" s="3">
        <v>0</v>
      </c>
      <c r="R611" s="22" t="s">
        <v>2721</v>
      </c>
      <c r="S611" s="42" t="s">
        <v>6914</v>
      </c>
      <c r="T611" s="3" t="s">
        <v>4866</v>
      </c>
      <c r="U611" s="45">
        <v>35</v>
      </c>
      <c r="V611" t="s">
        <v>7442</v>
      </c>
      <c r="W611" s="1" t="str">
        <f>HYPERLINK("http://ictvonline.org/taxonomy/p/taxonomy-history?taxnode_id=201908141","ICTVonline=201908141")</f>
        <v>ICTVonline=201908141</v>
      </c>
    </row>
    <row r="612" spans="1:23">
      <c r="A612" s="3">
        <v>611</v>
      </c>
      <c r="B612" s="1" t="s">
        <v>6915</v>
      </c>
      <c r="D612" s="1" t="s">
        <v>6916</v>
      </c>
      <c r="F612" s="1" t="s">
        <v>6920</v>
      </c>
      <c r="H612" s="1" t="s">
        <v>6921</v>
      </c>
      <c r="J612" s="1" t="s">
        <v>1324</v>
      </c>
      <c r="L612" s="1" t="s">
        <v>7438</v>
      </c>
      <c r="M612" s="1" t="s">
        <v>7456</v>
      </c>
      <c r="N612" s="1" t="s">
        <v>3068</v>
      </c>
      <c r="P612" s="1" t="s">
        <v>3071</v>
      </c>
      <c r="Q612" s="3">
        <v>0</v>
      </c>
      <c r="R612" s="22" t="s">
        <v>2721</v>
      </c>
      <c r="S612" s="42" t="s">
        <v>6910</v>
      </c>
      <c r="T612" s="3" t="s">
        <v>4868</v>
      </c>
      <c r="U612" s="45">
        <v>35</v>
      </c>
      <c r="V612" t="s">
        <v>7442</v>
      </c>
      <c r="W612" s="1" t="str">
        <f>HYPERLINK("http://ictvonline.org/taxonomy/p/taxonomy-history?taxnode_id=201900834","ICTVonline=201900834")</f>
        <v>ICTVonline=201900834</v>
      </c>
    </row>
    <row r="613" spans="1:23">
      <c r="A613" s="3">
        <v>612</v>
      </c>
      <c r="B613" s="1" t="s">
        <v>6915</v>
      </c>
      <c r="D613" s="1" t="s">
        <v>6916</v>
      </c>
      <c r="F613" s="1" t="s">
        <v>6920</v>
      </c>
      <c r="H613" s="1" t="s">
        <v>6921</v>
      </c>
      <c r="J613" s="1" t="s">
        <v>1324</v>
      </c>
      <c r="L613" s="1" t="s">
        <v>7438</v>
      </c>
      <c r="M613" s="1" t="s">
        <v>7456</v>
      </c>
      <c r="N613" s="1" t="s">
        <v>3068</v>
      </c>
      <c r="P613" s="1" t="s">
        <v>7463</v>
      </c>
      <c r="Q613" s="3">
        <v>0</v>
      </c>
      <c r="R613" s="22" t="s">
        <v>2721</v>
      </c>
      <c r="S613" s="42" t="s">
        <v>6914</v>
      </c>
      <c r="T613" s="3" t="s">
        <v>4866</v>
      </c>
      <c r="U613" s="45">
        <v>35</v>
      </c>
      <c r="V613" t="s">
        <v>7442</v>
      </c>
      <c r="W613" s="1" t="str">
        <f>HYPERLINK("http://ictvonline.org/taxonomy/p/taxonomy-history?taxnode_id=201908138","ICTVonline=201908138")</f>
        <v>ICTVonline=201908138</v>
      </c>
    </row>
    <row r="614" spans="1:23">
      <c r="A614" s="3">
        <v>613</v>
      </c>
      <c r="B614" s="1" t="s">
        <v>6915</v>
      </c>
      <c r="D614" s="1" t="s">
        <v>6916</v>
      </c>
      <c r="F614" s="1" t="s">
        <v>6920</v>
      </c>
      <c r="H614" s="1" t="s">
        <v>6921</v>
      </c>
      <c r="J614" s="1" t="s">
        <v>1324</v>
      </c>
      <c r="L614" s="1" t="s">
        <v>7438</v>
      </c>
      <c r="M614" s="1" t="s">
        <v>7456</v>
      </c>
      <c r="N614" s="1" t="s">
        <v>7464</v>
      </c>
      <c r="P614" s="1" t="s">
        <v>7465</v>
      </c>
      <c r="Q614" s="3">
        <v>0</v>
      </c>
      <c r="R614" s="22" t="s">
        <v>2721</v>
      </c>
      <c r="S614" s="42" t="s">
        <v>6914</v>
      </c>
      <c r="T614" s="3" t="s">
        <v>4866</v>
      </c>
      <c r="U614" s="45">
        <v>35</v>
      </c>
      <c r="V614" t="s">
        <v>7442</v>
      </c>
      <c r="W614" s="1" t="str">
        <f>HYPERLINK("http://ictvonline.org/taxonomy/p/taxonomy-history?taxnode_id=201908132","ICTVonline=201908132")</f>
        <v>ICTVonline=201908132</v>
      </c>
    </row>
    <row r="615" spans="1:23">
      <c r="A615" s="3">
        <v>614</v>
      </c>
      <c r="B615" s="1" t="s">
        <v>6915</v>
      </c>
      <c r="D615" s="1" t="s">
        <v>6916</v>
      </c>
      <c r="F615" s="1" t="s">
        <v>6920</v>
      </c>
      <c r="H615" s="1" t="s">
        <v>6921</v>
      </c>
      <c r="J615" s="1" t="s">
        <v>1324</v>
      </c>
      <c r="L615" s="1" t="s">
        <v>7438</v>
      </c>
      <c r="M615" s="1" t="s">
        <v>7456</v>
      </c>
      <c r="N615" s="1" t="s">
        <v>7464</v>
      </c>
      <c r="P615" s="1" t="s">
        <v>7466</v>
      </c>
      <c r="Q615" s="3">
        <v>0</v>
      </c>
      <c r="R615" s="22" t="s">
        <v>2721</v>
      </c>
      <c r="S615" s="42" t="s">
        <v>6914</v>
      </c>
      <c r="T615" s="3" t="s">
        <v>4866</v>
      </c>
      <c r="U615" s="45">
        <v>35</v>
      </c>
      <c r="V615" t="s">
        <v>7442</v>
      </c>
      <c r="W615" s="1" t="str">
        <f>HYPERLINK("http://ictvonline.org/taxonomy/p/taxonomy-history?taxnode_id=201908134","ICTVonline=201908134")</f>
        <v>ICTVonline=201908134</v>
      </c>
    </row>
    <row r="616" spans="1:23">
      <c r="A616" s="3">
        <v>615</v>
      </c>
      <c r="B616" s="1" t="s">
        <v>6915</v>
      </c>
      <c r="D616" s="1" t="s">
        <v>6916</v>
      </c>
      <c r="F616" s="1" t="s">
        <v>6920</v>
      </c>
      <c r="H616" s="1" t="s">
        <v>6921</v>
      </c>
      <c r="J616" s="1" t="s">
        <v>1324</v>
      </c>
      <c r="L616" s="1" t="s">
        <v>7438</v>
      </c>
      <c r="M616" s="1" t="s">
        <v>7456</v>
      </c>
      <c r="N616" s="1" t="s">
        <v>7464</v>
      </c>
      <c r="P616" s="1" t="s">
        <v>7467</v>
      </c>
      <c r="Q616" s="3">
        <v>0</v>
      </c>
      <c r="R616" s="22" t="s">
        <v>2721</v>
      </c>
      <c r="S616" s="42" t="s">
        <v>6914</v>
      </c>
      <c r="T616" s="3" t="s">
        <v>4866</v>
      </c>
      <c r="U616" s="45">
        <v>35</v>
      </c>
      <c r="V616" t="s">
        <v>7442</v>
      </c>
      <c r="W616" s="1" t="str">
        <f>HYPERLINK("http://ictvonline.org/taxonomy/p/taxonomy-history?taxnode_id=201908135","ICTVonline=201908135")</f>
        <v>ICTVonline=201908135</v>
      </c>
    </row>
    <row r="617" spans="1:23">
      <c r="A617" s="3">
        <v>616</v>
      </c>
      <c r="B617" s="1" t="s">
        <v>6915</v>
      </c>
      <c r="D617" s="1" t="s">
        <v>6916</v>
      </c>
      <c r="F617" s="1" t="s">
        <v>6920</v>
      </c>
      <c r="H617" s="1" t="s">
        <v>6921</v>
      </c>
      <c r="J617" s="1" t="s">
        <v>1324</v>
      </c>
      <c r="L617" s="1" t="s">
        <v>7438</v>
      </c>
      <c r="M617" s="1" t="s">
        <v>7456</v>
      </c>
      <c r="N617" s="1" t="s">
        <v>7464</v>
      </c>
      <c r="P617" s="1" t="s">
        <v>7468</v>
      </c>
      <c r="Q617" s="3">
        <v>0</v>
      </c>
      <c r="R617" s="22" t="s">
        <v>2721</v>
      </c>
      <c r="S617" s="42" t="s">
        <v>6914</v>
      </c>
      <c r="T617" s="3" t="s">
        <v>4866</v>
      </c>
      <c r="U617" s="45">
        <v>35</v>
      </c>
      <c r="V617" t="s">
        <v>7442</v>
      </c>
      <c r="W617" s="1" t="str">
        <f>HYPERLINK("http://ictvonline.org/taxonomy/p/taxonomy-history?taxnode_id=201908133","ICTVonline=201908133")</f>
        <v>ICTVonline=201908133</v>
      </c>
    </row>
    <row r="618" spans="1:23">
      <c r="A618" s="3">
        <v>617</v>
      </c>
      <c r="B618" s="1" t="s">
        <v>6915</v>
      </c>
      <c r="D618" s="1" t="s">
        <v>6916</v>
      </c>
      <c r="F618" s="1" t="s">
        <v>6920</v>
      </c>
      <c r="H618" s="1" t="s">
        <v>6921</v>
      </c>
      <c r="J618" s="1" t="s">
        <v>1324</v>
      </c>
      <c r="L618" s="1" t="s">
        <v>7438</v>
      </c>
      <c r="M618" s="1" t="s">
        <v>7456</v>
      </c>
      <c r="N618" s="1" t="s">
        <v>7464</v>
      </c>
      <c r="P618" s="1" t="s">
        <v>7469</v>
      </c>
      <c r="Q618" s="3">
        <v>1</v>
      </c>
      <c r="R618" s="22" t="s">
        <v>2721</v>
      </c>
      <c r="S618" s="42" t="s">
        <v>6914</v>
      </c>
      <c r="T618" s="3" t="s">
        <v>4866</v>
      </c>
      <c r="U618" s="45">
        <v>35</v>
      </c>
      <c r="V618" t="s">
        <v>7442</v>
      </c>
      <c r="W618" s="1" t="str">
        <f>HYPERLINK("http://ictvonline.org/taxonomy/p/taxonomy-history?taxnode_id=201908131","ICTVonline=201908131")</f>
        <v>ICTVonline=201908131</v>
      </c>
    </row>
    <row r="619" spans="1:23" s="24" customFormat="1">
      <c r="A619" s="3">
        <v>618</v>
      </c>
      <c r="B619" s="1" t="s">
        <v>6915</v>
      </c>
      <c r="C619" s="1"/>
      <c r="D619" s="1" t="s">
        <v>6916</v>
      </c>
      <c r="E619" s="1"/>
      <c r="F619" s="1" t="s">
        <v>6920</v>
      </c>
      <c r="G619" s="1"/>
      <c r="H619" s="1" t="s">
        <v>6921</v>
      </c>
      <c r="I619" s="1"/>
      <c r="J619" s="1" t="s">
        <v>1324</v>
      </c>
      <c r="K619" s="1"/>
      <c r="L619" s="1" t="s">
        <v>7438</v>
      </c>
      <c r="M619" s="1" t="s">
        <v>3049</v>
      </c>
      <c r="N619" s="1" t="s">
        <v>7470</v>
      </c>
      <c r="O619" s="1"/>
      <c r="P619" s="1" t="s">
        <v>7471</v>
      </c>
      <c r="Q619" s="3">
        <v>1</v>
      </c>
      <c r="R619" s="22" t="s">
        <v>2721</v>
      </c>
      <c r="S619" s="42" t="s">
        <v>6914</v>
      </c>
      <c r="T619" s="3" t="s">
        <v>4866</v>
      </c>
      <c r="U619" s="45">
        <v>35</v>
      </c>
      <c r="V619" t="s">
        <v>7442</v>
      </c>
      <c r="W619" s="1" t="str">
        <f>HYPERLINK("http://ictvonline.org/taxonomy/p/taxonomy-history?taxnode_id=201908167","ICTVonline=201908167")</f>
        <v>ICTVonline=201908167</v>
      </c>
    </row>
    <row r="620" spans="1:23">
      <c r="A620" s="3">
        <v>619</v>
      </c>
      <c r="B620" s="1" t="s">
        <v>6915</v>
      </c>
      <c r="D620" s="1" t="s">
        <v>6916</v>
      </c>
      <c r="F620" s="1" t="s">
        <v>6920</v>
      </c>
      <c r="H620" s="1" t="s">
        <v>6921</v>
      </c>
      <c r="J620" s="1" t="s">
        <v>1324</v>
      </c>
      <c r="L620" s="1" t="s">
        <v>7438</v>
      </c>
      <c r="M620" s="1" t="s">
        <v>3049</v>
      </c>
      <c r="N620" s="1" t="s">
        <v>6517</v>
      </c>
      <c r="P620" s="1" t="s">
        <v>6518</v>
      </c>
      <c r="Q620" s="3">
        <v>1</v>
      </c>
      <c r="R620" s="22" t="s">
        <v>2721</v>
      </c>
      <c r="S620" s="42" t="s">
        <v>6910</v>
      </c>
      <c r="T620" s="3" t="s">
        <v>4868</v>
      </c>
      <c r="U620" s="45">
        <v>35</v>
      </c>
      <c r="V620" t="s">
        <v>7442</v>
      </c>
      <c r="W620" s="1" t="str">
        <f>HYPERLINK("http://ictvonline.org/taxonomy/p/taxonomy-history?taxnode_id=201907071","ICTVonline=201907071")</f>
        <v>ICTVonline=201907071</v>
      </c>
    </row>
    <row r="621" spans="1:23">
      <c r="A621" s="3">
        <v>620</v>
      </c>
      <c r="B621" s="1" t="s">
        <v>6915</v>
      </c>
      <c r="D621" s="1" t="s">
        <v>6916</v>
      </c>
      <c r="F621" s="1" t="s">
        <v>6920</v>
      </c>
      <c r="H621" s="1" t="s">
        <v>6921</v>
      </c>
      <c r="J621" s="1" t="s">
        <v>1324</v>
      </c>
      <c r="L621" s="1" t="s">
        <v>7438</v>
      </c>
      <c r="M621" s="1" t="s">
        <v>3049</v>
      </c>
      <c r="N621" s="1" t="s">
        <v>6519</v>
      </c>
      <c r="P621" s="1" t="s">
        <v>3064</v>
      </c>
      <c r="Q621" s="3">
        <v>0</v>
      </c>
      <c r="R621" s="22" t="s">
        <v>2721</v>
      </c>
      <c r="S621" s="42" t="s">
        <v>6910</v>
      </c>
      <c r="T621" s="3" t="s">
        <v>4868</v>
      </c>
      <c r="U621" s="45">
        <v>35</v>
      </c>
      <c r="V621" t="s">
        <v>7442</v>
      </c>
      <c r="W621" s="1" t="str">
        <f>HYPERLINK("http://ictvonline.org/taxonomy/p/taxonomy-history?taxnode_id=201900825","ICTVonline=201900825")</f>
        <v>ICTVonline=201900825</v>
      </c>
    </row>
    <row r="622" spans="1:23">
      <c r="A622" s="3">
        <v>621</v>
      </c>
      <c r="B622" s="1" t="s">
        <v>6915</v>
      </c>
      <c r="D622" s="1" t="s">
        <v>6916</v>
      </c>
      <c r="F622" s="1" t="s">
        <v>6920</v>
      </c>
      <c r="H622" s="1" t="s">
        <v>6921</v>
      </c>
      <c r="J622" s="1" t="s">
        <v>1324</v>
      </c>
      <c r="L622" s="1" t="s">
        <v>7438</v>
      </c>
      <c r="M622" s="1" t="s">
        <v>3049</v>
      </c>
      <c r="N622" s="1" t="s">
        <v>6519</v>
      </c>
      <c r="P622" s="1" t="s">
        <v>7472</v>
      </c>
      <c r="Q622" s="3">
        <v>0</v>
      </c>
      <c r="R622" s="22" t="s">
        <v>2721</v>
      </c>
      <c r="S622" s="42" t="s">
        <v>6914</v>
      </c>
      <c r="T622" s="3" t="s">
        <v>4866</v>
      </c>
      <c r="U622" s="45">
        <v>35</v>
      </c>
      <c r="V622" t="s">
        <v>7442</v>
      </c>
      <c r="W622" s="1" t="str">
        <f>HYPERLINK("http://ictvonline.org/taxonomy/p/taxonomy-history?taxnode_id=201908160","ICTVonline=201908160")</f>
        <v>ICTVonline=201908160</v>
      </c>
    </row>
    <row r="623" spans="1:23">
      <c r="A623" s="3">
        <v>622</v>
      </c>
      <c r="B623" s="1" t="s">
        <v>6915</v>
      </c>
      <c r="D623" s="1" t="s">
        <v>6916</v>
      </c>
      <c r="F623" s="1" t="s">
        <v>6920</v>
      </c>
      <c r="H623" s="1" t="s">
        <v>6921</v>
      </c>
      <c r="J623" s="1" t="s">
        <v>1324</v>
      </c>
      <c r="L623" s="1" t="s">
        <v>7438</v>
      </c>
      <c r="M623" s="1" t="s">
        <v>3049</v>
      </c>
      <c r="N623" s="1" t="s">
        <v>6519</v>
      </c>
      <c r="P623" s="1" t="s">
        <v>7473</v>
      </c>
      <c r="Q623" s="3">
        <v>0</v>
      </c>
      <c r="R623" s="22" t="s">
        <v>2721</v>
      </c>
      <c r="S623" s="42" t="s">
        <v>6914</v>
      </c>
      <c r="T623" s="3" t="s">
        <v>4866</v>
      </c>
      <c r="U623" s="45">
        <v>35</v>
      </c>
      <c r="V623" t="s">
        <v>7442</v>
      </c>
      <c r="W623" s="1" t="str">
        <f>HYPERLINK("http://ictvonline.org/taxonomy/p/taxonomy-history?taxnode_id=201908164","ICTVonline=201908164")</f>
        <v>ICTVonline=201908164</v>
      </c>
    </row>
    <row r="624" spans="1:23">
      <c r="A624" s="3">
        <v>623</v>
      </c>
      <c r="B624" s="1" t="s">
        <v>6915</v>
      </c>
      <c r="D624" s="1" t="s">
        <v>6916</v>
      </c>
      <c r="F624" s="1" t="s">
        <v>6920</v>
      </c>
      <c r="H624" s="1" t="s">
        <v>6921</v>
      </c>
      <c r="J624" s="1" t="s">
        <v>1324</v>
      </c>
      <c r="L624" s="1" t="s">
        <v>7438</v>
      </c>
      <c r="M624" s="1" t="s">
        <v>3049</v>
      </c>
      <c r="N624" s="1" t="s">
        <v>6519</v>
      </c>
      <c r="P624" s="1" t="s">
        <v>4294</v>
      </c>
      <c r="Q624" s="3">
        <v>0</v>
      </c>
      <c r="R624" s="22" t="s">
        <v>2721</v>
      </c>
      <c r="S624" s="42" t="s">
        <v>6910</v>
      </c>
      <c r="T624" s="3" t="s">
        <v>4868</v>
      </c>
      <c r="U624" s="45">
        <v>35</v>
      </c>
      <c r="V624" t="s">
        <v>7442</v>
      </c>
      <c r="W624" s="1" t="str">
        <f>HYPERLINK("http://ictvonline.org/taxonomy/p/taxonomy-history?taxnode_id=201900826","ICTVonline=201900826")</f>
        <v>ICTVonline=201900826</v>
      </c>
    </row>
    <row r="625" spans="1:23">
      <c r="A625" s="3">
        <v>624</v>
      </c>
      <c r="B625" s="1" t="s">
        <v>6915</v>
      </c>
      <c r="D625" s="1" t="s">
        <v>6916</v>
      </c>
      <c r="F625" s="1" t="s">
        <v>6920</v>
      </c>
      <c r="H625" s="1" t="s">
        <v>6921</v>
      </c>
      <c r="J625" s="1" t="s">
        <v>1324</v>
      </c>
      <c r="L625" s="1" t="s">
        <v>7438</v>
      </c>
      <c r="M625" s="1" t="s">
        <v>3049</v>
      </c>
      <c r="N625" s="1" t="s">
        <v>6519</v>
      </c>
      <c r="P625" s="1" t="s">
        <v>4295</v>
      </c>
      <c r="Q625" s="3">
        <v>0</v>
      </c>
      <c r="R625" s="22" t="s">
        <v>2721</v>
      </c>
      <c r="S625" s="42" t="s">
        <v>6910</v>
      </c>
      <c r="T625" s="3" t="s">
        <v>4868</v>
      </c>
      <c r="U625" s="45">
        <v>35</v>
      </c>
      <c r="V625" t="s">
        <v>7442</v>
      </c>
      <c r="W625" s="1" t="str">
        <f>HYPERLINK("http://ictvonline.org/taxonomy/p/taxonomy-history?taxnode_id=201900827","ICTVonline=201900827")</f>
        <v>ICTVonline=201900827</v>
      </c>
    </row>
    <row r="626" spans="1:23">
      <c r="A626" s="3">
        <v>625</v>
      </c>
      <c r="B626" s="1" t="s">
        <v>6915</v>
      </c>
      <c r="D626" s="1" t="s">
        <v>6916</v>
      </c>
      <c r="F626" s="1" t="s">
        <v>6920</v>
      </c>
      <c r="H626" s="1" t="s">
        <v>6921</v>
      </c>
      <c r="J626" s="1" t="s">
        <v>1324</v>
      </c>
      <c r="L626" s="1" t="s">
        <v>7438</v>
      </c>
      <c r="M626" s="1" t="s">
        <v>3049</v>
      </c>
      <c r="N626" s="1" t="s">
        <v>6519</v>
      </c>
      <c r="P626" s="1" t="s">
        <v>7474</v>
      </c>
      <c r="Q626" s="3">
        <v>0</v>
      </c>
      <c r="R626" s="22" t="s">
        <v>2721</v>
      </c>
      <c r="S626" s="42" t="s">
        <v>6914</v>
      </c>
      <c r="T626" s="3" t="s">
        <v>4866</v>
      </c>
      <c r="U626" s="45">
        <v>35</v>
      </c>
      <c r="V626" t="s">
        <v>7442</v>
      </c>
      <c r="W626" s="1" t="str">
        <f>HYPERLINK("http://ictvonline.org/taxonomy/p/taxonomy-history?taxnode_id=201908165","ICTVonline=201908165")</f>
        <v>ICTVonline=201908165</v>
      </c>
    </row>
    <row r="627" spans="1:23">
      <c r="A627" s="3">
        <v>626</v>
      </c>
      <c r="B627" s="1" t="s">
        <v>6915</v>
      </c>
      <c r="D627" s="1" t="s">
        <v>6916</v>
      </c>
      <c r="F627" s="1" t="s">
        <v>6920</v>
      </c>
      <c r="H627" s="1" t="s">
        <v>6921</v>
      </c>
      <c r="J627" s="1" t="s">
        <v>1324</v>
      </c>
      <c r="L627" s="1" t="s">
        <v>7438</v>
      </c>
      <c r="M627" s="1" t="s">
        <v>3049</v>
      </c>
      <c r="N627" s="1" t="s">
        <v>6519</v>
      </c>
      <c r="P627" s="1" t="s">
        <v>3065</v>
      </c>
      <c r="Q627" s="3">
        <v>1</v>
      </c>
      <c r="R627" s="22" t="s">
        <v>2721</v>
      </c>
      <c r="S627" s="42" t="s">
        <v>6910</v>
      </c>
      <c r="T627" s="3" t="s">
        <v>4868</v>
      </c>
      <c r="U627" s="45">
        <v>35</v>
      </c>
      <c r="V627" t="s">
        <v>7442</v>
      </c>
      <c r="W627" s="1" t="str">
        <f>HYPERLINK("http://ictvonline.org/taxonomy/p/taxonomy-history?taxnode_id=201900828","ICTVonline=201900828")</f>
        <v>ICTVonline=201900828</v>
      </c>
    </row>
    <row r="628" spans="1:23">
      <c r="A628" s="3">
        <v>627</v>
      </c>
      <c r="B628" s="1" t="s">
        <v>6915</v>
      </c>
      <c r="D628" s="1" t="s">
        <v>6916</v>
      </c>
      <c r="F628" s="1" t="s">
        <v>6920</v>
      </c>
      <c r="H628" s="1" t="s">
        <v>6921</v>
      </c>
      <c r="J628" s="1" t="s">
        <v>1324</v>
      </c>
      <c r="L628" s="1" t="s">
        <v>7438</v>
      </c>
      <c r="M628" s="1" t="s">
        <v>3049</v>
      </c>
      <c r="N628" s="1" t="s">
        <v>6519</v>
      </c>
      <c r="P628" s="1" t="s">
        <v>7475</v>
      </c>
      <c r="Q628" s="3">
        <v>0</v>
      </c>
      <c r="R628" s="22" t="s">
        <v>2721</v>
      </c>
      <c r="S628" s="42" t="s">
        <v>6914</v>
      </c>
      <c r="T628" s="3" t="s">
        <v>4866</v>
      </c>
      <c r="U628" s="45">
        <v>35</v>
      </c>
      <c r="V628" t="s">
        <v>7442</v>
      </c>
      <c r="W628" s="1" t="str">
        <f>HYPERLINK("http://ictvonline.org/taxonomy/p/taxonomy-history?taxnode_id=201908162","ICTVonline=201908162")</f>
        <v>ICTVonline=201908162</v>
      </c>
    </row>
    <row r="629" spans="1:23">
      <c r="A629" s="3">
        <v>628</v>
      </c>
      <c r="B629" s="1" t="s">
        <v>6915</v>
      </c>
      <c r="D629" s="1" t="s">
        <v>6916</v>
      </c>
      <c r="F629" s="1" t="s">
        <v>6920</v>
      </c>
      <c r="H629" s="1" t="s">
        <v>6921</v>
      </c>
      <c r="J629" s="1" t="s">
        <v>1324</v>
      </c>
      <c r="L629" s="1" t="s">
        <v>7438</v>
      </c>
      <c r="M629" s="1" t="s">
        <v>3049</v>
      </c>
      <c r="N629" s="1" t="s">
        <v>6519</v>
      </c>
      <c r="P629" s="1" t="s">
        <v>7476</v>
      </c>
      <c r="Q629" s="3">
        <v>0</v>
      </c>
      <c r="R629" s="22" t="s">
        <v>2721</v>
      </c>
      <c r="S629" s="42" t="s">
        <v>6914</v>
      </c>
      <c r="T629" s="3" t="s">
        <v>4866</v>
      </c>
      <c r="U629" s="45">
        <v>35</v>
      </c>
      <c r="V629" t="s">
        <v>7442</v>
      </c>
      <c r="W629" s="1" t="str">
        <f>HYPERLINK("http://ictvonline.org/taxonomy/p/taxonomy-history?taxnode_id=201908161","ICTVonline=201908161")</f>
        <v>ICTVonline=201908161</v>
      </c>
    </row>
    <row r="630" spans="1:23">
      <c r="A630" s="3">
        <v>629</v>
      </c>
      <c r="B630" s="1" t="s">
        <v>6915</v>
      </c>
      <c r="D630" s="1" t="s">
        <v>6916</v>
      </c>
      <c r="F630" s="1" t="s">
        <v>6920</v>
      </c>
      <c r="H630" s="1" t="s">
        <v>6921</v>
      </c>
      <c r="J630" s="1" t="s">
        <v>1324</v>
      </c>
      <c r="L630" s="1" t="s">
        <v>7438</v>
      </c>
      <c r="M630" s="1" t="s">
        <v>3049</v>
      </c>
      <c r="N630" s="1" t="s">
        <v>6519</v>
      </c>
      <c r="P630" s="1" t="s">
        <v>3066</v>
      </c>
      <c r="Q630" s="3">
        <v>0</v>
      </c>
      <c r="R630" s="22" t="s">
        <v>2721</v>
      </c>
      <c r="S630" s="42" t="s">
        <v>6910</v>
      </c>
      <c r="T630" s="3" t="s">
        <v>4868</v>
      </c>
      <c r="U630" s="45">
        <v>35</v>
      </c>
      <c r="V630" t="s">
        <v>7442</v>
      </c>
      <c r="W630" s="1" t="str">
        <f>HYPERLINK("http://ictvonline.org/taxonomy/p/taxonomy-history?taxnode_id=201900829","ICTVonline=201900829")</f>
        <v>ICTVonline=201900829</v>
      </c>
    </row>
    <row r="631" spans="1:23">
      <c r="A631" s="3">
        <v>630</v>
      </c>
      <c r="B631" s="1" t="s">
        <v>6915</v>
      </c>
      <c r="D631" s="1" t="s">
        <v>6916</v>
      </c>
      <c r="F631" s="1" t="s">
        <v>6920</v>
      </c>
      <c r="H631" s="1" t="s">
        <v>6921</v>
      </c>
      <c r="J631" s="1" t="s">
        <v>1324</v>
      </c>
      <c r="L631" s="1" t="s">
        <v>7438</v>
      </c>
      <c r="M631" s="1" t="s">
        <v>3049</v>
      </c>
      <c r="N631" s="1" t="s">
        <v>6519</v>
      </c>
      <c r="P631" s="1" t="s">
        <v>7477</v>
      </c>
      <c r="Q631" s="3">
        <v>0</v>
      </c>
      <c r="R631" s="22" t="s">
        <v>2721</v>
      </c>
      <c r="S631" s="42" t="s">
        <v>6914</v>
      </c>
      <c r="T631" s="3" t="s">
        <v>4866</v>
      </c>
      <c r="U631" s="45">
        <v>35</v>
      </c>
      <c r="V631" t="s">
        <v>7442</v>
      </c>
      <c r="W631" s="1" t="str">
        <f>HYPERLINK("http://ictvonline.org/taxonomy/p/taxonomy-history?taxnode_id=201908163","ICTVonline=201908163")</f>
        <v>ICTVonline=201908163</v>
      </c>
    </row>
    <row r="632" spans="1:23">
      <c r="A632" s="3">
        <v>631</v>
      </c>
      <c r="B632" s="1" t="s">
        <v>6915</v>
      </c>
      <c r="D632" s="1" t="s">
        <v>6916</v>
      </c>
      <c r="F632" s="1" t="s">
        <v>6920</v>
      </c>
      <c r="H632" s="1" t="s">
        <v>6921</v>
      </c>
      <c r="J632" s="1" t="s">
        <v>1324</v>
      </c>
      <c r="L632" s="1" t="s">
        <v>7438</v>
      </c>
      <c r="M632" s="1" t="s">
        <v>3049</v>
      </c>
      <c r="N632" s="1" t="s">
        <v>6519</v>
      </c>
      <c r="P632" s="1" t="s">
        <v>7478</v>
      </c>
      <c r="Q632" s="3">
        <v>0</v>
      </c>
      <c r="R632" s="22" t="s">
        <v>2721</v>
      </c>
      <c r="S632" s="42" t="s">
        <v>6914</v>
      </c>
      <c r="T632" s="3" t="s">
        <v>4866</v>
      </c>
      <c r="U632" s="45">
        <v>35</v>
      </c>
      <c r="V632" t="s">
        <v>7442</v>
      </c>
      <c r="W632" s="1" t="str">
        <f>HYPERLINK("http://ictvonline.org/taxonomy/p/taxonomy-history?taxnode_id=201908159","ICTVonline=201908159")</f>
        <v>ICTVonline=201908159</v>
      </c>
    </row>
    <row r="633" spans="1:23">
      <c r="A633" s="3">
        <v>632</v>
      </c>
      <c r="B633" s="1" t="s">
        <v>6915</v>
      </c>
      <c r="D633" s="1" t="s">
        <v>6916</v>
      </c>
      <c r="F633" s="1" t="s">
        <v>6920</v>
      </c>
      <c r="H633" s="1" t="s">
        <v>6921</v>
      </c>
      <c r="J633" s="1" t="s">
        <v>1324</v>
      </c>
      <c r="L633" s="1" t="s">
        <v>7438</v>
      </c>
      <c r="M633" s="1" t="s">
        <v>3049</v>
      </c>
      <c r="N633" s="1" t="s">
        <v>6519</v>
      </c>
      <c r="P633" s="1" t="s">
        <v>3067</v>
      </c>
      <c r="Q633" s="3">
        <v>0</v>
      </c>
      <c r="R633" s="22" t="s">
        <v>2721</v>
      </c>
      <c r="S633" s="42" t="s">
        <v>6910</v>
      </c>
      <c r="T633" s="3" t="s">
        <v>4868</v>
      </c>
      <c r="U633" s="45">
        <v>35</v>
      </c>
      <c r="V633" t="s">
        <v>7442</v>
      </c>
      <c r="W633" s="1" t="str">
        <f>HYPERLINK("http://ictvonline.org/taxonomy/p/taxonomy-history?taxnode_id=201900830","ICTVonline=201900830")</f>
        <v>ICTVonline=201900830</v>
      </c>
    </row>
    <row r="634" spans="1:23">
      <c r="A634" s="3">
        <v>633</v>
      </c>
      <c r="B634" s="1" t="s">
        <v>6915</v>
      </c>
      <c r="D634" s="1" t="s">
        <v>6916</v>
      </c>
      <c r="F634" s="1" t="s">
        <v>6920</v>
      </c>
      <c r="H634" s="1" t="s">
        <v>6921</v>
      </c>
      <c r="J634" s="1" t="s">
        <v>1324</v>
      </c>
      <c r="L634" s="1" t="s">
        <v>7438</v>
      </c>
      <c r="M634" s="1" t="s">
        <v>3049</v>
      </c>
      <c r="N634" s="1" t="s">
        <v>6519</v>
      </c>
      <c r="P634" s="1" t="s">
        <v>6520</v>
      </c>
      <c r="Q634" s="3">
        <v>0</v>
      </c>
      <c r="R634" s="22" t="s">
        <v>2721</v>
      </c>
      <c r="S634" s="42" t="s">
        <v>6910</v>
      </c>
      <c r="T634" s="3" t="s">
        <v>4868</v>
      </c>
      <c r="U634" s="45">
        <v>35</v>
      </c>
      <c r="V634" t="s">
        <v>7442</v>
      </c>
      <c r="W634" s="1" t="str">
        <f>HYPERLINK("http://ictvonline.org/taxonomy/p/taxonomy-history?taxnode_id=201907089","ICTVonline=201907089")</f>
        <v>ICTVonline=201907089</v>
      </c>
    </row>
    <row r="635" spans="1:23">
      <c r="A635" s="3">
        <v>634</v>
      </c>
      <c r="B635" s="1" t="s">
        <v>6915</v>
      </c>
      <c r="D635" s="1" t="s">
        <v>6916</v>
      </c>
      <c r="F635" s="1" t="s">
        <v>6920</v>
      </c>
      <c r="H635" s="1" t="s">
        <v>6921</v>
      </c>
      <c r="J635" s="1" t="s">
        <v>1324</v>
      </c>
      <c r="L635" s="1" t="s">
        <v>7438</v>
      </c>
      <c r="M635" s="1" t="s">
        <v>3049</v>
      </c>
      <c r="P635" s="1" t="s">
        <v>3072</v>
      </c>
      <c r="Q635" s="3">
        <v>0</v>
      </c>
      <c r="R635" s="22" t="s">
        <v>2721</v>
      </c>
      <c r="S635" s="42" t="s">
        <v>6910</v>
      </c>
      <c r="T635" s="3" t="s">
        <v>4868</v>
      </c>
      <c r="U635" s="45">
        <v>35</v>
      </c>
      <c r="V635" t="s">
        <v>7442</v>
      </c>
      <c r="W635" s="1" t="str">
        <f>HYPERLINK("http://ictvonline.org/taxonomy/p/taxonomy-history?taxnode_id=201900836","ICTVonline=201900836")</f>
        <v>ICTVonline=201900836</v>
      </c>
    </row>
    <row r="636" spans="1:23">
      <c r="A636" s="3">
        <v>635</v>
      </c>
      <c r="B636" s="1" t="s">
        <v>6915</v>
      </c>
      <c r="D636" s="1" t="s">
        <v>6916</v>
      </c>
      <c r="F636" s="1" t="s">
        <v>6920</v>
      </c>
      <c r="H636" s="1" t="s">
        <v>6921</v>
      </c>
      <c r="J636" s="1" t="s">
        <v>1324</v>
      </c>
      <c r="L636" s="1" t="s">
        <v>7438</v>
      </c>
      <c r="N636" s="1" t="s">
        <v>6512</v>
      </c>
      <c r="P636" s="1" t="s">
        <v>6513</v>
      </c>
      <c r="Q636" s="3">
        <v>1</v>
      </c>
      <c r="R636" s="22" t="s">
        <v>2721</v>
      </c>
      <c r="S636" s="42" t="s">
        <v>6910</v>
      </c>
      <c r="T636" s="3" t="s">
        <v>4868</v>
      </c>
      <c r="U636" s="45">
        <v>35</v>
      </c>
      <c r="V636" t="s">
        <v>7442</v>
      </c>
      <c r="W636" s="1" t="str">
        <f>HYPERLINK("http://ictvonline.org/taxonomy/p/taxonomy-history?taxnode_id=201907067","ICTVonline=201907067")</f>
        <v>ICTVonline=201907067</v>
      </c>
    </row>
    <row r="637" spans="1:23">
      <c r="A637" s="3">
        <v>636</v>
      </c>
      <c r="B637" s="1" t="s">
        <v>6915</v>
      </c>
      <c r="D637" s="1" t="s">
        <v>6916</v>
      </c>
      <c r="F637" s="1" t="s">
        <v>6920</v>
      </c>
      <c r="H637" s="1" t="s">
        <v>6921</v>
      </c>
      <c r="J637" s="1" t="s">
        <v>1324</v>
      </c>
      <c r="L637" s="1" t="s">
        <v>7438</v>
      </c>
      <c r="N637" s="1" t="s">
        <v>7479</v>
      </c>
      <c r="P637" s="1" t="s">
        <v>7480</v>
      </c>
      <c r="Q637" s="3">
        <v>1</v>
      </c>
      <c r="R637" s="22" t="s">
        <v>2721</v>
      </c>
      <c r="S637" s="42" t="s">
        <v>6914</v>
      </c>
      <c r="T637" s="3" t="s">
        <v>4866</v>
      </c>
      <c r="U637" s="45">
        <v>35</v>
      </c>
      <c r="V637" t="s">
        <v>7442</v>
      </c>
      <c r="W637" s="1" t="str">
        <f>HYPERLINK("http://ictvonline.org/taxonomy/p/taxonomy-history?taxnode_id=201908169","ICTVonline=201908169")</f>
        <v>ICTVonline=201908169</v>
      </c>
    </row>
    <row r="638" spans="1:23">
      <c r="A638" s="3">
        <v>637</v>
      </c>
      <c r="B638" s="1" t="s">
        <v>6915</v>
      </c>
      <c r="D638" s="1" t="s">
        <v>6916</v>
      </c>
      <c r="F638" s="1" t="s">
        <v>6920</v>
      </c>
      <c r="H638" s="1" t="s">
        <v>6921</v>
      </c>
      <c r="J638" s="1" t="s">
        <v>1324</v>
      </c>
      <c r="L638" s="1" t="s">
        <v>7438</v>
      </c>
      <c r="N638" s="1" t="s">
        <v>7481</v>
      </c>
      <c r="P638" s="1" t="s">
        <v>7482</v>
      </c>
      <c r="Q638" s="3">
        <v>1</v>
      </c>
      <c r="R638" s="22" t="s">
        <v>2721</v>
      </c>
      <c r="S638" s="42" t="s">
        <v>6914</v>
      </c>
      <c r="T638" s="3" t="s">
        <v>4866</v>
      </c>
      <c r="U638" s="45">
        <v>35</v>
      </c>
      <c r="V638" t="s">
        <v>7442</v>
      </c>
      <c r="W638" s="1" t="str">
        <f>HYPERLINK("http://ictvonline.org/taxonomy/p/taxonomy-history?taxnode_id=201908172","ICTVonline=201908172")</f>
        <v>ICTVonline=201908172</v>
      </c>
    </row>
    <row r="639" spans="1:23">
      <c r="A639" s="3">
        <v>638</v>
      </c>
      <c r="B639" s="1" t="s">
        <v>6915</v>
      </c>
      <c r="D639" s="1" t="s">
        <v>6916</v>
      </c>
      <c r="F639" s="1" t="s">
        <v>6920</v>
      </c>
      <c r="H639" s="1" t="s">
        <v>6921</v>
      </c>
      <c r="J639" s="1" t="s">
        <v>1324</v>
      </c>
      <c r="L639" s="1" t="s">
        <v>7438</v>
      </c>
      <c r="N639" s="1" t="s">
        <v>7483</v>
      </c>
      <c r="P639" s="1" t="s">
        <v>7484</v>
      </c>
      <c r="Q639" s="3">
        <v>1</v>
      </c>
      <c r="R639" s="22" t="s">
        <v>2721</v>
      </c>
      <c r="S639" s="42" t="s">
        <v>6914</v>
      </c>
      <c r="T639" s="3" t="s">
        <v>4866</v>
      </c>
      <c r="U639" s="45">
        <v>35</v>
      </c>
      <c r="V639" t="s">
        <v>7442</v>
      </c>
      <c r="W639" s="1" t="str">
        <f>HYPERLINK("http://ictvonline.org/taxonomy/p/taxonomy-history?taxnode_id=201908174","ICTVonline=201908174")</f>
        <v>ICTVonline=201908174</v>
      </c>
    </row>
    <row r="640" spans="1:23">
      <c r="A640" s="3">
        <v>639</v>
      </c>
      <c r="B640" s="1" t="s">
        <v>6915</v>
      </c>
      <c r="D640" s="1" t="s">
        <v>6916</v>
      </c>
      <c r="F640" s="1" t="s">
        <v>6920</v>
      </c>
      <c r="H640" s="1" t="s">
        <v>6921</v>
      </c>
      <c r="J640" s="1" t="s">
        <v>1324</v>
      </c>
      <c r="L640" s="1" t="s">
        <v>7438</v>
      </c>
      <c r="N640" s="1" t="s">
        <v>7485</v>
      </c>
      <c r="P640" s="1" t="s">
        <v>7486</v>
      </c>
      <c r="Q640" s="3">
        <v>1</v>
      </c>
      <c r="R640" s="22" t="s">
        <v>2721</v>
      </c>
      <c r="S640" s="42" t="s">
        <v>6910</v>
      </c>
      <c r="T640" s="3" t="s">
        <v>4866</v>
      </c>
      <c r="U640" s="45">
        <v>35</v>
      </c>
      <c r="V640" t="s">
        <v>7442</v>
      </c>
      <c r="W640" s="1" t="str">
        <f>HYPERLINK("http://ictvonline.org/taxonomy/p/taxonomy-history?taxnode_id=201908717","ICTVonline=201908717")</f>
        <v>ICTVonline=201908717</v>
      </c>
    </row>
    <row r="641" spans="1:23">
      <c r="A641" s="3">
        <v>640</v>
      </c>
      <c r="B641" s="1" t="s">
        <v>6915</v>
      </c>
      <c r="D641" s="1" t="s">
        <v>6916</v>
      </c>
      <c r="F641" s="1" t="s">
        <v>6920</v>
      </c>
      <c r="H641" s="1" t="s">
        <v>6921</v>
      </c>
      <c r="J641" s="1" t="s">
        <v>1324</v>
      </c>
      <c r="L641" s="1" t="s">
        <v>7438</v>
      </c>
      <c r="N641" s="1" t="s">
        <v>6521</v>
      </c>
      <c r="P641" s="1" t="s">
        <v>3050</v>
      </c>
      <c r="Q641" s="3">
        <v>0</v>
      </c>
      <c r="R641" s="22" t="s">
        <v>2721</v>
      </c>
      <c r="S641" s="42" t="s">
        <v>6910</v>
      </c>
      <c r="T641" s="3" t="s">
        <v>4868</v>
      </c>
      <c r="U641" s="45">
        <v>35</v>
      </c>
      <c r="V641" t="s">
        <v>7442</v>
      </c>
      <c r="W641" s="1" t="str">
        <f>HYPERLINK("http://ictvonline.org/taxonomy/p/taxonomy-history?taxnode_id=201900805","ICTVonline=201900805")</f>
        <v>ICTVonline=201900805</v>
      </c>
    </row>
    <row r="642" spans="1:23">
      <c r="A642" s="3">
        <v>641</v>
      </c>
      <c r="B642" s="1" t="s">
        <v>6915</v>
      </c>
      <c r="D642" s="1" t="s">
        <v>6916</v>
      </c>
      <c r="F642" s="1" t="s">
        <v>6920</v>
      </c>
      <c r="H642" s="1" t="s">
        <v>6921</v>
      </c>
      <c r="J642" s="1" t="s">
        <v>1324</v>
      </c>
      <c r="L642" s="1" t="s">
        <v>7438</v>
      </c>
      <c r="N642" s="1" t="s">
        <v>6521</v>
      </c>
      <c r="P642" s="1" t="s">
        <v>3051</v>
      </c>
      <c r="Q642" s="3">
        <v>0</v>
      </c>
      <c r="R642" s="22" t="s">
        <v>2721</v>
      </c>
      <c r="S642" s="42" t="s">
        <v>6910</v>
      </c>
      <c r="T642" s="3" t="s">
        <v>4868</v>
      </c>
      <c r="U642" s="45">
        <v>35</v>
      </c>
      <c r="V642" t="s">
        <v>7442</v>
      </c>
      <c r="W642" s="1" t="str">
        <f>HYPERLINK("http://ictvonline.org/taxonomy/p/taxonomy-history?taxnode_id=201900806","ICTVonline=201900806")</f>
        <v>ICTVonline=201900806</v>
      </c>
    </row>
    <row r="643" spans="1:23">
      <c r="A643" s="3">
        <v>642</v>
      </c>
      <c r="B643" s="1" t="s">
        <v>6915</v>
      </c>
      <c r="D643" s="1" t="s">
        <v>6916</v>
      </c>
      <c r="F643" s="1" t="s">
        <v>6920</v>
      </c>
      <c r="H643" s="1" t="s">
        <v>6921</v>
      </c>
      <c r="J643" s="1" t="s">
        <v>1324</v>
      </c>
      <c r="L643" s="1" t="s">
        <v>7438</v>
      </c>
      <c r="N643" s="1" t="s">
        <v>6521</v>
      </c>
      <c r="P643" s="1" t="s">
        <v>7487</v>
      </c>
      <c r="Q643" s="3">
        <v>0</v>
      </c>
      <c r="R643" s="22" t="s">
        <v>2721</v>
      </c>
      <c r="S643" s="42" t="s">
        <v>6914</v>
      </c>
      <c r="T643" s="3" t="s">
        <v>4866</v>
      </c>
      <c r="U643" s="45">
        <v>35</v>
      </c>
      <c r="V643" t="s">
        <v>7442</v>
      </c>
      <c r="W643" s="1" t="str">
        <f>HYPERLINK("http://ictvonline.org/taxonomy/p/taxonomy-history?taxnode_id=201908186","ICTVonline=201908186")</f>
        <v>ICTVonline=201908186</v>
      </c>
    </row>
    <row r="644" spans="1:23">
      <c r="A644" s="3">
        <v>643</v>
      </c>
      <c r="B644" s="1" t="s">
        <v>6915</v>
      </c>
      <c r="D644" s="1" t="s">
        <v>6916</v>
      </c>
      <c r="F644" s="1" t="s">
        <v>6920</v>
      </c>
      <c r="H644" s="1" t="s">
        <v>6921</v>
      </c>
      <c r="J644" s="1" t="s">
        <v>1324</v>
      </c>
      <c r="L644" s="1" t="s">
        <v>7438</v>
      </c>
      <c r="N644" s="1" t="s">
        <v>6521</v>
      </c>
      <c r="P644" s="1" t="s">
        <v>4290</v>
      </c>
      <c r="Q644" s="3">
        <v>0</v>
      </c>
      <c r="R644" s="22" t="s">
        <v>2721</v>
      </c>
      <c r="S644" s="42" t="s">
        <v>6910</v>
      </c>
      <c r="T644" s="3" t="s">
        <v>4868</v>
      </c>
      <c r="U644" s="45">
        <v>35</v>
      </c>
      <c r="V644" t="s">
        <v>7442</v>
      </c>
      <c r="W644" s="1" t="str">
        <f>HYPERLINK("http://ictvonline.org/taxonomy/p/taxonomy-history?taxnode_id=201900807","ICTVonline=201900807")</f>
        <v>ICTVonline=201900807</v>
      </c>
    </row>
    <row r="645" spans="1:23">
      <c r="A645" s="3">
        <v>644</v>
      </c>
      <c r="B645" s="1" t="s">
        <v>6915</v>
      </c>
      <c r="D645" s="1" t="s">
        <v>6916</v>
      </c>
      <c r="F645" s="1" t="s">
        <v>6920</v>
      </c>
      <c r="H645" s="1" t="s">
        <v>6921</v>
      </c>
      <c r="J645" s="1" t="s">
        <v>1324</v>
      </c>
      <c r="L645" s="1" t="s">
        <v>7438</v>
      </c>
      <c r="N645" s="1" t="s">
        <v>6521</v>
      </c>
      <c r="P645" s="1" t="s">
        <v>7488</v>
      </c>
      <c r="Q645" s="3">
        <v>0</v>
      </c>
      <c r="R645" s="22" t="s">
        <v>2721</v>
      </c>
      <c r="S645" s="42" t="s">
        <v>6914</v>
      </c>
      <c r="T645" s="3" t="s">
        <v>4866</v>
      </c>
      <c r="U645" s="45">
        <v>35</v>
      </c>
      <c r="V645" t="s">
        <v>7442</v>
      </c>
      <c r="W645" s="1" t="str">
        <f>HYPERLINK("http://ictvonline.org/taxonomy/p/taxonomy-history?taxnode_id=201908176","ICTVonline=201908176")</f>
        <v>ICTVonline=201908176</v>
      </c>
    </row>
    <row r="646" spans="1:23">
      <c r="A646" s="3">
        <v>645</v>
      </c>
      <c r="B646" s="1" t="s">
        <v>6915</v>
      </c>
      <c r="D646" s="1" t="s">
        <v>6916</v>
      </c>
      <c r="F646" s="1" t="s">
        <v>6920</v>
      </c>
      <c r="H646" s="1" t="s">
        <v>6921</v>
      </c>
      <c r="J646" s="1" t="s">
        <v>1324</v>
      </c>
      <c r="L646" s="1" t="s">
        <v>7438</v>
      </c>
      <c r="N646" s="1" t="s">
        <v>6521</v>
      </c>
      <c r="P646" s="1" t="s">
        <v>3052</v>
      </c>
      <c r="Q646" s="3">
        <v>1</v>
      </c>
      <c r="R646" s="22" t="s">
        <v>2721</v>
      </c>
      <c r="S646" s="42" t="s">
        <v>6910</v>
      </c>
      <c r="T646" s="3" t="s">
        <v>4868</v>
      </c>
      <c r="U646" s="45">
        <v>35</v>
      </c>
      <c r="V646" t="s">
        <v>7442</v>
      </c>
      <c r="W646" s="1" t="str">
        <f>HYPERLINK("http://ictvonline.org/taxonomy/p/taxonomy-history?taxnode_id=201900808","ICTVonline=201900808")</f>
        <v>ICTVonline=201900808</v>
      </c>
    </row>
    <row r="647" spans="1:23">
      <c r="A647" s="3">
        <v>646</v>
      </c>
      <c r="B647" s="1" t="s">
        <v>6915</v>
      </c>
      <c r="D647" s="1" t="s">
        <v>6916</v>
      </c>
      <c r="F647" s="1" t="s">
        <v>6920</v>
      </c>
      <c r="H647" s="1" t="s">
        <v>6921</v>
      </c>
      <c r="J647" s="1" t="s">
        <v>1324</v>
      </c>
      <c r="L647" s="1" t="s">
        <v>7438</v>
      </c>
      <c r="N647" s="1" t="s">
        <v>6521</v>
      </c>
      <c r="P647" s="1" t="s">
        <v>7489</v>
      </c>
      <c r="Q647" s="3">
        <v>0</v>
      </c>
      <c r="R647" s="22" t="s">
        <v>2721</v>
      </c>
      <c r="S647" s="42" t="s">
        <v>6914</v>
      </c>
      <c r="T647" s="3" t="s">
        <v>4866</v>
      </c>
      <c r="U647" s="45">
        <v>35</v>
      </c>
      <c r="V647" t="s">
        <v>7442</v>
      </c>
      <c r="W647" s="1" t="str">
        <f>HYPERLINK("http://ictvonline.org/taxonomy/p/taxonomy-history?taxnode_id=201908183","ICTVonline=201908183")</f>
        <v>ICTVonline=201908183</v>
      </c>
    </row>
    <row r="648" spans="1:23">
      <c r="A648" s="3">
        <v>647</v>
      </c>
      <c r="B648" s="1" t="s">
        <v>6915</v>
      </c>
      <c r="D648" s="1" t="s">
        <v>6916</v>
      </c>
      <c r="F648" s="1" t="s">
        <v>6920</v>
      </c>
      <c r="H648" s="1" t="s">
        <v>6921</v>
      </c>
      <c r="J648" s="1" t="s">
        <v>1324</v>
      </c>
      <c r="L648" s="1" t="s">
        <v>7438</v>
      </c>
      <c r="N648" s="1" t="s">
        <v>6521</v>
      </c>
      <c r="P648" s="1" t="s">
        <v>7490</v>
      </c>
      <c r="Q648" s="3">
        <v>0</v>
      </c>
      <c r="R648" s="22" t="s">
        <v>2721</v>
      </c>
      <c r="S648" s="42" t="s">
        <v>6914</v>
      </c>
      <c r="T648" s="3" t="s">
        <v>4866</v>
      </c>
      <c r="U648" s="45">
        <v>35</v>
      </c>
      <c r="V648" t="s">
        <v>7442</v>
      </c>
      <c r="W648" s="1" t="str">
        <f>HYPERLINK("http://ictvonline.org/taxonomy/p/taxonomy-history?taxnode_id=201908185","ICTVonline=201908185")</f>
        <v>ICTVonline=201908185</v>
      </c>
    </row>
    <row r="649" spans="1:23">
      <c r="A649" s="3">
        <v>648</v>
      </c>
      <c r="B649" s="1" t="s">
        <v>6915</v>
      </c>
      <c r="D649" s="1" t="s">
        <v>6916</v>
      </c>
      <c r="F649" s="1" t="s">
        <v>6920</v>
      </c>
      <c r="H649" s="1" t="s">
        <v>6921</v>
      </c>
      <c r="J649" s="1" t="s">
        <v>1324</v>
      </c>
      <c r="L649" s="1" t="s">
        <v>7438</v>
      </c>
      <c r="N649" s="1" t="s">
        <v>6521</v>
      </c>
      <c r="P649" s="1" t="s">
        <v>7491</v>
      </c>
      <c r="Q649" s="3">
        <v>0</v>
      </c>
      <c r="R649" s="22" t="s">
        <v>2721</v>
      </c>
      <c r="S649" s="42" t="s">
        <v>6914</v>
      </c>
      <c r="T649" s="3" t="s">
        <v>4866</v>
      </c>
      <c r="U649" s="45">
        <v>35</v>
      </c>
      <c r="V649" t="s">
        <v>7442</v>
      </c>
      <c r="W649" s="1" t="str">
        <f>HYPERLINK("http://ictvonline.org/taxonomy/p/taxonomy-history?taxnode_id=201908184","ICTVonline=201908184")</f>
        <v>ICTVonline=201908184</v>
      </c>
    </row>
    <row r="650" spans="1:23">
      <c r="A650" s="3">
        <v>649</v>
      </c>
      <c r="B650" s="1" t="s">
        <v>6915</v>
      </c>
      <c r="D650" s="1" t="s">
        <v>6916</v>
      </c>
      <c r="F650" s="1" t="s">
        <v>6920</v>
      </c>
      <c r="H650" s="1" t="s">
        <v>6921</v>
      </c>
      <c r="J650" s="1" t="s">
        <v>1324</v>
      </c>
      <c r="L650" s="1" t="s">
        <v>7438</v>
      </c>
      <c r="N650" s="1" t="s">
        <v>6521</v>
      </c>
      <c r="P650" s="1" t="s">
        <v>7492</v>
      </c>
      <c r="Q650" s="3">
        <v>0</v>
      </c>
      <c r="R650" s="22" t="s">
        <v>2721</v>
      </c>
      <c r="S650" s="42" t="s">
        <v>6914</v>
      </c>
      <c r="T650" s="3" t="s">
        <v>4866</v>
      </c>
      <c r="U650" s="45">
        <v>35</v>
      </c>
      <c r="V650" t="s">
        <v>7442</v>
      </c>
      <c r="W650" s="1" t="str">
        <f>HYPERLINK("http://ictvonline.org/taxonomy/p/taxonomy-history?taxnode_id=201908175","ICTVonline=201908175")</f>
        <v>ICTVonline=201908175</v>
      </c>
    </row>
    <row r="651" spans="1:23">
      <c r="A651" s="3">
        <v>650</v>
      </c>
      <c r="B651" s="1" t="s">
        <v>6915</v>
      </c>
      <c r="D651" s="1" t="s">
        <v>6916</v>
      </c>
      <c r="F651" s="1" t="s">
        <v>6920</v>
      </c>
      <c r="H651" s="1" t="s">
        <v>6921</v>
      </c>
      <c r="J651" s="1" t="s">
        <v>1324</v>
      </c>
      <c r="L651" s="1" t="s">
        <v>7438</v>
      </c>
      <c r="N651" s="1" t="s">
        <v>6521</v>
      </c>
      <c r="P651" s="1" t="s">
        <v>7493</v>
      </c>
      <c r="Q651" s="3">
        <v>0</v>
      </c>
      <c r="R651" s="22" t="s">
        <v>2721</v>
      </c>
      <c r="S651" s="42" t="s">
        <v>6914</v>
      </c>
      <c r="T651" s="3" t="s">
        <v>4866</v>
      </c>
      <c r="U651" s="45">
        <v>35</v>
      </c>
      <c r="V651" t="s">
        <v>7442</v>
      </c>
      <c r="W651" s="1" t="str">
        <f>HYPERLINK("http://ictvonline.org/taxonomy/p/taxonomy-history?taxnode_id=201908182","ICTVonline=201908182")</f>
        <v>ICTVonline=201908182</v>
      </c>
    </row>
    <row r="652" spans="1:23">
      <c r="A652" s="3">
        <v>651</v>
      </c>
      <c r="B652" s="1" t="s">
        <v>6915</v>
      </c>
      <c r="D652" s="1" t="s">
        <v>6916</v>
      </c>
      <c r="F652" s="1" t="s">
        <v>6920</v>
      </c>
      <c r="H652" s="1" t="s">
        <v>6921</v>
      </c>
      <c r="J652" s="1" t="s">
        <v>1324</v>
      </c>
      <c r="L652" s="1" t="s">
        <v>7438</v>
      </c>
      <c r="N652" s="1" t="s">
        <v>6521</v>
      </c>
      <c r="P652" s="1" t="s">
        <v>7494</v>
      </c>
      <c r="Q652" s="3">
        <v>0</v>
      </c>
      <c r="R652" s="22" t="s">
        <v>2721</v>
      </c>
      <c r="S652" s="42" t="s">
        <v>6914</v>
      </c>
      <c r="T652" s="3" t="s">
        <v>4866</v>
      </c>
      <c r="U652" s="45">
        <v>35</v>
      </c>
      <c r="V652" t="s">
        <v>7442</v>
      </c>
      <c r="W652" s="1" t="str">
        <f>HYPERLINK("http://ictvonline.org/taxonomy/p/taxonomy-history?taxnode_id=201908181","ICTVonline=201908181")</f>
        <v>ICTVonline=201908181</v>
      </c>
    </row>
    <row r="653" spans="1:23">
      <c r="A653" s="3">
        <v>652</v>
      </c>
      <c r="B653" s="1" t="s">
        <v>6915</v>
      </c>
      <c r="D653" s="1" t="s">
        <v>6916</v>
      </c>
      <c r="F653" s="1" t="s">
        <v>6920</v>
      </c>
      <c r="H653" s="1" t="s">
        <v>6921</v>
      </c>
      <c r="J653" s="1" t="s">
        <v>1324</v>
      </c>
      <c r="L653" s="1" t="s">
        <v>7438</v>
      </c>
      <c r="N653" s="1" t="s">
        <v>6521</v>
      </c>
      <c r="P653" s="1" t="s">
        <v>7495</v>
      </c>
      <c r="Q653" s="3">
        <v>0</v>
      </c>
      <c r="R653" s="22" t="s">
        <v>2721</v>
      </c>
      <c r="S653" s="42" t="s">
        <v>6914</v>
      </c>
      <c r="T653" s="3" t="s">
        <v>4866</v>
      </c>
      <c r="U653" s="45">
        <v>35</v>
      </c>
      <c r="V653" t="s">
        <v>7442</v>
      </c>
      <c r="W653" s="1" t="str">
        <f>HYPERLINK("http://ictvonline.org/taxonomy/p/taxonomy-history?taxnode_id=201908178","ICTVonline=201908178")</f>
        <v>ICTVonline=201908178</v>
      </c>
    </row>
    <row r="654" spans="1:23">
      <c r="A654" s="3">
        <v>653</v>
      </c>
      <c r="B654" s="1" t="s">
        <v>6915</v>
      </c>
      <c r="D654" s="1" t="s">
        <v>6916</v>
      </c>
      <c r="F654" s="1" t="s">
        <v>6920</v>
      </c>
      <c r="H654" s="1" t="s">
        <v>6921</v>
      </c>
      <c r="J654" s="1" t="s">
        <v>1324</v>
      </c>
      <c r="L654" s="1" t="s">
        <v>7438</v>
      </c>
      <c r="N654" s="1" t="s">
        <v>6521</v>
      </c>
      <c r="P654" s="1" t="s">
        <v>7496</v>
      </c>
      <c r="Q654" s="3">
        <v>0</v>
      </c>
      <c r="R654" s="22" t="s">
        <v>2721</v>
      </c>
      <c r="S654" s="42" t="s">
        <v>6914</v>
      </c>
      <c r="T654" s="3" t="s">
        <v>4866</v>
      </c>
      <c r="U654" s="45">
        <v>35</v>
      </c>
      <c r="V654" t="s">
        <v>7442</v>
      </c>
      <c r="W654" s="1" t="str">
        <f>HYPERLINK("http://ictvonline.org/taxonomy/p/taxonomy-history?taxnode_id=201908179","ICTVonline=201908179")</f>
        <v>ICTVonline=201908179</v>
      </c>
    </row>
    <row r="655" spans="1:23">
      <c r="A655" s="3">
        <v>654</v>
      </c>
      <c r="B655" s="1" t="s">
        <v>6915</v>
      </c>
      <c r="D655" s="1" t="s">
        <v>6916</v>
      </c>
      <c r="F655" s="1" t="s">
        <v>6920</v>
      </c>
      <c r="H655" s="1" t="s">
        <v>6921</v>
      </c>
      <c r="J655" s="1" t="s">
        <v>1324</v>
      </c>
      <c r="L655" s="1" t="s">
        <v>7438</v>
      </c>
      <c r="N655" s="1" t="s">
        <v>6521</v>
      </c>
      <c r="P655" s="1" t="s">
        <v>4291</v>
      </c>
      <c r="Q655" s="3">
        <v>0</v>
      </c>
      <c r="R655" s="22" t="s">
        <v>2721</v>
      </c>
      <c r="S655" s="42" t="s">
        <v>6910</v>
      </c>
      <c r="T655" s="3" t="s">
        <v>4868</v>
      </c>
      <c r="U655" s="45">
        <v>35</v>
      </c>
      <c r="V655" t="s">
        <v>7442</v>
      </c>
      <c r="W655" s="1" t="str">
        <f>HYPERLINK("http://ictvonline.org/taxonomy/p/taxonomy-history?taxnode_id=201900809","ICTVonline=201900809")</f>
        <v>ICTVonline=201900809</v>
      </c>
    </row>
    <row r="656" spans="1:23">
      <c r="A656" s="3">
        <v>655</v>
      </c>
      <c r="B656" s="1" t="s">
        <v>6915</v>
      </c>
      <c r="D656" s="1" t="s">
        <v>6916</v>
      </c>
      <c r="F656" s="1" t="s">
        <v>6920</v>
      </c>
      <c r="H656" s="1" t="s">
        <v>6921</v>
      </c>
      <c r="J656" s="1" t="s">
        <v>1324</v>
      </c>
      <c r="L656" s="1" t="s">
        <v>7438</v>
      </c>
      <c r="N656" s="1" t="s">
        <v>6521</v>
      </c>
      <c r="P656" s="1" t="s">
        <v>4292</v>
      </c>
      <c r="Q656" s="3">
        <v>0</v>
      </c>
      <c r="R656" s="22" t="s">
        <v>2721</v>
      </c>
      <c r="S656" s="42" t="s">
        <v>6910</v>
      </c>
      <c r="T656" s="3" t="s">
        <v>4868</v>
      </c>
      <c r="U656" s="45">
        <v>35</v>
      </c>
      <c r="V656" t="s">
        <v>7442</v>
      </c>
      <c r="W656" s="1" t="str">
        <f>HYPERLINK("http://ictvonline.org/taxonomy/p/taxonomy-history?taxnode_id=201900810","ICTVonline=201900810")</f>
        <v>ICTVonline=201900810</v>
      </c>
    </row>
    <row r="657" spans="1:23">
      <c r="A657" s="3">
        <v>656</v>
      </c>
      <c r="B657" s="1" t="s">
        <v>6915</v>
      </c>
      <c r="D657" s="1" t="s">
        <v>6916</v>
      </c>
      <c r="F657" s="1" t="s">
        <v>6920</v>
      </c>
      <c r="H657" s="1" t="s">
        <v>6921</v>
      </c>
      <c r="J657" s="1" t="s">
        <v>1324</v>
      </c>
      <c r="L657" s="1" t="s">
        <v>7438</v>
      </c>
      <c r="N657" s="1" t="s">
        <v>6521</v>
      </c>
      <c r="P657" s="1" t="s">
        <v>7497</v>
      </c>
      <c r="Q657" s="3">
        <v>0</v>
      </c>
      <c r="R657" s="22" t="s">
        <v>2721</v>
      </c>
      <c r="S657" s="42" t="s">
        <v>6914</v>
      </c>
      <c r="T657" s="3" t="s">
        <v>4866</v>
      </c>
      <c r="U657" s="45">
        <v>35</v>
      </c>
      <c r="V657" t="s">
        <v>7442</v>
      </c>
      <c r="W657" s="1" t="str">
        <f>HYPERLINK("http://ictvonline.org/taxonomy/p/taxonomy-history?taxnode_id=201908180","ICTVonline=201908180")</f>
        <v>ICTVonline=201908180</v>
      </c>
    </row>
    <row r="658" spans="1:23">
      <c r="A658" s="3">
        <v>657</v>
      </c>
      <c r="B658" s="1" t="s">
        <v>6915</v>
      </c>
      <c r="D658" s="1" t="s">
        <v>6916</v>
      </c>
      <c r="F658" s="1" t="s">
        <v>6920</v>
      </c>
      <c r="H658" s="1" t="s">
        <v>6921</v>
      </c>
      <c r="J658" s="1" t="s">
        <v>1324</v>
      </c>
      <c r="L658" s="1" t="s">
        <v>7438</v>
      </c>
      <c r="N658" s="1" t="s">
        <v>6521</v>
      </c>
      <c r="P658" s="1" t="s">
        <v>7498</v>
      </c>
      <c r="Q658" s="3">
        <v>0</v>
      </c>
      <c r="R658" s="22" t="s">
        <v>2721</v>
      </c>
      <c r="S658" s="42" t="s">
        <v>6914</v>
      </c>
      <c r="T658" s="3" t="s">
        <v>4866</v>
      </c>
      <c r="U658" s="45">
        <v>35</v>
      </c>
      <c r="V658" t="s">
        <v>7442</v>
      </c>
      <c r="W658" s="1" t="str">
        <f>HYPERLINK("http://ictvonline.org/taxonomy/p/taxonomy-history?taxnode_id=201908177","ICTVonline=201908177")</f>
        <v>ICTVonline=201908177</v>
      </c>
    </row>
    <row r="659" spans="1:23">
      <c r="A659" s="3">
        <v>658</v>
      </c>
      <c r="B659" s="1" t="s">
        <v>6915</v>
      </c>
      <c r="D659" s="1" t="s">
        <v>6916</v>
      </c>
      <c r="F659" s="1" t="s">
        <v>6920</v>
      </c>
      <c r="H659" s="1" t="s">
        <v>6921</v>
      </c>
      <c r="J659" s="1" t="s">
        <v>1324</v>
      </c>
      <c r="L659" s="1" t="s">
        <v>6213</v>
      </c>
      <c r="M659" s="1" t="s">
        <v>6214</v>
      </c>
      <c r="N659" s="1" t="s">
        <v>2828</v>
      </c>
      <c r="P659" s="1" t="s">
        <v>2829</v>
      </c>
      <c r="Q659" s="3">
        <v>1</v>
      </c>
      <c r="R659" s="22" t="s">
        <v>2721</v>
      </c>
      <c r="S659" s="42" t="s">
        <v>6910</v>
      </c>
      <c r="T659" s="3" t="s">
        <v>4868</v>
      </c>
      <c r="U659" s="45">
        <v>35</v>
      </c>
      <c r="V659" t="s">
        <v>6919</v>
      </c>
      <c r="W659" s="1" t="str">
        <f>HYPERLINK("http://ictvonline.org/taxonomy/p/taxonomy-history?taxnode_id=201900367","ICTVonline=201900367")</f>
        <v>ICTVonline=201900367</v>
      </c>
    </row>
    <row r="660" spans="1:23">
      <c r="A660" s="3">
        <v>659</v>
      </c>
      <c r="B660" s="1" t="s">
        <v>6915</v>
      </c>
      <c r="D660" s="1" t="s">
        <v>6916</v>
      </c>
      <c r="F660" s="1" t="s">
        <v>6920</v>
      </c>
      <c r="H660" s="1" t="s">
        <v>6921</v>
      </c>
      <c r="J660" s="1" t="s">
        <v>1324</v>
      </c>
      <c r="L660" s="1" t="s">
        <v>6213</v>
      </c>
      <c r="M660" s="1" t="s">
        <v>6214</v>
      </c>
      <c r="N660" s="1" t="s">
        <v>2828</v>
      </c>
      <c r="P660" s="1" t="s">
        <v>2830</v>
      </c>
      <c r="Q660" s="3">
        <v>0</v>
      </c>
      <c r="R660" s="22" t="s">
        <v>2721</v>
      </c>
      <c r="S660" s="42" t="s">
        <v>6910</v>
      </c>
      <c r="T660" s="3" t="s">
        <v>4868</v>
      </c>
      <c r="U660" s="45">
        <v>35</v>
      </c>
      <c r="V660" t="s">
        <v>6919</v>
      </c>
      <c r="W660" s="1" t="str">
        <f>HYPERLINK("http://ictvonline.org/taxonomy/p/taxonomy-history?taxnode_id=201900368","ICTVonline=201900368")</f>
        <v>ICTVonline=201900368</v>
      </c>
    </row>
    <row r="661" spans="1:23">
      <c r="A661" s="3">
        <v>660</v>
      </c>
      <c r="B661" s="1" t="s">
        <v>6915</v>
      </c>
      <c r="D661" s="1" t="s">
        <v>6916</v>
      </c>
      <c r="F661" s="1" t="s">
        <v>6920</v>
      </c>
      <c r="H661" s="1" t="s">
        <v>6921</v>
      </c>
      <c r="J661" s="1" t="s">
        <v>1324</v>
      </c>
      <c r="L661" s="1" t="s">
        <v>6213</v>
      </c>
      <c r="M661" s="1" t="s">
        <v>6214</v>
      </c>
      <c r="N661" s="1" t="s">
        <v>2828</v>
      </c>
      <c r="P661" s="1" t="s">
        <v>2831</v>
      </c>
      <c r="Q661" s="3">
        <v>0</v>
      </c>
      <c r="R661" s="22" t="s">
        <v>2721</v>
      </c>
      <c r="S661" s="42" t="s">
        <v>6910</v>
      </c>
      <c r="T661" s="3" t="s">
        <v>4868</v>
      </c>
      <c r="U661" s="45">
        <v>35</v>
      </c>
      <c r="V661" t="s">
        <v>6919</v>
      </c>
      <c r="W661" s="1" t="str">
        <f>HYPERLINK("http://ictvonline.org/taxonomy/p/taxonomy-history?taxnode_id=201900369","ICTVonline=201900369")</f>
        <v>ICTVonline=201900369</v>
      </c>
    </row>
    <row r="662" spans="1:23">
      <c r="A662" s="3">
        <v>661</v>
      </c>
      <c r="B662" s="1" t="s">
        <v>6915</v>
      </c>
      <c r="D662" s="1" t="s">
        <v>6916</v>
      </c>
      <c r="F662" s="1" t="s">
        <v>6920</v>
      </c>
      <c r="H662" s="1" t="s">
        <v>6921</v>
      </c>
      <c r="J662" s="1" t="s">
        <v>1324</v>
      </c>
      <c r="L662" s="1" t="s">
        <v>6213</v>
      </c>
      <c r="M662" s="1" t="s">
        <v>6214</v>
      </c>
      <c r="N662" s="1" t="s">
        <v>2841</v>
      </c>
      <c r="P662" s="1" t="s">
        <v>2842</v>
      </c>
      <c r="Q662" s="3">
        <v>1</v>
      </c>
      <c r="R662" s="22" t="s">
        <v>2721</v>
      </c>
      <c r="S662" s="42" t="s">
        <v>6910</v>
      </c>
      <c r="T662" s="3" t="s">
        <v>4868</v>
      </c>
      <c r="U662" s="45">
        <v>35</v>
      </c>
      <c r="V662" t="s">
        <v>6919</v>
      </c>
      <c r="W662" s="1" t="str">
        <f>HYPERLINK("http://ictvonline.org/taxonomy/p/taxonomy-history?taxnode_id=201900392","ICTVonline=201900392")</f>
        <v>ICTVonline=201900392</v>
      </c>
    </row>
    <row r="663" spans="1:23">
      <c r="A663" s="3">
        <v>662</v>
      </c>
      <c r="B663" s="1" t="s">
        <v>6915</v>
      </c>
      <c r="D663" s="1" t="s">
        <v>6916</v>
      </c>
      <c r="F663" s="1" t="s">
        <v>6920</v>
      </c>
      <c r="H663" s="1" t="s">
        <v>6921</v>
      </c>
      <c r="J663" s="1" t="s">
        <v>1324</v>
      </c>
      <c r="L663" s="1" t="s">
        <v>6213</v>
      </c>
      <c r="M663" s="1" t="s">
        <v>6214</v>
      </c>
      <c r="N663" s="1" t="s">
        <v>2841</v>
      </c>
      <c r="P663" s="1" t="s">
        <v>2843</v>
      </c>
      <c r="Q663" s="3">
        <v>0</v>
      </c>
      <c r="R663" s="22" t="s">
        <v>2721</v>
      </c>
      <c r="S663" s="42" t="s">
        <v>6910</v>
      </c>
      <c r="T663" s="3" t="s">
        <v>4868</v>
      </c>
      <c r="U663" s="45">
        <v>35</v>
      </c>
      <c r="V663" t="s">
        <v>6919</v>
      </c>
      <c r="W663" s="1" t="str">
        <f>HYPERLINK("http://ictvonline.org/taxonomy/p/taxonomy-history?taxnode_id=201900393","ICTVonline=201900393")</f>
        <v>ICTVonline=201900393</v>
      </c>
    </row>
    <row r="664" spans="1:23">
      <c r="A664" s="3">
        <v>663</v>
      </c>
      <c r="B664" s="1" t="s">
        <v>6915</v>
      </c>
      <c r="D664" s="1" t="s">
        <v>6916</v>
      </c>
      <c r="F664" s="1" t="s">
        <v>6920</v>
      </c>
      <c r="H664" s="1" t="s">
        <v>6921</v>
      </c>
      <c r="J664" s="1" t="s">
        <v>1324</v>
      </c>
      <c r="L664" s="1" t="s">
        <v>6213</v>
      </c>
      <c r="M664" s="1" t="s">
        <v>6214</v>
      </c>
      <c r="N664" s="1" t="s">
        <v>2841</v>
      </c>
      <c r="P664" s="1" t="s">
        <v>6215</v>
      </c>
      <c r="Q664" s="3">
        <v>0</v>
      </c>
      <c r="R664" s="22" t="s">
        <v>2721</v>
      </c>
      <c r="S664" s="42" t="s">
        <v>6910</v>
      </c>
      <c r="T664" s="3" t="s">
        <v>4868</v>
      </c>
      <c r="U664" s="45">
        <v>35</v>
      </c>
      <c r="V664" t="s">
        <v>6919</v>
      </c>
      <c r="W664" s="1" t="str">
        <f>HYPERLINK("http://ictvonline.org/taxonomy/p/taxonomy-history?taxnode_id=201906960","ICTVonline=201906960")</f>
        <v>ICTVonline=201906960</v>
      </c>
    </row>
    <row r="665" spans="1:23">
      <c r="A665" s="3">
        <v>664</v>
      </c>
      <c r="B665" s="1" t="s">
        <v>6915</v>
      </c>
      <c r="D665" s="1" t="s">
        <v>6916</v>
      </c>
      <c r="F665" s="1" t="s">
        <v>6920</v>
      </c>
      <c r="H665" s="1" t="s">
        <v>6921</v>
      </c>
      <c r="J665" s="1" t="s">
        <v>1324</v>
      </c>
      <c r="L665" s="1" t="s">
        <v>6213</v>
      </c>
      <c r="M665" s="1" t="s">
        <v>6214</v>
      </c>
      <c r="N665" s="1" t="s">
        <v>2841</v>
      </c>
      <c r="P665" s="1" t="s">
        <v>6216</v>
      </c>
      <c r="Q665" s="3">
        <v>0</v>
      </c>
      <c r="R665" s="22" t="s">
        <v>2721</v>
      </c>
      <c r="S665" s="42" t="s">
        <v>6910</v>
      </c>
      <c r="T665" s="3" t="s">
        <v>4868</v>
      </c>
      <c r="U665" s="45">
        <v>35</v>
      </c>
      <c r="V665" t="s">
        <v>6919</v>
      </c>
      <c r="W665" s="1" t="str">
        <f>HYPERLINK("http://ictvonline.org/taxonomy/p/taxonomy-history?taxnode_id=201906961","ICTVonline=201906961")</f>
        <v>ICTVonline=201906961</v>
      </c>
    </row>
    <row r="666" spans="1:23">
      <c r="A666" s="3">
        <v>665</v>
      </c>
      <c r="B666" s="1" t="s">
        <v>6915</v>
      </c>
      <c r="D666" s="1" t="s">
        <v>6916</v>
      </c>
      <c r="F666" s="1" t="s">
        <v>6920</v>
      </c>
      <c r="H666" s="1" t="s">
        <v>6921</v>
      </c>
      <c r="J666" s="1" t="s">
        <v>1324</v>
      </c>
      <c r="L666" s="1" t="s">
        <v>6213</v>
      </c>
      <c r="M666" s="1" t="s">
        <v>6214</v>
      </c>
      <c r="N666" s="1" t="s">
        <v>6316</v>
      </c>
      <c r="P666" s="1" t="s">
        <v>4172</v>
      </c>
      <c r="Q666" s="3">
        <v>0</v>
      </c>
      <c r="R666" s="22" t="s">
        <v>2721</v>
      </c>
      <c r="S666" s="42" t="s">
        <v>6910</v>
      </c>
      <c r="T666" s="3" t="s">
        <v>4868</v>
      </c>
      <c r="U666" s="45">
        <v>35</v>
      </c>
      <c r="V666" t="s">
        <v>6919</v>
      </c>
      <c r="W666" s="1" t="str">
        <f>HYPERLINK("http://ictvonline.org/taxonomy/p/taxonomy-history?taxnode_id=201900385","ICTVonline=201900385")</f>
        <v>ICTVonline=201900385</v>
      </c>
    </row>
    <row r="667" spans="1:23">
      <c r="A667" s="3">
        <v>666</v>
      </c>
      <c r="B667" s="1" t="s">
        <v>6915</v>
      </c>
      <c r="D667" s="1" t="s">
        <v>6916</v>
      </c>
      <c r="F667" s="1" t="s">
        <v>6920</v>
      </c>
      <c r="H667" s="1" t="s">
        <v>6921</v>
      </c>
      <c r="J667" s="1" t="s">
        <v>1324</v>
      </c>
      <c r="L667" s="1" t="s">
        <v>6213</v>
      </c>
      <c r="M667" s="1" t="s">
        <v>6214</v>
      </c>
      <c r="N667" s="1" t="s">
        <v>6316</v>
      </c>
      <c r="P667" s="1" t="s">
        <v>2836</v>
      </c>
      <c r="Q667" s="3">
        <v>1</v>
      </c>
      <c r="R667" s="22" t="s">
        <v>2721</v>
      </c>
      <c r="S667" s="42" t="s">
        <v>6910</v>
      </c>
      <c r="T667" s="3" t="s">
        <v>4868</v>
      </c>
      <c r="U667" s="45">
        <v>35</v>
      </c>
      <c r="V667" t="s">
        <v>6919</v>
      </c>
      <c r="W667" s="1" t="str">
        <f>HYPERLINK("http://ictvonline.org/taxonomy/p/taxonomy-history?taxnode_id=201900386","ICTVonline=201900386")</f>
        <v>ICTVonline=201900386</v>
      </c>
    </row>
    <row r="668" spans="1:23">
      <c r="A668" s="3">
        <v>667</v>
      </c>
      <c r="B668" s="1" t="s">
        <v>6915</v>
      </c>
      <c r="D668" s="1" t="s">
        <v>6916</v>
      </c>
      <c r="F668" s="1" t="s">
        <v>6920</v>
      </c>
      <c r="H668" s="1" t="s">
        <v>6921</v>
      </c>
      <c r="J668" s="1" t="s">
        <v>1324</v>
      </c>
      <c r="L668" s="1" t="s">
        <v>6213</v>
      </c>
      <c r="M668" s="1" t="s">
        <v>6214</v>
      </c>
      <c r="N668" s="1" t="s">
        <v>6316</v>
      </c>
      <c r="P668" s="1" t="s">
        <v>2837</v>
      </c>
      <c r="Q668" s="3">
        <v>0</v>
      </c>
      <c r="R668" s="22" t="s">
        <v>2721</v>
      </c>
      <c r="S668" s="42" t="s">
        <v>6910</v>
      </c>
      <c r="T668" s="3" t="s">
        <v>4868</v>
      </c>
      <c r="U668" s="45">
        <v>35</v>
      </c>
      <c r="V668" t="s">
        <v>6919</v>
      </c>
      <c r="W668" s="1" t="str">
        <f>HYPERLINK("http://ictvonline.org/taxonomy/p/taxonomy-history?taxnode_id=201900387","ICTVonline=201900387")</f>
        <v>ICTVonline=201900387</v>
      </c>
    </row>
    <row r="669" spans="1:23">
      <c r="A669" s="3">
        <v>668</v>
      </c>
      <c r="B669" s="1" t="s">
        <v>6915</v>
      </c>
      <c r="D669" s="1" t="s">
        <v>6916</v>
      </c>
      <c r="F669" s="1" t="s">
        <v>6920</v>
      </c>
      <c r="H669" s="1" t="s">
        <v>6921</v>
      </c>
      <c r="J669" s="1" t="s">
        <v>1324</v>
      </c>
      <c r="L669" s="1" t="s">
        <v>6213</v>
      </c>
      <c r="M669" s="1" t="s">
        <v>6214</v>
      </c>
      <c r="N669" s="1" t="s">
        <v>6316</v>
      </c>
      <c r="P669" s="1" t="s">
        <v>2838</v>
      </c>
      <c r="Q669" s="3">
        <v>0</v>
      </c>
      <c r="R669" s="22" t="s">
        <v>2721</v>
      </c>
      <c r="S669" s="42" t="s">
        <v>6910</v>
      </c>
      <c r="T669" s="3" t="s">
        <v>4868</v>
      </c>
      <c r="U669" s="45">
        <v>35</v>
      </c>
      <c r="V669" t="s">
        <v>6919</v>
      </c>
      <c r="W669" s="1" t="str">
        <f>HYPERLINK("http://ictvonline.org/taxonomy/p/taxonomy-history?taxnode_id=201900388","ICTVonline=201900388")</f>
        <v>ICTVonline=201900388</v>
      </c>
    </row>
    <row r="670" spans="1:23">
      <c r="A670" s="3">
        <v>669</v>
      </c>
      <c r="B670" s="1" t="s">
        <v>6915</v>
      </c>
      <c r="D670" s="1" t="s">
        <v>6916</v>
      </c>
      <c r="F670" s="1" t="s">
        <v>6920</v>
      </c>
      <c r="H670" s="1" t="s">
        <v>6921</v>
      </c>
      <c r="J670" s="1" t="s">
        <v>1324</v>
      </c>
      <c r="L670" s="1" t="s">
        <v>6213</v>
      </c>
      <c r="M670" s="1" t="s">
        <v>6214</v>
      </c>
      <c r="N670" s="1" t="s">
        <v>6316</v>
      </c>
      <c r="P670" s="1" t="s">
        <v>2839</v>
      </c>
      <c r="Q670" s="3">
        <v>0</v>
      </c>
      <c r="R670" s="22" t="s">
        <v>2721</v>
      </c>
      <c r="S670" s="42" t="s">
        <v>6910</v>
      </c>
      <c r="T670" s="3" t="s">
        <v>4868</v>
      </c>
      <c r="U670" s="45">
        <v>35</v>
      </c>
      <c r="V670" t="s">
        <v>6919</v>
      </c>
      <c r="W670" s="1" t="str">
        <f>HYPERLINK("http://ictvonline.org/taxonomy/p/taxonomy-history?taxnode_id=201900389","ICTVonline=201900389")</f>
        <v>ICTVonline=201900389</v>
      </c>
    </row>
    <row r="671" spans="1:23">
      <c r="A671" s="3">
        <v>670</v>
      </c>
      <c r="B671" s="1" t="s">
        <v>6915</v>
      </c>
      <c r="D671" s="1" t="s">
        <v>6916</v>
      </c>
      <c r="F671" s="1" t="s">
        <v>6920</v>
      </c>
      <c r="H671" s="1" t="s">
        <v>6921</v>
      </c>
      <c r="J671" s="1" t="s">
        <v>1324</v>
      </c>
      <c r="L671" s="1" t="s">
        <v>6213</v>
      </c>
      <c r="M671" s="1" t="s">
        <v>6214</v>
      </c>
      <c r="N671" s="1" t="s">
        <v>6316</v>
      </c>
      <c r="P671" s="1" t="s">
        <v>2840</v>
      </c>
      <c r="Q671" s="3">
        <v>0</v>
      </c>
      <c r="R671" s="22" t="s">
        <v>2721</v>
      </c>
      <c r="S671" s="42" t="s">
        <v>6910</v>
      </c>
      <c r="T671" s="3" t="s">
        <v>4868</v>
      </c>
      <c r="U671" s="45">
        <v>35</v>
      </c>
      <c r="V671" t="s">
        <v>6919</v>
      </c>
      <c r="W671" s="1" t="str">
        <f>HYPERLINK("http://ictvonline.org/taxonomy/p/taxonomy-history?taxnode_id=201900390","ICTVonline=201900390")</f>
        <v>ICTVonline=201900390</v>
      </c>
    </row>
    <row r="672" spans="1:23">
      <c r="A672" s="3">
        <v>671</v>
      </c>
      <c r="B672" s="1" t="s">
        <v>6915</v>
      </c>
      <c r="D672" s="1" t="s">
        <v>6916</v>
      </c>
      <c r="F672" s="1" t="s">
        <v>6920</v>
      </c>
      <c r="H672" s="1" t="s">
        <v>6921</v>
      </c>
      <c r="J672" s="1" t="s">
        <v>1324</v>
      </c>
      <c r="L672" s="1" t="s">
        <v>6213</v>
      </c>
      <c r="M672" s="1" t="s">
        <v>6214</v>
      </c>
      <c r="N672" s="1" t="s">
        <v>6217</v>
      </c>
      <c r="P672" s="1" t="s">
        <v>2844</v>
      </c>
      <c r="Q672" s="3">
        <v>1</v>
      </c>
      <c r="R672" s="22" t="s">
        <v>2721</v>
      </c>
      <c r="S672" s="42" t="s">
        <v>6910</v>
      </c>
      <c r="T672" s="3" t="s">
        <v>4868</v>
      </c>
      <c r="U672" s="45">
        <v>35</v>
      </c>
      <c r="V672" t="s">
        <v>6919</v>
      </c>
      <c r="W672" s="1" t="str">
        <f>HYPERLINK("http://ictvonline.org/taxonomy/p/taxonomy-history?taxnode_id=201900395","ICTVonline=201900395")</f>
        <v>ICTVonline=201900395</v>
      </c>
    </row>
    <row r="673" spans="1:23">
      <c r="A673" s="3">
        <v>672</v>
      </c>
      <c r="B673" s="1" t="s">
        <v>6915</v>
      </c>
      <c r="D673" s="1" t="s">
        <v>6916</v>
      </c>
      <c r="F673" s="1" t="s">
        <v>6920</v>
      </c>
      <c r="H673" s="1" t="s">
        <v>6921</v>
      </c>
      <c r="J673" s="1" t="s">
        <v>1324</v>
      </c>
      <c r="L673" s="1" t="s">
        <v>6213</v>
      </c>
      <c r="M673" s="1" t="s">
        <v>6214</v>
      </c>
      <c r="N673" s="1" t="s">
        <v>6217</v>
      </c>
      <c r="P673" s="1" t="s">
        <v>2845</v>
      </c>
      <c r="Q673" s="3">
        <v>0</v>
      </c>
      <c r="R673" s="22" t="s">
        <v>2721</v>
      </c>
      <c r="S673" s="42" t="s">
        <v>6910</v>
      </c>
      <c r="T673" s="3" t="s">
        <v>4868</v>
      </c>
      <c r="U673" s="45">
        <v>35</v>
      </c>
      <c r="V673" t="s">
        <v>6919</v>
      </c>
      <c r="W673" s="1" t="str">
        <f>HYPERLINK("http://ictvonline.org/taxonomy/p/taxonomy-history?taxnode_id=201900396","ICTVonline=201900396")</f>
        <v>ICTVonline=201900396</v>
      </c>
    </row>
    <row r="674" spans="1:23">
      <c r="A674" s="3">
        <v>673</v>
      </c>
      <c r="B674" s="1" t="s">
        <v>6915</v>
      </c>
      <c r="D674" s="1" t="s">
        <v>6916</v>
      </c>
      <c r="F674" s="1" t="s">
        <v>6920</v>
      </c>
      <c r="H674" s="1" t="s">
        <v>6921</v>
      </c>
      <c r="J674" s="1" t="s">
        <v>1324</v>
      </c>
      <c r="L674" s="1" t="s">
        <v>6213</v>
      </c>
      <c r="M674" s="1" t="s">
        <v>6214</v>
      </c>
      <c r="N674" s="1" t="s">
        <v>6217</v>
      </c>
      <c r="P674" s="1" t="s">
        <v>2846</v>
      </c>
      <c r="Q674" s="3">
        <v>0</v>
      </c>
      <c r="R674" s="22" t="s">
        <v>2721</v>
      </c>
      <c r="S674" s="42" t="s">
        <v>6910</v>
      </c>
      <c r="T674" s="3" t="s">
        <v>4868</v>
      </c>
      <c r="U674" s="45">
        <v>35</v>
      </c>
      <c r="V674" t="s">
        <v>6919</v>
      </c>
      <c r="W674" s="1" t="str">
        <f>HYPERLINK("http://ictvonline.org/taxonomy/p/taxonomy-history?taxnode_id=201900397","ICTVonline=201900397")</f>
        <v>ICTVonline=201900397</v>
      </c>
    </row>
    <row r="675" spans="1:23">
      <c r="A675" s="3">
        <v>674</v>
      </c>
      <c r="B675" s="1" t="s">
        <v>6915</v>
      </c>
      <c r="D675" s="1" t="s">
        <v>6916</v>
      </c>
      <c r="F675" s="1" t="s">
        <v>6920</v>
      </c>
      <c r="H675" s="1" t="s">
        <v>6921</v>
      </c>
      <c r="J675" s="1" t="s">
        <v>1324</v>
      </c>
      <c r="L675" s="1" t="s">
        <v>6213</v>
      </c>
      <c r="M675" s="1" t="s">
        <v>6214</v>
      </c>
      <c r="N675" s="1" t="s">
        <v>6217</v>
      </c>
      <c r="P675" s="1" t="s">
        <v>4173</v>
      </c>
      <c r="Q675" s="3">
        <v>0</v>
      </c>
      <c r="R675" s="22" t="s">
        <v>2721</v>
      </c>
      <c r="S675" s="42" t="s">
        <v>6910</v>
      </c>
      <c r="T675" s="3" t="s">
        <v>4868</v>
      </c>
      <c r="U675" s="45">
        <v>35</v>
      </c>
      <c r="V675" t="s">
        <v>6919</v>
      </c>
      <c r="W675" s="1" t="str">
        <f>HYPERLINK("http://ictvonline.org/taxonomy/p/taxonomy-history?taxnode_id=201900398","ICTVonline=201900398")</f>
        <v>ICTVonline=201900398</v>
      </c>
    </row>
    <row r="676" spans="1:23">
      <c r="A676" s="3">
        <v>675</v>
      </c>
      <c r="B676" s="1" t="s">
        <v>6915</v>
      </c>
      <c r="D676" s="1" t="s">
        <v>6916</v>
      </c>
      <c r="F676" s="1" t="s">
        <v>6920</v>
      </c>
      <c r="H676" s="1" t="s">
        <v>6921</v>
      </c>
      <c r="J676" s="1" t="s">
        <v>1324</v>
      </c>
      <c r="L676" s="1" t="s">
        <v>6213</v>
      </c>
      <c r="M676" s="1" t="s">
        <v>6214</v>
      </c>
      <c r="N676" s="1" t="s">
        <v>6217</v>
      </c>
      <c r="P676" s="1" t="s">
        <v>4174</v>
      </c>
      <c r="Q676" s="3">
        <v>0</v>
      </c>
      <c r="R676" s="22" t="s">
        <v>2721</v>
      </c>
      <c r="S676" s="42" t="s">
        <v>6910</v>
      </c>
      <c r="T676" s="3" t="s">
        <v>4868</v>
      </c>
      <c r="U676" s="45">
        <v>35</v>
      </c>
      <c r="V676" t="s">
        <v>6919</v>
      </c>
      <c r="W676" s="1" t="str">
        <f>HYPERLINK("http://ictvonline.org/taxonomy/p/taxonomy-history?taxnode_id=201900399","ICTVonline=201900399")</f>
        <v>ICTVonline=201900399</v>
      </c>
    </row>
    <row r="677" spans="1:23">
      <c r="A677" s="3">
        <v>676</v>
      </c>
      <c r="B677" s="1" t="s">
        <v>6915</v>
      </c>
      <c r="D677" s="1" t="s">
        <v>6916</v>
      </c>
      <c r="F677" s="1" t="s">
        <v>6920</v>
      </c>
      <c r="H677" s="1" t="s">
        <v>6921</v>
      </c>
      <c r="J677" s="1" t="s">
        <v>1324</v>
      </c>
      <c r="L677" s="1" t="s">
        <v>6213</v>
      </c>
      <c r="M677" s="1" t="s">
        <v>6214</v>
      </c>
      <c r="N677" s="1" t="s">
        <v>6217</v>
      </c>
      <c r="P677" s="1" t="s">
        <v>2847</v>
      </c>
      <c r="Q677" s="3">
        <v>0</v>
      </c>
      <c r="R677" s="22" t="s">
        <v>2721</v>
      </c>
      <c r="S677" s="42" t="s">
        <v>6910</v>
      </c>
      <c r="T677" s="3" t="s">
        <v>4868</v>
      </c>
      <c r="U677" s="45">
        <v>35</v>
      </c>
      <c r="V677" t="s">
        <v>6919</v>
      </c>
      <c r="W677" s="1" t="str">
        <f>HYPERLINK("http://ictvonline.org/taxonomy/p/taxonomy-history?taxnode_id=201900400","ICTVonline=201900400")</f>
        <v>ICTVonline=201900400</v>
      </c>
    </row>
    <row r="678" spans="1:23">
      <c r="A678" s="3">
        <v>677</v>
      </c>
      <c r="B678" s="1" t="s">
        <v>6915</v>
      </c>
      <c r="D678" s="1" t="s">
        <v>6916</v>
      </c>
      <c r="F678" s="1" t="s">
        <v>6920</v>
      </c>
      <c r="H678" s="1" t="s">
        <v>6921</v>
      </c>
      <c r="J678" s="1" t="s">
        <v>1324</v>
      </c>
      <c r="L678" s="1" t="s">
        <v>6213</v>
      </c>
      <c r="M678" s="1" t="s">
        <v>6214</v>
      </c>
      <c r="N678" s="1" t="s">
        <v>6367</v>
      </c>
      <c r="P678" s="1" t="s">
        <v>2886</v>
      </c>
      <c r="Q678" s="3">
        <v>0</v>
      </c>
      <c r="R678" s="22" t="s">
        <v>2721</v>
      </c>
      <c r="S678" s="42" t="s">
        <v>6910</v>
      </c>
      <c r="T678" s="3" t="s">
        <v>4868</v>
      </c>
      <c r="U678" s="45">
        <v>35</v>
      </c>
      <c r="V678" t="s">
        <v>6919</v>
      </c>
      <c r="W678" s="1" t="str">
        <f>HYPERLINK("http://ictvonline.org/taxonomy/p/taxonomy-history?taxnode_id=201900461","ICTVonline=201900461")</f>
        <v>ICTVonline=201900461</v>
      </c>
    </row>
    <row r="679" spans="1:23">
      <c r="A679" s="3">
        <v>678</v>
      </c>
      <c r="B679" s="1" t="s">
        <v>6915</v>
      </c>
      <c r="D679" s="1" t="s">
        <v>6916</v>
      </c>
      <c r="F679" s="1" t="s">
        <v>6920</v>
      </c>
      <c r="H679" s="1" t="s">
        <v>6921</v>
      </c>
      <c r="J679" s="1" t="s">
        <v>1324</v>
      </c>
      <c r="L679" s="1" t="s">
        <v>6213</v>
      </c>
      <c r="M679" s="1" t="s">
        <v>6214</v>
      </c>
      <c r="N679" s="1" t="s">
        <v>6367</v>
      </c>
      <c r="P679" s="1" t="s">
        <v>2887</v>
      </c>
      <c r="Q679" s="3">
        <v>1</v>
      </c>
      <c r="R679" s="22" t="s">
        <v>2721</v>
      </c>
      <c r="S679" s="42" t="s">
        <v>6910</v>
      </c>
      <c r="T679" s="3" t="s">
        <v>4868</v>
      </c>
      <c r="U679" s="45">
        <v>35</v>
      </c>
      <c r="V679" t="s">
        <v>6919</v>
      </c>
      <c r="W679" s="1" t="str">
        <f>HYPERLINK("http://ictvonline.org/taxonomy/p/taxonomy-history?taxnode_id=201900462","ICTVonline=201900462")</f>
        <v>ICTVonline=201900462</v>
      </c>
    </row>
    <row r="680" spans="1:23">
      <c r="A680" s="3">
        <v>679</v>
      </c>
      <c r="B680" s="1" t="s">
        <v>6915</v>
      </c>
      <c r="D680" s="1" t="s">
        <v>6916</v>
      </c>
      <c r="F680" s="1" t="s">
        <v>6920</v>
      </c>
      <c r="H680" s="1" t="s">
        <v>6921</v>
      </c>
      <c r="J680" s="1" t="s">
        <v>1324</v>
      </c>
      <c r="L680" s="1" t="s">
        <v>6213</v>
      </c>
      <c r="M680" s="1" t="s">
        <v>6214</v>
      </c>
      <c r="N680" s="1" t="s">
        <v>6367</v>
      </c>
      <c r="P680" s="1" t="s">
        <v>2888</v>
      </c>
      <c r="Q680" s="3">
        <v>0</v>
      </c>
      <c r="R680" s="22" t="s">
        <v>2721</v>
      </c>
      <c r="S680" s="42" t="s">
        <v>6910</v>
      </c>
      <c r="T680" s="3" t="s">
        <v>4868</v>
      </c>
      <c r="U680" s="45">
        <v>35</v>
      </c>
      <c r="V680" t="s">
        <v>6919</v>
      </c>
      <c r="W680" s="1" t="str">
        <f>HYPERLINK("http://ictvonline.org/taxonomy/p/taxonomy-history?taxnode_id=201900463","ICTVonline=201900463")</f>
        <v>ICTVonline=201900463</v>
      </c>
    </row>
    <row r="681" spans="1:23">
      <c r="A681" s="3">
        <v>680</v>
      </c>
      <c r="B681" s="1" t="s">
        <v>6915</v>
      </c>
      <c r="D681" s="1" t="s">
        <v>6916</v>
      </c>
      <c r="F681" s="1" t="s">
        <v>6920</v>
      </c>
      <c r="H681" s="1" t="s">
        <v>6921</v>
      </c>
      <c r="J681" s="1" t="s">
        <v>1324</v>
      </c>
      <c r="L681" s="1" t="s">
        <v>6213</v>
      </c>
      <c r="M681" s="1" t="s">
        <v>6214</v>
      </c>
      <c r="N681" s="1" t="s">
        <v>4144</v>
      </c>
      <c r="P681" s="1" t="s">
        <v>4145</v>
      </c>
      <c r="Q681" s="3">
        <v>0</v>
      </c>
      <c r="R681" s="22" t="s">
        <v>2721</v>
      </c>
      <c r="S681" s="42" t="s">
        <v>6910</v>
      </c>
      <c r="T681" s="3" t="s">
        <v>4868</v>
      </c>
      <c r="U681" s="45">
        <v>35</v>
      </c>
      <c r="V681" t="s">
        <v>6919</v>
      </c>
      <c r="W681" s="1" t="str">
        <f>HYPERLINK("http://ictvonline.org/taxonomy/p/taxonomy-history?taxnode_id=201900270","ICTVonline=201900270")</f>
        <v>ICTVonline=201900270</v>
      </c>
    </row>
    <row r="682" spans="1:23">
      <c r="A682" s="3">
        <v>681</v>
      </c>
      <c r="B682" s="1" t="s">
        <v>6915</v>
      </c>
      <c r="D682" s="1" t="s">
        <v>6916</v>
      </c>
      <c r="F682" s="1" t="s">
        <v>6920</v>
      </c>
      <c r="H682" s="1" t="s">
        <v>6921</v>
      </c>
      <c r="J682" s="1" t="s">
        <v>1324</v>
      </c>
      <c r="L682" s="1" t="s">
        <v>6213</v>
      </c>
      <c r="M682" s="1" t="s">
        <v>6214</v>
      </c>
      <c r="N682" s="1" t="s">
        <v>4144</v>
      </c>
      <c r="P682" s="1" t="s">
        <v>4146</v>
      </c>
      <c r="Q682" s="3">
        <v>1</v>
      </c>
      <c r="R682" s="22" t="s">
        <v>2721</v>
      </c>
      <c r="S682" s="42" t="s">
        <v>6910</v>
      </c>
      <c r="T682" s="3" t="s">
        <v>4868</v>
      </c>
      <c r="U682" s="45">
        <v>35</v>
      </c>
      <c r="V682" t="s">
        <v>6919</v>
      </c>
      <c r="W682" s="1" t="str">
        <f>HYPERLINK("http://ictvonline.org/taxonomy/p/taxonomy-history?taxnode_id=201900271","ICTVonline=201900271")</f>
        <v>ICTVonline=201900271</v>
      </c>
    </row>
    <row r="683" spans="1:23">
      <c r="A683" s="3">
        <v>682</v>
      </c>
      <c r="B683" s="1" t="s">
        <v>6915</v>
      </c>
      <c r="D683" s="1" t="s">
        <v>6916</v>
      </c>
      <c r="F683" s="1" t="s">
        <v>6920</v>
      </c>
      <c r="H683" s="1" t="s">
        <v>6921</v>
      </c>
      <c r="J683" s="1" t="s">
        <v>1324</v>
      </c>
      <c r="L683" s="1" t="s">
        <v>6213</v>
      </c>
      <c r="M683" s="1" t="s">
        <v>6214</v>
      </c>
      <c r="N683" s="1" t="s">
        <v>2943</v>
      </c>
      <c r="P683" s="1" t="s">
        <v>4202</v>
      </c>
      <c r="Q683" s="3">
        <v>0</v>
      </c>
      <c r="R683" s="22" t="s">
        <v>2721</v>
      </c>
      <c r="S683" s="42" t="s">
        <v>6910</v>
      </c>
      <c r="T683" s="3" t="s">
        <v>4868</v>
      </c>
      <c r="U683" s="45">
        <v>35</v>
      </c>
      <c r="V683" t="s">
        <v>6919</v>
      </c>
      <c r="W683" s="1" t="str">
        <f>HYPERLINK("http://ictvonline.org/taxonomy/p/taxonomy-history?taxnode_id=201900536","ICTVonline=201900536")</f>
        <v>ICTVonline=201900536</v>
      </c>
    </row>
    <row r="684" spans="1:23">
      <c r="A684" s="3">
        <v>683</v>
      </c>
      <c r="B684" s="1" t="s">
        <v>6915</v>
      </c>
      <c r="D684" s="1" t="s">
        <v>6916</v>
      </c>
      <c r="F684" s="1" t="s">
        <v>6920</v>
      </c>
      <c r="H684" s="1" t="s">
        <v>6921</v>
      </c>
      <c r="J684" s="1" t="s">
        <v>1324</v>
      </c>
      <c r="L684" s="1" t="s">
        <v>6213</v>
      </c>
      <c r="M684" s="1" t="s">
        <v>6214</v>
      </c>
      <c r="N684" s="1" t="s">
        <v>2943</v>
      </c>
      <c r="P684" s="1" t="s">
        <v>6218</v>
      </c>
      <c r="Q684" s="3">
        <v>0</v>
      </c>
      <c r="R684" s="22" t="s">
        <v>2721</v>
      </c>
      <c r="S684" s="42" t="s">
        <v>6910</v>
      </c>
      <c r="T684" s="3" t="s">
        <v>4868</v>
      </c>
      <c r="U684" s="45">
        <v>35</v>
      </c>
      <c r="V684" t="s">
        <v>6919</v>
      </c>
      <c r="W684" s="1" t="str">
        <f>HYPERLINK("http://ictvonline.org/taxonomy/p/taxonomy-history?taxnode_id=201906962","ICTVonline=201906962")</f>
        <v>ICTVonline=201906962</v>
      </c>
    </row>
    <row r="685" spans="1:23">
      <c r="A685" s="3">
        <v>684</v>
      </c>
      <c r="B685" s="1" t="s">
        <v>6915</v>
      </c>
      <c r="D685" s="1" t="s">
        <v>6916</v>
      </c>
      <c r="F685" s="1" t="s">
        <v>6920</v>
      </c>
      <c r="H685" s="1" t="s">
        <v>6921</v>
      </c>
      <c r="J685" s="1" t="s">
        <v>1324</v>
      </c>
      <c r="L685" s="1" t="s">
        <v>6213</v>
      </c>
      <c r="M685" s="1" t="s">
        <v>6214</v>
      </c>
      <c r="N685" s="1" t="s">
        <v>2943</v>
      </c>
      <c r="P685" s="1" t="s">
        <v>4203</v>
      </c>
      <c r="Q685" s="3">
        <v>0</v>
      </c>
      <c r="R685" s="22" t="s">
        <v>2721</v>
      </c>
      <c r="S685" s="42" t="s">
        <v>6910</v>
      </c>
      <c r="T685" s="3" t="s">
        <v>4868</v>
      </c>
      <c r="U685" s="45">
        <v>35</v>
      </c>
      <c r="V685" t="s">
        <v>6919</v>
      </c>
      <c r="W685" s="1" t="str">
        <f>HYPERLINK("http://ictvonline.org/taxonomy/p/taxonomy-history?taxnode_id=201900537","ICTVonline=201900537")</f>
        <v>ICTVonline=201900537</v>
      </c>
    </row>
    <row r="686" spans="1:23">
      <c r="A686" s="3">
        <v>685</v>
      </c>
      <c r="B686" s="1" t="s">
        <v>6915</v>
      </c>
      <c r="D686" s="1" t="s">
        <v>6916</v>
      </c>
      <c r="F686" s="1" t="s">
        <v>6920</v>
      </c>
      <c r="H686" s="1" t="s">
        <v>6921</v>
      </c>
      <c r="J686" s="1" t="s">
        <v>1324</v>
      </c>
      <c r="L686" s="1" t="s">
        <v>6213</v>
      </c>
      <c r="M686" s="1" t="s">
        <v>6214</v>
      </c>
      <c r="N686" s="1" t="s">
        <v>2943</v>
      </c>
      <c r="P686" s="1" t="s">
        <v>4204</v>
      </c>
      <c r="Q686" s="3">
        <v>0</v>
      </c>
      <c r="R686" s="22" t="s">
        <v>2721</v>
      </c>
      <c r="S686" s="42" t="s">
        <v>6910</v>
      </c>
      <c r="T686" s="3" t="s">
        <v>4868</v>
      </c>
      <c r="U686" s="45">
        <v>35</v>
      </c>
      <c r="V686" t="s">
        <v>6919</v>
      </c>
      <c r="W686" s="1" t="str">
        <f>HYPERLINK("http://ictvonline.org/taxonomy/p/taxonomy-history?taxnode_id=201900538","ICTVonline=201900538")</f>
        <v>ICTVonline=201900538</v>
      </c>
    </row>
    <row r="687" spans="1:23">
      <c r="A687" s="3">
        <v>686</v>
      </c>
      <c r="B687" s="1" t="s">
        <v>6915</v>
      </c>
      <c r="D687" s="1" t="s">
        <v>6916</v>
      </c>
      <c r="F687" s="1" t="s">
        <v>6920</v>
      </c>
      <c r="H687" s="1" t="s">
        <v>6921</v>
      </c>
      <c r="J687" s="1" t="s">
        <v>1324</v>
      </c>
      <c r="L687" s="1" t="s">
        <v>6213</v>
      </c>
      <c r="M687" s="1" t="s">
        <v>6214</v>
      </c>
      <c r="N687" s="1" t="s">
        <v>2943</v>
      </c>
      <c r="P687" s="1" t="s">
        <v>2944</v>
      </c>
      <c r="Q687" s="3">
        <v>1</v>
      </c>
      <c r="R687" s="22" t="s">
        <v>2721</v>
      </c>
      <c r="S687" s="42" t="s">
        <v>6910</v>
      </c>
      <c r="T687" s="3" t="s">
        <v>4868</v>
      </c>
      <c r="U687" s="45">
        <v>35</v>
      </c>
      <c r="V687" t="s">
        <v>6919</v>
      </c>
      <c r="W687" s="1" t="str">
        <f>HYPERLINK("http://ictvonline.org/taxonomy/p/taxonomy-history?taxnode_id=201900539","ICTVonline=201900539")</f>
        <v>ICTVonline=201900539</v>
      </c>
    </row>
    <row r="688" spans="1:23">
      <c r="A688" s="3">
        <v>687</v>
      </c>
      <c r="B688" s="1" t="s">
        <v>6915</v>
      </c>
      <c r="D688" s="1" t="s">
        <v>6916</v>
      </c>
      <c r="F688" s="1" t="s">
        <v>6920</v>
      </c>
      <c r="H688" s="1" t="s">
        <v>6921</v>
      </c>
      <c r="J688" s="1" t="s">
        <v>1324</v>
      </c>
      <c r="L688" s="1" t="s">
        <v>6213</v>
      </c>
      <c r="M688" s="1" t="s">
        <v>6214</v>
      </c>
      <c r="P688" s="1" t="s">
        <v>6219</v>
      </c>
      <c r="Q688" s="3">
        <v>0</v>
      </c>
      <c r="R688" s="22" t="s">
        <v>2721</v>
      </c>
      <c r="S688" s="42" t="s">
        <v>6910</v>
      </c>
      <c r="T688" s="3" t="s">
        <v>4868</v>
      </c>
      <c r="U688" s="45">
        <v>35</v>
      </c>
      <c r="V688" t="s">
        <v>6919</v>
      </c>
      <c r="W688" s="1" t="str">
        <f>HYPERLINK("http://ictvonline.org/taxonomy/p/taxonomy-history?taxnode_id=201906963","ICTVonline=201906963")</f>
        <v>ICTVonline=201906963</v>
      </c>
    </row>
    <row r="689" spans="1:23">
      <c r="A689" s="3">
        <v>688</v>
      </c>
      <c r="B689" s="1" t="s">
        <v>6915</v>
      </c>
      <c r="D689" s="1" t="s">
        <v>6916</v>
      </c>
      <c r="F689" s="1" t="s">
        <v>6920</v>
      </c>
      <c r="H689" s="1" t="s">
        <v>6921</v>
      </c>
      <c r="J689" s="1" t="s">
        <v>1324</v>
      </c>
      <c r="L689" s="1" t="s">
        <v>6213</v>
      </c>
      <c r="M689" s="1" t="s">
        <v>6214</v>
      </c>
      <c r="P689" s="1" t="s">
        <v>6220</v>
      </c>
      <c r="Q689" s="3">
        <v>0</v>
      </c>
      <c r="R689" s="22" t="s">
        <v>2721</v>
      </c>
      <c r="S689" s="42" t="s">
        <v>6910</v>
      </c>
      <c r="T689" s="3" t="s">
        <v>4868</v>
      </c>
      <c r="U689" s="45">
        <v>35</v>
      </c>
      <c r="V689" t="s">
        <v>6919</v>
      </c>
      <c r="W689" s="1" t="str">
        <f>HYPERLINK("http://ictvonline.org/taxonomy/p/taxonomy-history?taxnode_id=201906964","ICTVonline=201906964")</f>
        <v>ICTVonline=201906964</v>
      </c>
    </row>
    <row r="690" spans="1:23">
      <c r="A690" s="3">
        <v>689</v>
      </c>
      <c r="B690" s="1" t="s">
        <v>6915</v>
      </c>
      <c r="D690" s="1" t="s">
        <v>6916</v>
      </c>
      <c r="F690" s="1" t="s">
        <v>6920</v>
      </c>
      <c r="H690" s="1" t="s">
        <v>6921</v>
      </c>
      <c r="J690" s="1" t="s">
        <v>1324</v>
      </c>
      <c r="L690" s="1" t="s">
        <v>6213</v>
      </c>
      <c r="M690" s="1" t="s">
        <v>6214</v>
      </c>
      <c r="P690" s="1" t="s">
        <v>6221</v>
      </c>
      <c r="Q690" s="3">
        <v>0</v>
      </c>
      <c r="R690" s="22" t="s">
        <v>2721</v>
      </c>
      <c r="S690" s="42" t="s">
        <v>6910</v>
      </c>
      <c r="T690" s="3" t="s">
        <v>4868</v>
      </c>
      <c r="U690" s="45">
        <v>35</v>
      </c>
      <c r="V690" t="s">
        <v>6919</v>
      </c>
      <c r="W690" s="1" t="str">
        <f>HYPERLINK("http://ictvonline.org/taxonomy/p/taxonomy-history?taxnode_id=201906965","ICTVonline=201906965")</f>
        <v>ICTVonline=201906965</v>
      </c>
    </row>
    <row r="691" spans="1:23">
      <c r="A691" s="3">
        <v>690</v>
      </c>
      <c r="B691" s="1" t="s">
        <v>6915</v>
      </c>
      <c r="D691" s="1" t="s">
        <v>6916</v>
      </c>
      <c r="F691" s="1" t="s">
        <v>6920</v>
      </c>
      <c r="H691" s="1" t="s">
        <v>6921</v>
      </c>
      <c r="J691" s="1" t="s">
        <v>1324</v>
      </c>
      <c r="L691" s="1" t="s">
        <v>6213</v>
      </c>
      <c r="M691" s="1" t="s">
        <v>6222</v>
      </c>
      <c r="N691" s="1" t="s">
        <v>6223</v>
      </c>
      <c r="P691" s="1" t="s">
        <v>6224</v>
      </c>
      <c r="Q691" s="3">
        <v>0</v>
      </c>
      <c r="R691" s="22" t="s">
        <v>2721</v>
      </c>
      <c r="S691" s="42" t="s">
        <v>6910</v>
      </c>
      <c r="T691" s="3" t="s">
        <v>4868</v>
      </c>
      <c r="U691" s="45">
        <v>35</v>
      </c>
      <c r="V691" t="s">
        <v>6919</v>
      </c>
      <c r="W691" s="1" t="str">
        <f>HYPERLINK("http://ictvonline.org/taxonomy/p/taxonomy-history?taxnode_id=201906968","ICTVonline=201906968")</f>
        <v>ICTVonline=201906968</v>
      </c>
    </row>
    <row r="692" spans="1:23">
      <c r="A692" s="3">
        <v>691</v>
      </c>
      <c r="B692" s="1" t="s">
        <v>6915</v>
      </c>
      <c r="D692" s="1" t="s">
        <v>6916</v>
      </c>
      <c r="F692" s="1" t="s">
        <v>6920</v>
      </c>
      <c r="H692" s="1" t="s">
        <v>6921</v>
      </c>
      <c r="J692" s="1" t="s">
        <v>1324</v>
      </c>
      <c r="L692" s="1" t="s">
        <v>6213</v>
      </c>
      <c r="M692" s="1" t="s">
        <v>6222</v>
      </c>
      <c r="N692" s="1" t="s">
        <v>6223</v>
      </c>
      <c r="P692" s="1" t="s">
        <v>6225</v>
      </c>
      <c r="Q692" s="3">
        <v>1</v>
      </c>
      <c r="R692" s="22" t="s">
        <v>2721</v>
      </c>
      <c r="S692" s="42" t="s">
        <v>6910</v>
      </c>
      <c r="T692" s="3" t="s">
        <v>4868</v>
      </c>
      <c r="U692" s="45">
        <v>35</v>
      </c>
      <c r="V692" t="s">
        <v>6919</v>
      </c>
      <c r="W692" s="1" t="str">
        <f>HYPERLINK("http://ictvonline.org/taxonomy/p/taxonomy-history?taxnode_id=201900275","ICTVonline=201900275")</f>
        <v>ICTVonline=201900275</v>
      </c>
    </row>
    <row r="693" spans="1:23">
      <c r="A693" s="3">
        <v>692</v>
      </c>
      <c r="B693" s="1" t="s">
        <v>6915</v>
      </c>
      <c r="D693" s="1" t="s">
        <v>6916</v>
      </c>
      <c r="F693" s="1" t="s">
        <v>6920</v>
      </c>
      <c r="H693" s="1" t="s">
        <v>6921</v>
      </c>
      <c r="J693" s="1" t="s">
        <v>1324</v>
      </c>
      <c r="L693" s="1" t="s">
        <v>6213</v>
      </c>
      <c r="M693" s="1" t="s">
        <v>6222</v>
      </c>
      <c r="N693" s="1" t="s">
        <v>6223</v>
      </c>
      <c r="P693" s="1" t="s">
        <v>6226</v>
      </c>
      <c r="Q693" s="3">
        <v>0</v>
      </c>
      <c r="R693" s="22" t="s">
        <v>2721</v>
      </c>
      <c r="S693" s="42" t="s">
        <v>6910</v>
      </c>
      <c r="T693" s="3" t="s">
        <v>4868</v>
      </c>
      <c r="U693" s="45">
        <v>35</v>
      </c>
      <c r="V693" t="s">
        <v>6919</v>
      </c>
      <c r="W693" s="1" t="str">
        <f>HYPERLINK("http://ictvonline.org/taxonomy/p/taxonomy-history?taxnode_id=201906969","ICTVonline=201906969")</f>
        <v>ICTVonline=201906969</v>
      </c>
    </row>
    <row r="694" spans="1:23">
      <c r="A694" s="3">
        <v>693</v>
      </c>
      <c r="B694" s="1" t="s">
        <v>6915</v>
      </c>
      <c r="D694" s="1" t="s">
        <v>6916</v>
      </c>
      <c r="F694" s="1" t="s">
        <v>6920</v>
      </c>
      <c r="H694" s="1" t="s">
        <v>6921</v>
      </c>
      <c r="J694" s="1" t="s">
        <v>1324</v>
      </c>
      <c r="L694" s="1" t="s">
        <v>6213</v>
      </c>
      <c r="M694" s="1" t="s">
        <v>6222</v>
      </c>
      <c r="N694" s="1" t="s">
        <v>7499</v>
      </c>
      <c r="P694" s="1" t="s">
        <v>6227</v>
      </c>
      <c r="Q694" s="3">
        <v>1</v>
      </c>
      <c r="R694" s="22" t="s">
        <v>2721</v>
      </c>
      <c r="S694" s="42" t="s">
        <v>6914</v>
      </c>
      <c r="T694" s="3" t="s">
        <v>4871</v>
      </c>
      <c r="U694" s="45">
        <v>35</v>
      </c>
      <c r="V694" t="s">
        <v>7500</v>
      </c>
      <c r="W694" s="1" t="str">
        <f>HYPERLINK("http://ictvonline.org/taxonomy/p/taxonomy-history?taxnode_id=201906970","ICTVonline=201906970")</f>
        <v>ICTVonline=201906970</v>
      </c>
    </row>
    <row r="695" spans="1:23">
      <c r="A695" s="3">
        <v>694</v>
      </c>
      <c r="B695" s="1" t="s">
        <v>6915</v>
      </c>
      <c r="D695" s="1" t="s">
        <v>6916</v>
      </c>
      <c r="F695" s="1" t="s">
        <v>6920</v>
      </c>
      <c r="H695" s="1" t="s">
        <v>6921</v>
      </c>
      <c r="J695" s="1" t="s">
        <v>1324</v>
      </c>
      <c r="L695" s="1" t="s">
        <v>6213</v>
      </c>
      <c r="M695" s="1" t="s">
        <v>6222</v>
      </c>
      <c r="N695" s="1" t="s">
        <v>7499</v>
      </c>
      <c r="P695" s="1" t="s">
        <v>7501</v>
      </c>
      <c r="Q695" s="3">
        <v>0</v>
      </c>
      <c r="R695" s="22" t="s">
        <v>2721</v>
      </c>
      <c r="S695" s="42" t="s">
        <v>6914</v>
      </c>
      <c r="T695" s="3" t="s">
        <v>4866</v>
      </c>
      <c r="U695" s="45">
        <v>35</v>
      </c>
      <c r="V695" t="s">
        <v>7500</v>
      </c>
      <c r="W695" s="1" t="str">
        <f>HYPERLINK("http://ictvonline.org/taxonomy/p/taxonomy-history?taxnode_id=201907662","ICTVonline=201907662")</f>
        <v>ICTVonline=201907662</v>
      </c>
    </row>
    <row r="696" spans="1:23">
      <c r="A696" s="3">
        <v>695</v>
      </c>
      <c r="B696" s="1" t="s">
        <v>6915</v>
      </c>
      <c r="D696" s="1" t="s">
        <v>6916</v>
      </c>
      <c r="F696" s="1" t="s">
        <v>6920</v>
      </c>
      <c r="H696" s="1" t="s">
        <v>6921</v>
      </c>
      <c r="J696" s="1" t="s">
        <v>1324</v>
      </c>
      <c r="L696" s="1" t="s">
        <v>6213</v>
      </c>
      <c r="M696" s="1" t="s">
        <v>6222</v>
      </c>
      <c r="N696" s="1" t="s">
        <v>7499</v>
      </c>
      <c r="P696" s="1" t="s">
        <v>7502</v>
      </c>
      <c r="Q696" s="3">
        <v>0</v>
      </c>
      <c r="R696" s="22" t="s">
        <v>2721</v>
      </c>
      <c r="S696" s="42" t="s">
        <v>6914</v>
      </c>
      <c r="T696" s="3" t="s">
        <v>4866</v>
      </c>
      <c r="U696" s="45">
        <v>35</v>
      </c>
      <c r="V696" t="s">
        <v>7500</v>
      </c>
      <c r="W696" s="1" t="str">
        <f>HYPERLINK("http://ictvonline.org/taxonomy/p/taxonomy-history?taxnode_id=201907661","ICTVonline=201907661")</f>
        <v>ICTVonline=201907661</v>
      </c>
    </row>
    <row r="697" spans="1:23">
      <c r="A697" s="3">
        <v>696</v>
      </c>
      <c r="B697" s="1" t="s">
        <v>6915</v>
      </c>
      <c r="D697" s="1" t="s">
        <v>6916</v>
      </c>
      <c r="F697" s="1" t="s">
        <v>6920</v>
      </c>
      <c r="H697" s="1" t="s">
        <v>6921</v>
      </c>
      <c r="J697" s="1" t="s">
        <v>1324</v>
      </c>
      <c r="L697" s="1" t="s">
        <v>6213</v>
      </c>
      <c r="M697" s="1" t="s">
        <v>6228</v>
      </c>
      <c r="N697" s="1" t="s">
        <v>6229</v>
      </c>
      <c r="P697" s="1" t="s">
        <v>2767</v>
      </c>
      <c r="Q697" s="3">
        <v>0</v>
      </c>
      <c r="R697" s="22" t="s">
        <v>2721</v>
      </c>
      <c r="S697" s="42" t="s">
        <v>6910</v>
      </c>
      <c r="T697" s="3" t="s">
        <v>4868</v>
      </c>
      <c r="U697" s="45">
        <v>35</v>
      </c>
      <c r="V697" t="s">
        <v>6919</v>
      </c>
      <c r="W697" s="1" t="str">
        <f>HYPERLINK("http://ictvonline.org/taxonomy/p/taxonomy-history?taxnode_id=201900260","ICTVonline=201900260")</f>
        <v>ICTVonline=201900260</v>
      </c>
    </row>
    <row r="698" spans="1:23">
      <c r="A698" s="3">
        <v>697</v>
      </c>
      <c r="B698" s="1" t="s">
        <v>6915</v>
      </c>
      <c r="D698" s="1" t="s">
        <v>6916</v>
      </c>
      <c r="F698" s="1" t="s">
        <v>6920</v>
      </c>
      <c r="H698" s="1" t="s">
        <v>6921</v>
      </c>
      <c r="J698" s="1" t="s">
        <v>1324</v>
      </c>
      <c r="L698" s="1" t="s">
        <v>6213</v>
      </c>
      <c r="M698" s="1" t="s">
        <v>6228</v>
      </c>
      <c r="N698" s="1" t="s">
        <v>6229</v>
      </c>
      <c r="P698" s="1" t="s">
        <v>6230</v>
      </c>
      <c r="Q698" s="3">
        <v>0</v>
      </c>
      <c r="R698" s="22" t="s">
        <v>2721</v>
      </c>
      <c r="S698" s="42" t="s">
        <v>6910</v>
      </c>
      <c r="T698" s="3" t="s">
        <v>4868</v>
      </c>
      <c r="U698" s="45">
        <v>35</v>
      </c>
      <c r="V698" t="s">
        <v>6919</v>
      </c>
      <c r="W698" s="1" t="str">
        <f>HYPERLINK("http://ictvonline.org/taxonomy/p/taxonomy-history?taxnode_id=201906979","ICTVonline=201906979")</f>
        <v>ICTVonline=201906979</v>
      </c>
    </row>
    <row r="699" spans="1:23">
      <c r="A699" s="3">
        <v>698</v>
      </c>
      <c r="B699" s="1" t="s">
        <v>6915</v>
      </c>
      <c r="D699" s="1" t="s">
        <v>6916</v>
      </c>
      <c r="F699" s="1" t="s">
        <v>6920</v>
      </c>
      <c r="H699" s="1" t="s">
        <v>6921</v>
      </c>
      <c r="J699" s="1" t="s">
        <v>1324</v>
      </c>
      <c r="L699" s="1" t="s">
        <v>6213</v>
      </c>
      <c r="M699" s="1" t="s">
        <v>6228</v>
      </c>
      <c r="N699" s="1" t="s">
        <v>6229</v>
      </c>
      <c r="P699" s="1" t="s">
        <v>6231</v>
      </c>
      <c r="Q699" s="3">
        <v>0</v>
      </c>
      <c r="R699" s="22" t="s">
        <v>2721</v>
      </c>
      <c r="S699" s="42" t="s">
        <v>6910</v>
      </c>
      <c r="T699" s="3" t="s">
        <v>4868</v>
      </c>
      <c r="U699" s="45">
        <v>35</v>
      </c>
      <c r="V699" t="s">
        <v>6919</v>
      </c>
      <c r="W699" s="1" t="str">
        <f>HYPERLINK("http://ictvonline.org/taxonomy/p/taxonomy-history?taxnode_id=201906972","ICTVonline=201906972")</f>
        <v>ICTVonline=201906972</v>
      </c>
    </row>
    <row r="700" spans="1:23">
      <c r="A700" s="3">
        <v>699</v>
      </c>
      <c r="B700" s="1" t="s">
        <v>6915</v>
      </c>
      <c r="D700" s="1" t="s">
        <v>6916</v>
      </c>
      <c r="F700" s="1" t="s">
        <v>6920</v>
      </c>
      <c r="H700" s="1" t="s">
        <v>6921</v>
      </c>
      <c r="J700" s="1" t="s">
        <v>1324</v>
      </c>
      <c r="L700" s="1" t="s">
        <v>6213</v>
      </c>
      <c r="M700" s="1" t="s">
        <v>6228</v>
      </c>
      <c r="N700" s="1" t="s">
        <v>6229</v>
      </c>
      <c r="P700" s="1" t="s">
        <v>6232</v>
      </c>
      <c r="Q700" s="3">
        <v>0</v>
      </c>
      <c r="R700" s="22" t="s">
        <v>2721</v>
      </c>
      <c r="S700" s="42" t="s">
        <v>6910</v>
      </c>
      <c r="T700" s="3" t="s">
        <v>4868</v>
      </c>
      <c r="U700" s="45">
        <v>35</v>
      </c>
      <c r="V700" t="s">
        <v>6919</v>
      </c>
      <c r="W700" s="1" t="str">
        <f>HYPERLINK("http://ictvonline.org/taxonomy/p/taxonomy-history?taxnode_id=201906973","ICTVonline=201906973")</f>
        <v>ICTVonline=201906973</v>
      </c>
    </row>
    <row r="701" spans="1:23">
      <c r="A701" s="3">
        <v>700</v>
      </c>
      <c r="B701" s="1" t="s">
        <v>6915</v>
      </c>
      <c r="D701" s="1" t="s">
        <v>6916</v>
      </c>
      <c r="F701" s="1" t="s">
        <v>6920</v>
      </c>
      <c r="H701" s="1" t="s">
        <v>6921</v>
      </c>
      <c r="J701" s="1" t="s">
        <v>1324</v>
      </c>
      <c r="L701" s="1" t="s">
        <v>6213</v>
      </c>
      <c r="M701" s="1" t="s">
        <v>6228</v>
      </c>
      <c r="N701" s="1" t="s">
        <v>6229</v>
      </c>
      <c r="P701" s="1" t="s">
        <v>6233</v>
      </c>
      <c r="Q701" s="3">
        <v>0</v>
      </c>
      <c r="R701" s="22" t="s">
        <v>2721</v>
      </c>
      <c r="S701" s="42" t="s">
        <v>6910</v>
      </c>
      <c r="T701" s="3" t="s">
        <v>4868</v>
      </c>
      <c r="U701" s="45">
        <v>35</v>
      </c>
      <c r="V701" t="s">
        <v>6919</v>
      </c>
      <c r="W701" s="1" t="str">
        <f>HYPERLINK("http://ictvonline.org/taxonomy/p/taxonomy-history?taxnode_id=201906975","ICTVonline=201906975")</f>
        <v>ICTVonline=201906975</v>
      </c>
    </row>
    <row r="702" spans="1:23">
      <c r="A702" s="3">
        <v>701</v>
      </c>
      <c r="B702" s="1" t="s">
        <v>6915</v>
      </c>
      <c r="D702" s="1" t="s">
        <v>6916</v>
      </c>
      <c r="F702" s="1" t="s">
        <v>6920</v>
      </c>
      <c r="H702" s="1" t="s">
        <v>6921</v>
      </c>
      <c r="J702" s="1" t="s">
        <v>1324</v>
      </c>
      <c r="L702" s="1" t="s">
        <v>6213</v>
      </c>
      <c r="M702" s="1" t="s">
        <v>6228</v>
      </c>
      <c r="N702" s="1" t="s">
        <v>6229</v>
      </c>
      <c r="P702" s="1" t="s">
        <v>6234</v>
      </c>
      <c r="Q702" s="3">
        <v>0</v>
      </c>
      <c r="R702" s="22" t="s">
        <v>2721</v>
      </c>
      <c r="S702" s="42" t="s">
        <v>6910</v>
      </c>
      <c r="T702" s="3" t="s">
        <v>4868</v>
      </c>
      <c r="U702" s="45">
        <v>35</v>
      </c>
      <c r="V702" t="s">
        <v>6919</v>
      </c>
      <c r="W702" s="1" t="str">
        <f>HYPERLINK("http://ictvonline.org/taxonomy/p/taxonomy-history?taxnode_id=201906974","ICTVonline=201906974")</f>
        <v>ICTVonline=201906974</v>
      </c>
    </row>
    <row r="703" spans="1:23">
      <c r="A703" s="3">
        <v>702</v>
      </c>
      <c r="B703" s="1" t="s">
        <v>6915</v>
      </c>
      <c r="D703" s="1" t="s">
        <v>6916</v>
      </c>
      <c r="F703" s="1" t="s">
        <v>6920</v>
      </c>
      <c r="H703" s="1" t="s">
        <v>6921</v>
      </c>
      <c r="J703" s="1" t="s">
        <v>1324</v>
      </c>
      <c r="L703" s="1" t="s">
        <v>6213</v>
      </c>
      <c r="M703" s="1" t="s">
        <v>6228</v>
      </c>
      <c r="N703" s="1" t="s">
        <v>6229</v>
      </c>
      <c r="P703" s="1" t="s">
        <v>6235</v>
      </c>
      <c r="Q703" s="3">
        <v>0</v>
      </c>
      <c r="R703" s="22" t="s">
        <v>2721</v>
      </c>
      <c r="S703" s="42" t="s">
        <v>6910</v>
      </c>
      <c r="T703" s="3" t="s">
        <v>4868</v>
      </c>
      <c r="U703" s="45">
        <v>35</v>
      </c>
      <c r="V703" t="s">
        <v>6919</v>
      </c>
      <c r="W703" s="1" t="str">
        <f>HYPERLINK("http://ictvonline.org/taxonomy/p/taxonomy-history?taxnode_id=201906976","ICTVonline=201906976")</f>
        <v>ICTVonline=201906976</v>
      </c>
    </row>
    <row r="704" spans="1:23">
      <c r="A704" s="3">
        <v>703</v>
      </c>
      <c r="B704" s="1" t="s">
        <v>6915</v>
      </c>
      <c r="D704" s="1" t="s">
        <v>6916</v>
      </c>
      <c r="F704" s="1" t="s">
        <v>6920</v>
      </c>
      <c r="H704" s="1" t="s">
        <v>6921</v>
      </c>
      <c r="J704" s="1" t="s">
        <v>1324</v>
      </c>
      <c r="L704" s="1" t="s">
        <v>6213</v>
      </c>
      <c r="M704" s="1" t="s">
        <v>6228</v>
      </c>
      <c r="N704" s="1" t="s">
        <v>6229</v>
      </c>
      <c r="P704" s="1" t="s">
        <v>6236</v>
      </c>
      <c r="Q704" s="3">
        <v>0</v>
      </c>
      <c r="R704" s="22" t="s">
        <v>2721</v>
      </c>
      <c r="S704" s="42" t="s">
        <v>6910</v>
      </c>
      <c r="T704" s="3" t="s">
        <v>4868</v>
      </c>
      <c r="U704" s="45">
        <v>35</v>
      </c>
      <c r="V704" t="s">
        <v>6919</v>
      </c>
      <c r="W704" s="1" t="str">
        <f>HYPERLINK("http://ictvonline.org/taxonomy/p/taxonomy-history?taxnode_id=201906977","ICTVonline=201906977")</f>
        <v>ICTVonline=201906977</v>
      </c>
    </row>
    <row r="705" spans="1:23">
      <c r="A705" s="3">
        <v>704</v>
      </c>
      <c r="B705" s="1" t="s">
        <v>6915</v>
      </c>
      <c r="D705" s="1" t="s">
        <v>6916</v>
      </c>
      <c r="F705" s="1" t="s">
        <v>6920</v>
      </c>
      <c r="H705" s="1" t="s">
        <v>6921</v>
      </c>
      <c r="J705" s="1" t="s">
        <v>1324</v>
      </c>
      <c r="L705" s="1" t="s">
        <v>6213</v>
      </c>
      <c r="M705" s="1" t="s">
        <v>6228</v>
      </c>
      <c r="N705" s="1" t="s">
        <v>6229</v>
      </c>
      <c r="P705" s="1" t="s">
        <v>6237</v>
      </c>
      <c r="Q705" s="3">
        <v>0</v>
      </c>
      <c r="R705" s="22" t="s">
        <v>2721</v>
      </c>
      <c r="S705" s="42" t="s">
        <v>6910</v>
      </c>
      <c r="T705" s="3" t="s">
        <v>4868</v>
      </c>
      <c r="U705" s="45">
        <v>35</v>
      </c>
      <c r="V705" t="s">
        <v>6919</v>
      </c>
      <c r="W705" s="1" t="str">
        <f>HYPERLINK("http://ictvonline.org/taxonomy/p/taxonomy-history?taxnode_id=201906978","ICTVonline=201906978")</f>
        <v>ICTVonline=201906978</v>
      </c>
    </row>
    <row r="706" spans="1:23">
      <c r="A706" s="3">
        <v>705</v>
      </c>
      <c r="B706" s="1" t="s">
        <v>6915</v>
      </c>
      <c r="D706" s="1" t="s">
        <v>6916</v>
      </c>
      <c r="F706" s="1" t="s">
        <v>6920</v>
      </c>
      <c r="H706" s="1" t="s">
        <v>6921</v>
      </c>
      <c r="J706" s="1" t="s">
        <v>1324</v>
      </c>
      <c r="L706" s="1" t="s">
        <v>6213</v>
      </c>
      <c r="M706" s="1" t="s">
        <v>6228</v>
      </c>
      <c r="N706" s="1" t="s">
        <v>6229</v>
      </c>
      <c r="P706" s="1" t="s">
        <v>2768</v>
      </c>
      <c r="Q706" s="3">
        <v>1</v>
      </c>
      <c r="R706" s="22" t="s">
        <v>2721</v>
      </c>
      <c r="S706" s="42" t="s">
        <v>6910</v>
      </c>
      <c r="T706" s="3" t="s">
        <v>4868</v>
      </c>
      <c r="U706" s="45">
        <v>35</v>
      </c>
      <c r="V706" t="s">
        <v>6919</v>
      </c>
      <c r="W706" s="1" t="str">
        <f>HYPERLINK("http://ictvonline.org/taxonomy/p/taxonomy-history?taxnode_id=201900261","ICTVonline=201900261")</f>
        <v>ICTVonline=201900261</v>
      </c>
    </row>
    <row r="707" spans="1:23">
      <c r="A707" s="3">
        <v>706</v>
      </c>
      <c r="B707" s="1" t="s">
        <v>6915</v>
      </c>
      <c r="D707" s="1" t="s">
        <v>6916</v>
      </c>
      <c r="F707" s="1" t="s">
        <v>6920</v>
      </c>
      <c r="H707" s="1" t="s">
        <v>6921</v>
      </c>
      <c r="J707" s="1" t="s">
        <v>1324</v>
      </c>
      <c r="L707" s="1" t="s">
        <v>6213</v>
      </c>
      <c r="M707" s="1" t="s">
        <v>6228</v>
      </c>
      <c r="N707" s="1" t="s">
        <v>6229</v>
      </c>
      <c r="P707" s="1" t="s">
        <v>6238</v>
      </c>
      <c r="Q707" s="3">
        <v>0</v>
      </c>
      <c r="R707" s="22" t="s">
        <v>2721</v>
      </c>
      <c r="S707" s="42" t="s">
        <v>6910</v>
      </c>
      <c r="T707" s="3" t="s">
        <v>4868</v>
      </c>
      <c r="U707" s="45">
        <v>35</v>
      </c>
      <c r="V707" t="s">
        <v>6919</v>
      </c>
      <c r="W707" s="1" t="str">
        <f>HYPERLINK("http://ictvonline.org/taxonomy/p/taxonomy-history?taxnode_id=201906980","ICTVonline=201906980")</f>
        <v>ICTVonline=201906980</v>
      </c>
    </row>
    <row r="708" spans="1:23">
      <c r="A708" s="3">
        <v>707</v>
      </c>
      <c r="B708" s="1" t="s">
        <v>6915</v>
      </c>
      <c r="D708" s="1" t="s">
        <v>6916</v>
      </c>
      <c r="F708" s="1" t="s">
        <v>6920</v>
      </c>
      <c r="H708" s="1" t="s">
        <v>6921</v>
      </c>
      <c r="J708" s="1" t="s">
        <v>1324</v>
      </c>
      <c r="L708" s="1" t="s">
        <v>6213</v>
      </c>
      <c r="M708" s="1" t="s">
        <v>1334</v>
      </c>
      <c r="N708" s="1" t="s">
        <v>6239</v>
      </c>
      <c r="P708" s="1" t="s">
        <v>4143</v>
      </c>
      <c r="Q708" s="3">
        <v>0</v>
      </c>
      <c r="R708" s="22" t="s">
        <v>2721</v>
      </c>
      <c r="S708" s="42" t="s">
        <v>6910</v>
      </c>
      <c r="T708" s="3" t="s">
        <v>4868</v>
      </c>
      <c r="U708" s="45">
        <v>35</v>
      </c>
      <c r="V708" t="s">
        <v>6919</v>
      </c>
      <c r="W708" s="1" t="str">
        <f>HYPERLINK("http://ictvonline.org/taxonomy/p/taxonomy-history?taxnode_id=201900267","ICTVonline=201900267")</f>
        <v>ICTVonline=201900267</v>
      </c>
    </row>
    <row r="709" spans="1:23">
      <c r="A709" s="3">
        <v>708</v>
      </c>
      <c r="B709" s="1" t="s">
        <v>6915</v>
      </c>
      <c r="D709" s="1" t="s">
        <v>6916</v>
      </c>
      <c r="F709" s="1" t="s">
        <v>6920</v>
      </c>
      <c r="H709" s="1" t="s">
        <v>6921</v>
      </c>
      <c r="J709" s="1" t="s">
        <v>1324</v>
      </c>
      <c r="L709" s="1" t="s">
        <v>6213</v>
      </c>
      <c r="M709" s="1" t="s">
        <v>1334</v>
      </c>
      <c r="N709" s="1" t="s">
        <v>6239</v>
      </c>
      <c r="P709" s="1" t="s">
        <v>2772</v>
      </c>
      <c r="Q709" s="3">
        <v>1</v>
      </c>
      <c r="R709" s="22" t="s">
        <v>2721</v>
      </c>
      <c r="S709" s="42" t="s">
        <v>6910</v>
      </c>
      <c r="T709" s="3" t="s">
        <v>4868</v>
      </c>
      <c r="U709" s="45">
        <v>35</v>
      </c>
      <c r="V709" t="s">
        <v>6919</v>
      </c>
      <c r="W709" s="1" t="str">
        <f>HYPERLINK("http://ictvonline.org/taxonomy/p/taxonomy-history?taxnode_id=201900268","ICTVonline=201900268")</f>
        <v>ICTVonline=201900268</v>
      </c>
    </row>
    <row r="710" spans="1:23">
      <c r="A710" s="3">
        <v>709</v>
      </c>
      <c r="B710" s="1" t="s">
        <v>6915</v>
      </c>
      <c r="D710" s="1" t="s">
        <v>6916</v>
      </c>
      <c r="F710" s="1" t="s">
        <v>6920</v>
      </c>
      <c r="H710" s="1" t="s">
        <v>6921</v>
      </c>
      <c r="J710" s="1" t="s">
        <v>1324</v>
      </c>
      <c r="L710" s="1" t="s">
        <v>6213</v>
      </c>
      <c r="M710" s="1" t="s">
        <v>1334</v>
      </c>
      <c r="N710" s="1" t="s">
        <v>6412</v>
      </c>
      <c r="P710" s="1" t="s">
        <v>2862</v>
      </c>
      <c r="Q710" s="3">
        <v>1</v>
      </c>
      <c r="R710" s="22" t="s">
        <v>2721</v>
      </c>
      <c r="S710" s="42" t="s">
        <v>6910</v>
      </c>
      <c r="T710" s="3" t="s">
        <v>4868</v>
      </c>
      <c r="U710" s="45">
        <v>35</v>
      </c>
      <c r="V710" t="s">
        <v>6919</v>
      </c>
      <c r="W710" s="1" t="str">
        <f>HYPERLINK("http://ictvonline.org/taxonomy/p/taxonomy-history?taxnode_id=201900425","ICTVonline=201900425")</f>
        <v>ICTVonline=201900425</v>
      </c>
    </row>
    <row r="711" spans="1:23">
      <c r="A711" s="3">
        <v>710</v>
      </c>
      <c r="B711" s="1" t="s">
        <v>6915</v>
      </c>
      <c r="D711" s="1" t="s">
        <v>6916</v>
      </c>
      <c r="F711" s="1" t="s">
        <v>6920</v>
      </c>
      <c r="H711" s="1" t="s">
        <v>6921</v>
      </c>
      <c r="J711" s="1" t="s">
        <v>1324</v>
      </c>
      <c r="L711" s="1" t="s">
        <v>6213</v>
      </c>
      <c r="M711" s="1" t="s">
        <v>1334</v>
      </c>
      <c r="N711" s="1" t="s">
        <v>6412</v>
      </c>
      <c r="P711" s="1" t="s">
        <v>2863</v>
      </c>
      <c r="Q711" s="3">
        <v>0</v>
      </c>
      <c r="R711" s="22" t="s">
        <v>2721</v>
      </c>
      <c r="S711" s="42" t="s">
        <v>6910</v>
      </c>
      <c r="T711" s="3" t="s">
        <v>4868</v>
      </c>
      <c r="U711" s="45">
        <v>35</v>
      </c>
      <c r="V711" t="s">
        <v>6919</v>
      </c>
      <c r="W711" s="1" t="str">
        <f>HYPERLINK("http://ictvonline.org/taxonomy/p/taxonomy-history?taxnode_id=201900426","ICTVonline=201900426")</f>
        <v>ICTVonline=201900426</v>
      </c>
    </row>
    <row r="712" spans="1:23">
      <c r="A712" s="3">
        <v>711</v>
      </c>
      <c r="B712" s="1" t="s">
        <v>6915</v>
      </c>
      <c r="D712" s="1" t="s">
        <v>6916</v>
      </c>
      <c r="F712" s="1" t="s">
        <v>6920</v>
      </c>
      <c r="H712" s="1" t="s">
        <v>6921</v>
      </c>
      <c r="J712" s="1" t="s">
        <v>1324</v>
      </c>
      <c r="L712" s="1" t="s">
        <v>6213</v>
      </c>
      <c r="M712" s="1" t="s">
        <v>1334</v>
      </c>
      <c r="N712" s="1" t="s">
        <v>6412</v>
      </c>
      <c r="P712" s="1" t="s">
        <v>2864</v>
      </c>
      <c r="Q712" s="3">
        <v>0</v>
      </c>
      <c r="R712" s="22" t="s">
        <v>2721</v>
      </c>
      <c r="S712" s="42" t="s">
        <v>6910</v>
      </c>
      <c r="T712" s="3" t="s">
        <v>4868</v>
      </c>
      <c r="U712" s="45">
        <v>35</v>
      </c>
      <c r="V712" t="s">
        <v>6919</v>
      </c>
      <c r="W712" s="1" t="str">
        <f>HYPERLINK("http://ictvonline.org/taxonomy/p/taxonomy-history?taxnode_id=201900427","ICTVonline=201900427")</f>
        <v>ICTVonline=201900427</v>
      </c>
    </row>
    <row r="713" spans="1:23">
      <c r="A713" s="3">
        <v>712</v>
      </c>
      <c r="B713" s="1" t="s">
        <v>6915</v>
      </c>
      <c r="D713" s="1" t="s">
        <v>6916</v>
      </c>
      <c r="F713" s="1" t="s">
        <v>6920</v>
      </c>
      <c r="H713" s="1" t="s">
        <v>6921</v>
      </c>
      <c r="J713" s="1" t="s">
        <v>1324</v>
      </c>
      <c r="L713" s="1" t="s">
        <v>6213</v>
      </c>
      <c r="M713" s="1" t="s">
        <v>6240</v>
      </c>
      <c r="N713" s="1" t="s">
        <v>7503</v>
      </c>
      <c r="P713" s="1" t="s">
        <v>7504</v>
      </c>
      <c r="Q713" s="3">
        <v>0</v>
      </c>
      <c r="R713" s="22" t="s">
        <v>2721</v>
      </c>
      <c r="S713" s="42" t="s">
        <v>6914</v>
      </c>
      <c r="T713" s="3" t="s">
        <v>4866</v>
      </c>
      <c r="U713" s="45">
        <v>35</v>
      </c>
      <c r="V713" t="s">
        <v>7505</v>
      </c>
      <c r="W713" s="1" t="str">
        <f>HYPERLINK("http://ictvonline.org/taxonomy/p/taxonomy-history?taxnode_id=201907732","ICTVonline=201907732")</f>
        <v>ICTVonline=201907732</v>
      </c>
    </row>
    <row r="714" spans="1:23">
      <c r="A714" s="3">
        <v>713</v>
      </c>
      <c r="B714" s="1" t="s">
        <v>6915</v>
      </c>
      <c r="D714" s="1" t="s">
        <v>6916</v>
      </c>
      <c r="F714" s="1" t="s">
        <v>6920</v>
      </c>
      <c r="H714" s="1" t="s">
        <v>6921</v>
      </c>
      <c r="J714" s="1" t="s">
        <v>1324</v>
      </c>
      <c r="L714" s="1" t="s">
        <v>6213</v>
      </c>
      <c r="M714" s="1" t="s">
        <v>6240</v>
      </c>
      <c r="N714" s="1" t="s">
        <v>7503</v>
      </c>
      <c r="P714" s="1" t="s">
        <v>7506</v>
      </c>
      <c r="Q714" s="3">
        <v>1</v>
      </c>
      <c r="R714" s="22" t="s">
        <v>2721</v>
      </c>
      <c r="S714" s="42" t="s">
        <v>6914</v>
      </c>
      <c r="T714" s="3" t="s">
        <v>4866</v>
      </c>
      <c r="U714" s="45">
        <v>35</v>
      </c>
      <c r="V714" t="s">
        <v>7505</v>
      </c>
      <c r="W714" s="1" t="str">
        <f>HYPERLINK("http://ictvonline.org/taxonomy/p/taxonomy-history?taxnode_id=201907731","ICTVonline=201907731")</f>
        <v>ICTVonline=201907731</v>
      </c>
    </row>
    <row r="715" spans="1:23">
      <c r="A715" s="3">
        <v>714</v>
      </c>
      <c r="B715" s="1" t="s">
        <v>6915</v>
      </c>
      <c r="D715" s="1" t="s">
        <v>6916</v>
      </c>
      <c r="F715" s="1" t="s">
        <v>6920</v>
      </c>
      <c r="H715" s="1" t="s">
        <v>6921</v>
      </c>
      <c r="J715" s="1" t="s">
        <v>1324</v>
      </c>
      <c r="L715" s="1" t="s">
        <v>6213</v>
      </c>
      <c r="M715" s="1" t="s">
        <v>6240</v>
      </c>
      <c r="N715" s="1" t="s">
        <v>7507</v>
      </c>
      <c r="P715" s="1" t="s">
        <v>7508</v>
      </c>
      <c r="Q715" s="3">
        <v>0</v>
      </c>
      <c r="R715" s="22" t="s">
        <v>2721</v>
      </c>
      <c r="S715" s="42" t="s">
        <v>6914</v>
      </c>
      <c r="T715" s="3" t="s">
        <v>4866</v>
      </c>
      <c r="U715" s="45">
        <v>35</v>
      </c>
      <c r="V715" t="s">
        <v>7509</v>
      </c>
      <c r="W715" s="1" t="str">
        <f>HYPERLINK("http://ictvonline.org/taxonomy/p/taxonomy-history?taxnode_id=201907402","ICTVonline=201907402")</f>
        <v>ICTVonline=201907402</v>
      </c>
    </row>
    <row r="716" spans="1:23">
      <c r="A716" s="3">
        <v>715</v>
      </c>
      <c r="B716" s="1" t="s">
        <v>6915</v>
      </c>
      <c r="D716" s="1" t="s">
        <v>6916</v>
      </c>
      <c r="F716" s="1" t="s">
        <v>6920</v>
      </c>
      <c r="H716" s="1" t="s">
        <v>6921</v>
      </c>
      <c r="J716" s="1" t="s">
        <v>1324</v>
      </c>
      <c r="L716" s="1" t="s">
        <v>6213</v>
      </c>
      <c r="M716" s="1" t="s">
        <v>6240</v>
      </c>
      <c r="N716" s="1" t="s">
        <v>7507</v>
      </c>
      <c r="P716" s="1" t="s">
        <v>7510</v>
      </c>
      <c r="Q716" s="3">
        <v>0</v>
      </c>
      <c r="R716" s="22" t="s">
        <v>2721</v>
      </c>
      <c r="S716" s="42" t="s">
        <v>6914</v>
      </c>
      <c r="T716" s="3" t="s">
        <v>4866</v>
      </c>
      <c r="U716" s="45">
        <v>35</v>
      </c>
      <c r="V716" t="s">
        <v>7509</v>
      </c>
      <c r="W716" s="1" t="str">
        <f>HYPERLINK("http://ictvonline.org/taxonomy/p/taxonomy-history?taxnode_id=201907401","ICTVonline=201907401")</f>
        <v>ICTVonline=201907401</v>
      </c>
    </row>
    <row r="717" spans="1:23">
      <c r="A717" s="3">
        <v>716</v>
      </c>
      <c r="B717" s="1" t="s">
        <v>6915</v>
      </c>
      <c r="D717" s="1" t="s">
        <v>6916</v>
      </c>
      <c r="F717" s="1" t="s">
        <v>6920</v>
      </c>
      <c r="H717" s="1" t="s">
        <v>6921</v>
      </c>
      <c r="J717" s="1" t="s">
        <v>1324</v>
      </c>
      <c r="L717" s="1" t="s">
        <v>6213</v>
      </c>
      <c r="M717" s="1" t="s">
        <v>6240</v>
      </c>
      <c r="N717" s="1" t="s">
        <v>7507</v>
      </c>
      <c r="P717" s="1" t="s">
        <v>7511</v>
      </c>
      <c r="Q717" s="3">
        <v>0</v>
      </c>
      <c r="R717" s="22" t="s">
        <v>2721</v>
      </c>
      <c r="S717" s="42" t="s">
        <v>6914</v>
      </c>
      <c r="T717" s="3" t="s">
        <v>4866</v>
      </c>
      <c r="U717" s="45">
        <v>35</v>
      </c>
      <c r="V717" t="s">
        <v>7509</v>
      </c>
      <c r="W717" s="1" t="str">
        <f>HYPERLINK("http://ictvonline.org/taxonomy/p/taxonomy-history?taxnode_id=201907403","ICTVonline=201907403")</f>
        <v>ICTVonline=201907403</v>
      </c>
    </row>
    <row r="718" spans="1:23">
      <c r="A718" s="3">
        <v>717</v>
      </c>
      <c r="B718" s="1" t="s">
        <v>6915</v>
      </c>
      <c r="D718" s="1" t="s">
        <v>6916</v>
      </c>
      <c r="F718" s="1" t="s">
        <v>6920</v>
      </c>
      <c r="H718" s="1" t="s">
        <v>6921</v>
      </c>
      <c r="J718" s="1" t="s">
        <v>1324</v>
      </c>
      <c r="L718" s="1" t="s">
        <v>6213</v>
      </c>
      <c r="M718" s="1" t="s">
        <v>6240</v>
      </c>
      <c r="N718" s="1" t="s">
        <v>7507</v>
      </c>
      <c r="P718" s="1" t="s">
        <v>7512</v>
      </c>
      <c r="Q718" s="3">
        <v>1</v>
      </c>
      <c r="R718" s="22" t="s">
        <v>2721</v>
      </c>
      <c r="S718" s="42" t="s">
        <v>6914</v>
      </c>
      <c r="T718" s="3" t="s">
        <v>4866</v>
      </c>
      <c r="U718" s="45">
        <v>35</v>
      </c>
      <c r="V718" t="s">
        <v>7509</v>
      </c>
      <c r="W718" s="1" t="str">
        <f>HYPERLINK("http://ictvonline.org/taxonomy/p/taxonomy-history?taxnode_id=201907400","ICTVonline=201907400")</f>
        <v>ICTVonline=201907400</v>
      </c>
    </row>
    <row r="719" spans="1:23">
      <c r="A719" s="3">
        <v>718</v>
      </c>
      <c r="B719" s="1" t="s">
        <v>6915</v>
      </c>
      <c r="D719" s="1" t="s">
        <v>6916</v>
      </c>
      <c r="F719" s="1" t="s">
        <v>6920</v>
      </c>
      <c r="H719" s="1" t="s">
        <v>6921</v>
      </c>
      <c r="J719" s="1" t="s">
        <v>1324</v>
      </c>
      <c r="L719" s="1" t="s">
        <v>6213</v>
      </c>
      <c r="M719" s="1" t="s">
        <v>6240</v>
      </c>
      <c r="N719" s="1" t="s">
        <v>7507</v>
      </c>
      <c r="P719" s="1" t="s">
        <v>7513</v>
      </c>
      <c r="Q719" s="3">
        <v>0</v>
      </c>
      <c r="R719" s="22" t="s">
        <v>2721</v>
      </c>
      <c r="S719" s="42" t="s">
        <v>6914</v>
      </c>
      <c r="T719" s="3" t="s">
        <v>4866</v>
      </c>
      <c r="U719" s="45">
        <v>35</v>
      </c>
      <c r="V719" t="s">
        <v>7509</v>
      </c>
      <c r="W719" s="1" t="str">
        <f>HYPERLINK("http://ictvonline.org/taxonomy/p/taxonomy-history?taxnode_id=201907404","ICTVonline=201907404")</f>
        <v>ICTVonline=201907404</v>
      </c>
    </row>
    <row r="720" spans="1:23">
      <c r="A720" s="3">
        <v>719</v>
      </c>
      <c r="B720" s="1" t="s">
        <v>6915</v>
      </c>
      <c r="D720" s="1" t="s">
        <v>6916</v>
      </c>
      <c r="F720" s="1" t="s">
        <v>6920</v>
      </c>
      <c r="H720" s="1" t="s">
        <v>6921</v>
      </c>
      <c r="J720" s="1" t="s">
        <v>1324</v>
      </c>
      <c r="L720" s="1" t="s">
        <v>6213</v>
      </c>
      <c r="M720" s="1" t="s">
        <v>6240</v>
      </c>
      <c r="N720" s="1" t="s">
        <v>2758</v>
      </c>
      <c r="P720" s="1" t="s">
        <v>2759</v>
      </c>
      <c r="Q720" s="3">
        <v>0</v>
      </c>
      <c r="R720" s="22" t="s">
        <v>2721</v>
      </c>
      <c r="S720" s="42" t="s">
        <v>6910</v>
      </c>
      <c r="T720" s="3" t="s">
        <v>4868</v>
      </c>
      <c r="U720" s="45">
        <v>35</v>
      </c>
      <c r="V720" t="s">
        <v>6919</v>
      </c>
      <c r="W720" s="1" t="str">
        <f>HYPERLINK("http://ictvonline.org/taxonomy/p/taxonomy-history?taxnode_id=201900249","ICTVonline=201900249")</f>
        <v>ICTVonline=201900249</v>
      </c>
    </row>
    <row r="721" spans="1:23">
      <c r="A721" s="3">
        <v>720</v>
      </c>
      <c r="B721" s="1" t="s">
        <v>6915</v>
      </c>
      <c r="D721" s="1" t="s">
        <v>6916</v>
      </c>
      <c r="F721" s="1" t="s">
        <v>6920</v>
      </c>
      <c r="H721" s="1" t="s">
        <v>6921</v>
      </c>
      <c r="J721" s="1" t="s">
        <v>1324</v>
      </c>
      <c r="L721" s="1" t="s">
        <v>6213</v>
      </c>
      <c r="M721" s="1" t="s">
        <v>6240</v>
      </c>
      <c r="N721" s="1" t="s">
        <v>2758</v>
      </c>
      <c r="P721" s="1" t="s">
        <v>2760</v>
      </c>
      <c r="Q721" s="3">
        <v>0</v>
      </c>
      <c r="R721" s="22" t="s">
        <v>2721</v>
      </c>
      <c r="S721" s="42" t="s">
        <v>6910</v>
      </c>
      <c r="T721" s="3" t="s">
        <v>4868</v>
      </c>
      <c r="U721" s="45">
        <v>35</v>
      </c>
      <c r="V721" t="s">
        <v>6919</v>
      </c>
      <c r="W721" s="1" t="str">
        <f>HYPERLINK("http://ictvonline.org/taxonomy/p/taxonomy-history?taxnode_id=201900250","ICTVonline=201900250")</f>
        <v>ICTVonline=201900250</v>
      </c>
    </row>
    <row r="722" spans="1:23">
      <c r="A722" s="3">
        <v>721</v>
      </c>
      <c r="B722" s="1" t="s">
        <v>6915</v>
      </c>
      <c r="D722" s="1" t="s">
        <v>6916</v>
      </c>
      <c r="F722" s="1" t="s">
        <v>6920</v>
      </c>
      <c r="H722" s="1" t="s">
        <v>6921</v>
      </c>
      <c r="J722" s="1" t="s">
        <v>1324</v>
      </c>
      <c r="L722" s="1" t="s">
        <v>6213</v>
      </c>
      <c r="M722" s="1" t="s">
        <v>6240</v>
      </c>
      <c r="N722" s="1" t="s">
        <v>2758</v>
      </c>
      <c r="P722" s="1" t="s">
        <v>2761</v>
      </c>
      <c r="Q722" s="3">
        <v>0</v>
      </c>
      <c r="R722" s="22" t="s">
        <v>2721</v>
      </c>
      <c r="S722" s="42" t="s">
        <v>6910</v>
      </c>
      <c r="T722" s="3" t="s">
        <v>4868</v>
      </c>
      <c r="U722" s="45">
        <v>35</v>
      </c>
      <c r="V722" t="s">
        <v>6919</v>
      </c>
      <c r="W722" s="1" t="str">
        <f>HYPERLINK("http://ictvonline.org/taxonomy/p/taxonomy-history?taxnode_id=201900251","ICTVonline=201900251")</f>
        <v>ICTVonline=201900251</v>
      </c>
    </row>
    <row r="723" spans="1:23">
      <c r="A723" s="3">
        <v>722</v>
      </c>
      <c r="B723" s="1" t="s">
        <v>6915</v>
      </c>
      <c r="D723" s="1" t="s">
        <v>6916</v>
      </c>
      <c r="F723" s="1" t="s">
        <v>6920</v>
      </c>
      <c r="H723" s="1" t="s">
        <v>6921</v>
      </c>
      <c r="J723" s="1" t="s">
        <v>1324</v>
      </c>
      <c r="L723" s="1" t="s">
        <v>6213</v>
      </c>
      <c r="M723" s="1" t="s">
        <v>6240</v>
      </c>
      <c r="N723" s="1" t="s">
        <v>2758</v>
      </c>
      <c r="P723" s="1" t="s">
        <v>2762</v>
      </c>
      <c r="Q723" s="3">
        <v>1</v>
      </c>
      <c r="R723" s="22" t="s">
        <v>2721</v>
      </c>
      <c r="S723" s="42" t="s">
        <v>6910</v>
      </c>
      <c r="T723" s="3" t="s">
        <v>4868</v>
      </c>
      <c r="U723" s="45">
        <v>35</v>
      </c>
      <c r="V723" t="s">
        <v>6919</v>
      </c>
      <c r="W723" s="1" t="str">
        <f>HYPERLINK("http://ictvonline.org/taxonomy/p/taxonomy-history?taxnode_id=201900252","ICTVonline=201900252")</f>
        <v>ICTVonline=201900252</v>
      </c>
    </row>
    <row r="724" spans="1:23">
      <c r="A724" s="3">
        <v>723</v>
      </c>
      <c r="B724" s="1" t="s">
        <v>6915</v>
      </c>
      <c r="D724" s="1" t="s">
        <v>6916</v>
      </c>
      <c r="F724" s="1" t="s">
        <v>6920</v>
      </c>
      <c r="H724" s="1" t="s">
        <v>6921</v>
      </c>
      <c r="J724" s="1" t="s">
        <v>1324</v>
      </c>
      <c r="L724" s="1" t="s">
        <v>6213</v>
      </c>
      <c r="M724" s="1" t="s">
        <v>6240</v>
      </c>
      <c r="N724" s="1" t="s">
        <v>2758</v>
      </c>
      <c r="P724" s="1" t="s">
        <v>2763</v>
      </c>
      <c r="Q724" s="3">
        <v>0</v>
      </c>
      <c r="R724" s="22" t="s">
        <v>2721</v>
      </c>
      <c r="S724" s="42" t="s">
        <v>6910</v>
      </c>
      <c r="T724" s="3" t="s">
        <v>4868</v>
      </c>
      <c r="U724" s="45">
        <v>35</v>
      </c>
      <c r="V724" t="s">
        <v>6919</v>
      </c>
      <c r="W724" s="1" t="str">
        <f>HYPERLINK("http://ictvonline.org/taxonomy/p/taxonomy-history?taxnode_id=201900253","ICTVonline=201900253")</f>
        <v>ICTVonline=201900253</v>
      </c>
    </row>
    <row r="725" spans="1:23">
      <c r="A725" s="3">
        <v>724</v>
      </c>
      <c r="B725" s="1" t="s">
        <v>6915</v>
      </c>
      <c r="D725" s="1" t="s">
        <v>6916</v>
      </c>
      <c r="F725" s="1" t="s">
        <v>6920</v>
      </c>
      <c r="H725" s="1" t="s">
        <v>6921</v>
      </c>
      <c r="J725" s="1" t="s">
        <v>1324</v>
      </c>
      <c r="L725" s="1" t="s">
        <v>6213</v>
      </c>
      <c r="M725" s="1" t="s">
        <v>6240</v>
      </c>
      <c r="N725" s="1" t="s">
        <v>2758</v>
      </c>
      <c r="P725" s="1" t="s">
        <v>2764</v>
      </c>
      <c r="Q725" s="3">
        <v>0</v>
      </c>
      <c r="R725" s="22" t="s">
        <v>2721</v>
      </c>
      <c r="S725" s="42" t="s">
        <v>6910</v>
      </c>
      <c r="T725" s="3" t="s">
        <v>4868</v>
      </c>
      <c r="U725" s="45">
        <v>35</v>
      </c>
      <c r="V725" t="s">
        <v>6919</v>
      </c>
      <c r="W725" s="1" t="str">
        <f>HYPERLINK("http://ictvonline.org/taxonomy/p/taxonomy-history?taxnode_id=201900254","ICTVonline=201900254")</f>
        <v>ICTVonline=201900254</v>
      </c>
    </row>
    <row r="726" spans="1:23">
      <c r="A726" s="3">
        <v>725</v>
      </c>
      <c r="B726" s="1" t="s">
        <v>6915</v>
      </c>
      <c r="D726" s="1" t="s">
        <v>6916</v>
      </c>
      <c r="F726" s="1" t="s">
        <v>6920</v>
      </c>
      <c r="H726" s="1" t="s">
        <v>6921</v>
      </c>
      <c r="J726" s="1" t="s">
        <v>1324</v>
      </c>
      <c r="L726" s="1" t="s">
        <v>6213</v>
      </c>
      <c r="M726" s="1" t="s">
        <v>6240</v>
      </c>
      <c r="N726" s="1" t="s">
        <v>2758</v>
      </c>
      <c r="P726" s="1" t="s">
        <v>4140</v>
      </c>
      <c r="Q726" s="3">
        <v>0</v>
      </c>
      <c r="R726" s="22" t="s">
        <v>2721</v>
      </c>
      <c r="S726" s="42" t="s">
        <v>6910</v>
      </c>
      <c r="T726" s="3" t="s">
        <v>4868</v>
      </c>
      <c r="U726" s="45">
        <v>35</v>
      </c>
      <c r="V726" t="s">
        <v>6919</v>
      </c>
      <c r="W726" s="1" t="str">
        <f>HYPERLINK("http://ictvonline.org/taxonomy/p/taxonomy-history?taxnode_id=201900255","ICTVonline=201900255")</f>
        <v>ICTVonline=201900255</v>
      </c>
    </row>
    <row r="727" spans="1:23">
      <c r="A727" s="3">
        <v>726</v>
      </c>
      <c r="B727" s="1" t="s">
        <v>6915</v>
      </c>
      <c r="D727" s="1" t="s">
        <v>6916</v>
      </c>
      <c r="F727" s="1" t="s">
        <v>6920</v>
      </c>
      <c r="H727" s="1" t="s">
        <v>6921</v>
      </c>
      <c r="J727" s="1" t="s">
        <v>1324</v>
      </c>
      <c r="L727" s="1" t="s">
        <v>6213</v>
      </c>
      <c r="M727" s="1" t="s">
        <v>6240</v>
      </c>
      <c r="N727" s="1" t="s">
        <v>2758</v>
      </c>
      <c r="P727" s="1" t="s">
        <v>2765</v>
      </c>
      <c r="Q727" s="3">
        <v>0</v>
      </c>
      <c r="R727" s="22" t="s">
        <v>2721</v>
      </c>
      <c r="S727" s="42" t="s">
        <v>6910</v>
      </c>
      <c r="T727" s="3" t="s">
        <v>4868</v>
      </c>
      <c r="U727" s="45">
        <v>35</v>
      </c>
      <c r="V727" t="s">
        <v>6919</v>
      </c>
      <c r="W727" s="1" t="str">
        <f>HYPERLINK("http://ictvonline.org/taxonomy/p/taxonomy-history?taxnode_id=201900256","ICTVonline=201900256")</f>
        <v>ICTVonline=201900256</v>
      </c>
    </row>
    <row r="728" spans="1:23">
      <c r="A728" s="3">
        <v>727</v>
      </c>
      <c r="B728" s="1" t="s">
        <v>6915</v>
      </c>
      <c r="D728" s="1" t="s">
        <v>6916</v>
      </c>
      <c r="F728" s="1" t="s">
        <v>6920</v>
      </c>
      <c r="H728" s="1" t="s">
        <v>6921</v>
      </c>
      <c r="J728" s="1" t="s">
        <v>1324</v>
      </c>
      <c r="L728" s="1" t="s">
        <v>6213</v>
      </c>
      <c r="M728" s="1" t="s">
        <v>6240</v>
      </c>
      <c r="N728" s="1" t="s">
        <v>2758</v>
      </c>
      <c r="P728" s="1" t="s">
        <v>4141</v>
      </c>
      <c r="Q728" s="3">
        <v>0</v>
      </c>
      <c r="R728" s="22" t="s">
        <v>2721</v>
      </c>
      <c r="S728" s="42" t="s">
        <v>6910</v>
      </c>
      <c r="T728" s="3" t="s">
        <v>4868</v>
      </c>
      <c r="U728" s="45">
        <v>35</v>
      </c>
      <c r="V728" t="s">
        <v>6919</v>
      </c>
      <c r="W728" s="1" t="str">
        <f>HYPERLINK("http://ictvonline.org/taxonomy/p/taxonomy-history?taxnode_id=201900257","ICTVonline=201900257")</f>
        <v>ICTVonline=201900257</v>
      </c>
    </row>
    <row r="729" spans="1:23">
      <c r="A729" s="3">
        <v>728</v>
      </c>
      <c r="B729" s="1" t="s">
        <v>6915</v>
      </c>
      <c r="D729" s="1" t="s">
        <v>6916</v>
      </c>
      <c r="F729" s="1" t="s">
        <v>6920</v>
      </c>
      <c r="H729" s="1" t="s">
        <v>6921</v>
      </c>
      <c r="J729" s="1" t="s">
        <v>1324</v>
      </c>
      <c r="L729" s="1" t="s">
        <v>6213</v>
      </c>
      <c r="M729" s="1" t="s">
        <v>6240</v>
      </c>
      <c r="N729" s="1" t="s">
        <v>2758</v>
      </c>
      <c r="P729" s="1" t="s">
        <v>2766</v>
      </c>
      <c r="Q729" s="3">
        <v>0</v>
      </c>
      <c r="R729" s="22" t="s">
        <v>2721</v>
      </c>
      <c r="S729" s="42" t="s">
        <v>6910</v>
      </c>
      <c r="T729" s="3" t="s">
        <v>4868</v>
      </c>
      <c r="U729" s="45">
        <v>35</v>
      </c>
      <c r="V729" t="s">
        <v>6919</v>
      </c>
      <c r="W729" s="1" t="str">
        <f>HYPERLINK("http://ictvonline.org/taxonomy/p/taxonomy-history?taxnode_id=201900258","ICTVonline=201900258")</f>
        <v>ICTVonline=201900258</v>
      </c>
    </row>
    <row r="730" spans="1:23">
      <c r="A730" s="3">
        <v>729</v>
      </c>
      <c r="B730" s="1" t="s">
        <v>6915</v>
      </c>
      <c r="D730" s="1" t="s">
        <v>6916</v>
      </c>
      <c r="F730" s="1" t="s">
        <v>6920</v>
      </c>
      <c r="H730" s="1" t="s">
        <v>6921</v>
      </c>
      <c r="J730" s="1" t="s">
        <v>1324</v>
      </c>
      <c r="L730" s="1" t="s">
        <v>6213</v>
      </c>
      <c r="M730" s="1" t="s">
        <v>6240</v>
      </c>
      <c r="N730" s="1" t="s">
        <v>2758</v>
      </c>
      <c r="P730" s="1" t="s">
        <v>6241</v>
      </c>
      <c r="Q730" s="3">
        <v>0</v>
      </c>
      <c r="R730" s="22" t="s">
        <v>2721</v>
      </c>
      <c r="S730" s="42" t="s">
        <v>6910</v>
      </c>
      <c r="T730" s="3" t="s">
        <v>4868</v>
      </c>
      <c r="U730" s="45">
        <v>35</v>
      </c>
      <c r="V730" t="s">
        <v>6919</v>
      </c>
      <c r="W730" s="1" t="str">
        <f>HYPERLINK("http://ictvonline.org/taxonomy/p/taxonomy-history?taxnode_id=201906982","ICTVonline=201906982")</f>
        <v>ICTVonline=201906982</v>
      </c>
    </row>
    <row r="731" spans="1:23">
      <c r="A731" s="3">
        <v>730</v>
      </c>
      <c r="B731" s="1" t="s">
        <v>6915</v>
      </c>
      <c r="D731" s="1" t="s">
        <v>6916</v>
      </c>
      <c r="F731" s="1" t="s">
        <v>6920</v>
      </c>
      <c r="H731" s="1" t="s">
        <v>6921</v>
      </c>
      <c r="J731" s="1" t="s">
        <v>1324</v>
      </c>
      <c r="L731" s="1" t="s">
        <v>6213</v>
      </c>
      <c r="M731" s="1" t="s">
        <v>6240</v>
      </c>
      <c r="N731" s="1" t="s">
        <v>7514</v>
      </c>
      <c r="P731" s="1" t="s">
        <v>7515</v>
      </c>
      <c r="Q731" s="3">
        <v>1</v>
      </c>
      <c r="R731" s="22" t="s">
        <v>2721</v>
      </c>
      <c r="S731" s="42" t="s">
        <v>6914</v>
      </c>
      <c r="T731" s="3" t="s">
        <v>4866</v>
      </c>
      <c r="U731" s="45">
        <v>35</v>
      </c>
      <c r="V731" t="s">
        <v>7516</v>
      </c>
      <c r="W731" s="1" t="str">
        <f>HYPERLINK("http://ictvonline.org/taxonomy/p/taxonomy-history?taxnode_id=201908033","ICTVonline=201908033")</f>
        <v>ICTVonline=201908033</v>
      </c>
    </row>
    <row r="732" spans="1:23">
      <c r="A732" s="3">
        <v>731</v>
      </c>
      <c r="B732" s="1" t="s">
        <v>6915</v>
      </c>
      <c r="D732" s="1" t="s">
        <v>6916</v>
      </c>
      <c r="F732" s="1" t="s">
        <v>6920</v>
      </c>
      <c r="H732" s="1" t="s">
        <v>6921</v>
      </c>
      <c r="J732" s="1" t="s">
        <v>1324</v>
      </c>
      <c r="L732" s="1" t="s">
        <v>6213</v>
      </c>
      <c r="M732" s="1" t="s">
        <v>6240</v>
      </c>
      <c r="N732" s="1" t="s">
        <v>6409</v>
      </c>
      <c r="P732" s="1" t="s">
        <v>4199</v>
      </c>
      <c r="Q732" s="3">
        <v>0</v>
      </c>
      <c r="R732" s="22" t="s">
        <v>2721</v>
      </c>
      <c r="S732" s="42" t="s">
        <v>6910</v>
      </c>
      <c r="T732" s="3" t="s">
        <v>4868</v>
      </c>
      <c r="U732" s="45">
        <v>35</v>
      </c>
      <c r="V732" t="s">
        <v>6919</v>
      </c>
      <c r="W732" s="1" t="str">
        <f>HYPERLINK("http://ictvonline.org/taxonomy/p/taxonomy-history?taxnode_id=201900505","ICTVonline=201900505")</f>
        <v>ICTVonline=201900505</v>
      </c>
    </row>
    <row r="733" spans="1:23">
      <c r="A733" s="3">
        <v>732</v>
      </c>
      <c r="B733" s="1" t="s">
        <v>6915</v>
      </c>
      <c r="D733" s="1" t="s">
        <v>6916</v>
      </c>
      <c r="F733" s="1" t="s">
        <v>6920</v>
      </c>
      <c r="H733" s="1" t="s">
        <v>6921</v>
      </c>
      <c r="J733" s="1" t="s">
        <v>1324</v>
      </c>
      <c r="L733" s="1" t="s">
        <v>6213</v>
      </c>
      <c r="M733" s="1" t="s">
        <v>6240</v>
      </c>
      <c r="N733" s="1" t="s">
        <v>6409</v>
      </c>
      <c r="P733" s="1" t="s">
        <v>4200</v>
      </c>
      <c r="Q733" s="3">
        <v>1</v>
      </c>
      <c r="R733" s="22" t="s">
        <v>2721</v>
      </c>
      <c r="S733" s="42" t="s">
        <v>6910</v>
      </c>
      <c r="T733" s="3" t="s">
        <v>4868</v>
      </c>
      <c r="U733" s="45">
        <v>35</v>
      </c>
      <c r="V733" t="s">
        <v>6919</v>
      </c>
      <c r="W733" s="1" t="str">
        <f>HYPERLINK("http://ictvonline.org/taxonomy/p/taxonomy-history?taxnode_id=201900506","ICTVonline=201900506")</f>
        <v>ICTVonline=201900506</v>
      </c>
    </row>
    <row r="734" spans="1:23">
      <c r="A734" s="3">
        <v>733</v>
      </c>
      <c r="B734" s="1" t="s">
        <v>6915</v>
      </c>
      <c r="D734" s="1" t="s">
        <v>6916</v>
      </c>
      <c r="F734" s="1" t="s">
        <v>6920</v>
      </c>
      <c r="H734" s="1" t="s">
        <v>6921</v>
      </c>
      <c r="J734" s="1" t="s">
        <v>1324</v>
      </c>
      <c r="L734" s="1" t="s">
        <v>6213</v>
      </c>
      <c r="M734" s="1" t="s">
        <v>6240</v>
      </c>
      <c r="N734" s="1" t="s">
        <v>2769</v>
      </c>
      <c r="P734" s="1" t="s">
        <v>2770</v>
      </c>
      <c r="Q734" s="3">
        <v>1</v>
      </c>
      <c r="R734" s="22" t="s">
        <v>2721</v>
      </c>
      <c r="S734" s="42" t="s">
        <v>6910</v>
      </c>
      <c r="T734" s="3" t="s">
        <v>4868</v>
      </c>
      <c r="U734" s="45">
        <v>35</v>
      </c>
      <c r="V734" t="s">
        <v>6919</v>
      </c>
      <c r="W734" s="1" t="str">
        <f>HYPERLINK("http://ictvonline.org/taxonomy/p/taxonomy-history?taxnode_id=201900263","ICTVonline=201900263")</f>
        <v>ICTVonline=201900263</v>
      </c>
    </row>
    <row r="735" spans="1:23">
      <c r="A735" s="3">
        <v>734</v>
      </c>
      <c r="B735" s="1" t="s">
        <v>6915</v>
      </c>
      <c r="D735" s="1" t="s">
        <v>6916</v>
      </c>
      <c r="F735" s="1" t="s">
        <v>6920</v>
      </c>
      <c r="H735" s="1" t="s">
        <v>6921</v>
      </c>
      <c r="J735" s="1" t="s">
        <v>1324</v>
      </c>
      <c r="L735" s="1" t="s">
        <v>6213</v>
      </c>
      <c r="M735" s="1" t="s">
        <v>6240</v>
      </c>
      <c r="N735" s="1" t="s">
        <v>2769</v>
      </c>
      <c r="P735" s="1" t="s">
        <v>2771</v>
      </c>
      <c r="Q735" s="3">
        <v>0</v>
      </c>
      <c r="R735" s="22" t="s">
        <v>2721</v>
      </c>
      <c r="S735" s="42" t="s">
        <v>6910</v>
      </c>
      <c r="T735" s="3" t="s">
        <v>4868</v>
      </c>
      <c r="U735" s="45">
        <v>35</v>
      </c>
      <c r="V735" t="s">
        <v>6919</v>
      </c>
      <c r="W735" s="1" t="str">
        <f>HYPERLINK("http://ictvonline.org/taxonomy/p/taxonomy-history?taxnode_id=201900264","ICTVonline=201900264")</f>
        <v>ICTVonline=201900264</v>
      </c>
    </row>
    <row r="736" spans="1:23">
      <c r="A736" s="3">
        <v>735</v>
      </c>
      <c r="B736" s="1" t="s">
        <v>6915</v>
      </c>
      <c r="D736" s="1" t="s">
        <v>6916</v>
      </c>
      <c r="F736" s="1" t="s">
        <v>6920</v>
      </c>
      <c r="H736" s="1" t="s">
        <v>6921</v>
      </c>
      <c r="J736" s="1" t="s">
        <v>1324</v>
      </c>
      <c r="L736" s="1" t="s">
        <v>6213</v>
      </c>
      <c r="M736" s="1" t="s">
        <v>6240</v>
      </c>
      <c r="N736" s="1" t="s">
        <v>2769</v>
      </c>
      <c r="P736" s="1" t="s">
        <v>4142</v>
      </c>
      <c r="Q736" s="3">
        <v>0</v>
      </c>
      <c r="R736" s="22" t="s">
        <v>2721</v>
      </c>
      <c r="S736" s="42" t="s">
        <v>6910</v>
      </c>
      <c r="T736" s="3" t="s">
        <v>4868</v>
      </c>
      <c r="U736" s="45">
        <v>35</v>
      </c>
      <c r="V736" t="s">
        <v>6919</v>
      </c>
      <c r="W736" s="1" t="str">
        <f>HYPERLINK("http://ictvonline.org/taxonomy/p/taxonomy-history?taxnode_id=201900265","ICTVonline=201900265")</f>
        <v>ICTVonline=201900265</v>
      </c>
    </row>
    <row r="737" spans="1:23">
      <c r="A737" s="3">
        <v>736</v>
      </c>
      <c r="B737" s="1" t="s">
        <v>6915</v>
      </c>
      <c r="D737" s="1" t="s">
        <v>6916</v>
      </c>
      <c r="F737" s="1" t="s">
        <v>6920</v>
      </c>
      <c r="H737" s="1" t="s">
        <v>6921</v>
      </c>
      <c r="J737" s="1" t="s">
        <v>1324</v>
      </c>
      <c r="L737" s="1" t="s">
        <v>6213</v>
      </c>
      <c r="M737" s="1" t="s">
        <v>6240</v>
      </c>
      <c r="N737" s="1" t="s">
        <v>2773</v>
      </c>
      <c r="P737" s="1" t="s">
        <v>2774</v>
      </c>
      <c r="Q737" s="3">
        <v>1</v>
      </c>
      <c r="R737" s="22" t="s">
        <v>2721</v>
      </c>
      <c r="S737" s="42" t="s">
        <v>6910</v>
      </c>
      <c r="T737" s="3" t="s">
        <v>4868</v>
      </c>
      <c r="U737" s="45">
        <v>35</v>
      </c>
      <c r="V737" t="s">
        <v>6919</v>
      </c>
      <c r="W737" s="1" t="str">
        <f>HYPERLINK("http://ictvonline.org/taxonomy/p/taxonomy-history?taxnode_id=201900273","ICTVonline=201900273")</f>
        <v>ICTVonline=201900273</v>
      </c>
    </row>
    <row r="738" spans="1:23">
      <c r="A738" s="3">
        <v>737</v>
      </c>
      <c r="B738" s="1" t="s">
        <v>6915</v>
      </c>
      <c r="D738" s="1" t="s">
        <v>6916</v>
      </c>
      <c r="F738" s="1" t="s">
        <v>6920</v>
      </c>
      <c r="H738" s="1" t="s">
        <v>6921</v>
      </c>
      <c r="J738" s="1" t="s">
        <v>1324</v>
      </c>
      <c r="L738" s="1" t="s">
        <v>6213</v>
      </c>
      <c r="P738" s="1" t="s">
        <v>6242</v>
      </c>
      <c r="Q738" s="3">
        <v>0</v>
      </c>
      <c r="R738" s="22" t="s">
        <v>2721</v>
      </c>
      <c r="S738" s="42" t="s">
        <v>6910</v>
      </c>
      <c r="T738" s="3" t="s">
        <v>4868</v>
      </c>
      <c r="U738" s="45">
        <v>35</v>
      </c>
      <c r="V738" t="s">
        <v>6919</v>
      </c>
      <c r="W738" s="1" t="str">
        <f>HYPERLINK("http://ictvonline.org/taxonomy/p/taxonomy-history?taxnode_id=201906983","ICTVonline=201906983")</f>
        <v>ICTVonline=201906983</v>
      </c>
    </row>
    <row r="739" spans="1:23">
      <c r="A739" s="3">
        <v>738</v>
      </c>
      <c r="B739" s="1" t="s">
        <v>6915</v>
      </c>
      <c r="D739" s="1" t="s">
        <v>6916</v>
      </c>
      <c r="F739" s="1" t="s">
        <v>6920</v>
      </c>
      <c r="H739" s="1" t="s">
        <v>6921</v>
      </c>
      <c r="J739" s="1" t="s">
        <v>1324</v>
      </c>
      <c r="L739" s="1" t="s">
        <v>6213</v>
      </c>
      <c r="P739" s="1" t="s">
        <v>4875</v>
      </c>
      <c r="Q739" s="3">
        <v>0</v>
      </c>
      <c r="R739" s="22" t="s">
        <v>2721</v>
      </c>
      <c r="S739" s="42" t="s">
        <v>6910</v>
      </c>
      <c r="T739" s="3" t="s">
        <v>4868</v>
      </c>
      <c r="U739" s="45">
        <v>35</v>
      </c>
      <c r="V739" t="s">
        <v>6919</v>
      </c>
      <c r="W739" s="1" t="str">
        <f>HYPERLINK("http://ictvonline.org/taxonomy/p/taxonomy-history?taxnode_id=201900276","ICTVonline=201900276")</f>
        <v>ICTVonline=201900276</v>
      </c>
    </row>
    <row r="740" spans="1:23">
      <c r="A740" s="3">
        <v>739</v>
      </c>
      <c r="B740" s="1" t="s">
        <v>6915</v>
      </c>
      <c r="D740" s="1" t="s">
        <v>6916</v>
      </c>
      <c r="F740" s="1" t="s">
        <v>6920</v>
      </c>
      <c r="H740" s="1" t="s">
        <v>6921</v>
      </c>
      <c r="J740" s="1" t="s">
        <v>1324</v>
      </c>
      <c r="L740" s="1" t="s">
        <v>6213</v>
      </c>
      <c r="P740" s="1" t="s">
        <v>2775</v>
      </c>
      <c r="Q740" s="3">
        <v>0</v>
      </c>
      <c r="R740" s="22" t="s">
        <v>2721</v>
      </c>
      <c r="S740" s="42" t="s">
        <v>6910</v>
      </c>
      <c r="T740" s="3" t="s">
        <v>4868</v>
      </c>
      <c r="U740" s="45">
        <v>35</v>
      </c>
      <c r="V740" t="s">
        <v>6919</v>
      </c>
      <c r="W740" s="1" t="str">
        <f>HYPERLINK("http://ictvonline.org/taxonomy/p/taxonomy-history?taxnode_id=201900277","ICTVonline=201900277")</f>
        <v>ICTVonline=201900277</v>
      </c>
    </row>
    <row r="741" spans="1:23">
      <c r="A741" s="3">
        <v>740</v>
      </c>
      <c r="B741" s="1" t="s">
        <v>6915</v>
      </c>
      <c r="D741" s="1" t="s">
        <v>6916</v>
      </c>
      <c r="F741" s="1" t="s">
        <v>6920</v>
      </c>
      <c r="H741" s="1" t="s">
        <v>6921</v>
      </c>
      <c r="J741" s="1" t="s">
        <v>1324</v>
      </c>
      <c r="L741" s="1" t="s">
        <v>1325</v>
      </c>
      <c r="M741" s="1" t="s">
        <v>2600</v>
      </c>
      <c r="N741" s="1" t="s">
        <v>6243</v>
      </c>
      <c r="P741" s="1" t="s">
        <v>4865</v>
      </c>
      <c r="Q741" s="3">
        <v>0</v>
      </c>
      <c r="R741" s="22" t="s">
        <v>2721</v>
      </c>
      <c r="S741" s="42" t="s">
        <v>6910</v>
      </c>
      <c r="T741" s="3" t="s">
        <v>4868</v>
      </c>
      <c r="U741" s="45">
        <v>35</v>
      </c>
      <c r="V741" t="s">
        <v>6919</v>
      </c>
      <c r="W741" s="1" t="str">
        <f>HYPERLINK("http://ictvonline.org/taxonomy/p/taxonomy-history?taxnode_id=201900194","ICTVonline=201900194")</f>
        <v>ICTVonline=201900194</v>
      </c>
    </row>
    <row r="742" spans="1:23">
      <c r="A742" s="3">
        <v>741</v>
      </c>
      <c r="B742" s="1" t="s">
        <v>6915</v>
      </c>
      <c r="D742" s="1" t="s">
        <v>6916</v>
      </c>
      <c r="F742" s="1" t="s">
        <v>6920</v>
      </c>
      <c r="H742" s="1" t="s">
        <v>6921</v>
      </c>
      <c r="J742" s="1" t="s">
        <v>1324</v>
      </c>
      <c r="L742" s="1" t="s">
        <v>1325</v>
      </c>
      <c r="M742" s="1" t="s">
        <v>2600</v>
      </c>
      <c r="N742" s="1" t="s">
        <v>6243</v>
      </c>
      <c r="P742" s="1" t="s">
        <v>2734</v>
      </c>
      <c r="Q742" s="3">
        <v>1</v>
      </c>
      <c r="R742" s="22" t="s">
        <v>2721</v>
      </c>
      <c r="S742" s="42" t="s">
        <v>6910</v>
      </c>
      <c r="T742" s="3" t="s">
        <v>4868</v>
      </c>
      <c r="U742" s="45">
        <v>35</v>
      </c>
      <c r="V742" t="s">
        <v>6919</v>
      </c>
      <c r="W742" s="1" t="str">
        <f>HYPERLINK("http://ictvonline.org/taxonomy/p/taxonomy-history?taxnode_id=201900195","ICTVonline=201900195")</f>
        <v>ICTVonline=201900195</v>
      </c>
    </row>
    <row r="743" spans="1:23">
      <c r="A743" s="3">
        <v>742</v>
      </c>
      <c r="B743" s="1" t="s">
        <v>6915</v>
      </c>
      <c r="D743" s="1" t="s">
        <v>6916</v>
      </c>
      <c r="F743" s="1" t="s">
        <v>6920</v>
      </c>
      <c r="H743" s="1" t="s">
        <v>6921</v>
      </c>
      <c r="J743" s="1" t="s">
        <v>1324</v>
      </c>
      <c r="L743" s="1" t="s">
        <v>1325</v>
      </c>
      <c r="M743" s="1" t="s">
        <v>2600</v>
      </c>
      <c r="N743" s="1" t="s">
        <v>6243</v>
      </c>
      <c r="P743" s="1" t="s">
        <v>2735</v>
      </c>
      <c r="Q743" s="3">
        <v>0</v>
      </c>
      <c r="R743" s="22" t="s">
        <v>2721</v>
      </c>
      <c r="S743" s="42" t="s">
        <v>6910</v>
      </c>
      <c r="T743" s="3" t="s">
        <v>4868</v>
      </c>
      <c r="U743" s="45">
        <v>35</v>
      </c>
      <c r="V743" t="s">
        <v>6919</v>
      </c>
      <c r="W743" s="1" t="str">
        <f>HYPERLINK("http://ictvonline.org/taxonomy/p/taxonomy-history?taxnode_id=201900196","ICTVonline=201900196")</f>
        <v>ICTVonline=201900196</v>
      </c>
    </row>
    <row r="744" spans="1:23">
      <c r="A744" s="3">
        <v>743</v>
      </c>
      <c r="B744" s="1" t="s">
        <v>6915</v>
      </c>
      <c r="D744" s="1" t="s">
        <v>6916</v>
      </c>
      <c r="F744" s="1" t="s">
        <v>6920</v>
      </c>
      <c r="H744" s="1" t="s">
        <v>6921</v>
      </c>
      <c r="J744" s="1" t="s">
        <v>1324</v>
      </c>
      <c r="L744" s="1" t="s">
        <v>1325</v>
      </c>
      <c r="M744" s="1" t="s">
        <v>2600</v>
      </c>
      <c r="N744" s="1" t="s">
        <v>6243</v>
      </c>
      <c r="P744" s="1" t="s">
        <v>2736</v>
      </c>
      <c r="Q744" s="3">
        <v>0</v>
      </c>
      <c r="R744" s="22" t="s">
        <v>2721</v>
      </c>
      <c r="S744" s="42" t="s">
        <v>6910</v>
      </c>
      <c r="T744" s="3" t="s">
        <v>4868</v>
      </c>
      <c r="U744" s="45">
        <v>35</v>
      </c>
      <c r="V744" t="s">
        <v>6919</v>
      </c>
      <c r="W744" s="1" t="str">
        <f>HYPERLINK("http://ictvonline.org/taxonomy/p/taxonomy-history?taxnode_id=201900197","ICTVonline=201900197")</f>
        <v>ICTVonline=201900197</v>
      </c>
    </row>
    <row r="745" spans="1:23">
      <c r="A745" s="3">
        <v>744</v>
      </c>
      <c r="B745" s="1" t="s">
        <v>6915</v>
      </c>
      <c r="D745" s="1" t="s">
        <v>6916</v>
      </c>
      <c r="F745" s="1" t="s">
        <v>6920</v>
      </c>
      <c r="H745" s="1" t="s">
        <v>6921</v>
      </c>
      <c r="J745" s="1" t="s">
        <v>1324</v>
      </c>
      <c r="L745" s="1" t="s">
        <v>1325</v>
      </c>
      <c r="M745" s="1" t="s">
        <v>2600</v>
      </c>
      <c r="N745" s="1" t="s">
        <v>6244</v>
      </c>
      <c r="P745" s="1" t="s">
        <v>2737</v>
      </c>
      <c r="Q745" s="3">
        <v>1</v>
      </c>
      <c r="R745" s="22" t="s">
        <v>2721</v>
      </c>
      <c r="S745" s="42" t="s">
        <v>6910</v>
      </c>
      <c r="T745" s="3" t="s">
        <v>4868</v>
      </c>
      <c r="U745" s="45">
        <v>35</v>
      </c>
      <c r="V745" t="s">
        <v>6919</v>
      </c>
      <c r="W745" s="1" t="str">
        <f>HYPERLINK("http://ictvonline.org/taxonomy/p/taxonomy-history?taxnode_id=201900199","ICTVonline=201900199")</f>
        <v>ICTVonline=201900199</v>
      </c>
    </row>
    <row r="746" spans="1:23">
      <c r="A746" s="3">
        <v>745</v>
      </c>
      <c r="B746" s="1" t="s">
        <v>6915</v>
      </c>
      <c r="D746" s="1" t="s">
        <v>6916</v>
      </c>
      <c r="F746" s="1" t="s">
        <v>6920</v>
      </c>
      <c r="H746" s="1" t="s">
        <v>6921</v>
      </c>
      <c r="J746" s="1" t="s">
        <v>1324</v>
      </c>
      <c r="L746" s="1" t="s">
        <v>1325</v>
      </c>
      <c r="M746" s="1" t="s">
        <v>2600</v>
      </c>
      <c r="N746" s="1" t="s">
        <v>6244</v>
      </c>
      <c r="P746" s="1" t="s">
        <v>4130</v>
      </c>
      <c r="Q746" s="3">
        <v>0</v>
      </c>
      <c r="R746" s="22" t="s">
        <v>2721</v>
      </c>
      <c r="S746" s="42" t="s">
        <v>6910</v>
      </c>
      <c r="T746" s="3" t="s">
        <v>4868</v>
      </c>
      <c r="U746" s="45">
        <v>35</v>
      </c>
      <c r="V746" t="s">
        <v>6919</v>
      </c>
      <c r="W746" s="1" t="str">
        <f>HYPERLINK("http://ictvonline.org/taxonomy/p/taxonomy-history?taxnode_id=201900200","ICTVonline=201900200")</f>
        <v>ICTVonline=201900200</v>
      </c>
    </row>
    <row r="747" spans="1:23">
      <c r="A747" s="3">
        <v>746</v>
      </c>
      <c r="B747" s="1" t="s">
        <v>6915</v>
      </c>
      <c r="D747" s="1" t="s">
        <v>6916</v>
      </c>
      <c r="F747" s="1" t="s">
        <v>6920</v>
      </c>
      <c r="H747" s="1" t="s">
        <v>6921</v>
      </c>
      <c r="J747" s="1" t="s">
        <v>1324</v>
      </c>
      <c r="L747" s="1" t="s">
        <v>1325</v>
      </c>
      <c r="M747" s="1" t="s">
        <v>2600</v>
      </c>
      <c r="N747" s="1" t="s">
        <v>6244</v>
      </c>
      <c r="P747" s="1" t="s">
        <v>2738</v>
      </c>
      <c r="Q747" s="3">
        <v>0</v>
      </c>
      <c r="R747" s="22" t="s">
        <v>2721</v>
      </c>
      <c r="S747" s="42" t="s">
        <v>6910</v>
      </c>
      <c r="T747" s="3" t="s">
        <v>4868</v>
      </c>
      <c r="U747" s="45">
        <v>35</v>
      </c>
      <c r="V747" t="s">
        <v>6919</v>
      </c>
      <c r="W747" s="1" t="str">
        <f>HYPERLINK("http://ictvonline.org/taxonomy/p/taxonomy-history?taxnode_id=201900201","ICTVonline=201900201")</f>
        <v>ICTVonline=201900201</v>
      </c>
    </row>
    <row r="748" spans="1:23">
      <c r="A748" s="3">
        <v>747</v>
      </c>
      <c r="B748" s="1" t="s">
        <v>6915</v>
      </c>
      <c r="D748" s="1" t="s">
        <v>6916</v>
      </c>
      <c r="F748" s="1" t="s">
        <v>6920</v>
      </c>
      <c r="H748" s="1" t="s">
        <v>6921</v>
      </c>
      <c r="J748" s="1" t="s">
        <v>1324</v>
      </c>
      <c r="L748" s="1" t="s">
        <v>1325</v>
      </c>
      <c r="M748" s="1" t="s">
        <v>2600</v>
      </c>
      <c r="N748" s="1" t="s">
        <v>6244</v>
      </c>
      <c r="P748" s="1" t="s">
        <v>6245</v>
      </c>
      <c r="Q748" s="3">
        <v>0</v>
      </c>
      <c r="R748" s="22" t="s">
        <v>2721</v>
      </c>
      <c r="S748" s="42" t="s">
        <v>6910</v>
      </c>
      <c r="T748" s="3" t="s">
        <v>4868</v>
      </c>
      <c r="U748" s="45">
        <v>35</v>
      </c>
      <c r="V748" t="s">
        <v>6919</v>
      </c>
      <c r="W748" s="1" t="str">
        <f>HYPERLINK("http://ictvonline.org/taxonomy/p/taxonomy-history?taxnode_id=201906998","ICTVonline=201906998")</f>
        <v>ICTVonline=201906998</v>
      </c>
    </row>
    <row r="749" spans="1:23">
      <c r="A749" s="3">
        <v>748</v>
      </c>
      <c r="B749" s="1" t="s">
        <v>6915</v>
      </c>
      <c r="D749" s="1" t="s">
        <v>6916</v>
      </c>
      <c r="F749" s="1" t="s">
        <v>6920</v>
      </c>
      <c r="H749" s="1" t="s">
        <v>6921</v>
      </c>
      <c r="J749" s="1" t="s">
        <v>1324</v>
      </c>
      <c r="L749" s="1" t="s">
        <v>1325</v>
      </c>
      <c r="M749" s="1" t="s">
        <v>2600</v>
      </c>
      <c r="N749" s="1" t="s">
        <v>6244</v>
      </c>
      <c r="P749" s="1" t="s">
        <v>2739</v>
      </c>
      <c r="Q749" s="3">
        <v>0</v>
      </c>
      <c r="R749" s="22" t="s">
        <v>2721</v>
      </c>
      <c r="S749" s="42" t="s">
        <v>6910</v>
      </c>
      <c r="T749" s="3" t="s">
        <v>4868</v>
      </c>
      <c r="U749" s="45">
        <v>35</v>
      </c>
      <c r="V749" t="s">
        <v>6919</v>
      </c>
      <c r="W749" s="1" t="str">
        <f>HYPERLINK("http://ictvonline.org/taxonomy/p/taxonomy-history?taxnode_id=201900202","ICTVonline=201900202")</f>
        <v>ICTVonline=201900202</v>
      </c>
    </row>
    <row r="750" spans="1:23">
      <c r="A750" s="3">
        <v>749</v>
      </c>
      <c r="B750" s="1" t="s">
        <v>6915</v>
      </c>
      <c r="D750" s="1" t="s">
        <v>6916</v>
      </c>
      <c r="F750" s="1" t="s">
        <v>6920</v>
      </c>
      <c r="H750" s="1" t="s">
        <v>6921</v>
      </c>
      <c r="J750" s="1" t="s">
        <v>1324</v>
      </c>
      <c r="L750" s="1" t="s">
        <v>1325</v>
      </c>
      <c r="M750" s="1" t="s">
        <v>4060</v>
      </c>
      <c r="N750" s="1" t="s">
        <v>6246</v>
      </c>
      <c r="P750" s="1" t="s">
        <v>6247</v>
      </c>
      <c r="Q750" s="3">
        <v>0</v>
      </c>
      <c r="R750" s="22" t="s">
        <v>2721</v>
      </c>
      <c r="S750" s="42" t="s">
        <v>6910</v>
      </c>
      <c r="T750" s="3" t="s">
        <v>4868</v>
      </c>
      <c r="U750" s="45">
        <v>35</v>
      </c>
      <c r="V750" t="s">
        <v>6919</v>
      </c>
      <c r="W750" s="1" t="str">
        <f>HYPERLINK("http://ictvonline.org/taxonomy/p/taxonomy-history?taxnode_id=201907010","ICTVonline=201907010")</f>
        <v>ICTVonline=201907010</v>
      </c>
    </row>
    <row r="751" spans="1:23">
      <c r="A751" s="3">
        <v>750</v>
      </c>
      <c r="B751" s="1" t="s">
        <v>6915</v>
      </c>
      <c r="D751" s="1" t="s">
        <v>6916</v>
      </c>
      <c r="F751" s="1" t="s">
        <v>6920</v>
      </c>
      <c r="H751" s="1" t="s">
        <v>6921</v>
      </c>
      <c r="J751" s="1" t="s">
        <v>1324</v>
      </c>
      <c r="L751" s="1" t="s">
        <v>1325</v>
      </c>
      <c r="M751" s="1" t="s">
        <v>4060</v>
      </c>
      <c r="N751" s="1" t="s">
        <v>6246</v>
      </c>
      <c r="P751" s="1" t="s">
        <v>2868</v>
      </c>
      <c r="Q751" s="3">
        <v>0</v>
      </c>
      <c r="R751" s="22" t="s">
        <v>2721</v>
      </c>
      <c r="S751" s="42" t="s">
        <v>6910</v>
      </c>
      <c r="T751" s="3" t="s">
        <v>4868</v>
      </c>
      <c r="U751" s="45">
        <v>35</v>
      </c>
      <c r="V751" t="s">
        <v>6919</v>
      </c>
      <c r="W751" s="1" t="str">
        <f>HYPERLINK("http://ictvonline.org/taxonomy/p/taxonomy-history?taxnode_id=201900208","ICTVonline=201900208")</f>
        <v>ICTVonline=201900208</v>
      </c>
    </row>
    <row r="752" spans="1:23">
      <c r="A752" s="3">
        <v>751</v>
      </c>
      <c r="B752" s="1" t="s">
        <v>6915</v>
      </c>
      <c r="D752" s="1" t="s">
        <v>6916</v>
      </c>
      <c r="F752" s="1" t="s">
        <v>6920</v>
      </c>
      <c r="H752" s="1" t="s">
        <v>6921</v>
      </c>
      <c r="J752" s="1" t="s">
        <v>1324</v>
      </c>
      <c r="L752" s="1" t="s">
        <v>1325</v>
      </c>
      <c r="M752" s="1" t="s">
        <v>4060</v>
      </c>
      <c r="N752" s="1" t="s">
        <v>6246</v>
      </c>
      <c r="P752" s="1" t="s">
        <v>2869</v>
      </c>
      <c r="Q752" s="3">
        <v>0</v>
      </c>
      <c r="R752" s="22" t="s">
        <v>2721</v>
      </c>
      <c r="S752" s="42" t="s">
        <v>6910</v>
      </c>
      <c r="T752" s="3" t="s">
        <v>4868</v>
      </c>
      <c r="U752" s="45">
        <v>35</v>
      </c>
      <c r="V752" t="s">
        <v>6919</v>
      </c>
      <c r="W752" s="1" t="str">
        <f>HYPERLINK("http://ictvonline.org/taxonomy/p/taxonomy-history?taxnode_id=201900209","ICTVonline=201900209")</f>
        <v>ICTVonline=201900209</v>
      </c>
    </row>
    <row r="753" spans="1:23">
      <c r="A753" s="3">
        <v>752</v>
      </c>
      <c r="B753" s="1" t="s">
        <v>6915</v>
      </c>
      <c r="D753" s="1" t="s">
        <v>6916</v>
      </c>
      <c r="F753" s="1" t="s">
        <v>6920</v>
      </c>
      <c r="H753" s="1" t="s">
        <v>6921</v>
      </c>
      <c r="J753" s="1" t="s">
        <v>1324</v>
      </c>
      <c r="L753" s="1" t="s">
        <v>1325</v>
      </c>
      <c r="M753" s="1" t="s">
        <v>4060</v>
      </c>
      <c r="N753" s="1" t="s">
        <v>6246</v>
      </c>
      <c r="P753" s="1" t="s">
        <v>4132</v>
      </c>
      <c r="Q753" s="3">
        <v>0</v>
      </c>
      <c r="R753" s="22" t="s">
        <v>2721</v>
      </c>
      <c r="S753" s="42" t="s">
        <v>6910</v>
      </c>
      <c r="T753" s="3" t="s">
        <v>4868</v>
      </c>
      <c r="U753" s="45">
        <v>35</v>
      </c>
      <c r="V753" t="s">
        <v>6919</v>
      </c>
      <c r="W753" s="1" t="str">
        <f>HYPERLINK("http://ictvonline.org/taxonomy/p/taxonomy-history?taxnode_id=201900210","ICTVonline=201900210")</f>
        <v>ICTVonline=201900210</v>
      </c>
    </row>
    <row r="754" spans="1:23">
      <c r="A754" s="3">
        <v>753</v>
      </c>
      <c r="B754" s="1" t="s">
        <v>6915</v>
      </c>
      <c r="D754" s="1" t="s">
        <v>6916</v>
      </c>
      <c r="F754" s="1" t="s">
        <v>6920</v>
      </c>
      <c r="H754" s="1" t="s">
        <v>6921</v>
      </c>
      <c r="J754" s="1" t="s">
        <v>1324</v>
      </c>
      <c r="L754" s="1" t="s">
        <v>1325</v>
      </c>
      <c r="M754" s="1" t="s">
        <v>4060</v>
      </c>
      <c r="N754" s="1" t="s">
        <v>6246</v>
      </c>
      <c r="P754" s="1" t="s">
        <v>2870</v>
      </c>
      <c r="Q754" s="3">
        <v>0</v>
      </c>
      <c r="R754" s="22" t="s">
        <v>2721</v>
      </c>
      <c r="S754" s="42" t="s">
        <v>6910</v>
      </c>
      <c r="T754" s="3" t="s">
        <v>4868</v>
      </c>
      <c r="U754" s="45">
        <v>35</v>
      </c>
      <c r="V754" t="s">
        <v>6919</v>
      </c>
      <c r="W754" s="1" t="str">
        <f>HYPERLINK("http://ictvonline.org/taxonomy/p/taxonomy-history?taxnode_id=201900211","ICTVonline=201900211")</f>
        <v>ICTVonline=201900211</v>
      </c>
    </row>
    <row r="755" spans="1:23">
      <c r="A755" s="3">
        <v>754</v>
      </c>
      <c r="B755" s="1" t="s">
        <v>6915</v>
      </c>
      <c r="D755" s="1" t="s">
        <v>6916</v>
      </c>
      <c r="F755" s="1" t="s">
        <v>6920</v>
      </c>
      <c r="H755" s="1" t="s">
        <v>6921</v>
      </c>
      <c r="J755" s="1" t="s">
        <v>1324</v>
      </c>
      <c r="L755" s="1" t="s">
        <v>1325</v>
      </c>
      <c r="M755" s="1" t="s">
        <v>4060</v>
      </c>
      <c r="N755" s="1" t="s">
        <v>6246</v>
      </c>
      <c r="P755" s="1" t="s">
        <v>4133</v>
      </c>
      <c r="Q755" s="3">
        <v>0</v>
      </c>
      <c r="R755" s="22" t="s">
        <v>2721</v>
      </c>
      <c r="S755" s="42" t="s">
        <v>6910</v>
      </c>
      <c r="T755" s="3" t="s">
        <v>4868</v>
      </c>
      <c r="U755" s="45">
        <v>35</v>
      </c>
      <c r="V755" t="s">
        <v>6919</v>
      </c>
      <c r="W755" s="1" t="str">
        <f>HYPERLINK("http://ictvonline.org/taxonomy/p/taxonomy-history?taxnode_id=201900212","ICTVonline=201900212")</f>
        <v>ICTVonline=201900212</v>
      </c>
    </row>
    <row r="756" spans="1:23">
      <c r="A756" s="3">
        <v>755</v>
      </c>
      <c r="B756" s="1" t="s">
        <v>6915</v>
      </c>
      <c r="D756" s="1" t="s">
        <v>6916</v>
      </c>
      <c r="F756" s="1" t="s">
        <v>6920</v>
      </c>
      <c r="H756" s="1" t="s">
        <v>6921</v>
      </c>
      <c r="J756" s="1" t="s">
        <v>1324</v>
      </c>
      <c r="L756" s="1" t="s">
        <v>1325</v>
      </c>
      <c r="M756" s="1" t="s">
        <v>4060</v>
      </c>
      <c r="N756" s="1" t="s">
        <v>6246</v>
      </c>
      <c r="P756" s="1" t="s">
        <v>2871</v>
      </c>
      <c r="Q756" s="3">
        <v>0</v>
      </c>
      <c r="R756" s="22" t="s">
        <v>2721</v>
      </c>
      <c r="S756" s="42" t="s">
        <v>6910</v>
      </c>
      <c r="T756" s="3" t="s">
        <v>4868</v>
      </c>
      <c r="U756" s="45">
        <v>35</v>
      </c>
      <c r="V756" t="s">
        <v>6919</v>
      </c>
      <c r="W756" s="1" t="str">
        <f>HYPERLINK("http://ictvonline.org/taxonomy/p/taxonomy-history?taxnode_id=201900213","ICTVonline=201900213")</f>
        <v>ICTVonline=201900213</v>
      </c>
    </row>
    <row r="757" spans="1:23">
      <c r="A757" s="3">
        <v>756</v>
      </c>
      <c r="B757" s="1" t="s">
        <v>6915</v>
      </c>
      <c r="D757" s="1" t="s">
        <v>6916</v>
      </c>
      <c r="F757" s="1" t="s">
        <v>6920</v>
      </c>
      <c r="H757" s="1" t="s">
        <v>6921</v>
      </c>
      <c r="J757" s="1" t="s">
        <v>1324</v>
      </c>
      <c r="L757" s="1" t="s">
        <v>1325</v>
      </c>
      <c r="M757" s="1" t="s">
        <v>4060</v>
      </c>
      <c r="N757" s="1" t="s">
        <v>6246</v>
      </c>
      <c r="P757" s="1" t="s">
        <v>2872</v>
      </c>
      <c r="Q757" s="3">
        <v>0</v>
      </c>
      <c r="R757" s="22" t="s">
        <v>2721</v>
      </c>
      <c r="S757" s="42" t="s">
        <v>6910</v>
      </c>
      <c r="T757" s="3" t="s">
        <v>4868</v>
      </c>
      <c r="U757" s="45">
        <v>35</v>
      </c>
      <c r="V757" t="s">
        <v>6919</v>
      </c>
      <c r="W757" s="1" t="str">
        <f>HYPERLINK("http://ictvonline.org/taxonomy/p/taxonomy-history?taxnode_id=201900214","ICTVonline=201900214")</f>
        <v>ICTVonline=201900214</v>
      </c>
    </row>
    <row r="758" spans="1:23">
      <c r="A758" s="3">
        <v>757</v>
      </c>
      <c r="B758" s="1" t="s">
        <v>6915</v>
      </c>
      <c r="D758" s="1" t="s">
        <v>6916</v>
      </c>
      <c r="F758" s="1" t="s">
        <v>6920</v>
      </c>
      <c r="H758" s="1" t="s">
        <v>6921</v>
      </c>
      <c r="J758" s="1" t="s">
        <v>1324</v>
      </c>
      <c r="L758" s="1" t="s">
        <v>1325</v>
      </c>
      <c r="M758" s="1" t="s">
        <v>4060</v>
      </c>
      <c r="N758" s="1" t="s">
        <v>6246</v>
      </c>
      <c r="P758" s="1" t="s">
        <v>6248</v>
      </c>
      <c r="Q758" s="3">
        <v>0</v>
      </c>
      <c r="R758" s="22" t="s">
        <v>2721</v>
      </c>
      <c r="S758" s="42" t="s">
        <v>6910</v>
      </c>
      <c r="T758" s="3" t="s">
        <v>4868</v>
      </c>
      <c r="U758" s="45">
        <v>35</v>
      </c>
      <c r="V758" t="s">
        <v>6919</v>
      </c>
      <c r="W758" s="1" t="str">
        <f>HYPERLINK("http://ictvonline.org/taxonomy/p/taxonomy-history?taxnode_id=201907009","ICTVonline=201907009")</f>
        <v>ICTVonline=201907009</v>
      </c>
    </row>
    <row r="759" spans="1:23">
      <c r="A759" s="3">
        <v>758</v>
      </c>
      <c r="B759" s="1" t="s">
        <v>6915</v>
      </c>
      <c r="D759" s="1" t="s">
        <v>6916</v>
      </c>
      <c r="F759" s="1" t="s">
        <v>6920</v>
      </c>
      <c r="H759" s="1" t="s">
        <v>6921</v>
      </c>
      <c r="J759" s="1" t="s">
        <v>1324</v>
      </c>
      <c r="L759" s="1" t="s">
        <v>1325</v>
      </c>
      <c r="M759" s="1" t="s">
        <v>4060</v>
      </c>
      <c r="N759" s="1" t="s">
        <v>6246</v>
      </c>
      <c r="P759" s="1" t="s">
        <v>6249</v>
      </c>
      <c r="Q759" s="3">
        <v>0</v>
      </c>
      <c r="R759" s="22" t="s">
        <v>2721</v>
      </c>
      <c r="S759" s="42" t="s">
        <v>6910</v>
      </c>
      <c r="T759" s="3" t="s">
        <v>4868</v>
      </c>
      <c r="U759" s="45">
        <v>35</v>
      </c>
      <c r="V759" t="s">
        <v>6919</v>
      </c>
      <c r="W759" s="1" t="str">
        <f>HYPERLINK("http://ictvonline.org/taxonomy/p/taxonomy-history?taxnode_id=201907007","ICTVonline=201907007")</f>
        <v>ICTVonline=201907007</v>
      </c>
    </row>
    <row r="760" spans="1:23">
      <c r="A760" s="3">
        <v>759</v>
      </c>
      <c r="B760" s="1" t="s">
        <v>6915</v>
      </c>
      <c r="D760" s="1" t="s">
        <v>6916</v>
      </c>
      <c r="F760" s="1" t="s">
        <v>6920</v>
      </c>
      <c r="H760" s="1" t="s">
        <v>6921</v>
      </c>
      <c r="J760" s="1" t="s">
        <v>1324</v>
      </c>
      <c r="L760" s="1" t="s">
        <v>1325</v>
      </c>
      <c r="M760" s="1" t="s">
        <v>4060</v>
      </c>
      <c r="N760" s="1" t="s">
        <v>6246</v>
      </c>
      <c r="P760" s="1" t="s">
        <v>6250</v>
      </c>
      <c r="Q760" s="3">
        <v>0</v>
      </c>
      <c r="R760" s="22" t="s">
        <v>2721</v>
      </c>
      <c r="S760" s="42" t="s">
        <v>6910</v>
      </c>
      <c r="T760" s="3" t="s">
        <v>4868</v>
      </c>
      <c r="U760" s="45">
        <v>35</v>
      </c>
      <c r="V760" t="s">
        <v>6919</v>
      </c>
      <c r="W760" s="1" t="str">
        <f>HYPERLINK("http://ictvonline.org/taxonomy/p/taxonomy-history?taxnode_id=201907006","ICTVonline=201907006")</f>
        <v>ICTVonline=201907006</v>
      </c>
    </row>
    <row r="761" spans="1:23">
      <c r="A761" s="3">
        <v>760</v>
      </c>
      <c r="B761" s="1" t="s">
        <v>6915</v>
      </c>
      <c r="D761" s="1" t="s">
        <v>6916</v>
      </c>
      <c r="F761" s="1" t="s">
        <v>6920</v>
      </c>
      <c r="H761" s="1" t="s">
        <v>6921</v>
      </c>
      <c r="J761" s="1" t="s">
        <v>1324</v>
      </c>
      <c r="L761" s="1" t="s">
        <v>1325</v>
      </c>
      <c r="M761" s="1" t="s">
        <v>4060</v>
      </c>
      <c r="N761" s="1" t="s">
        <v>6246</v>
      </c>
      <c r="P761" s="1" t="s">
        <v>2873</v>
      </c>
      <c r="Q761" s="3">
        <v>1</v>
      </c>
      <c r="R761" s="22" t="s">
        <v>2721</v>
      </c>
      <c r="S761" s="42" t="s">
        <v>6910</v>
      </c>
      <c r="T761" s="3" t="s">
        <v>4868</v>
      </c>
      <c r="U761" s="45">
        <v>35</v>
      </c>
      <c r="V761" t="s">
        <v>6919</v>
      </c>
      <c r="W761" s="1" t="str">
        <f>HYPERLINK("http://ictvonline.org/taxonomy/p/taxonomy-history?taxnode_id=201900215","ICTVonline=201900215")</f>
        <v>ICTVonline=201900215</v>
      </c>
    </row>
    <row r="762" spans="1:23">
      <c r="A762" s="3">
        <v>761</v>
      </c>
      <c r="B762" s="1" t="s">
        <v>6915</v>
      </c>
      <c r="D762" s="1" t="s">
        <v>6916</v>
      </c>
      <c r="F762" s="1" t="s">
        <v>6920</v>
      </c>
      <c r="H762" s="1" t="s">
        <v>6921</v>
      </c>
      <c r="J762" s="1" t="s">
        <v>1324</v>
      </c>
      <c r="L762" s="1" t="s">
        <v>1325</v>
      </c>
      <c r="M762" s="1" t="s">
        <v>4060</v>
      </c>
      <c r="N762" s="1" t="s">
        <v>6246</v>
      </c>
      <c r="P762" s="1" t="s">
        <v>2874</v>
      </c>
      <c r="Q762" s="3">
        <v>0</v>
      </c>
      <c r="R762" s="22" t="s">
        <v>2721</v>
      </c>
      <c r="S762" s="42" t="s">
        <v>6910</v>
      </c>
      <c r="T762" s="3" t="s">
        <v>4868</v>
      </c>
      <c r="U762" s="45">
        <v>35</v>
      </c>
      <c r="V762" t="s">
        <v>6919</v>
      </c>
      <c r="W762" s="1" t="str">
        <f>HYPERLINK("http://ictvonline.org/taxonomy/p/taxonomy-history?taxnode_id=201900217","ICTVonline=201900217")</f>
        <v>ICTVonline=201900217</v>
      </c>
    </row>
    <row r="763" spans="1:23">
      <c r="A763" s="3">
        <v>762</v>
      </c>
      <c r="B763" s="1" t="s">
        <v>6915</v>
      </c>
      <c r="D763" s="1" t="s">
        <v>6916</v>
      </c>
      <c r="F763" s="1" t="s">
        <v>6920</v>
      </c>
      <c r="H763" s="1" t="s">
        <v>6921</v>
      </c>
      <c r="J763" s="1" t="s">
        <v>1324</v>
      </c>
      <c r="L763" s="1" t="s">
        <v>1325</v>
      </c>
      <c r="M763" s="1" t="s">
        <v>4060</v>
      </c>
      <c r="N763" s="1" t="s">
        <v>6246</v>
      </c>
      <c r="P763" s="1" t="s">
        <v>6251</v>
      </c>
      <c r="Q763" s="3">
        <v>0</v>
      </c>
      <c r="R763" s="22" t="s">
        <v>2721</v>
      </c>
      <c r="S763" s="42" t="s">
        <v>6910</v>
      </c>
      <c r="T763" s="3" t="s">
        <v>4868</v>
      </c>
      <c r="U763" s="45">
        <v>35</v>
      </c>
      <c r="V763" t="s">
        <v>6919</v>
      </c>
      <c r="W763" s="1" t="str">
        <f>HYPERLINK("http://ictvonline.org/taxonomy/p/taxonomy-history?taxnode_id=201907008","ICTVonline=201907008")</f>
        <v>ICTVonline=201907008</v>
      </c>
    </row>
    <row r="764" spans="1:23">
      <c r="A764" s="3">
        <v>763</v>
      </c>
      <c r="B764" s="1" t="s">
        <v>6915</v>
      </c>
      <c r="D764" s="1" t="s">
        <v>6916</v>
      </c>
      <c r="F764" s="1" t="s">
        <v>6920</v>
      </c>
      <c r="H764" s="1" t="s">
        <v>6921</v>
      </c>
      <c r="J764" s="1" t="s">
        <v>1324</v>
      </c>
      <c r="L764" s="1" t="s">
        <v>1325</v>
      </c>
      <c r="M764" s="1" t="s">
        <v>4060</v>
      </c>
      <c r="N764" s="1" t="s">
        <v>6246</v>
      </c>
      <c r="P764" s="1" t="s">
        <v>6252</v>
      </c>
      <c r="Q764" s="3">
        <v>0</v>
      </c>
      <c r="R764" s="22" t="s">
        <v>2721</v>
      </c>
      <c r="S764" s="42" t="s">
        <v>6910</v>
      </c>
      <c r="T764" s="3" t="s">
        <v>4868</v>
      </c>
      <c r="U764" s="45">
        <v>35</v>
      </c>
      <c r="V764" t="s">
        <v>6919</v>
      </c>
      <c r="W764" s="1" t="str">
        <f>HYPERLINK("http://ictvonline.org/taxonomy/p/taxonomy-history?taxnode_id=201906902","ICTVonline=201906902")</f>
        <v>ICTVonline=201906902</v>
      </c>
    </row>
    <row r="765" spans="1:23">
      <c r="A765" s="3">
        <v>764</v>
      </c>
      <c r="B765" s="1" t="s">
        <v>6915</v>
      </c>
      <c r="D765" s="1" t="s">
        <v>6916</v>
      </c>
      <c r="F765" s="1" t="s">
        <v>6920</v>
      </c>
      <c r="H765" s="1" t="s">
        <v>6921</v>
      </c>
      <c r="J765" s="1" t="s">
        <v>1324</v>
      </c>
      <c r="L765" s="1" t="s">
        <v>1325</v>
      </c>
      <c r="M765" s="1" t="s">
        <v>4060</v>
      </c>
      <c r="N765" s="1" t="s">
        <v>6246</v>
      </c>
      <c r="P765" s="1" t="s">
        <v>2875</v>
      </c>
      <c r="Q765" s="3">
        <v>0</v>
      </c>
      <c r="R765" s="22" t="s">
        <v>2721</v>
      </c>
      <c r="S765" s="42" t="s">
        <v>6910</v>
      </c>
      <c r="T765" s="3" t="s">
        <v>4868</v>
      </c>
      <c r="U765" s="45">
        <v>35</v>
      </c>
      <c r="V765" t="s">
        <v>6919</v>
      </c>
      <c r="W765" s="1" t="str">
        <f>HYPERLINK("http://ictvonline.org/taxonomy/p/taxonomy-history?taxnode_id=201900218","ICTVonline=201900218")</f>
        <v>ICTVonline=201900218</v>
      </c>
    </row>
    <row r="766" spans="1:23">
      <c r="A766" s="3">
        <v>765</v>
      </c>
      <c r="B766" s="1" t="s">
        <v>6915</v>
      </c>
      <c r="D766" s="1" t="s">
        <v>6916</v>
      </c>
      <c r="F766" s="1" t="s">
        <v>6920</v>
      </c>
      <c r="H766" s="1" t="s">
        <v>6921</v>
      </c>
      <c r="J766" s="1" t="s">
        <v>1324</v>
      </c>
      <c r="L766" s="1" t="s">
        <v>1325</v>
      </c>
      <c r="M766" s="1" t="s">
        <v>4060</v>
      </c>
      <c r="N766" s="1" t="s">
        <v>6253</v>
      </c>
      <c r="P766" s="1" t="s">
        <v>2867</v>
      </c>
      <c r="Q766" s="3">
        <v>1</v>
      </c>
      <c r="R766" s="22" t="s">
        <v>2721</v>
      </c>
      <c r="S766" s="42" t="s">
        <v>6910</v>
      </c>
      <c r="T766" s="3" t="s">
        <v>4868</v>
      </c>
      <c r="U766" s="45">
        <v>35</v>
      </c>
      <c r="V766" t="s">
        <v>6919</v>
      </c>
      <c r="W766" s="1" t="str">
        <f>HYPERLINK("http://ictvonline.org/taxonomy/p/taxonomy-history?taxnode_id=201900205","ICTVonline=201900205")</f>
        <v>ICTVonline=201900205</v>
      </c>
    </row>
    <row r="767" spans="1:23">
      <c r="A767" s="3">
        <v>766</v>
      </c>
      <c r="B767" s="1" t="s">
        <v>6915</v>
      </c>
      <c r="D767" s="1" t="s">
        <v>6916</v>
      </c>
      <c r="F767" s="1" t="s">
        <v>6920</v>
      </c>
      <c r="H767" s="1" t="s">
        <v>6921</v>
      </c>
      <c r="J767" s="1" t="s">
        <v>1324</v>
      </c>
      <c r="L767" s="1" t="s">
        <v>1325</v>
      </c>
      <c r="M767" s="1" t="s">
        <v>4060</v>
      </c>
      <c r="N767" s="1" t="s">
        <v>6253</v>
      </c>
      <c r="P767" s="1" t="s">
        <v>4131</v>
      </c>
      <c r="Q767" s="3">
        <v>0</v>
      </c>
      <c r="R767" s="22" t="s">
        <v>2721</v>
      </c>
      <c r="S767" s="42" t="s">
        <v>6910</v>
      </c>
      <c r="T767" s="3" t="s">
        <v>4868</v>
      </c>
      <c r="U767" s="45">
        <v>35</v>
      </c>
      <c r="V767" t="s">
        <v>6919</v>
      </c>
      <c r="W767" s="1" t="str">
        <f>HYPERLINK("http://ictvonline.org/taxonomy/p/taxonomy-history?taxnode_id=201900206","ICTVonline=201900206")</f>
        <v>ICTVonline=201900206</v>
      </c>
    </row>
    <row r="768" spans="1:23">
      <c r="A768" s="3">
        <v>767</v>
      </c>
      <c r="B768" s="1" t="s">
        <v>6915</v>
      </c>
      <c r="D768" s="1" t="s">
        <v>6916</v>
      </c>
      <c r="F768" s="1" t="s">
        <v>6920</v>
      </c>
      <c r="H768" s="1" t="s">
        <v>6921</v>
      </c>
      <c r="J768" s="1" t="s">
        <v>1324</v>
      </c>
      <c r="L768" s="1" t="s">
        <v>1325</v>
      </c>
      <c r="M768" s="1" t="s">
        <v>4060</v>
      </c>
      <c r="N768" s="1" t="s">
        <v>4134</v>
      </c>
      <c r="P768" s="1" t="s">
        <v>4135</v>
      </c>
      <c r="Q768" s="3">
        <v>1</v>
      </c>
      <c r="R768" s="22" t="s">
        <v>2721</v>
      </c>
      <c r="S768" s="42" t="s">
        <v>6910</v>
      </c>
      <c r="T768" s="3" t="s">
        <v>4868</v>
      </c>
      <c r="U768" s="45">
        <v>35</v>
      </c>
      <c r="V768" t="s">
        <v>6919</v>
      </c>
      <c r="W768" s="1" t="str">
        <f>HYPERLINK("http://ictvonline.org/taxonomy/p/taxonomy-history?taxnode_id=201900220","ICTVonline=201900220")</f>
        <v>ICTVonline=201900220</v>
      </c>
    </row>
    <row r="769" spans="1:23">
      <c r="A769" s="3">
        <v>768</v>
      </c>
      <c r="B769" s="1" t="s">
        <v>6915</v>
      </c>
      <c r="D769" s="1" t="s">
        <v>6916</v>
      </c>
      <c r="F769" s="1" t="s">
        <v>6920</v>
      </c>
      <c r="H769" s="1" t="s">
        <v>6921</v>
      </c>
      <c r="J769" s="1" t="s">
        <v>1324</v>
      </c>
      <c r="L769" s="1" t="s">
        <v>1325</v>
      </c>
      <c r="M769" s="1" t="s">
        <v>4060</v>
      </c>
      <c r="N769" s="1" t="s">
        <v>4134</v>
      </c>
      <c r="P769" s="1" t="s">
        <v>4136</v>
      </c>
      <c r="Q769" s="3">
        <v>0</v>
      </c>
      <c r="R769" s="22" t="s">
        <v>2721</v>
      </c>
      <c r="S769" s="42" t="s">
        <v>6910</v>
      </c>
      <c r="T769" s="3" t="s">
        <v>4868</v>
      </c>
      <c r="U769" s="45">
        <v>35</v>
      </c>
      <c r="V769" t="s">
        <v>6919</v>
      </c>
      <c r="W769" s="1" t="str">
        <f>HYPERLINK("http://ictvonline.org/taxonomy/p/taxonomy-history?taxnode_id=201900221","ICTVonline=201900221")</f>
        <v>ICTVonline=201900221</v>
      </c>
    </row>
    <row r="770" spans="1:23">
      <c r="A770" s="3">
        <v>769</v>
      </c>
      <c r="B770" s="1" t="s">
        <v>6915</v>
      </c>
      <c r="D770" s="1" t="s">
        <v>6916</v>
      </c>
      <c r="F770" s="1" t="s">
        <v>6920</v>
      </c>
      <c r="H770" s="1" t="s">
        <v>6921</v>
      </c>
      <c r="J770" s="1" t="s">
        <v>1324</v>
      </c>
      <c r="L770" s="1" t="s">
        <v>1325</v>
      </c>
      <c r="M770" s="1" t="s">
        <v>4060</v>
      </c>
      <c r="N770" s="1" t="s">
        <v>4134</v>
      </c>
      <c r="P770" s="1" t="s">
        <v>6254</v>
      </c>
      <c r="Q770" s="3">
        <v>0</v>
      </c>
      <c r="R770" s="22" t="s">
        <v>2721</v>
      </c>
      <c r="S770" s="42" t="s">
        <v>6910</v>
      </c>
      <c r="T770" s="3" t="s">
        <v>4868</v>
      </c>
      <c r="U770" s="45">
        <v>35</v>
      </c>
      <c r="V770" t="s">
        <v>6919</v>
      </c>
      <c r="W770" s="1" t="str">
        <f>HYPERLINK("http://ictvonline.org/taxonomy/p/taxonomy-history?taxnode_id=201907011","ICTVonline=201907011")</f>
        <v>ICTVonline=201907011</v>
      </c>
    </row>
    <row r="771" spans="1:23">
      <c r="A771" s="3">
        <v>770</v>
      </c>
      <c r="B771" s="1" t="s">
        <v>6915</v>
      </c>
      <c r="D771" s="1" t="s">
        <v>6916</v>
      </c>
      <c r="F771" s="1" t="s">
        <v>6920</v>
      </c>
      <c r="H771" s="1" t="s">
        <v>6921</v>
      </c>
      <c r="J771" s="1" t="s">
        <v>1324</v>
      </c>
      <c r="L771" s="1" t="s">
        <v>1325</v>
      </c>
      <c r="M771" s="1" t="s">
        <v>4060</v>
      </c>
      <c r="N771" s="1" t="s">
        <v>4134</v>
      </c>
      <c r="P771" s="1" t="s">
        <v>6255</v>
      </c>
      <c r="Q771" s="3">
        <v>0</v>
      </c>
      <c r="R771" s="22" t="s">
        <v>2721</v>
      </c>
      <c r="S771" s="42" t="s">
        <v>6910</v>
      </c>
      <c r="T771" s="3" t="s">
        <v>4868</v>
      </c>
      <c r="U771" s="45">
        <v>35</v>
      </c>
      <c r="V771" t="s">
        <v>6919</v>
      </c>
      <c r="W771" s="1" t="str">
        <f>HYPERLINK("http://ictvonline.org/taxonomy/p/taxonomy-history?taxnode_id=201907012","ICTVonline=201907012")</f>
        <v>ICTVonline=201907012</v>
      </c>
    </row>
    <row r="772" spans="1:23">
      <c r="A772" s="3">
        <v>771</v>
      </c>
      <c r="B772" s="1" t="s">
        <v>6915</v>
      </c>
      <c r="D772" s="1" t="s">
        <v>6916</v>
      </c>
      <c r="F772" s="1" t="s">
        <v>6920</v>
      </c>
      <c r="H772" s="1" t="s">
        <v>6921</v>
      </c>
      <c r="J772" s="1" t="s">
        <v>1324</v>
      </c>
      <c r="L772" s="1" t="s">
        <v>1325</v>
      </c>
      <c r="M772" s="1" t="s">
        <v>4060</v>
      </c>
      <c r="N772" s="1" t="s">
        <v>4134</v>
      </c>
      <c r="P772" s="1" t="s">
        <v>6256</v>
      </c>
      <c r="Q772" s="3">
        <v>0</v>
      </c>
      <c r="R772" s="22" t="s">
        <v>2721</v>
      </c>
      <c r="S772" s="42" t="s">
        <v>6910</v>
      </c>
      <c r="T772" s="3" t="s">
        <v>4868</v>
      </c>
      <c r="U772" s="45">
        <v>35</v>
      </c>
      <c r="V772" t="s">
        <v>6919</v>
      </c>
      <c r="W772" s="1" t="str">
        <f>HYPERLINK("http://ictvonline.org/taxonomy/p/taxonomy-history?taxnode_id=201907013","ICTVonline=201907013")</f>
        <v>ICTVonline=201907013</v>
      </c>
    </row>
    <row r="773" spans="1:23">
      <c r="A773" s="3">
        <v>772</v>
      </c>
      <c r="B773" s="1" t="s">
        <v>6915</v>
      </c>
      <c r="D773" s="1" t="s">
        <v>6916</v>
      </c>
      <c r="F773" s="1" t="s">
        <v>6920</v>
      </c>
      <c r="H773" s="1" t="s">
        <v>6921</v>
      </c>
      <c r="J773" s="1" t="s">
        <v>1324</v>
      </c>
      <c r="L773" s="1" t="s">
        <v>1325</v>
      </c>
      <c r="M773" s="1" t="s">
        <v>4060</v>
      </c>
      <c r="N773" s="1" t="s">
        <v>4137</v>
      </c>
      <c r="P773" s="1" t="s">
        <v>4138</v>
      </c>
      <c r="Q773" s="3">
        <v>1</v>
      </c>
      <c r="R773" s="22" t="s">
        <v>2721</v>
      </c>
      <c r="S773" s="42" t="s">
        <v>6910</v>
      </c>
      <c r="T773" s="3" t="s">
        <v>4868</v>
      </c>
      <c r="U773" s="45">
        <v>35</v>
      </c>
      <c r="V773" t="s">
        <v>6919</v>
      </c>
      <c r="W773" s="1" t="str">
        <f>HYPERLINK("http://ictvonline.org/taxonomy/p/taxonomy-history?taxnode_id=201900223","ICTVonline=201900223")</f>
        <v>ICTVonline=201900223</v>
      </c>
    </row>
    <row r="774" spans="1:23">
      <c r="A774" s="3">
        <v>773</v>
      </c>
      <c r="B774" s="1" t="s">
        <v>6915</v>
      </c>
      <c r="D774" s="1" t="s">
        <v>6916</v>
      </c>
      <c r="F774" s="1" t="s">
        <v>6920</v>
      </c>
      <c r="H774" s="1" t="s">
        <v>6921</v>
      </c>
      <c r="J774" s="1" t="s">
        <v>1324</v>
      </c>
      <c r="L774" s="1" t="s">
        <v>1325</v>
      </c>
      <c r="M774" s="1" t="s">
        <v>4060</v>
      </c>
      <c r="N774" s="1" t="s">
        <v>4137</v>
      </c>
      <c r="P774" s="1" t="s">
        <v>4139</v>
      </c>
      <c r="Q774" s="3">
        <v>0</v>
      </c>
      <c r="R774" s="22" t="s">
        <v>2721</v>
      </c>
      <c r="S774" s="42" t="s">
        <v>6910</v>
      </c>
      <c r="T774" s="3" t="s">
        <v>4868</v>
      </c>
      <c r="U774" s="45">
        <v>35</v>
      </c>
      <c r="V774" t="s">
        <v>6919</v>
      </c>
      <c r="W774" s="1" t="str">
        <f>HYPERLINK("http://ictvonline.org/taxonomy/p/taxonomy-history?taxnode_id=201900224","ICTVonline=201900224")</f>
        <v>ICTVonline=201900224</v>
      </c>
    </row>
    <row r="775" spans="1:23">
      <c r="A775" s="3">
        <v>774</v>
      </c>
      <c r="B775" s="1" t="s">
        <v>6915</v>
      </c>
      <c r="D775" s="1" t="s">
        <v>6916</v>
      </c>
      <c r="F775" s="1" t="s">
        <v>6920</v>
      </c>
      <c r="H775" s="1" t="s">
        <v>6921</v>
      </c>
      <c r="J775" s="1" t="s">
        <v>1324</v>
      </c>
      <c r="L775" s="1" t="s">
        <v>1325</v>
      </c>
      <c r="M775" s="1" t="s">
        <v>1333</v>
      </c>
      <c r="N775" s="1" t="s">
        <v>7517</v>
      </c>
      <c r="P775" s="1" t="s">
        <v>2753</v>
      </c>
      <c r="Q775" s="3">
        <v>1</v>
      </c>
      <c r="R775" s="22" t="s">
        <v>2721</v>
      </c>
      <c r="S775" s="42" t="s">
        <v>6914</v>
      </c>
      <c r="T775" s="3" t="s">
        <v>4871</v>
      </c>
      <c r="U775" s="45">
        <v>35</v>
      </c>
      <c r="V775" t="s">
        <v>7518</v>
      </c>
      <c r="W775" s="1" t="str">
        <f>HYPERLINK("http://ictvonline.org/taxonomy/p/taxonomy-history?taxnode_id=201900242","ICTVonline=201900242")</f>
        <v>ICTVonline=201900242</v>
      </c>
    </row>
    <row r="776" spans="1:23">
      <c r="A776" s="3">
        <v>775</v>
      </c>
      <c r="B776" s="1" t="s">
        <v>6915</v>
      </c>
      <c r="D776" s="1" t="s">
        <v>6916</v>
      </c>
      <c r="F776" s="1" t="s">
        <v>6920</v>
      </c>
      <c r="H776" s="1" t="s">
        <v>6921</v>
      </c>
      <c r="J776" s="1" t="s">
        <v>1324</v>
      </c>
      <c r="L776" s="1" t="s">
        <v>1325</v>
      </c>
      <c r="M776" s="1" t="s">
        <v>1333</v>
      </c>
      <c r="N776" s="1" t="s">
        <v>7517</v>
      </c>
      <c r="P776" s="1" t="s">
        <v>7519</v>
      </c>
      <c r="Q776" s="3">
        <v>0</v>
      </c>
      <c r="R776" s="22" t="s">
        <v>2721</v>
      </c>
      <c r="S776" s="42" t="s">
        <v>6914</v>
      </c>
      <c r="T776" s="3" t="s">
        <v>4866</v>
      </c>
      <c r="U776" s="45">
        <v>35</v>
      </c>
      <c r="V776" t="s">
        <v>7518</v>
      </c>
      <c r="W776" s="1" t="str">
        <f>HYPERLINK("http://ictvonline.org/taxonomy/p/taxonomy-history?taxnode_id=201907982","ICTVonline=201907982")</f>
        <v>ICTVonline=201907982</v>
      </c>
    </row>
    <row r="777" spans="1:23">
      <c r="A777" s="3">
        <v>776</v>
      </c>
      <c r="B777" s="1" t="s">
        <v>6915</v>
      </c>
      <c r="D777" s="1" t="s">
        <v>6916</v>
      </c>
      <c r="F777" s="1" t="s">
        <v>6920</v>
      </c>
      <c r="H777" s="1" t="s">
        <v>6921</v>
      </c>
      <c r="J777" s="1" t="s">
        <v>1324</v>
      </c>
      <c r="L777" s="1" t="s">
        <v>1325</v>
      </c>
      <c r="M777" s="1" t="s">
        <v>1333</v>
      </c>
      <c r="N777" s="1" t="s">
        <v>7520</v>
      </c>
      <c r="P777" s="1" t="s">
        <v>7521</v>
      </c>
      <c r="Q777" s="3">
        <v>0</v>
      </c>
      <c r="R777" s="22" t="s">
        <v>2721</v>
      </c>
      <c r="S777" s="42" t="s">
        <v>6914</v>
      </c>
      <c r="T777" s="3" t="s">
        <v>4866</v>
      </c>
      <c r="U777" s="45">
        <v>35</v>
      </c>
      <c r="V777" t="s">
        <v>7518</v>
      </c>
      <c r="W777" s="1" t="str">
        <f>HYPERLINK("http://ictvonline.org/taxonomy/p/taxonomy-history?taxnode_id=201907975","ICTVonline=201907975")</f>
        <v>ICTVonline=201907975</v>
      </c>
    </row>
    <row r="778" spans="1:23">
      <c r="A778" s="3">
        <v>777</v>
      </c>
      <c r="B778" s="1" t="s">
        <v>6915</v>
      </c>
      <c r="D778" s="1" t="s">
        <v>6916</v>
      </c>
      <c r="F778" s="1" t="s">
        <v>6920</v>
      </c>
      <c r="H778" s="1" t="s">
        <v>6921</v>
      </c>
      <c r="J778" s="1" t="s">
        <v>1324</v>
      </c>
      <c r="L778" s="1" t="s">
        <v>1325</v>
      </c>
      <c r="M778" s="1" t="s">
        <v>1333</v>
      </c>
      <c r="N778" s="1" t="s">
        <v>7520</v>
      </c>
      <c r="P778" s="1" t="s">
        <v>4874</v>
      </c>
      <c r="Q778" s="3">
        <v>1</v>
      </c>
      <c r="R778" s="22" t="s">
        <v>2721</v>
      </c>
      <c r="S778" s="42" t="s">
        <v>6914</v>
      </c>
      <c r="T778" s="3" t="s">
        <v>4871</v>
      </c>
      <c r="U778" s="45">
        <v>35</v>
      </c>
      <c r="V778" t="s">
        <v>7518</v>
      </c>
      <c r="W778" s="1" t="str">
        <f>HYPERLINK("http://ictvonline.org/taxonomy/p/taxonomy-history?taxnode_id=201900240","ICTVonline=201900240")</f>
        <v>ICTVonline=201900240</v>
      </c>
    </row>
    <row r="779" spans="1:23">
      <c r="A779" s="3">
        <v>778</v>
      </c>
      <c r="B779" s="1" t="s">
        <v>6915</v>
      </c>
      <c r="D779" s="1" t="s">
        <v>6916</v>
      </c>
      <c r="F779" s="1" t="s">
        <v>6920</v>
      </c>
      <c r="H779" s="1" t="s">
        <v>6921</v>
      </c>
      <c r="J779" s="1" t="s">
        <v>1324</v>
      </c>
      <c r="L779" s="1" t="s">
        <v>1325</v>
      </c>
      <c r="M779" s="1" t="s">
        <v>1333</v>
      </c>
      <c r="N779" s="1" t="s">
        <v>7522</v>
      </c>
      <c r="P779" s="1" t="s">
        <v>2740</v>
      </c>
      <c r="Q779" s="3">
        <v>1</v>
      </c>
      <c r="R779" s="22" t="s">
        <v>2721</v>
      </c>
      <c r="S779" s="42" t="s">
        <v>6914</v>
      </c>
      <c r="T779" s="3" t="s">
        <v>4871</v>
      </c>
      <c r="U779" s="45">
        <v>35</v>
      </c>
      <c r="V779" t="s">
        <v>7518</v>
      </c>
      <c r="W779" s="1" t="str">
        <f>HYPERLINK("http://ictvonline.org/taxonomy/p/taxonomy-history?taxnode_id=201900227","ICTVonline=201900227")</f>
        <v>ICTVonline=201900227</v>
      </c>
    </row>
    <row r="780" spans="1:23">
      <c r="A780" s="3">
        <v>779</v>
      </c>
      <c r="B780" s="1" t="s">
        <v>6915</v>
      </c>
      <c r="D780" s="1" t="s">
        <v>6916</v>
      </c>
      <c r="F780" s="1" t="s">
        <v>6920</v>
      </c>
      <c r="H780" s="1" t="s">
        <v>6921</v>
      </c>
      <c r="J780" s="1" t="s">
        <v>1324</v>
      </c>
      <c r="L780" s="1" t="s">
        <v>1325</v>
      </c>
      <c r="M780" s="1" t="s">
        <v>1333</v>
      </c>
      <c r="N780" s="1" t="s">
        <v>7523</v>
      </c>
      <c r="P780" s="1" t="s">
        <v>7524</v>
      </c>
      <c r="Q780" s="3">
        <v>1</v>
      </c>
      <c r="R780" s="22" t="s">
        <v>2721</v>
      </c>
      <c r="S780" s="42" t="s">
        <v>6914</v>
      </c>
      <c r="T780" s="3" t="s">
        <v>4866</v>
      </c>
      <c r="U780" s="45">
        <v>35</v>
      </c>
      <c r="V780" t="s">
        <v>7518</v>
      </c>
      <c r="W780" s="1" t="str">
        <f>HYPERLINK("http://ictvonline.org/taxonomy/p/taxonomy-history?taxnode_id=201907970","ICTVonline=201907970")</f>
        <v>ICTVonline=201907970</v>
      </c>
    </row>
    <row r="781" spans="1:23">
      <c r="A781" s="3">
        <v>780</v>
      </c>
      <c r="B781" s="1" t="s">
        <v>6915</v>
      </c>
      <c r="D781" s="1" t="s">
        <v>6916</v>
      </c>
      <c r="F781" s="1" t="s">
        <v>6920</v>
      </c>
      <c r="H781" s="1" t="s">
        <v>6921</v>
      </c>
      <c r="J781" s="1" t="s">
        <v>1324</v>
      </c>
      <c r="L781" s="1" t="s">
        <v>1325</v>
      </c>
      <c r="M781" s="1" t="s">
        <v>1333</v>
      </c>
      <c r="N781" s="1" t="s">
        <v>7525</v>
      </c>
      <c r="P781" s="1" t="s">
        <v>7526</v>
      </c>
      <c r="Q781" s="3">
        <v>1</v>
      </c>
      <c r="R781" s="22" t="s">
        <v>2721</v>
      </c>
      <c r="S781" s="42" t="s">
        <v>6914</v>
      </c>
      <c r="T781" s="3" t="s">
        <v>4866</v>
      </c>
      <c r="U781" s="45">
        <v>35</v>
      </c>
      <c r="V781" t="s">
        <v>7518</v>
      </c>
      <c r="W781" s="1" t="str">
        <f>HYPERLINK("http://ictvonline.org/taxonomy/p/taxonomy-history?taxnode_id=201907946","ICTVonline=201907946")</f>
        <v>ICTVonline=201907946</v>
      </c>
    </row>
    <row r="782" spans="1:23">
      <c r="A782" s="3">
        <v>781</v>
      </c>
      <c r="B782" s="1" t="s">
        <v>6915</v>
      </c>
      <c r="D782" s="1" t="s">
        <v>6916</v>
      </c>
      <c r="F782" s="1" t="s">
        <v>6920</v>
      </c>
      <c r="H782" s="1" t="s">
        <v>6921</v>
      </c>
      <c r="J782" s="1" t="s">
        <v>1324</v>
      </c>
      <c r="L782" s="1" t="s">
        <v>1325</v>
      </c>
      <c r="M782" s="1" t="s">
        <v>1333</v>
      </c>
      <c r="N782" s="1" t="s">
        <v>7527</v>
      </c>
      <c r="P782" s="1" t="s">
        <v>7528</v>
      </c>
      <c r="Q782" s="3">
        <v>0</v>
      </c>
      <c r="R782" s="22" t="s">
        <v>2721</v>
      </c>
      <c r="S782" s="42" t="s">
        <v>6914</v>
      </c>
      <c r="T782" s="3" t="s">
        <v>4866</v>
      </c>
      <c r="U782" s="45">
        <v>35</v>
      </c>
      <c r="V782" t="s">
        <v>7518</v>
      </c>
      <c r="W782" s="1" t="str">
        <f>HYPERLINK("http://ictvonline.org/taxonomy/p/taxonomy-history?taxnode_id=201907962","ICTVonline=201907962")</f>
        <v>ICTVonline=201907962</v>
      </c>
    </row>
    <row r="783" spans="1:23">
      <c r="A783" s="3">
        <v>782</v>
      </c>
      <c r="B783" s="1" t="s">
        <v>6915</v>
      </c>
      <c r="D783" s="1" t="s">
        <v>6916</v>
      </c>
      <c r="F783" s="1" t="s">
        <v>6920</v>
      </c>
      <c r="H783" s="1" t="s">
        <v>6921</v>
      </c>
      <c r="J783" s="1" t="s">
        <v>1324</v>
      </c>
      <c r="L783" s="1" t="s">
        <v>1325</v>
      </c>
      <c r="M783" s="1" t="s">
        <v>1333</v>
      </c>
      <c r="N783" s="1" t="s">
        <v>7527</v>
      </c>
      <c r="P783" s="1" t="s">
        <v>2752</v>
      </c>
      <c r="Q783" s="3">
        <v>1</v>
      </c>
      <c r="R783" s="22" t="s">
        <v>2721</v>
      </c>
      <c r="S783" s="42" t="s">
        <v>6914</v>
      </c>
      <c r="T783" s="3" t="s">
        <v>4871</v>
      </c>
      <c r="U783" s="45">
        <v>35</v>
      </c>
      <c r="V783" t="s">
        <v>7518</v>
      </c>
      <c r="W783" s="1" t="str">
        <f>HYPERLINK("http://ictvonline.org/taxonomy/p/taxonomy-history?taxnode_id=201900241","ICTVonline=201900241")</f>
        <v>ICTVonline=201900241</v>
      </c>
    </row>
    <row r="784" spans="1:23">
      <c r="A784" s="3">
        <v>783</v>
      </c>
      <c r="B784" s="1" t="s">
        <v>6915</v>
      </c>
      <c r="D784" s="1" t="s">
        <v>6916</v>
      </c>
      <c r="F784" s="1" t="s">
        <v>6920</v>
      </c>
      <c r="H784" s="1" t="s">
        <v>6921</v>
      </c>
      <c r="J784" s="1" t="s">
        <v>1324</v>
      </c>
      <c r="L784" s="1" t="s">
        <v>1325</v>
      </c>
      <c r="M784" s="1" t="s">
        <v>1333</v>
      </c>
      <c r="N784" s="1" t="s">
        <v>7529</v>
      </c>
      <c r="P784" s="1" t="s">
        <v>7530</v>
      </c>
      <c r="Q784" s="3">
        <v>1</v>
      </c>
      <c r="R784" s="22" t="s">
        <v>2721</v>
      </c>
      <c r="S784" s="42" t="s">
        <v>6914</v>
      </c>
      <c r="T784" s="3" t="s">
        <v>4866</v>
      </c>
      <c r="U784" s="45">
        <v>35</v>
      </c>
      <c r="V784" t="s">
        <v>7518</v>
      </c>
      <c r="W784" s="1" t="str">
        <f>HYPERLINK("http://ictvonline.org/taxonomy/p/taxonomy-history?taxnode_id=201907973","ICTVonline=201907973")</f>
        <v>ICTVonline=201907973</v>
      </c>
    </row>
    <row r="785" spans="1:23">
      <c r="A785" s="3">
        <v>784</v>
      </c>
      <c r="B785" s="1" t="s">
        <v>6915</v>
      </c>
      <c r="D785" s="1" t="s">
        <v>6916</v>
      </c>
      <c r="F785" s="1" t="s">
        <v>6920</v>
      </c>
      <c r="H785" s="1" t="s">
        <v>6921</v>
      </c>
      <c r="J785" s="1" t="s">
        <v>1324</v>
      </c>
      <c r="L785" s="1" t="s">
        <v>1325</v>
      </c>
      <c r="M785" s="1" t="s">
        <v>1333</v>
      </c>
      <c r="N785" s="1" t="s">
        <v>7529</v>
      </c>
      <c r="P785" s="1" t="s">
        <v>2749</v>
      </c>
      <c r="Q785" s="3">
        <v>0</v>
      </c>
      <c r="R785" s="22" t="s">
        <v>2721</v>
      </c>
      <c r="S785" s="42" t="s">
        <v>6914</v>
      </c>
      <c r="T785" s="3" t="s">
        <v>4868</v>
      </c>
      <c r="U785" s="45">
        <v>35</v>
      </c>
      <c r="V785" t="s">
        <v>7518</v>
      </c>
      <c r="W785" s="1" t="str">
        <f>HYPERLINK("http://ictvonline.org/taxonomy/p/taxonomy-history?taxnode_id=201900237","ICTVonline=201900237")</f>
        <v>ICTVonline=201900237</v>
      </c>
    </row>
    <row r="786" spans="1:23">
      <c r="A786" s="3">
        <v>785</v>
      </c>
      <c r="B786" s="1" t="s">
        <v>6915</v>
      </c>
      <c r="D786" s="1" t="s">
        <v>6916</v>
      </c>
      <c r="F786" s="1" t="s">
        <v>6920</v>
      </c>
      <c r="H786" s="1" t="s">
        <v>6921</v>
      </c>
      <c r="J786" s="1" t="s">
        <v>1324</v>
      </c>
      <c r="L786" s="1" t="s">
        <v>1325</v>
      </c>
      <c r="M786" s="1" t="s">
        <v>1333</v>
      </c>
      <c r="N786" s="1" t="s">
        <v>7529</v>
      </c>
      <c r="P786" s="1" t="s">
        <v>2755</v>
      </c>
      <c r="Q786" s="3">
        <v>0</v>
      </c>
      <c r="R786" s="22" t="s">
        <v>2721</v>
      </c>
      <c r="S786" s="42" t="s">
        <v>6914</v>
      </c>
      <c r="T786" s="3" t="s">
        <v>4868</v>
      </c>
      <c r="U786" s="45">
        <v>35</v>
      </c>
      <c r="V786" t="s">
        <v>7518</v>
      </c>
      <c r="W786" s="1" t="str">
        <f>HYPERLINK("http://ictvonline.org/taxonomy/p/taxonomy-history?taxnode_id=201900244","ICTVonline=201900244")</f>
        <v>ICTVonline=201900244</v>
      </c>
    </row>
    <row r="787" spans="1:23">
      <c r="A787" s="3">
        <v>786</v>
      </c>
      <c r="B787" s="1" t="s">
        <v>6915</v>
      </c>
      <c r="D787" s="1" t="s">
        <v>6916</v>
      </c>
      <c r="F787" s="1" t="s">
        <v>6920</v>
      </c>
      <c r="H787" s="1" t="s">
        <v>6921</v>
      </c>
      <c r="J787" s="1" t="s">
        <v>1324</v>
      </c>
      <c r="L787" s="1" t="s">
        <v>1325</v>
      </c>
      <c r="M787" s="1" t="s">
        <v>1333</v>
      </c>
      <c r="N787" s="1" t="s">
        <v>7529</v>
      </c>
      <c r="P787" s="1" t="s">
        <v>7531</v>
      </c>
      <c r="Q787" s="3">
        <v>0</v>
      </c>
      <c r="R787" s="22" t="s">
        <v>2721</v>
      </c>
      <c r="S787" s="42" t="s">
        <v>6914</v>
      </c>
      <c r="T787" s="3" t="s">
        <v>4866</v>
      </c>
      <c r="U787" s="45">
        <v>35</v>
      </c>
      <c r="V787" t="s">
        <v>7518</v>
      </c>
      <c r="W787" s="1" t="str">
        <f>HYPERLINK("http://ictvonline.org/taxonomy/p/taxonomy-history?taxnode_id=201907972","ICTVonline=201907972")</f>
        <v>ICTVonline=201907972</v>
      </c>
    </row>
    <row r="788" spans="1:23">
      <c r="A788" s="3">
        <v>787</v>
      </c>
      <c r="B788" s="1" t="s">
        <v>6915</v>
      </c>
      <c r="D788" s="1" t="s">
        <v>6916</v>
      </c>
      <c r="F788" s="1" t="s">
        <v>6920</v>
      </c>
      <c r="H788" s="1" t="s">
        <v>6921</v>
      </c>
      <c r="J788" s="1" t="s">
        <v>1324</v>
      </c>
      <c r="L788" s="1" t="s">
        <v>1325</v>
      </c>
      <c r="M788" s="1" t="s">
        <v>1333</v>
      </c>
      <c r="N788" s="1" t="s">
        <v>7532</v>
      </c>
      <c r="P788" s="1" t="s">
        <v>7533</v>
      </c>
      <c r="Q788" s="3">
        <v>1</v>
      </c>
      <c r="R788" s="22" t="s">
        <v>2721</v>
      </c>
      <c r="S788" s="42" t="s">
        <v>6914</v>
      </c>
      <c r="T788" s="3" t="s">
        <v>4866</v>
      </c>
      <c r="U788" s="45">
        <v>35</v>
      </c>
      <c r="V788" t="s">
        <v>7518</v>
      </c>
      <c r="W788" s="1" t="str">
        <f>HYPERLINK("http://ictvonline.org/taxonomy/p/taxonomy-history?taxnode_id=201907950","ICTVonline=201907950")</f>
        <v>ICTVonline=201907950</v>
      </c>
    </row>
    <row r="789" spans="1:23">
      <c r="A789" s="3">
        <v>788</v>
      </c>
      <c r="B789" s="1" t="s">
        <v>6915</v>
      </c>
      <c r="D789" s="1" t="s">
        <v>6916</v>
      </c>
      <c r="F789" s="1" t="s">
        <v>6920</v>
      </c>
      <c r="H789" s="1" t="s">
        <v>6921</v>
      </c>
      <c r="J789" s="1" t="s">
        <v>1324</v>
      </c>
      <c r="L789" s="1" t="s">
        <v>1325</v>
      </c>
      <c r="M789" s="1" t="s">
        <v>1333</v>
      </c>
      <c r="N789" s="1" t="s">
        <v>7534</v>
      </c>
      <c r="P789" s="1" t="s">
        <v>7535</v>
      </c>
      <c r="Q789" s="3">
        <v>1</v>
      </c>
      <c r="R789" s="22" t="s">
        <v>2721</v>
      </c>
      <c r="S789" s="42" t="s">
        <v>6914</v>
      </c>
      <c r="T789" s="3" t="s">
        <v>4866</v>
      </c>
      <c r="U789" s="45">
        <v>35</v>
      </c>
      <c r="V789" t="s">
        <v>7518</v>
      </c>
      <c r="W789" s="1" t="str">
        <f>HYPERLINK("http://ictvonline.org/taxonomy/p/taxonomy-history?taxnode_id=201907956","ICTVonline=201907956")</f>
        <v>ICTVonline=201907956</v>
      </c>
    </row>
    <row r="790" spans="1:23">
      <c r="A790" s="3">
        <v>789</v>
      </c>
      <c r="B790" s="1" t="s">
        <v>6915</v>
      </c>
      <c r="D790" s="1" t="s">
        <v>6916</v>
      </c>
      <c r="F790" s="1" t="s">
        <v>6920</v>
      </c>
      <c r="H790" s="1" t="s">
        <v>6921</v>
      </c>
      <c r="J790" s="1" t="s">
        <v>1324</v>
      </c>
      <c r="L790" s="1" t="s">
        <v>1325</v>
      </c>
      <c r="M790" s="1" t="s">
        <v>1333</v>
      </c>
      <c r="N790" s="1" t="s">
        <v>7534</v>
      </c>
      <c r="P790" s="1" t="s">
        <v>2754</v>
      </c>
      <c r="Q790" s="3">
        <v>0</v>
      </c>
      <c r="R790" s="22" t="s">
        <v>2721</v>
      </c>
      <c r="S790" s="42" t="s">
        <v>6914</v>
      </c>
      <c r="T790" s="3" t="s">
        <v>4868</v>
      </c>
      <c r="U790" s="45">
        <v>35</v>
      </c>
      <c r="V790" t="s">
        <v>7518</v>
      </c>
      <c r="W790" s="1" t="str">
        <f>HYPERLINK("http://ictvonline.org/taxonomy/p/taxonomy-history?taxnode_id=201900243","ICTVonline=201900243")</f>
        <v>ICTVonline=201900243</v>
      </c>
    </row>
    <row r="791" spans="1:23">
      <c r="A791" s="3">
        <v>790</v>
      </c>
      <c r="B791" s="1" t="s">
        <v>6915</v>
      </c>
      <c r="D791" s="1" t="s">
        <v>6916</v>
      </c>
      <c r="F791" s="1" t="s">
        <v>6920</v>
      </c>
      <c r="H791" s="1" t="s">
        <v>6921</v>
      </c>
      <c r="J791" s="1" t="s">
        <v>1324</v>
      </c>
      <c r="L791" s="1" t="s">
        <v>1325</v>
      </c>
      <c r="M791" s="1" t="s">
        <v>1333</v>
      </c>
      <c r="N791" s="1" t="s">
        <v>7534</v>
      </c>
      <c r="P791" s="1" t="s">
        <v>7536</v>
      </c>
      <c r="Q791" s="3">
        <v>0</v>
      </c>
      <c r="R791" s="22" t="s">
        <v>2721</v>
      </c>
      <c r="S791" s="42" t="s">
        <v>6914</v>
      </c>
      <c r="T791" s="3" t="s">
        <v>4866</v>
      </c>
      <c r="U791" s="45">
        <v>35</v>
      </c>
      <c r="V791" t="s">
        <v>7518</v>
      </c>
      <c r="W791" s="1" t="str">
        <f>HYPERLINK("http://ictvonline.org/taxonomy/p/taxonomy-history?taxnode_id=201907957","ICTVonline=201907957")</f>
        <v>ICTVonline=201907957</v>
      </c>
    </row>
    <row r="792" spans="1:23">
      <c r="A792" s="3">
        <v>791</v>
      </c>
      <c r="B792" s="1" t="s">
        <v>6915</v>
      </c>
      <c r="D792" s="1" t="s">
        <v>6916</v>
      </c>
      <c r="F792" s="1" t="s">
        <v>6920</v>
      </c>
      <c r="H792" s="1" t="s">
        <v>6921</v>
      </c>
      <c r="J792" s="1" t="s">
        <v>1324</v>
      </c>
      <c r="L792" s="1" t="s">
        <v>1325</v>
      </c>
      <c r="M792" s="1" t="s">
        <v>1333</v>
      </c>
      <c r="N792" s="1" t="s">
        <v>7534</v>
      </c>
      <c r="P792" s="1" t="s">
        <v>7537</v>
      </c>
      <c r="Q792" s="3">
        <v>0</v>
      </c>
      <c r="R792" s="22" t="s">
        <v>2721</v>
      </c>
      <c r="S792" s="42" t="s">
        <v>6914</v>
      </c>
      <c r="T792" s="3" t="s">
        <v>4866</v>
      </c>
      <c r="U792" s="45">
        <v>35</v>
      </c>
      <c r="V792" t="s">
        <v>7518</v>
      </c>
      <c r="W792" s="1" t="str">
        <f>HYPERLINK("http://ictvonline.org/taxonomy/p/taxonomy-history?taxnode_id=201907958","ICTVonline=201907958")</f>
        <v>ICTVonline=201907958</v>
      </c>
    </row>
    <row r="793" spans="1:23">
      <c r="A793" s="3">
        <v>792</v>
      </c>
      <c r="B793" s="1" t="s">
        <v>6915</v>
      </c>
      <c r="D793" s="1" t="s">
        <v>6916</v>
      </c>
      <c r="F793" s="1" t="s">
        <v>6920</v>
      </c>
      <c r="H793" s="1" t="s">
        <v>6921</v>
      </c>
      <c r="J793" s="1" t="s">
        <v>1324</v>
      </c>
      <c r="L793" s="1" t="s">
        <v>1325</v>
      </c>
      <c r="M793" s="1" t="s">
        <v>1333</v>
      </c>
      <c r="N793" s="1" t="s">
        <v>7534</v>
      </c>
      <c r="P793" s="1" t="s">
        <v>2756</v>
      </c>
      <c r="Q793" s="3">
        <v>0</v>
      </c>
      <c r="R793" s="22" t="s">
        <v>2721</v>
      </c>
      <c r="S793" s="42" t="s">
        <v>6914</v>
      </c>
      <c r="T793" s="3" t="s">
        <v>4868</v>
      </c>
      <c r="U793" s="45">
        <v>35</v>
      </c>
      <c r="V793" t="s">
        <v>7518</v>
      </c>
      <c r="W793" s="1" t="str">
        <f>HYPERLINK("http://ictvonline.org/taxonomy/p/taxonomy-history?taxnode_id=201900245","ICTVonline=201900245")</f>
        <v>ICTVonline=201900245</v>
      </c>
    </row>
    <row r="794" spans="1:23">
      <c r="A794" s="3">
        <v>793</v>
      </c>
      <c r="B794" s="1" t="s">
        <v>6915</v>
      </c>
      <c r="D794" s="1" t="s">
        <v>6916</v>
      </c>
      <c r="F794" s="1" t="s">
        <v>6920</v>
      </c>
      <c r="H794" s="1" t="s">
        <v>6921</v>
      </c>
      <c r="J794" s="1" t="s">
        <v>1324</v>
      </c>
      <c r="L794" s="1" t="s">
        <v>1325</v>
      </c>
      <c r="M794" s="1" t="s">
        <v>1333</v>
      </c>
      <c r="N794" s="1" t="s">
        <v>6257</v>
      </c>
      <c r="P794" s="1" t="s">
        <v>2741</v>
      </c>
      <c r="Q794" s="3">
        <v>1</v>
      </c>
      <c r="R794" s="22" t="s">
        <v>2721</v>
      </c>
      <c r="S794" s="42" t="s">
        <v>6910</v>
      </c>
      <c r="T794" s="3" t="s">
        <v>4868</v>
      </c>
      <c r="U794" s="45">
        <v>35</v>
      </c>
      <c r="V794" t="s">
        <v>6919</v>
      </c>
      <c r="W794" s="1" t="str">
        <f>HYPERLINK("http://ictvonline.org/taxonomy/p/taxonomy-history?taxnode_id=201900228","ICTVonline=201900228")</f>
        <v>ICTVonline=201900228</v>
      </c>
    </row>
    <row r="795" spans="1:23">
      <c r="A795" s="3">
        <v>794</v>
      </c>
      <c r="B795" s="1" t="s">
        <v>6915</v>
      </c>
      <c r="D795" s="1" t="s">
        <v>6916</v>
      </c>
      <c r="F795" s="1" t="s">
        <v>6920</v>
      </c>
      <c r="H795" s="1" t="s">
        <v>6921</v>
      </c>
      <c r="J795" s="1" t="s">
        <v>1324</v>
      </c>
      <c r="L795" s="1" t="s">
        <v>1325</v>
      </c>
      <c r="M795" s="1" t="s">
        <v>1333</v>
      </c>
      <c r="N795" s="1" t="s">
        <v>6257</v>
      </c>
      <c r="P795" s="1" t="s">
        <v>2742</v>
      </c>
      <c r="Q795" s="3">
        <v>0</v>
      </c>
      <c r="R795" s="22" t="s">
        <v>2721</v>
      </c>
      <c r="S795" s="42" t="s">
        <v>6910</v>
      </c>
      <c r="T795" s="3" t="s">
        <v>4868</v>
      </c>
      <c r="U795" s="45">
        <v>35</v>
      </c>
      <c r="V795" t="s">
        <v>6919</v>
      </c>
      <c r="W795" s="1" t="str">
        <f>HYPERLINK("http://ictvonline.org/taxonomy/p/taxonomy-history?taxnode_id=201900229","ICTVonline=201900229")</f>
        <v>ICTVonline=201900229</v>
      </c>
    </row>
    <row r="796" spans="1:23">
      <c r="A796" s="3">
        <v>795</v>
      </c>
      <c r="B796" s="1" t="s">
        <v>6915</v>
      </c>
      <c r="D796" s="1" t="s">
        <v>6916</v>
      </c>
      <c r="F796" s="1" t="s">
        <v>6920</v>
      </c>
      <c r="H796" s="1" t="s">
        <v>6921</v>
      </c>
      <c r="J796" s="1" t="s">
        <v>1324</v>
      </c>
      <c r="L796" s="1" t="s">
        <v>1325</v>
      </c>
      <c r="M796" s="1" t="s">
        <v>1333</v>
      </c>
      <c r="N796" s="1" t="s">
        <v>6257</v>
      </c>
      <c r="P796" s="1" t="s">
        <v>2745</v>
      </c>
      <c r="Q796" s="3">
        <v>0</v>
      </c>
      <c r="R796" s="22" t="s">
        <v>2721</v>
      </c>
      <c r="S796" s="42" t="s">
        <v>6910</v>
      </c>
      <c r="T796" s="3" t="s">
        <v>4868</v>
      </c>
      <c r="U796" s="45">
        <v>35</v>
      </c>
      <c r="V796" t="s">
        <v>6919</v>
      </c>
      <c r="W796" s="1" t="str">
        <f>HYPERLINK("http://ictvonline.org/taxonomy/p/taxonomy-history?taxnode_id=201900232","ICTVonline=201900232")</f>
        <v>ICTVonline=201900232</v>
      </c>
    </row>
    <row r="797" spans="1:23">
      <c r="A797" s="3">
        <v>796</v>
      </c>
      <c r="B797" s="1" t="s">
        <v>6915</v>
      </c>
      <c r="D797" s="1" t="s">
        <v>6916</v>
      </c>
      <c r="F797" s="1" t="s">
        <v>6920</v>
      </c>
      <c r="H797" s="1" t="s">
        <v>6921</v>
      </c>
      <c r="J797" s="1" t="s">
        <v>1324</v>
      </c>
      <c r="L797" s="1" t="s">
        <v>1325</v>
      </c>
      <c r="M797" s="1" t="s">
        <v>1333</v>
      </c>
      <c r="N797" s="1" t="s">
        <v>7538</v>
      </c>
      <c r="P797" s="1" t="s">
        <v>2743</v>
      </c>
      <c r="Q797" s="3">
        <v>1</v>
      </c>
      <c r="R797" s="22" t="s">
        <v>2721</v>
      </c>
      <c r="S797" s="42" t="s">
        <v>6914</v>
      </c>
      <c r="T797" s="3" t="s">
        <v>4871</v>
      </c>
      <c r="U797" s="45">
        <v>35</v>
      </c>
      <c r="V797" t="s">
        <v>7518</v>
      </c>
      <c r="W797" s="1" t="str">
        <f>HYPERLINK("http://ictvonline.org/taxonomy/p/taxonomy-history?taxnode_id=201900230","ICTVonline=201900230")</f>
        <v>ICTVonline=201900230</v>
      </c>
    </row>
    <row r="798" spans="1:23">
      <c r="A798" s="3">
        <v>797</v>
      </c>
      <c r="B798" s="1" t="s">
        <v>6915</v>
      </c>
      <c r="D798" s="1" t="s">
        <v>6916</v>
      </c>
      <c r="F798" s="1" t="s">
        <v>6920</v>
      </c>
      <c r="H798" s="1" t="s">
        <v>6921</v>
      </c>
      <c r="J798" s="1" t="s">
        <v>1324</v>
      </c>
      <c r="L798" s="1" t="s">
        <v>1325</v>
      </c>
      <c r="M798" s="1" t="s">
        <v>1333</v>
      </c>
      <c r="N798" s="1" t="s">
        <v>7539</v>
      </c>
      <c r="P798" s="1" t="s">
        <v>7540</v>
      </c>
      <c r="Q798" s="3">
        <v>1</v>
      </c>
      <c r="R798" s="22" t="s">
        <v>2721</v>
      </c>
      <c r="S798" s="42" t="s">
        <v>6914</v>
      </c>
      <c r="T798" s="3" t="s">
        <v>4866</v>
      </c>
      <c r="U798" s="45">
        <v>35</v>
      </c>
      <c r="V798" t="s">
        <v>7518</v>
      </c>
      <c r="W798" s="1" t="str">
        <f>HYPERLINK("http://ictvonline.org/taxonomy/p/taxonomy-history?taxnode_id=201907964","ICTVonline=201907964")</f>
        <v>ICTVonline=201907964</v>
      </c>
    </row>
    <row r="799" spans="1:23">
      <c r="A799" s="3">
        <v>798</v>
      </c>
      <c r="B799" s="1" t="s">
        <v>6915</v>
      </c>
      <c r="D799" s="1" t="s">
        <v>6916</v>
      </c>
      <c r="F799" s="1" t="s">
        <v>6920</v>
      </c>
      <c r="H799" s="1" t="s">
        <v>6921</v>
      </c>
      <c r="J799" s="1" t="s">
        <v>1324</v>
      </c>
      <c r="L799" s="1" t="s">
        <v>1325</v>
      </c>
      <c r="M799" s="1" t="s">
        <v>1333</v>
      </c>
      <c r="N799" s="1" t="s">
        <v>7541</v>
      </c>
      <c r="P799" s="1" t="s">
        <v>7542</v>
      </c>
      <c r="Q799" s="3">
        <v>0</v>
      </c>
      <c r="R799" s="22" t="s">
        <v>2721</v>
      </c>
      <c r="S799" s="42" t="s">
        <v>6914</v>
      </c>
      <c r="T799" s="3" t="s">
        <v>4866</v>
      </c>
      <c r="U799" s="45">
        <v>35</v>
      </c>
      <c r="V799" t="s">
        <v>7518</v>
      </c>
      <c r="W799" s="1" t="str">
        <f>HYPERLINK("http://ictvonline.org/taxonomy/p/taxonomy-history?taxnode_id=201907980","ICTVonline=201907980")</f>
        <v>ICTVonline=201907980</v>
      </c>
    </row>
    <row r="800" spans="1:23">
      <c r="A800" s="3">
        <v>799</v>
      </c>
      <c r="B800" s="1" t="s">
        <v>6915</v>
      </c>
      <c r="D800" s="1" t="s">
        <v>6916</v>
      </c>
      <c r="F800" s="1" t="s">
        <v>6920</v>
      </c>
      <c r="H800" s="1" t="s">
        <v>6921</v>
      </c>
      <c r="J800" s="1" t="s">
        <v>1324</v>
      </c>
      <c r="L800" s="1" t="s">
        <v>1325</v>
      </c>
      <c r="M800" s="1" t="s">
        <v>1333</v>
      </c>
      <c r="N800" s="1" t="s">
        <v>7541</v>
      </c>
      <c r="P800" s="1" t="s">
        <v>7543</v>
      </c>
      <c r="Q800" s="3">
        <v>1</v>
      </c>
      <c r="R800" s="22" t="s">
        <v>2721</v>
      </c>
      <c r="S800" s="42" t="s">
        <v>6914</v>
      </c>
      <c r="T800" s="3" t="s">
        <v>4866</v>
      </c>
      <c r="U800" s="45">
        <v>35</v>
      </c>
      <c r="V800" t="s">
        <v>7518</v>
      </c>
      <c r="W800" s="1" t="str">
        <f>HYPERLINK("http://ictvonline.org/taxonomy/p/taxonomy-history?taxnode_id=201907979","ICTVonline=201907979")</f>
        <v>ICTVonline=201907979</v>
      </c>
    </row>
    <row r="801" spans="1:23">
      <c r="A801" s="3">
        <v>800</v>
      </c>
      <c r="B801" s="1" t="s">
        <v>6915</v>
      </c>
      <c r="D801" s="1" t="s">
        <v>6916</v>
      </c>
      <c r="F801" s="1" t="s">
        <v>6920</v>
      </c>
      <c r="H801" s="1" t="s">
        <v>6921</v>
      </c>
      <c r="J801" s="1" t="s">
        <v>1324</v>
      </c>
      <c r="L801" s="1" t="s">
        <v>1325</v>
      </c>
      <c r="M801" s="1" t="s">
        <v>1333</v>
      </c>
      <c r="N801" s="1" t="s">
        <v>7544</v>
      </c>
      <c r="P801" s="1" t="s">
        <v>2744</v>
      </c>
      <c r="Q801" s="3">
        <v>1</v>
      </c>
      <c r="R801" s="22" t="s">
        <v>2721</v>
      </c>
      <c r="S801" s="42" t="s">
        <v>6914</v>
      </c>
      <c r="T801" s="3" t="s">
        <v>4871</v>
      </c>
      <c r="U801" s="45">
        <v>35</v>
      </c>
      <c r="V801" t="s">
        <v>7518</v>
      </c>
      <c r="W801" s="1" t="str">
        <f>HYPERLINK("http://ictvonline.org/taxonomy/p/taxonomy-history?taxnode_id=201900231","ICTVonline=201900231")</f>
        <v>ICTVonline=201900231</v>
      </c>
    </row>
    <row r="802" spans="1:23">
      <c r="A802" s="3">
        <v>801</v>
      </c>
      <c r="B802" s="1" t="s">
        <v>6915</v>
      </c>
      <c r="D802" s="1" t="s">
        <v>6916</v>
      </c>
      <c r="F802" s="1" t="s">
        <v>6920</v>
      </c>
      <c r="H802" s="1" t="s">
        <v>6921</v>
      </c>
      <c r="J802" s="1" t="s">
        <v>1324</v>
      </c>
      <c r="L802" s="1" t="s">
        <v>1325</v>
      </c>
      <c r="M802" s="1" t="s">
        <v>1333</v>
      </c>
      <c r="N802" s="1" t="s">
        <v>7545</v>
      </c>
      <c r="P802" s="1" t="s">
        <v>7546</v>
      </c>
      <c r="Q802" s="3">
        <v>1</v>
      </c>
      <c r="R802" s="22" t="s">
        <v>2721</v>
      </c>
      <c r="S802" s="42" t="s">
        <v>6914</v>
      </c>
      <c r="T802" s="3" t="s">
        <v>4866</v>
      </c>
      <c r="U802" s="45">
        <v>35</v>
      </c>
      <c r="V802" t="s">
        <v>7518</v>
      </c>
      <c r="W802" s="1" t="str">
        <f>HYPERLINK("http://ictvonline.org/taxonomy/p/taxonomy-history?taxnode_id=201907968","ICTVonline=201907968")</f>
        <v>ICTVonline=201907968</v>
      </c>
    </row>
    <row r="803" spans="1:23">
      <c r="A803" s="3">
        <v>802</v>
      </c>
      <c r="B803" s="1" t="s">
        <v>6915</v>
      </c>
      <c r="D803" s="1" t="s">
        <v>6916</v>
      </c>
      <c r="F803" s="1" t="s">
        <v>6920</v>
      </c>
      <c r="H803" s="1" t="s">
        <v>6921</v>
      </c>
      <c r="J803" s="1" t="s">
        <v>1324</v>
      </c>
      <c r="L803" s="1" t="s">
        <v>1325</v>
      </c>
      <c r="M803" s="1" t="s">
        <v>1333</v>
      </c>
      <c r="N803" s="1" t="s">
        <v>6258</v>
      </c>
      <c r="P803" s="1" t="s">
        <v>6259</v>
      </c>
      <c r="Q803" s="3">
        <v>0</v>
      </c>
      <c r="R803" s="22" t="s">
        <v>2721</v>
      </c>
      <c r="S803" s="42" t="s">
        <v>6910</v>
      </c>
      <c r="T803" s="3" t="s">
        <v>4868</v>
      </c>
      <c r="U803" s="45">
        <v>35</v>
      </c>
      <c r="V803" t="s">
        <v>6919</v>
      </c>
      <c r="W803" s="1" t="str">
        <f>HYPERLINK("http://ictvonline.org/taxonomy/p/taxonomy-history?taxnode_id=201907028","ICTVonline=201907028")</f>
        <v>ICTVonline=201907028</v>
      </c>
    </row>
    <row r="804" spans="1:23">
      <c r="A804" s="3">
        <v>803</v>
      </c>
      <c r="B804" s="1" t="s">
        <v>6915</v>
      </c>
      <c r="D804" s="1" t="s">
        <v>6916</v>
      </c>
      <c r="F804" s="1" t="s">
        <v>6920</v>
      </c>
      <c r="H804" s="1" t="s">
        <v>6921</v>
      </c>
      <c r="J804" s="1" t="s">
        <v>1324</v>
      </c>
      <c r="L804" s="1" t="s">
        <v>1325</v>
      </c>
      <c r="M804" s="1" t="s">
        <v>1333</v>
      </c>
      <c r="N804" s="1" t="s">
        <v>6258</v>
      </c>
      <c r="P804" s="1" t="s">
        <v>2750</v>
      </c>
      <c r="Q804" s="3">
        <v>1</v>
      </c>
      <c r="R804" s="22" t="s">
        <v>2721</v>
      </c>
      <c r="S804" s="42" t="s">
        <v>6910</v>
      </c>
      <c r="T804" s="3" t="s">
        <v>4868</v>
      </c>
      <c r="U804" s="45">
        <v>35</v>
      </c>
      <c r="V804" t="s">
        <v>6919</v>
      </c>
      <c r="W804" s="1" t="str">
        <f>HYPERLINK("http://ictvonline.org/taxonomy/p/taxonomy-history?taxnode_id=201900238","ICTVonline=201900238")</f>
        <v>ICTVonline=201900238</v>
      </c>
    </row>
    <row r="805" spans="1:23">
      <c r="A805" s="3">
        <v>804</v>
      </c>
      <c r="B805" s="1" t="s">
        <v>6915</v>
      </c>
      <c r="D805" s="1" t="s">
        <v>6916</v>
      </c>
      <c r="F805" s="1" t="s">
        <v>6920</v>
      </c>
      <c r="H805" s="1" t="s">
        <v>6921</v>
      </c>
      <c r="J805" s="1" t="s">
        <v>1324</v>
      </c>
      <c r="L805" s="1" t="s">
        <v>1325</v>
      </c>
      <c r="M805" s="1" t="s">
        <v>1333</v>
      </c>
      <c r="N805" s="1" t="s">
        <v>6258</v>
      </c>
      <c r="P805" s="1" t="s">
        <v>6260</v>
      </c>
      <c r="Q805" s="3">
        <v>0</v>
      </c>
      <c r="R805" s="22" t="s">
        <v>2721</v>
      </c>
      <c r="S805" s="42" t="s">
        <v>6910</v>
      </c>
      <c r="T805" s="3" t="s">
        <v>4868</v>
      </c>
      <c r="U805" s="45">
        <v>35</v>
      </c>
      <c r="V805" t="s">
        <v>6919</v>
      </c>
      <c r="W805" s="1" t="str">
        <f>HYPERLINK("http://ictvonline.org/taxonomy/p/taxonomy-history?taxnode_id=201907029","ICTVonline=201907029")</f>
        <v>ICTVonline=201907029</v>
      </c>
    </row>
    <row r="806" spans="1:23">
      <c r="A806" s="3">
        <v>805</v>
      </c>
      <c r="B806" s="1" t="s">
        <v>6915</v>
      </c>
      <c r="D806" s="1" t="s">
        <v>6916</v>
      </c>
      <c r="F806" s="1" t="s">
        <v>6920</v>
      </c>
      <c r="H806" s="1" t="s">
        <v>6921</v>
      </c>
      <c r="J806" s="1" t="s">
        <v>1324</v>
      </c>
      <c r="L806" s="1" t="s">
        <v>1325</v>
      </c>
      <c r="M806" s="1" t="s">
        <v>1333</v>
      </c>
      <c r="N806" s="1" t="s">
        <v>6258</v>
      </c>
      <c r="P806" s="1" t="s">
        <v>6261</v>
      </c>
      <c r="Q806" s="3">
        <v>0</v>
      </c>
      <c r="R806" s="22" t="s">
        <v>2721</v>
      </c>
      <c r="S806" s="42" t="s">
        <v>6910</v>
      </c>
      <c r="T806" s="3" t="s">
        <v>4868</v>
      </c>
      <c r="U806" s="45">
        <v>35</v>
      </c>
      <c r="V806" t="s">
        <v>6919</v>
      </c>
      <c r="W806" s="1" t="str">
        <f>HYPERLINK("http://ictvonline.org/taxonomy/p/taxonomy-history?taxnode_id=201907030","ICTVonline=201907030")</f>
        <v>ICTVonline=201907030</v>
      </c>
    </row>
    <row r="807" spans="1:23">
      <c r="A807" s="3">
        <v>806</v>
      </c>
      <c r="B807" s="1" t="s">
        <v>6915</v>
      </c>
      <c r="D807" s="1" t="s">
        <v>6916</v>
      </c>
      <c r="F807" s="1" t="s">
        <v>6920</v>
      </c>
      <c r="H807" s="1" t="s">
        <v>6921</v>
      </c>
      <c r="J807" s="1" t="s">
        <v>1324</v>
      </c>
      <c r="L807" s="1" t="s">
        <v>1325</v>
      </c>
      <c r="M807" s="1" t="s">
        <v>1333</v>
      </c>
      <c r="N807" s="1" t="s">
        <v>6258</v>
      </c>
      <c r="P807" s="1" t="s">
        <v>2751</v>
      </c>
      <c r="Q807" s="3">
        <v>0</v>
      </c>
      <c r="R807" s="22" t="s">
        <v>2721</v>
      </c>
      <c r="S807" s="42" t="s">
        <v>6910</v>
      </c>
      <c r="T807" s="3" t="s">
        <v>4868</v>
      </c>
      <c r="U807" s="45">
        <v>35</v>
      </c>
      <c r="V807" t="s">
        <v>6919</v>
      </c>
      <c r="W807" s="1" t="str">
        <f>HYPERLINK("http://ictvonline.org/taxonomy/p/taxonomy-history?taxnode_id=201900239","ICTVonline=201900239")</f>
        <v>ICTVonline=201900239</v>
      </c>
    </row>
    <row r="808" spans="1:23">
      <c r="A808" s="3">
        <v>807</v>
      </c>
      <c r="B808" s="1" t="s">
        <v>6915</v>
      </c>
      <c r="D808" s="1" t="s">
        <v>6916</v>
      </c>
      <c r="F808" s="1" t="s">
        <v>6920</v>
      </c>
      <c r="H808" s="1" t="s">
        <v>6921</v>
      </c>
      <c r="J808" s="1" t="s">
        <v>1324</v>
      </c>
      <c r="L808" s="1" t="s">
        <v>1325</v>
      </c>
      <c r="M808" s="1" t="s">
        <v>1333</v>
      </c>
      <c r="N808" s="1" t="s">
        <v>6258</v>
      </c>
      <c r="P808" s="1" t="s">
        <v>2757</v>
      </c>
      <c r="Q808" s="3">
        <v>0</v>
      </c>
      <c r="R808" s="22" t="s">
        <v>2721</v>
      </c>
      <c r="S808" s="42" t="s">
        <v>6910</v>
      </c>
      <c r="T808" s="3" t="s">
        <v>4868</v>
      </c>
      <c r="U808" s="45">
        <v>35</v>
      </c>
      <c r="V808" t="s">
        <v>6919</v>
      </c>
      <c r="W808" s="1" t="str">
        <f>HYPERLINK("http://ictvonline.org/taxonomy/p/taxonomy-history?taxnode_id=201900246","ICTVonline=201900246")</f>
        <v>ICTVonline=201900246</v>
      </c>
    </row>
    <row r="809" spans="1:23">
      <c r="A809" s="3">
        <v>808</v>
      </c>
      <c r="B809" s="1" t="s">
        <v>6915</v>
      </c>
      <c r="D809" s="1" t="s">
        <v>6916</v>
      </c>
      <c r="F809" s="1" t="s">
        <v>6920</v>
      </c>
      <c r="H809" s="1" t="s">
        <v>6921</v>
      </c>
      <c r="J809" s="1" t="s">
        <v>1324</v>
      </c>
      <c r="L809" s="1" t="s">
        <v>1325</v>
      </c>
      <c r="M809" s="1" t="s">
        <v>1333</v>
      </c>
      <c r="N809" s="1" t="s">
        <v>7547</v>
      </c>
      <c r="P809" s="1" t="s">
        <v>7548</v>
      </c>
      <c r="Q809" s="3">
        <v>1</v>
      </c>
      <c r="R809" s="22" t="s">
        <v>2721</v>
      </c>
      <c r="S809" s="42" t="s">
        <v>6914</v>
      </c>
      <c r="T809" s="3" t="s">
        <v>4866</v>
      </c>
      <c r="U809" s="45">
        <v>35</v>
      </c>
      <c r="V809" t="s">
        <v>7518</v>
      </c>
      <c r="W809" s="1" t="str">
        <f>HYPERLINK("http://ictvonline.org/taxonomy/p/taxonomy-history?taxnode_id=201907948","ICTVonline=201907948")</f>
        <v>ICTVonline=201907948</v>
      </c>
    </row>
    <row r="810" spans="1:23">
      <c r="A810" s="3">
        <v>809</v>
      </c>
      <c r="B810" s="1" t="s">
        <v>6915</v>
      </c>
      <c r="D810" s="1" t="s">
        <v>6916</v>
      </c>
      <c r="F810" s="1" t="s">
        <v>6920</v>
      </c>
      <c r="H810" s="1" t="s">
        <v>6921</v>
      </c>
      <c r="J810" s="1" t="s">
        <v>1324</v>
      </c>
      <c r="L810" s="1" t="s">
        <v>1325</v>
      </c>
      <c r="M810" s="1" t="s">
        <v>1333</v>
      </c>
      <c r="N810" s="1" t="s">
        <v>7549</v>
      </c>
      <c r="P810" s="1" t="s">
        <v>7550</v>
      </c>
      <c r="Q810" s="3">
        <v>1</v>
      </c>
      <c r="R810" s="22" t="s">
        <v>2721</v>
      </c>
      <c r="S810" s="42" t="s">
        <v>6914</v>
      </c>
      <c r="T810" s="3" t="s">
        <v>4866</v>
      </c>
      <c r="U810" s="45">
        <v>35</v>
      </c>
      <c r="V810" t="s">
        <v>7518</v>
      </c>
      <c r="W810" s="1" t="str">
        <f>HYPERLINK("http://ictvonline.org/taxonomy/p/taxonomy-history?taxnode_id=201907941","ICTVonline=201907941")</f>
        <v>ICTVonline=201907941</v>
      </c>
    </row>
    <row r="811" spans="1:23">
      <c r="A811" s="3">
        <v>810</v>
      </c>
      <c r="B811" s="1" t="s">
        <v>6915</v>
      </c>
      <c r="D811" s="1" t="s">
        <v>6916</v>
      </c>
      <c r="F811" s="1" t="s">
        <v>6920</v>
      </c>
      <c r="H811" s="1" t="s">
        <v>6921</v>
      </c>
      <c r="J811" s="1" t="s">
        <v>1324</v>
      </c>
      <c r="L811" s="1" t="s">
        <v>1325</v>
      </c>
      <c r="M811" s="1" t="s">
        <v>1333</v>
      </c>
      <c r="N811" s="1" t="s">
        <v>7551</v>
      </c>
      <c r="P811" s="1" t="s">
        <v>7552</v>
      </c>
      <c r="Q811" s="3">
        <v>1</v>
      </c>
      <c r="R811" s="22" t="s">
        <v>2721</v>
      </c>
      <c r="S811" s="42" t="s">
        <v>6914</v>
      </c>
      <c r="T811" s="3" t="s">
        <v>4866</v>
      </c>
      <c r="U811" s="45">
        <v>35</v>
      </c>
      <c r="V811" t="s">
        <v>7518</v>
      </c>
      <c r="W811" s="1" t="str">
        <f>HYPERLINK("http://ictvonline.org/taxonomy/p/taxonomy-history?taxnode_id=201907954","ICTVonline=201907954")</f>
        <v>ICTVonline=201907954</v>
      </c>
    </row>
    <row r="812" spans="1:23">
      <c r="A812" s="3">
        <v>811</v>
      </c>
      <c r="B812" s="1" t="s">
        <v>6915</v>
      </c>
      <c r="D812" s="1" t="s">
        <v>6916</v>
      </c>
      <c r="F812" s="1" t="s">
        <v>6920</v>
      </c>
      <c r="H812" s="1" t="s">
        <v>6921</v>
      </c>
      <c r="J812" s="1" t="s">
        <v>1324</v>
      </c>
      <c r="L812" s="1" t="s">
        <v>1325</v>
      </c>
      <c r="M812" s="1" t="s">
        <v>1333</v>
      </c>
      <c r="N812" s="1" t="s">
        <v>7553</v>
      </c>
      <c r="P812" s="1" t="s">
        <v>7554</v>
      </c>
      <c r="Q812" s="3">
        <v>1</v>
      </c>
      <c r="R812" s="22" t="s">
        <v>2721</v>
      </c>
      <c r="S812" s="42" t="s">
        <v>6914</v>
      </c>
      <c r="T812" s="3" t="s">
        <v>4866</v>
      </c>
      <c r="U812" s="45">
        <v>35</v>
      </c>
      <c r="V812" t="s">
        <v>7518</v>
      </c>
      <c r="W812" s="1" t="str">
        <f>HYPERLINK("http://ictvonline.org/taxonomy/p/taxonomy-history?taxnode_id=201907960","ICTVonline=201907960")</f>
        <v>ICTVonline=201907960</v>
      </c>
    </row>
    <row r="813" spans="1:23">
      <c r="A813" s="3">
        <v>812</v>
      </c>
      <c r="B813" s="1" t="s">
        <v>6915</v>
      </c>
      <c r="D813" s="1" t="s">
        <v>6916</v>
      </c>
      <c r="F813" s="1" t="s">
        <v>6920</v>
      </c>
      <c r="H813" s="1" t="s">
        <v>6921</v>
      </c>
      <c r="J813" s="1" t="s">
        <v>1324</v>
      </c>
      <c r="L813" s="1" t="s">
        <v>1325</v>
      </c>
      <c r="M813" s="1" t="s">
        <v>1333</v>
      </c>
      <c r="N813" s="1" t="s">
        <v>7555</v>
      </c>
      <c r="P813" s="1" t="s">
        <v>7556</v>
      </c>
      <c r="Q813" s="3">
        <v>1</v>
      </c>
      <c r="R813" s="22" t="s">
        <v>2721</v>
      </c>
      <c r="S813" s="42" t="s">
        <v>6914</v>
      </c>
      <c r="T813" s="3" t="s">
        <v>4866</v>
      </c>
      <c r="U813" s="45">
        <v>35</v>
      </c>
      <c r="V813" t="s">
        <v>7518</v>
      </c>
      <c r="W813" s="1" t="str">
        <f>HYPERLINK("http://ictvonline.org/taxonomy/p/taxonomy-history?taxnode_id=201907944","ICTVonline=201907944")</f>
        <v>ICTVonline=201907944</v>
      </c>
    </row>
    <row r="814" spans="1:23">
      <c r="A814" s="3">
        <v>813</v>
      </c>
      <c r="B814" s="1" t="s">
        <v>6915</v>
      </c>
      <c r="D814" s="1" t="s">
        <v>6916</v>
      </c>
      <c r="F814" s="1" t="s">
        <v>6920</v>
      </c>
      <c r="H814" s="1" t="s">
        <v>6921</v>
      </c>
      <c r="J814" s="1" t="s">
        <v>1324</v>
      </c>
      <c r="L814" s="1" t="s">
        <v>1325</v>
      </c>
      <c r="M814" s="1" t="s">
        <v>1333</v>
      </c>
      <c r="N814" s="1" t="s">
        <v>7557</v>
      </c>
      <c r="P814" s="1" t="s">
        <v>7558</v>
      </c>
      <c r="Q814" s="3">
        <v>1</v>
      </c>
      <c r="R814" s="22" t="s">
        <v>2721</v>
      </c>
      <c r="S814" s="42" t="s">
        <v>6914</v>
      </c>
      <c r="T814" s="3" t="s">
        <v>4866</v>
      </c>
      <c r="U814" s="45">
        <v>35</v>
      </c>
      <c r="V814" t="s">
        <v>7518</v>
      </c>
      <c r="W814" s="1" t="str">
        <f>HYPERLINK("http://ictvonline.org/taxonomy/p/taxonomy-history?taxnode_id=201907966","ICTVonline=201907966")</f>
        <v>ICTVonline=201907966</v>
      </c>
    </row>
    <row r="815" spans="1:23">
      <c r="A815" s="3">
        <v>814</v>
      </c>
      <c r="B815" s="1" t="s">
        <v>6915</v>
      </c>
      <c r="D815" s="1" t="s">
        <v>6916</v>
      </c>
      <c r="F815" s="1" t="s">
        <v>6920</v>
      </c>
      <c r="H815" s="1" t="s">
        <v>6921</v>
      </c>
      <c r="J815" s="1" t="s">
        <v>1324</v>
      </c>
      <c r="L815" s="1" t="s">
        <v>1325</v>
      </c>
      <c r="M815" s="1" t="s">
        <v>1333</v>
      </c>
      <c r="N815" s="1" t="s">
        <v>7559</v>
      </c>
      <c r="P815" s="1" t="s">
        <v>6262</v>
      </c>
      <c r="Q815" s="3">
        <v>1</v>
      </c>
      <c r="R815" s="22" t="s">
        <v>2721</v>
      </c>
      <c r="S815" s="42" t="s">
        <v>6914</v>
      </c>
      <c r="T815" s="3" t="s">
        <v>4871</v>
      </c>
      <c r="U815" s="45">
        <v>35</v>
      </c>
      <c r="V815" t="s">
        <v>7518</v>
      </c>
      <c r="W815" s="1" t="str">
        <f>HYPERLINK("http://ictvonline.org/taxonomy/p/taxonomy-history?taxnode_id=201907031","ICTVonline=201907031")</f>
        <v>ICTVonline=201907031</v>
      </c>
    </row>
    <row r="816" spans="1:23">
      <c r="A816" s="3">
        <v>815</v>
      </c>
      <c r="B816" s="1" t="s">
        <v>6915</v>
      </c>
      <c r="D816" s="1" t="s">
        <v>6916</v>
      </c>
      <c r="F816" s="1" t="s">
        <v>6920</v>
      </c>
      <c r="H816" s="1" t="s">
        <v>6921</v>
      </c>
      <c r="J816" s="1" t="s">
        <v>1324</v>
      </c>
      <c r="L816" s="1" t="s">
        <v>1325</v>
      </c>
      <c r="M816" s="1" t="s">
        <v>1333</v>
      </c>
      <c r="N816" s="1" t="s">
        <v>7560</v>
      </c>
      <c r="P816" s="1" t="s">
        <v>7561</v>
      </c>
      <c r="Q816" s="3">
        <v>0</v>
      </c>
      <c r="R816" s="22" t="s">
        <v>2721</v>
      </c>
      <c r="S816" s="42" t="s">
        <v>6914</v>
      </c>
      <c r="T816" s="3" t="s">
        <v>4866</v>
      </c>
      <c r="U816" s="45">
        <v>35</v>
      </c>
      <c r="V816" t="s">
        <v>7518</v>
      </c>
      <c r="W816" s="1" t="str">
        <f>HYPERLINK("http://ictvonline.org/taxonomy/p/taxonomy-history?taxnode_id=201907977","ICTVonline=201907977")</f>
        <v>ICTVonline=201907977</v>
      </c>
    </row>
    <row r="817" spans="1:23">
      <c r="A817" s="3">
        <v>816</v>
      </c>
      <c r="B817" s="1" t="s">
        <v>6915</v>
      </c>
      <c r="D817" s="1" t="s">
        <v>6916</v>
      </c>
      <c r="F817" s="1" t="s">
        <v>6920</v>
      </c>
      <c r="H817" s="1" t="s">
        <v>6921</v>
      </c>
      <c r="J817" s="1" t="s">
        <v>1324</v>
      </c>
      <c r="L817" s="1" t="s">
        <v>1325</v>
      </c>
      <c r="M817" s="1" t="s">
        <v>1333</v>
      </c>
      <c r="N817" s="1" t="s">
        <v>7560</v>
      </c>
      <c r="P817" s="1" t="s">
        <v>2746</v>
      </c>
      <c r="Q817" s="3">
        <v>1</v>
      </c>
      <c r="R817" s="22" t="s">
        <v>2721</v>
      </c>
      <c r="S817" s="42" t="s">
        <v>6914</v>
      </c>
      <c r="T817" s="3" t="s">
        <v>4871</v>
      </c>
      <c r="U817" s="45">
        <v>35</v>
      </c>
      <c r="V817" t="s">
        <v>7518</v>
      </c>
      <c r="W817" s="1" t="str">
        <f>HYPERLINK("http://ictvonline.org/taxonomy/p/taxonomy-history?taxnode_id=201900234","ICTVonline=201900234")</f>
        <v>ICTVonline=201900234</v>
      </c>
    </row>
    <row r="818" spans="1:23">
      <c r="A818" s="3">
        <v>817</v>
      </c>
      <c r="B818" s="1" t="s">
        <v>6915</v>
      </c>
      <c r="D818" s="1" t="s">
        <v>6916</v>
      </c>
      <c r="F818" s="1" t="s">
        <v>6920</v>
      </c>
      <c r="H818" s="1" t="s">
        <v>6921</v>
      </c>
      <c r="J818" s="1" t="s">
        <v>1324</v>
      </c>
      <c r="L818" s="1" t="s">
        <v>1325</v>
      </c>
      <c r="M818" s="1" t="s">
        <v>1333</v>
      </c>
      <c r="N818" s="1" t="s">
        <v>7560</v>
      </c>
      <c r="P818" s="1" t="s">
        <v>2747</v>
      </c>
      <c r="Q818" s="3">
        <v>0</v>
      </c>
      <c r="R818" s="22" t="s">
        <v>2721</v>
      </c>
      <c r="S818" s="42" t="s">
        <v>6914</v>
      </c>
      <c r="T818" s="3" t="s">
        <v>4868</v>
      </c>
      <c r="U818" s="45">
        <v>35</v>
      </c>
      <c r="V818" t="s">
        <v>7518</v>
      </c>
      <c r="W818" s="1" t="str">
        <f>HYPERLINK("http://ictvonline.org/taxonomy/p/taxonomy-history?taxnode_id=201900235","ICTVonline=201900235")</f>
        <v>ICTVonline=201900235</v>
      </c>
    </row>
    <row r="819" spans="1:23">
      <c r="A819" s="3">
        <v>818</v>
      </c>
      <c r="B819" s="1" t="s">
        <v>6915</v>
      </c>
      <c r="D819" s="1" t="s">
        <v>6916</v>
      </c>
      <c r="F819" s="1" t="s">
        <v>6920</v>
      </c>
      <c r="H819" s="1" t="s">
        <v>6921</v>
      </c>
      <c r="J819" s="1" t="s">
        <v>1324</v>
      </c>
      <c r="L819" s="1" t="s">
        <v>1325</v>
      </c>
      <c r="M819" s="1" t="s">
        <v>1333</v>
      </c>
      <c r="N819" s="1" t="s">
        <v>7560</v>
      </c>
      <c r="P819" s="1" t="s">
        <v>2748</v>
      </c>
      <c r="Q819" s="3">
        <v>0</v>
      </c>
      <c r="R819" s="22" t="s">
        <v>2721</v>
      </c>
      <c r="S819" s="42" t="s">
        <v>6914</v>
      </c>
      <c r="T819" s="3" t="s">
        <v>4868</v>
      </c>
      <c r="U819" s="45">
        <v>35</v>
      </c>
      <c r="V819" t="s">
        <v>7518</v>
      </c>
      <c r="W819" s="1" t="str">
        <f>HYPERLINK("http://ictvonline.org/taxonomy/p/taxonomy-history?taxnode_id=201900236","ICTVonline=201900236")</f>
        <v>ICTVonline=201900236</v>
      </c>
    </row>
    <row r="820" spans="1:23">
      <c r="A820" s="3">
        <v>819</v>
      </c>
      <c r="B820" s="1" t="s">
        <v>6915</v>
      </c>
      <c r="D820" s="1" t="s">
        <v>6916</v>
      </c>
      <c r="F820" s="1" t="s">
        <v>6920</v>
      </c>
      <c r="H820" s="1" t="s">
        <v>6921</v>
      </c>
      <c r="J820" s="1" t="s">
        <v>1324</v>
      </c>
      <c r="L820" s="1" t="s">
        <v>1325</v>
      </c>
      <c r="M820" s="1" t="s">
        <v>1333</v>
      </c>
      <c r="N820" s="1" t="s">
        <v>7562</v>
      </c>
      <c r="P820" s="1" t="s">
        <v>7563</v>
      </c>
      <c r="Q820" s="3">
        <v>1</v>
      </c>
      <c r="R820" s="22" t="s">
        <v>2721</v>
      </c>
      <c r="S820" s="42" t="s">
        <v>6914</v>
      </c>
      <c r="T820" s="3" t="s">
        <v>4866</v>
      </c>
      <c r="U820" s="45">
        <v>35</v>
      </c>
      <c r="V820" t="s">
        <v>7518</v>
      </c>
      <c r="W820" s="1" t="str">
        <f>HYPERLINK("http://ictvonline.org/taxonomy/p/taxonomy-history?taxnode_id=201907939","ICTVonline=201907939")</f>
        <v>ICTVonline=201907939</v>
      </c>
    </row>
    <row r="821" spans="1:23">
      <c r="A821" s="3">
        <v>820</v>
      </c>
      <c r="B821" s="1" t="s">
        <v>6915</v>
      </c>
      <c r="D821" s="1" t="s">
        <v>6916</v>
      </c>
      <c r="F821" s="1" t="s">
        <v>6920</v>
      </c>
      <c r="H821" s="1" t="s">
        <v>6921</v>
      </c>
      <c r="J821" s="1" t="s">
        <v>1324</v>
      </c>
      <c r="L821" s="1" t="s">
        <v>1325</v>
      </c>
      <c r="M821" s="1" t="s">
        <v>1333</v>
      </c>
      <c r="N821" s="1" t="s">
        <v>7564</v>
      </c>
      <c r="P821" s="1" t="s">
        <v>7565</v>
      </c>
      <c r="Q821" s="3">
        <v>1</v>
      </c>
      <c r="R821" s="22" t="s">
        <v>2721</v>
      </c>
      <c r="S821" s="42" t="s">
        <v>6914</v>
      </c>
      <c r="T821" s="3" t="s">
        <v>4866</v>
      </c>
      <c r="U821" s="45">
        <v>35</v>
      </c>
      <c r="V821" t="s">
        <v>7518</v>
      </c>
      <c r="W821" s="1" t="str">
        <f>HYPERLINK("http://ictvonline.org/taxonomy/p/taxonomy-history?taxnode_id=201907952","ICTVonline=201907952")</f>
        <v>ICTVonline=201907952</v>
      </c>
    </row>
    <row r="822" spans="1:23">
      <c r="A822" s="3">
        <v>821</v>
      </c>
      <c r="B822" s="1" t="s">
        <v>6915</v>
      </c>
      <c r="D822" s="1" t="s">
        <v>6916</v>
      </c>
      <c r="F822" s="1" t="s">
        <v>6920</v>
      </c>
      <c r="H822" s="1" t="s">
        <v>6921</v>
      </c>
      <c r="J822" s="1" t="s">
        <v>1324</v>
      </c>
      <c r="L822" s="1" t="s">
        <v>1325</v>
      </c>
      <c r="M822" s="1" t="s">
        <v>1335</v>
      </c>
      <c r="N822" s="1" t="s">
        <v>6263</v>
      </c>
      <c r="P822" s="1" t="s">
        <v>2777</v>
      </c>
      <c r="Q822" s="3">
        <v>0</v>
      </c>
      <c r="R822" s="22" t="s">
        <v>2721</v>
      </c>
      <c r="S822" s="42" t="s">
        <v>6910</v>
      </c>
      <c r="T822" s="3" t="s">
        <v>4868</v>
      </c>
      <c r="U822" s="45">
        <v>35</v>
      </c>
      <c r="V822" t="s">
        <v>6919</v>
      </c>
      <c r="W822" s="1" t="str">
        <f>HYPERLINK("http://ictvonline.org/taxonomy/p/taxonomy-history?taxnode_id=201900286","ICTVonline=201900286")</f>
        <v>ICTVonline=201900286</v>
      </c>
    </row>
    <row r="823" spans="1:23">
      <c r="A823" s="3">
        <v>822</v>
      </c>
      <c r="B823" s="1" t="s">
        <v>6915</v>
      </c>
      <c r="D823" s="1" t="s">
        <v>6916</v>
      </c>
      <c r="F823" s="1" t="s">
        <v>6920</v>
      </c>
      <c r="H823" s="1" t="s">
        <v>6921</v>
      </c>
      <c r="J823" s="1" t="s">
        <v>1324</v>
      </c>
      <c r="L823" s="1" t="s">
        <v>1325</v>
      </c>
      <c r="M823" s="1" t="s">
        <v>1335</v>
      </c>
      <c r="N823" s="1" t="s">
        <v>6263</v>
      </c>
      <c r="P823" s="1" t="s">
        <v>2778</v>
      </c>
      <c r="Q823" s="3">
        <v>0</v>
      </c>
      <c r="R823" s="22" t="s">
        <v>2721</v>
      </c>
      <c r="S823" s="42" t="s">
        <v>6910</v>
      </c>
      <c r="T823" s="3" t="s">
        <v>4868</v>
      </c>
      <c r="U823" s="45">
        <v>35</v>
      </c>
      <c r="V823" t="s">
        <v>6919</v>
      </c>
      <c r="W823" s="1" t="str">
        <f>HYPERLINK("http://ictvonline.org/taxonomy/p/taxonomy-history?taxnode_id=201900287","ICTVonline=201900287")</f>
        <v>ICTVonline=201900287</v>
      </c>
    </row>
    <row r="824" spans="1:23">
      <c r="A824" s="3">
        <v>823</v>
      </c>
      <c r="B824" s="1" t="s">
        <v>6915</v>
      </c>
      <c r="D824" s="1" t="s">
        <v>6916</v>
      </c>
      <c r="F824" s="1" t="s">
        <v>6920</v>
      </c>
      <c r="H824" s="1" t="s">
        <v>6921</v>
      </c>
      <c r="J824" s="1" t="s">
        <v>1324</v>
      </c>
      <c r="L824" s="1" t="s">
        <v>1325</v>
      </c>
      <c r="M824" s="1" t="s">
        <v>1335</v>
      </c>
      <c r="N824" s="1" t="s">
        <v>6263</v>
      </c>
      <c r="P824" s="1" t="s">
        <v>2779</v>
      </c>
      <c r="Q824" s="3">
        <v>0</v>
      </c>
      <c r="R824" s="22" t="s">
        <v>2721</v>
      </c>
      <c r="S824" s="42" t="s">
        <v>6910</v>
      </c>
      <c r="T824" s="3" t="s">
        <v>4868</v>
      </c>
      <c r="U824" s="45">
        <v>35</v>
      </c>
      <c r="V824" t="s">
        <v>6919</v>
      </c>
      <c r="W824" s="1" t="str">
        <f>HYPERLINK("http://ictvonline.org/taxonomy/p/taxonomy-history?taxnode_id=201900288","ICTVonline=201900288")</f>
        <v>ICTVonline=201900288</v>
      </c>
    </row>
    <row r="825" spans="1:23">
      <c r="A825" s="3">
        <v>824</v>
      </c>
      <c r="B825" s="1" t="s">
        <v>6915</v>
      </c>
      <c r="D825" s="1" t="s">
        <v>6916</v>
      </c>
      <c r="F825" s="1" t="s">
        <v>6920</v>
      </c>
      <c r="H825" s="1" t="s">
        <v>6921</v>
      </c>
      <c r="J825" s="1" t="s">
        <v>1324</v>
      </c>
      <c r="L825" s="1" t="s">
        <v>1325</v>
      </c>
      <c r="M825" s="1" t="s">
        <v>1335</v>
      </c>
      <c r="N825" s="1" t="s">
        <v>6263</v>
      </c>
      <c r="P825" s="1" t="s">
        <v>2780</v>
      </c>
      <c r="Q825" s="3">
        <v>1</v>
      </c>
      <c r="R825" s="22" t="s">
        <v>2721</v>
      </c>
      <c r="S825" s="42" t="s">
        <v>6910</v>
      </c>
      <c r="T825" s="3" t="s">
        <v>4868</v>
      </c>
      <c r="U825" s="45">
        <v>35</v>
      </c>
      <c r="V825" t="s">
        <v>6919</v>
      </c>
      <c r="W825" s="1" t="str">
        <f>HYPERLINK("http://ictvonline.org/taxonomy/p/taxonomy-history?taxnode_id=201900289","ICTVonline=201900289")</f>
        <v>ICTVonline=201900289</v>
      </c>
    </row>
    <row r="826" spans="1:23">
      <c r="A826" s="3">
        <v>825</v>
      </c>
      <c r="B826" s="1" t="s">
        <v>6915</v>
      </c>
      <c r="D826" s="1" t="s">
        <v>6916</v>
      </c>
      <c r="F826" s="1" t="s">
        <v>6920</v>
      </c>
      <c r="H826" s="1" t="s">
        <v>6921</v>
      </c>
      <c r="J826" s="1" t="s">
        <v>1324</v>
      </c>
      <c r="L826" s="1" t="s">
        <v>1325</v>
      </c>
      <c r="M826" s="1" t="s">
        <v>1335</v>
      </c>
      <c r="N826" s="1" t="s">
        <v>6263</v>
      </c>
      <c r="P826" s="1" t="s">
        <v>6264</v>
      </c>
      <c r="Q826" s="3">
        <v>0</v>
      </c>
      <c r="R826" s="22" t="s">
        <v>2721</v>
      </c>
      <c r="S826" s="42" t="s">
        <v>6910</v>
      </c>
      <c r="T826" s="3" t="s">
        <v>4868</v>
      </c>
      <c r="U826" s="45">
        <v>35</v>
      </c>
      <c r="V826" t="s">
        <v>6919</v>
      </c>
      <c r="W826" s="1" t="str">
        <f>HYPERLINK("http://ictvonline.org/taxonomy/p/taxonomy-history?taxnode_id=201907034","ICTVonline=201907034")</f>
        <v>ICTVonline=201907034</v>
      </c>
    </row>
    <row r="827" spans="1:23">
      <c r="A827" s="3">
        <v>826</v>
      </c>
      <c r="B827" s="1" t="s">
        <v>6915</v>
      </c>
      <c r="D827" s="1" t="s">
        <v>6916</v>
      </c>
      <c r="F827" s="1" t="s">
        <v>6920</v>
      </c>
      <c r="H827" s="1" t="s">
        <v>6921</v>
      </c>
      <c r="J827" s="1" t="s">
        <v>1324</v>
      </c>
      <c r="L827" s="1" t="s">
        <v>1325</v>
      </c>
      <c r="M827" s="1" t="s">
        <v>1335</v>
      </c>
      <c r="N827" s="1" t="s">
        <v>6263</v>
      </c>
      <c r="P827" s="1" t="s">
        <v>4149</v>
      </c>
      <c r="Q827" s="3">
        <v>0</v>
      </c>
      <c r="R827" s="22" t="s">
        <v>2721</v>
      </c>
      <c r="S827" s="42" t="s">
        <v>6910</v>
      </c>
      <c r="T827" s="3" t="s">
        <v>4868</v>
      </c>
      <c r="U827" s="45">
        <v>35</v>
      </c>
      <c r="V827" t="s">
        <v>6919</v>
      </c>
      <c r="W827" s="1" t="str">
        <f>HYPERLINK("http://ictvonline.org/taxonomy/p/taxonomy-history?taxnode_id=201900290","ICTVonline=201900290")</f>
        <v>ICTVonline=201900290</v>
      </c>
    </row>
    <row r="828" spans="1:23">
      <c r="A828" s="3">
        <v>827</v>
      </c>
      <c r="B828" s="1" t="s">
        <v>6915</v>
      </c>
      <c r="D828" s="1" t="s">
        <v>6916</v>
      </c>
      <c r="F828" s="1" t="s">
        <v>6920</v>
      </c>
      <c r="H828" s="1" t="s">
        <v>6921</v>
      </c>
      <c r="J828" s="1" t="s">
        <v>1324</v>
      </c>
      <c r="L828" s="1" t="s">
        <v>1325</v>
      </c>
      <c r="M828" s="1" t="s">
        <v>1335</v>
      </c>
      <c r="N828" s="1" t="s">
        <v>6263</v>
      </c>
      <c r="P828" s="1" t="s">
        <v>2781</v>
      </c>
      <c r="Q828" s="3">
        <v>0</v>
      </c>
      <c r="R828" s="22" t="s">
        <v>2721</v>
      </c>
      <c r="S828" s="42" t="s">
        <v>6910</v>
      </c>
      <c r="T828" s="3" t="s">
        <v>4868</v>
      </c>
      <c r="U828" s="45">
        <v>35</v>
      </c>
      <c r="V828" t="s">
        <v>6919</v>
      </c>
      <c r="W828" s="1" t="str">
        <f>HYPERLINK("http://ictvonline.org/taxonomy/p/taxonomy-history?taxnode_id=201900291","ICTVonline=201900291")</f>
        <v>ICTVonline=201900291</v>
      </c>
    </row>
    <row r="829" spans="1:23">
      <c r="A829" s="3">
        <v>828</v>
      </c>
      <c r="B829" s="1" t="s">
        <v>6915</v>
      </c>
      <c r="D829" s="1" t="s">
        <v>6916</v>
      </c>
      <c r="F829" s="1" t="s">
        <v>6920</v>
      </c>
      <c r="H829" s="1" t="s">
        <v>6921</v>
      </c>
      <c r="J829" s="1" t="s">
        <v>1324</v>
      </c>
      <c r="L829" s="1" t="s">
        <v>1325</v>
      </c>
      <c r="M829" s="1" t="s">
        <v>1335</v>
      </c>
      <c r="N829" s="1" t="s">
        <v>6263</v>
      </c>
      <c r="P829" s="1" t="s">
        <v>6265</v>
      </c>
      <c r="Q829" s="3">
        <v>0</v>
      </c>
      <c r="R829" s="22" t="s">
        <v>2721</v>
      </c>
      <c r="S829" s="42" t="s">
        <v>6910</v>
      </c>
      <c r="T829" s="3" t="s">
        <v>4868</v>
      </c>
      <c r="U829" s="45">
        <v>35</v>
      </c>
      <c r="V829" t="s">
        <v>6919</v>
      </c>
      <c r="W829" s="1" t="str">
        <f>HYPERLINK("http://ictvonline.org/taxonomy/p/taxonomy-history?taxnode_id=201907035","ICTVonline=201907035")</f>
        <v>ICTVonline=201907035</v>
      </c>
    </row>
    <row r="830" spans="1:23">
      <c r="A830" s="3">
        <v>829</v>
      </c>
      <c r="B830" s="1" t="s">
        <v>6915</v>
      </c>
      <c r="D830" s="1" t="s">
        <v>6916</v>
      </c>
      <c r="F830" s="1" t="s">
        <v>6920</v>
      </c>
      <c r="H830" s="1" t="s">
        <v>6921</v>
      </c>
      <c r="J830" s="1" t="s">
        <v>1324</v>
      </c>
      <c r="L830" s="1" t="s">
        <v>1325</v>
      </c>
      <c r="M830" s="1" t="s">
        <v>1335</v>
      </c>
      <c r="N830" s="1" t="s">
        <v>6266</v>
      </c>
      <c r="P830" s="1" t="s">
        <v>2793</v>
      </c>
      <c r="Q830" s="3">
        <v>0</v>
      </c>
      <c r="R830" s="22" t="s">
        <v>2721</v>
      </c>
      <c r="S830" s="42" t="s">
        <v>6910</v>
      </c>
      <c r="T830" s="3" t="s">
        <v>4868</v>
      </c>
      <c r="U830" s="45">
        <v>35</v>
      </c>
      <c r="V830" t="s">
        <v>6919</v>
      </c>
      <c r="W830" s="1" t="str">
        <f>HYPERLINK("http://ictvonline.org/taxonomy/p/taxonomy-history?taxnode_id=201900318","ICTVonline=201900318")</f>
        <v>ICTVonline=201900318</v>
      </c>
    </row>
    <row r="831" spans="1:23">
      <c r="A831" s="3">
        <v>830</v>
      </c>
      <c r="B831" s="1" t="s">
        <v>6915</v>
      </c>
      <c r="D831" s="1" t="s">
        <v>6916</v>
      </c>
      <c r="F831" s="1" t="s">
        <v>6920</v>
      </c>
      <c r="H831" s="1" t="s">
        <v>6921</v>
      </c>
      <c r="J831" s="1" t="s">
        <v>1324</v>
      </c>
      <c r="L831" s="1" t="s">
        <v>1325</v>
      </c>
      <c r="M831" s="1" t="s">
        <v>1335</v>
      </c>
      <c r="N831" s="1" t="s">
        <v>6266</v>
      </c>
      <c r="P831" s="1" t="s">
        <v>2794</v>
      </c>
      <c r="Q831" s="3">
        <v>0</v>
      </c>
      <c r="R831" s="22" t="s">
        <v>2721</v>
      </c>
      <c r="S831" s="42" t="s">
        <v>6910</v>
      </c>
      <c r="T831" s="3" t="s">
        <v>4868</v>
      </c>
      <c r="U831" s="45">
        <v>35</v>
      </c>
      <c r="V831" t="s">
        <v>6919</v>
      </c>
      <c r="W831" s="1" t="str">
        <f>HYPERLINK("http://ictvonline.org/taxonomy/p/taxonomy-history?taxnode_id=201900319","ICTVonline=201900319")</f>
        <v>ICTVonline=201900319</v>
      </c>
    </row>
    <row r="832" spans="1:23">
      <c r="A832" s="3">
        <v>831</v>
      </c>
      <c r="B832" s="1" t="s">
        <v>6915</v>
      </c>
      <c r="D832" s="1" t="s">
        <v>6916</v>
      </c>
      <c r="F832" s="1" t="s">
        <v>6920</v>
      </c>
      <c r="H832" s="1" t="s">
        <v>6921</v>
      </c>
      <c r="J832" s="1" t="s">
        <v>1324</v>
      </c>
      <c r="L832" s="1" t="s">
        <v>1325</v>
      </c>
      <c r="M832" s="1" t="s">
        <v>1335</v>
      </c>
      <c r="N832" s="1" t="s">
        <v>6266</v>
      </c>
      <c r="P832" s="1" t="s">
        <v>2795</v>
      </c>
      <c r="Q832" s="3">
        <v>0</v>
      </c>
      <c r="R832" s="22" t="s">
        <v>2721</v>
      </c>
      <c r="S832" s="42" t="s">
        <v>6910</v>
      </c>
      <c r="T832" s="3" t="s">
        <v>4868</v>
      </c>
      <c r="U832" s="45">
        <v>35</v>
      </c>
      <c r="V832" t="s">
        <v>6919</v>
      </c>
      <c r="W832" s="1" t="str">
        <f>HYPERLINK("http://ictvonline.org/taxonomy/p/taxonomy-history?taxnode_id=201900320","ICTVonline=201900320")</f>
        <v>ICTVonline=201900320</v>
      </c>
    </row>
    <row r="833" spans="1:23">
      <c r="A833" s="3">
        <v>832</v>
      </c>
      <c r="B833" s="1" t="s">
        <v>6915</v>
      </c>
      <c r="D833" s="1" t="s">
        <v>6916</v>
      </c>
      <c r="F833" s="1" t="s">
        <v>6920</v>
      </c>
      <c r="H833" s="1" t="s">
        <v>6921</v>
      </c>
      <c r="J833" s="1" t="s">
        <v>1324</v>
      </c>
      <c r="L833" s="1" t="s">
        <v>1325</v>
      </c>
      <c r="M833" s="1" t="s">
        <v>1335</v>
      </c>
      <c r="N833" s="1" t="s">
        <v>6266</v>
      </c>
      <c r="P833" s="1" t="s">
        <v>2796</v>
      </c>
      <c r="Q833" s="3">
        <v>0</v>
      </c>
      <c r="R833" s="22" t="s">
        <v>2721</v>
      </c>
      <c r="S833" s="42" t="s">
        <v>6910</v>
      </c>
      <c r="T833" s="3" t="s">
        <v>4868</v>
      </c>
      <c r="U833" s="45">
        <v>35</v>
      </c>
      <c r="V833" t="s">
        <v>6919</v>
      </c>
      <c r="W833" s="1" t="str">
        <f>HYPERLINK("http://ictvonline.org/taxonomy/p/taxonomy-history?taxnode_id=201900321","ICTVonline=201900321")</f>
        <v>ICTVonline=201900321</v>
      </c>
    </row>
    <row r="834" spans="1:23">
      <c r="A834" s="3">
        <v>833</v>
      </c>
      <c r="B834" s="1" t="s">
        <v>6915</v>
      </c>
      <c r="D834" s="1" t="s">
        <v>6916</v>
      </c>
      <c r="F834" s="1" t="s">
        <v>6920</v>
      </c>
      <c r="H834" s="1" t="s">
        <v>6921</v>
      </c>
      <c r="J834" s="1" t="s">
        <v>1324</v>
      </c>
      <c r="L834" s="1" t="s">
        <v>1325</v>
      </c>
      <c r="M834" s="1" t="s">
        <v>1335</v>
      </c>
      <c r="N834" s="1" t="s">
        <v>6266</v>
      </c>
      <c r="P834" s="1" t="s">
        <v>2797</v>
      </c>
      <c r="Q834" s="3">
        <v>1</v>
      </c>
      <c r="R834" s="22" t="s">
        <v>2721</v>
      </c>
      <c r="S834" s="42" t="s">
        <v>6910</v>
      </c>
      <c r="T834" s="3" t="s">
        <v>4868</v>
      </c>
      <c r="U834" s="45">
        <v>35</v>
      </c>
      <c r="V834" t="s">
        <v>6919</v>
      </c>
      <c r="W834" s="1" t="str">
        <f>HYPERLINK("http://ictvonline.org/taxonomy/p/taxonomy-history?taxnode_id=201900322","ICTVonline=201900322")</f>
        <v>ICTVonline=201900322</v>
      </c>
    </row>
    <row r="835" spans="1:23">
      <c r="A835" s="3">
        <v>834</v>
      </c>
      <c r="B835" s="1" t="s">
        <v>6915</v>
      </c>
      <c r="D835" s="1" t="s">
        <v>6916</v>
      </c>
      <c r="F835" s="1" t="s">
        <v>6920</v>
      </c>
      <c r="H835" s="1" t="s">
        <v>6921</v>
      </c>
      <c r="J835" s="1" t="s">
        <v>1324</v>
      </c>
      <c r="L835" s="1" t="s">
        <v>1325</v>
      </c>
      <c r="M835" s="1" t="s">
        <v>1335</v>
      </c>
      <c r="N835" s="1" t="s">
        <v>6267</v>
      </c>
      <c r="P835" s="1" t="s">
        <v>6268</v>
      </c>
      <c r="Q835" s="3">
        <v>0</v>
      </c>
      <c r="R835" s="22" t="s">
        <v>2721</v>
      </c>
      <c r="S835" s="42" t="s">
        <v>6910</v>
      </c>
      <c r="T835" s="3" t="s">
        <v>4868</v>
      </c>
      <c r="U835" s="45">
        <v>35</v>
      </c>
      <c r="V835" t="s">
        <v>6919</v>
      </c>
      <c r="W835" s="1" t="str">
        <f>HYPERLINK("http://ictvonline.org/taxonomy/p/taxonomy-history?taxnode_id=201907047","ICTVonline=201907047")</f>
        <v>ICTVonline=201907047</v>
      </c>
    </row>
    <row r="836" spans="1:23">
      <c r="A836" s="3">
        <v>835</v>
      </c>
      <c r="B836" s="1" t="s">
        <v>6915</v>
      </c>
      <c r="D836" s="1" t="s">
        <v>6916</v>
      </c>
      <c r="F836" s="1" t="s">
        <v>6920</v>
      </c>
      <c r="H836" s="1" t="s">
        <v>6921</v>
      </c>
      <c r="J836" s="1" t="s">
        <v>1324</v>
      </c>
      <c r="L836" s="1" t="s">
        <v>1325</v>
      </c>
      <c r="M836" s="1" t="s">
        <v>1335</v>
      </c>
      <c r="N836" s="1" t="s">
        <v>6267</v>
      </c>
      <c r="P836" s="1" t="s">
        <v>2788</v>
      </c>
      <c r="Q836" s="3">
        <v>1</v>
      </c>
      <c r="R836" s="22" t="s">
        <v>2721</v>
      </c>
      <c r="S836" s="42" t="s">
        <v>6910</v>
      </c>
      <c r="T836" s="3" t="s">
        <v>4868</v>
      </c>
      <c r="U836" s="45">
        <v>35</v>
      </c>
      <c r="V836" t="s">
        <v>6919</v>
      </c>
      <c r="W836" s="1" t="str">
        <f>HYPERLINK("http://ictvonline.org/taxonomy/p/taxonomy-history?taxnode_id=201900311","ICTVonline=201900311")</f>
        <v>ICTVonline=201900311</v>
      </c>
    </row>
    <row r="837" spans="1:23">
      <c r="A837" s="3">
        <v>836</v>
      </c>
      <c r="B837" s="1" t="s">
        <v>6915</v>
      </c>
      <c r="D837" s="1" t="s">
        <v>6916</v>
      </c>
      <c r="F837" s="1" t="s">
        <v>6920</v>
      </c>
      <c r="H837" s="1" t="s">
        <v>6921</v>
      </c>
      <c r="J837" s="1" t="s">
        <v>1324</v>
      </c>
      <c r="L837" s="1" t="s">
        <v>1325</v>
      </c>
      <c r="M837" s="1" t="s">
        <v>1335</v>
      </c>
      <c r="N837" s="1" t="s">
        <v>6267</v>
      </c>
      <c r="P837" s="1" t="s">
        <v>2789</v>
      </c>
      <c r="Q837" s="3">
        <v>0</v>
      </c>
      <c r="R837" s="22" t="s">
        <v>2721</v>
      </c>
      <c r="S837" s="42" t="s">
        <v>6910</v>
      </c>
      <c r="T837" s="3" t="s">
        <v>4868</v>
      </c>
      <c r="U837" s="45">
        <v>35</v>
      </c>
      <c r="V837" t="s">
        <v>6919</v>
      </c>
      <c r="W837" s="1" t="str">
        <f>HYPERLINK("http://ictvonline.org/taxonomy/p/taxonomy-history?taxnode_id=201900312","ICTVonline=201900312")</f>
        <v>ICTVonline=201900312</v>
      </c>
    </row>
    <row r="838" spans="1:23">
      <c r="A838" s="3">
        <v>837</v>
      </c>
      <c r="B838" s="1" t="s">
        <v>6915</v>
      </c>
      <c r="D838" s="1" t="s">
        <v>6916</v>
      </c>
      <c r="F838" s="1" t="s">
        <v>6920</v>
      </c>
      <c r="H838" s="1" t="s">
        <v>6921</v>
      </c>
      <c r="J838" s="1" t="s">
        <v>1324</v>
      </c>
      <c r="L838" s="1" t="s">
        <v>1325</v>
      </c>
      <c r="M838" s="1" t="s">
        <v>1335</v>
      </c>
      <c r="N838" s="1" t="s">
        <v>6267</v>
      </c>
      <c r="P838" s="1" t="s">
        <v>6269</v>
      </c>
      <c r="Q838" s="3">
        <v>0</v>
      </c>
      <c r="R838" s="22" t="s">
        <v>2721</v>
      </c>
      <c r="S838" s="42" t="s">
        <v>6910</v>
      </c>
      <c r="T838" s="3" t="s">
        <v>4868</v>
      </c>
      <c r="U838" s="45">
        <v>35</v>
      </c>
      <c r="V838" t="s">
        <v>6919</v>
      </c>
      <c r="W838" s="1" t="str">
        <f>HYPERLINK("http://ictvonline.org/taxonomy/p/taxonomy-history?taxnode_id=201907048","ICTVonline=201907048")</f>
        <v>ICTVonline=201907048</v>
      </c>
    </row>
    <row r="839" spans="1:23">
      <c r="A839" s="3">
        <v>838</v>
      </c>
      <c r="B839" s="1" t="s">
        <v>6915</v>
      </c>
      <c r="D839" s="1" t="s">
        <v>6916</v>
      </c>
      <c r="F839" s="1" t="s">
        <v>6920</v>
      </c>
      <c r="H839" s="1" t="s">
        <v>6921</v>
      </c>
      <c r="J839" s="1" t="s">
        <v>1324</v>
      </c>
      <c r="L839" s="1" t="s">
        <v>1325</v>
      </c>
      <c r="M839" s="1" t="s">
        <v>1335</v>
      </c>
      <c r="N839" s="1" t="s">
        <v>6270</v>
      </c>
      <c r="P839" s="1" t="s">
        <v>4147</v>
      </c>
      <c r="Q839" s="3">
        <v>1</v>
      </c>
      <c r="R839" s="22" t="s">
        <v>2721</v>
      </c>
      <c r="S839" s="42" t="s">
        <v>6910</v>
      </c>
      <c r="T839" s="3" t="s">
        <v>4868</v>
      </c>
      <c r="U839" s="45">
        <v>35</v>
      </c>
      <c r="V839" t="s">
        <v>6919</v>
      </c>
      <c r="W839" s="1" t="str">
        <f>HYPERLINK("http://ictvonline.org/taxonomy/p/taxonomy-history?taxnode_id=201900283","ICTVonline=201900283")</f>
        <v>ICTVonline=201900283</v>
      </c>
    </row>
    <row r="840" spans="1:23">
      <c r="A840" s="3">
        <v>839</v>
      </c>
      <c r="B840" s="1" t="s">
        <v>6915</v>
      </c>
      <c r="D840" s="1" t="s">
        <v>6916</v>
      </c>
      <c r="F840" s="1" t="s">
        <v>6920</v>
      </c>
      <c r="H840" s="1" t="s">
        <v>6921</v>
      </c>
      <c r="J840" s="1" t="s">
        <v>1324</v>
      </c>
      <c r="L840" s="1" t="s">
        <v>1325</v>
      </c>
      <c r="M840" s="1" t="s">
        <v>1335</v>
      </c>
      <c r="N840" s="1" t="s">
        <v>6270</v>
      </c>
      <c r="P840" s="1" t="s">
        <v>4148</v>
      </c>
      <c r="Q840" s="3">
        <v>0</v>
      </c>
      <c r="R840" s="22" t="s">
        <v>2721</v>
      </c>
      <c r="S840" s="42" t="s">
        <v>6910</v>
      </c>
      <c r="T840" s="3" t="s">
        <v>4868</v>
      </c>
      <c r="U840" s="45">
        <v>35</v>
      </c>
      <c r="V840" t="s">
        <v>6919</v>
      </c>
      <c r="W840" s="1" t="str">
        <f>HYPERLINK("http://ictvonline.org/taxonomy/p/taxonomy-history?taxnode_id=201900284","ICTVonline=201900284")</f>
        <v>ICTVonline=201900284</v>
      </c>
    </row>
    <row r="841" spans="1:23">
      <c r="A841" s="3">
        <v>840</v>
      </c>
      <c r="B841" s="1" t="s">
        <v>6915</v>
      </c>
      <c r="D841" s="1" t="s">
        <v>6916</v>
      </c>
      <c r="F841" s="1" t="s">
        <v>6920</v>
      </c>
      <c r="H841" s="1" t="s">
        <v>6921</v>
      </c>
      <c r="J841" s="1" t="s">
        <v>1324</v>
      </c>
      <c r="L841" s="1" t="s">
        <v>1325</v>
      </c>
      <c r="M841" s="1" t="s">
        <v>1335</v>
      </c>
      <c r="N841" s="1" t="s">
        <v>6271</v>
      </c>
      <c r="P841" s="1" t="s">
        <v>2776</v>
      </c>
      <c r="Q841" s="3">
        <v>0</v>
      </c>
      <c r="R841" s="22" t="s">
        <v>2721</v>
      </c>
      <c r="S841" s="42" t="s">
        <v>6910</v>
      </c>
      <c r="T841" s="3" t="s">
        <v>4868</v>
      </c>
      <c r="U841" s="45">
        <v>35</v>
      </c>
      <c r="V841" t="s">
        <v>6919</v>
      </c>
      <c r="W841" s="1" t="str">
        <f>HYPERLINK("http://ictvonline.org/taxonomy/p/taxonomy-history?taxnode_id=201900280","ICTVonline=201900280")</f>
        <v>ICTVonline=201900280</v>
      </c>
    </row>
    <row r="842" spans="1:23">
      <c r="A842" s="3">
        <v>841</v>
      </c>
      <c r="B842" s="1" t="s">
        <v>6915</v>
      </c>
      <c r="D842" s="1" t="s">
        <v>6916</v>
      </c>
      <c r="F842" s="1" t="s">
        <v>6920</v>
      </c>
      <c r="H842" s="1" t="s">
        <v>6921</v>
      </c>
      <c r="J842" s="1" t="s">
        <v>1324</v>
      </c>
      <c r="L842" s="1" t="s">
        <v>1325</v>
      </c>
      <c r="M842" s="1" t="s">
        <v>1335</v>
      </c>
      <c r="N842" s="1" t="s">
        <v>6271</v>
      </c>
      <c r="P842" s="1" t="s">
        <v>4876</v>
      </c>
      <c r="Q842" s="3">
        <v>1</v>
      </c>
      <c r="R842" s="22" t="s">
        <v>2721</v>
      </c>
      <c r="S842" s="42" t="s">
        <v>6910</v>
      </c>
      <c r="T842" s="3" t="s">
        <v>4868</v>
      </c>
      <c r="U842" s="45">
        <v>35</v>
      </c>
      <c r="V842" t="s">
        <v>6919</v>
      </c>
      <c r="W842" s="1" t="str">
        <f>HYPERLINK("http://ictvonline.org/taxonomy/p/taxonomy-history?taxnode_id=201900281","ICTVonline=201900281")</f>
        <v>ICTVonline=201900281</v>
      </c>
    </row>
    <row r="843" spans="1:23">
      <c r="A843" s="3">
        <v>842</v>
      </c>
      <c r="B843" s="1" t="s">
        <v>6915</v>
      </c>
      <c r="D843" s="1" t="s">
        <v>6916</v>
      </c>
      <c r="F843" s="1" t="s">
        <v>6920</v>
      </c>
      <c r="H843" s="1" t="s">
        <v>6921</v>
      </c>
      <c r="J843" s="1" t="s">
        <v>1324</v>
      </c>
      <c r="L843" s="1" t="s">
        <v>1325</v>
      </c>
      <c r="M843" s="1" t="s">
        <v>1335</v>
      </c>
      <c r="N843" s="1" t="s">
        <v>6272</v>
      </c>
      <c r="P843" s="1" t="s">
        <v>6273</v>
      </c>
      <c r="Q843" s="3">
        <v>0</v>
      </c>
      <c r="R843" s="22" t="s">
        <v>2721</v>
      </c>
      <c r="S843" s="42" t="s">
        <v>6910</v>
      </c>
      <c r="T843" s="3" t="s">
        <v>4868</v>
      </c>
      <c r="U843" s="45">
        <v>35</v>
      </c>
      <c r="V843" t="s">
        <v>6919</v>
      </c>
      <c r="W843" s="1" t="str">
        <f>HYPERLINK("http://ictvonline.org/taxonomy/p/taxonomy-history?taxnode_id=201907038","ICTVonline=201907038")</f>
        <v>ICTVonline=201907038</v>
      </c>
    </row>
    <row r="844" spans="1:23">
      <c r="A844" s="3">
        <v>843</v>
      </c>
      <c r="B844" s="1" t="s">
        <v>6915</v>
      </c>
      <c r="D844" s="1" t="s">
        <v>6916</v>
      </c>
      <c r="F844" s="1" t="s">
        <v>6920</v>
      </c>
      <c r="H844" s="1" t="s">
        <v>6921</v>
      </c>
      <c r="J844" s="1" t="s">
        <v>1324</v>
      </c>
      <c r="L844" s="1" t="s">
        <v>1325</v>
      </c>
      <c r="M844" s="1" t="s">
        <v>1335</v>
      </c>
      <c r="N844" s="1" t="s">
        <v>6272</v>
      </c>
      <c r="P844" s="1" t="s">
        <v>6274</v>
      </c>
      <c r="Q844" s="3">
        <v>0</v>
      </c>
      <c r="R844" s="22" t="s">
        <v>2721</v>
      </c>
      <c r="S844" s="42" t="s">
        <v>6910</v>
      </c>
      <c r="T844" s="3" t="s">
        <v>4868</v>
      </c>
      <c r="U844" s="45">
        <v>35</v>
      </c>
      <c r="V844" t="s">
        <v>6919</v>
      </c>
      <c r="W844" s="1" t="str">
        <f>HYPERLINK("http://ictvonline.org/taxonomy/p/taxonomy-history?taxnode_id=201907039","ICTVonline=201907039")</f>
        <v>ICTVonline=201907039</v>
      </c>
    </row>
    <row r="845" spans="1:23">
      <c r="A845" s="3">
        <v>844</v>
      </c>
      <c r="B845" s="1" t="s">
        <v>6915</v>
      </c>
      <c r="D845" s="1" t="s">
        <v>6916</v>
      </c>
      <c r="F845" s="1" t="s">
        <v>6920</v>
      </c>
      <c r="H845" s="1" t="s">
        <v>6921</v>
      </c>
      <c r="J845" s="1" t="s">
        <v>1324</v>
      </c>
      <c r="L845" s="1" t="s">
        <v>1325</v>
      </c>
      <c r="M845" s="1" t="s">
        <v>1335</v>
      </c>
      <c r="N845" s="1" t="s">
        <v>6272</v>
      </c>
      <c r="P845" s="1" t="s">
        <v>4158</v>
      </c>
      <c r="Q845" s="3">
        <v>0</v>
      </c>
      <c r="R845" s="22" t="s">
        <v>2721</v>
      </c>
      <c r="S845" s="42" t="s">
        <v>6910</v>
      </c>
      <c r="T845" s="3" t="s">
        <v>4868</v>
      </c>
      <c r="U845" s="45">
        <v>35</v>
      </c>
      <c r="V845" t="s">
        <v>6919</v>
      </c>
      <c r="W845" s="1" t="str">
        <f>HYPERLINK("http://ictvonline.org/taxonomy/p/taxonomy-history?taxnode_id=201900302","ICTVonline=201900302")</f>
        <v>ICTVonline=201900302</v>
      </c>
    </row>
    <row r="846" spans="1:23">
      <c r="A846" s="3">
        <v>845</v>
      </c>
      <c r="B846" s="1" t="s">
        <v>6915</v>
      </c>
      <c r="D846" s="1" t="s">
        <v>6916</v>
      </c>
      <c r="F846" s="1" t="s">
        <v>6920</v>
      </c>
      <c r="H846" s="1" t="s">
        <v>6921</v>
      </c>
      <c r="J846" s="1" t="s">
        <v>1324</v>
      </c>
      <c r="L846" s="1" t="s">
        <v>1325</v>
      </c>
      <c r="M846" s="1" t="s">
        <v>1335</v>
      </c>
      <c r="N846" s="1" t="s">
        <v>6272</v>
      </c>
      <c r="P846" s="1" t="s">
        <v>2782</v>
      </c>
      <c r="Q846" s="3">
        <v>0</v>
      </c>
      <c r="R846" s="22" t="s">
        <v>2721</v>
      </c>
      <c r="S846" s="42" t="s">
        <v>6910</v>
      </c>
      <c r="T846" s="3" t="s">
        <v>4868</v>
      </c>
      <c r="U846" s="45">
        <v>35</v>
      </c>
      <c r="V846" t="s">
        <v>6919</v>
      </c>
      <c r="W846" s="1" t="str">
        <f>HYPERLINK("http://ictvonline.org/taxonomy/p/taxonomy-history?taxnode_id=201900303","ICTVonline=201900303")</f>
        <v>ICTVonline=201900303</v>
      </c>
    </row>
    <row r="847" spans="1:23">
      <c r="A847" s="3">
        <v>846</v>
      </c>
      <c r="B847" s="1" t="s">
        <v>6915</v>
      </c>
      <c r="D847" s="1" t="s">
        <v>6916</v>
      </c>
      <c r="F847" s="1" t="s">
        <v>6920</v>
      </c>
      <c r="H847" s="1" t="s">
        <v>6921</v>
      </c>
      <c r="J847" s="1" t="s">
        <v>1324</v>
      </c>
      <c r="L847" s="1" t="s">
        <v>1325</v>
      </c>
      <c r="M847" s="1" t="s">
        <v>1335</v>
      </c>
      <c r="N847" s="1" t="s">
        <v>6272</v>
      </c>
      <c r="P847" s="1" t="s">
        <v>2783</v>
      </c>
      <c r="Q847" s="3">
        <v>1</v>
      </c>
      <c r="R847" s="22" t="s">
        <v>2721</v>
      </c>
      <c r="S847" s="42" t="s">
        <v>6910</v>
      </c>
      <c r="T847" s="3" t="s">
        <v>4868</v>
      </c>
      <c r="U847" s="45">
        <v>35</v>
      </c>
      <c r="V847" t="s">
        <v>6919</v>
      </c>
      <c r="W847" s="1" t="str">
        <f>HYPERLINK("http://ictvonline.org/taxonomy/p/taxonomy-history?taxnode_id=201900304","ICTVonline=201900304")</f>
        <v>ICTVonline=201900304</v>
      </c>
    </row>
    <row r="848" spans="1:23">
      <c r="A848" s="3">
        <v>847</v>
      </c>
      <c r="B848" s="1" t="s">
        <v>6915</v>
      </c>
      <c r="D848" s="1" t="s">
        <v>6916</v>
      </c>
      <c r="F848" s="1" t="s">
        <v>6920</v>
      </c>
      <c r="H848" s="1" t="s">
        <v>6921</v>
      </c>
      <c r="J848" s="1" t="s">
        <v>1324</v>
      </c>
      <c r="L848" s="1" t="s">
        <v>1325</v>
      </c>
      <c r="M848" s="1" t="s">
        <v>1335</v>
      </c>
      <c r="N848" s="1" t="s">
        <v>4155</v>
      </c>
      <c r="P848" s="1" t="s">
        <v>6275</v>
      </c>
      <c r="Q848" s="3">
        <v>0</v>
      </c>
      <c r="R848" s="22" t="s">
        <v>2721</v>
      </c>
      <c r="S848" s="42" t="s">
        <v>6910</v>
      </c>
      <c r="T848" s="3" t="s">
        <v>4868</v>
      </c>
      <c r="U848" s="45">
        <v>35</v>
      </c>
      <c r="V848" t="s">
        <v>6919</v>
      </c>
      <c r="W848" s="1" t="str">
        <f>HYPERLINK("http://ictvonline.org/taxonomy/p/taxonomy-history?taxnode_id=201907037","ICTVonline=201907037")</f>
        <v>ICTVonline=201907037</v>
      </c>
    </row>
    <row r="849" spans="1:23">
      <c r="A849" s="3">
        <v>848</v>
      </c>
      <c r="B849" s="1" t="s">
        <v>6915</v>
      </c>
      <c r="D849" s="1" t="s">
        <v>6916</v>
      </c>
      <c r="F849" s="1" t="s">
        <v>6920</v>
      </c>
      <c r="H849" s="1" t="s">
        <v>6921</v>
      </c>
      <c r="J849" s="1" t="s">
        <v>1324</v>
      </c>
      <c r="L849" s="1" t="s">
        <v>1325</v>
      </c>
      <c r="M849" s="1" t="s">
        <v>1335</v>
      </c>
      <c r="N849" s="1" t="s">
        <v>4155</v>
      </c>
      <c r="P849" s="1" t="s">
        <v>4156</v>
      </c>
      <c r="Q849" s="3">
        <v>0</v>
      </c>
      <c r="R849" s="22" t="s">
        <v>2721</v>
      </c>
      <c r="S849" s="42" t="s">
        <v>6910</v>
      </c>
      <c r="T849" s="3" t="s">
        <v>4868</v>
      </c>
      <c r="U849" s="45">
        <v>35</v>
      </c>
      <c r="V849" t="s">
        <v>6919</v>
      </c>
      <c r="W849" s="1" t="str">
        <f>HYPERLINK("http://ictvonline.org/taxonomy/p/taxonomy-history?taxnode_id=201900299","ICTVonline=201900299")</f>
        <v>ICTVonline=201900299</v>
      </c>
    </row>
    <row r="850" spans="1:23">
      <c r="A850" s="3">
        <v>849</v>
      </c>
      <c r="B850" s="1" t="s">
        <v>6915</v>
      </c>
      <c r="D850" s="1" t="s">
        <v>6916</v>
      </c>
      <c r="F850" s="1" t="s">
        <v>6920</v>
      </c>
      <c r="H850" s="1" t="s">
        <v>6921</v>
      </c>
      <c r="J850" s="1" t="s">
        <v>1324</v>
      </c>
      <c r="L850" s="1" t="s">
        <v>1325</v>
      </c>
      <c r="M850" s="1" t="s">
        <v>1335</v>
      </c>
      <c r="N850" s="1" t="s">
        <v>4155</v>
      </c>
      <c r="P850" s="1" t="s">
        <v>4157</v>
      </c>
      <c r="Q850" s="3">
        <v>1</v>
      </c>
      <c r="R850" s="22" t="s">
        <v>2721</v>
      </c>
      <c r="S850" s="42" t="s">
        <v>6910</v>
      </c>
      <c r="T850" s="3" t="s">
        <v>4868</v>
      </c>
      <c r="U850" s="45">
        <v>35</v>
      </c>
      <c r="V850" t="s">
        <v>6919</v>
      </c>
      <c r="W850" s="1" t="str">
        <f>HYPERLINK("http://ictvonline.org/taxonomy/p/taxonomy-history?taxnode_id=201900300","ICTVonline=201900300")</f>
        <v>ICTVonline=201900300</v>
      </c>
    </row>
    <row r="851" spans="1:23">
      <c r="A851" s="3">
        <v>850</v>
      </c>
      <c r="B851" s="1" t="s">
        <v>6915</v>
      </c>
      <c r="D851" s="1" t="s">
        <v>6916</v>
      </c>
      <c r="F851" s="1" t="s">
        <v>6920</v>
      </c>
      <c r="H851" s="1" t="s">
        <v>6921</v>
      </c>
      <c r="J851" s="1" t="s">
        <v>1324</v>
      </c>
      <c r="L851" s="1" t="s">
        <v>1325</v>
      </c>
      <c r="M851" s="1" t="s">
        <v>1335</v>
      </c>
      <c r="N851" s="1" t="s">
        <v>6276</v>
      </c>
      <c r="P851" s="1" t="s">
        <v>6277</v>
      </c>
      <c r="Q851" s="3">
        <v>0</v>
      </c>
      <c r="R851" s="22" t="s">
        <v>2721</v>
      </c>
      <c r="S851" s="42" t="s">
        <v>6910</v>
      </c>
      <c r="T851" s="3" t="s">
        <v>4868</v>
      </c>
      <c r="U851" s="45">
        <v>35</v>
      </c>
      <c r="V851" t="s">
        <v>6919</v>
      </c>
      <c r="W851" s="1" t="str">
        <f>HYPERLINK("http://ictvonline.org/taxonomy/p/taxonomy-history?taxnode_id=201907042","ICTVonline=201907042")</f>
        <v>ICTVonline=201907042</v>
      </c>
    </row>
    <row r="852" spans="1:23">
      <c r="A852" s="3">
        <v>851</v>
      </c>
      <c r="B852" s="1" t="s">
        <v>6915</v>
      </c>
      <c r="D852" s="1" t="s">
        <v>6916</v>
      </c>
      <c r="F852" s="1" t="s">
        <v>6920</v>
      </c>
      <c r="H852" s="1" t="s">
        <v>6921</v>
      </c>
      <c r="J852" s="1" t="s">
        <v>1324</v>
      </c>
      <c r="L852" s="1" t="s">
        <v>1325</v>
      </c>
      <c r="M852" s="1" t="s">
        <v>1335</v>
      </c>
      <c r="N852" s="1" t="s">
        <v>6276</v>
      </c>
      <c r="P852" s="1" t="s">
        <v>6278</v>
      </c>
      <c r="Q852" s="3">
        <v>0</v>
      </c>
      <c r="R852" s="22" t="s">
        <v>2721</v>
      </c>
      <c r="S852" s="42" t="s">
        <v>6910</v>
      </c>
      <c r="T852" s="3" t="s">
        <v>4868</v>
      </c>
      <c r="U852" s="45">
        <v>35</v>
      </c>
      <c r="V852" t="s">
        <v>6919</v>
      </c>
      <c r="W852" s="1" t="str">
        <f>HYPERLINK("http://ictvonline.org/taxonomy/p/taxonomy-history?taxnode_id=201907041","ICTVonline=201907041")</f>
        <v>ICTVonline=201907041</v>
      </c>
    </row>
    <row r="853" spans="1:23">
      <c r="A853" s="3">
        <v>852</v>
      </c>
      <c r="B853" s="1" t="s">
        <v>6915</v>
      </c>
      <c r="D853" s="1" t="s">
        <v>6916</v>
      </c>
      <c r="F853" s="1" t="s">
        <v>6920</v>
      </c>
      <c r="H853" s="1" t="s">
        <v>6921</v>
      </c>
      <c r="J853" s="1" t="s">
        <v>1324</v>
      </c>
      <c r="L853" s="1" t="s">
        <v>1325</v>
      </c>
      <c r="M853" s="1" t="s">
        <v>1335</v>
      </c>
      <c r="N853" s="1" t="s">
        <v>6276</v>
      </c>
      <c r="P853" s="1" t="s">
        <v>2784</v>
      </c>
      <c r="Q853" s="3">
        <v>0</v>
      </c>
      <c r="R853" s="22" t="s">
        <v>2721</v>
      </c>
      <c r="S853" s="42" t="s">
        <v>6910</v>
      </c>
      <c r="T853" s="3" t="s">
        <v>4868</v>
      </c>
      <c r="U853" s="45">
        <v>35</v>
      </c>
      <c r="V853" t="s">
        <v>6919</v>
      </c>
      <c r="W853" s="1" t="str">
        <f>HYPERLINK("http://ictvonline.org/taxonomy/p/taxonomy-history?taxnode_id=201900306","ICTVonline=201900306")</f>
        <v>ICTVonline=201900306</v>
      </c>
    </row>
    <row r="854" spans="1:23">
      <c r="A854" s="3">
        <v>853</v>
      </c>
      <c r="B854" s="1" t="s">
        <v>6915</v>
      </c>
      <c r="D854" s="1" t="s">
        <v>6916</v>
      </c>
      <c r="F854" s="1" t="s">
        <v>6920</v>
      </c>
      <c r="H854" s="1" t="s">
        <v>6921</v>
      </c>
      <c r="J854" s="1" t="s">
        <v>1324</v>
      </c>
      <c r="L854" s="1" t="s">
        <v>1325</v>
      </c>
      <c r="M854" s="1" t="s">
        <v>1335</v>
      </c>
      <c r="N854" s="1" t="s">
        <v>6276</v>
      </c>
      <c r="P854" s="1" t="s">
        <v>2785</v>
      </c>
      <c r="Q854" s="3">
        <v>0</v>
      </c>
      <c r="R854" s="22" t="s">
        <v>2721</v>
      </c>
      <c r="S854" s="42" t="s">
        <v>6910</v>
      </c>
      <c r="T854" s="3" t="s">
        <v>4868</v>
      </c>
      <c r="U854" s="45">
        <v>35</v>
      </c>
      <c r="V854" t="s">
        <v>6919</v>
      </c>
      <c r="W854" s="1" t="str">
        <f>HYPERLINK("http://ictvonline.org/taxonomy/p/taxonomy-history?taxnode_id=201900307","ICTVonline=201900307")</f>
        <v>ICTVonline=201900307</v>
      </c>
    </row>
    <row r="855" spans="1:23">
      <c r="A855" s="3">
        <v>854</v>
      </c>
      <c r="B855" s="1" t="s">
        <v>6915</v>
      </c>
      <c r="D855" s="1" t="s">
        <v>6916</v>
      </c>
      <c r="F855" s="1" t="s">
        <v>6920</v>
      </c>
      <c r="H855" s="1" t="s">
        <v>6921</v>
      </c>
      <c r="J855" s="1" t="s">
        <v>1324</v>
      </c>
      <c r="L855" s="1" t="s">
        <v>1325</v>
      </c>
      <c r="M855" s="1" t="s">
        <v>1335</v>
      </c>
      <c r="N855" s="1" t="s">
        <v>6276</v>
      </c>
      <c r="P855" s="1" t="s">
        <v>6279</v>
      </c>
      <c r="Q855" s="3">
        <v>0</v>
      </c>
      <c r="R855" s="22" t="s">
        <v>2721</v>
      </c>
      <c r="S855" s="42" t="s">
        <v>6910</v>
      </c>
      <c r="T855" s="3" t="s">
        <v>4868</v>
      </c>
      <c r="U855" s="45">
        <v>35</v>
      </c>
      <c r="V855" t="s">
        <v>6919</v>
      </c>
      <c r="W855" s="1" t="str">
        <f>HYPERLINK("http://ictvonline.org/taxonomy/p/taxonomy-history?taxnode_id=201907045","ICTVonline=201907045")</f>
        <v>ICTVonline=201907045</v>
      </c>
    </row>
    <row r="856" spans="1:23">
      <c r="A856" s="3">
        <v>855</v>
      </c>
      <c r="B856" s="1" t="s">
        <v>6915</v>
      </c>
      <c r="D856" s="1" t="s">
        <v>6916</v>
      </c>
      <c r="F856" s="1" t="s">
        <v>6920</v>
      </c>
      <c r="H856" s="1" t="s">
        <v>6921</v>
      </c>
      <c r="J856" s="1" t="s">
        <v>1324</v>
      </c>
      <c r="L856" s="1" t="s">
        <v>1325</v>
      </c>
      <c r="M856" s="1" t="s">
        <v>1335</v>
      </c>
      <c r="N856" s="1" t="s">
        <v>6276</v>
      </c>
      <c r="P856" s="1" t="s">
        <v>6280</v>
      </c>
      <c r="Q856" s="3">
        <v>0</v>
      </c>
      <c r="R856" s="22" t="s">
        <v>2721</v>
      </c>
      <c r="S856" s="42" t="s">
        <v>6910</v>
      </c>
      <c r="T856" s="3" t="s">
        <v>4868</v>
      </c>
      <c r="U856" s="45">
        <v>35</v>
      </c>
      <c r="V856" t="s">
        <v>6919</v>
      </c>
      <c r="W856" s="1" t="str">
        <f>HYPERLINK("http://ictvonline.org/taxonomy/p/taxonomy-history?taxnode_id=201907046","ICTVonline=201907046")</f>
        <v>ICTVonline=201907046</v>
      </c>
    </row>
    <row r="857" spans="1:23">
      <c r="A857" s="3">
        <v>856</v>
      </c>
      <c r="B857" s="1" t="s">
        <v>6915</v>
      </c>
      <c r="D857" s="1" t="s">
        <v>6916</v>
      </c>
      <c r="F857" s="1" t="s">
        <v>6920</v>
      </c>
      <c r="H857" s="1" t="s">
        <v>6921</v>
      </c>
      <c r="J857" s="1" t="s">
        <v>1324</v>
      </c>
      <c r="L857" s="1" t="s">
        <v>1325</v>
      </c>
      <c r="M857" s="1" t="s">
        <v>1335</v>
      </c>
      <c r="N857" s="1" t="s">
        <v>6276</v>
      </c>
      <c r="P857" s="1" t="s">
        <v>6281</v>
      </c>
      <c r="Q857" s="3">
        <v>0</v>
      </c>
      <c r="R857" s="22" t="s">
        <v>2721</v>
      </c>
      <c r="S857" s="42" t="s">
        <v>6910</v>
      </c>
      <c r="T857" s="3" t="s">
        <v>4868</v>
      </c>
      <c r="U857" s="45">
        <v>35</v>
      </c>
      <c r="V857" t="s">
        <v>6919</v>
      </c>
      <c r="W857" s="1" t="str">
        <f>HYPERLINK("http://ictvonline.org/taxonomy/p/taxonomy-history?taxnode_id=201907040","ICTVonline=201907040")</f>
        <v>ICTVonline=201907040</v>
      </c>
    </row>
    <row r="858" spans="1:23">
      <c r="A858" s="3">
        <v>857</v>
      </c>
      <c r="B858" s="1" t="s">
        <v>6915</v>
      </c>
      <c r="D858" s="1" t="s">
        <v>6916</v>
      </c>
      <c r="F858" s="1" t="s">
        <v>6920</v>
      </c>
      <c r="H858" s="1" t="s">
        <v>6921</v>
      </c>
      <c r="J858" s="1" t="s">
        <v>1324</v>
      </c>
      <c r="L858" s="1" t="s">
        <v>1325</v>
      </c>
      <c r="M858" s="1" t="s">
        <v>1335</v>
      </c>
      <c r="N858" s="1" t="s">
        <v>6276</v>
      </c>
      <c r="P858" s="1" t="s">
        <v>2786</v>
      </c>
      <c r="Q858" s="3">
        <v>1</v>
      </c>
      <c r="R858" s="22" t="s">
        <v>2721</v>
      </c>
      <c r="S858" s="42" t="s">
        <v>6910</v>
      </c>
      <c r="T858" s="3" t="s">
        <v>4868</v>
      </c>
      <c r="U858" s="45">
        <v>35</v>
      </c>
      <c r="V858" t="s">
        <v>6919</v>
      </c>
      <c r="W858" s="1" t="str">
        <f>HYPERLINK("http://ictvonline.org/taxonomy/p/taxonomy-history?taxnode_id=201900308","ICTVonline=201900308")</f>
        <v>ICTVonline=201900308</v>
      </c>
    </row>
    <row r="859" spans="1:23">
      <c r="A859" s="3">
        <v>858</v>
      </c>
      <c r="B859" s="1" t="s">
        <v>6915</v>
      </c>
      <c r="D859" s="1" t="s">
        <v>6916</v>
      </c>
      <c r="F859" s="1" t="s">
        <v>6920</v>
      </c>
      <c r="H859" s="1" t="s">
        <v>6921</v>
      </c>
      <c r="J859" s="1" t="s">
        <v>1324</v>
      </c>
      <c r="L859" s="1" t="s">
        <v>1325</v>
      </c>
      <c r="M859" s="1" t="s">
        <v>1335</v>
      </c>
      <c r="N859" s="1" t="s">
        <v>6276</v>
      </c>
      <c r="P859" s="1" t="s">
        <v>6282</v>
      </c>
      <c r="Q859" s="3">
        <v>0</v>
      </c>
      <c r="R859" s="22" t="s">
        <v>2721</v>
      </c>
      <c r="S859" s="42" t="s">
        <v>6910</v>
      </c>
      <c r="T859" s="3" t="s">
        <v>4868</v>
      </c>
      <c r="U859" s="45">
        <v>35</v>
      </c>
      <c r="V859" t="s">
        <v>6919</v>
      </c>
      <c r="W859" s="1" t="str">
        <f>HYPERLINK("http://ictvonline.org/taxonomy/p/taxonomy-history?taxnode_id=201907043","ICTVonline=201907043")</f>
        <v>ICTVonline=201907043</v>
      </c>
    </row>
    <row r="860" spans="1:23">
      <c r="A860" s="3">
        <v>859</v>
      </c>
      <c r="B860" s="1" t="s">
        <v>6915</v>
      </c>
      <c r="D860" s="1" t="s">
        <v>6916</v>
      </c>
      <c r="F860" s="1" t="s">
        <v>6920</v>
      </c>
      <c r="H860" s="1" t="s">
        <v>6921</v>
      </c>
      <c r="J860" s="1" t="s">
        <v>1324</v>
      </c>
      <c r="L860" s="1" t="s">
        <v>1325</v>
      </c>
      <c r="M860" s="1" t="s">
        <v>1335</v>
      </c>
      <c r="N860" s="1" t="s">
        <v>6276</v>
      </c>
      <c r="P860" s="1" t="s">
        <v>6283</v>
      </c>
      <c r="Q860" s="3">
        <v>0</v>
      </c>
      <c r="R860" s="22" t="s">
        <v>2721</v>
      </c>
      <c r="S860" s="42" t="s">
        <v>6910</v>
      </c>
      <c r="T860" s="3" t="s">
        <v>4868</v>
      </c>
      <c r="U860" s="45">
        <v>35</v>
      </c>
      <c r="V860" t="s">
        <v>6919</v>
      </c>
      <c r="W860" s="1" t="str">
        <f>HYPERLINK("http://ictvonline.org/taxonomy/p/taxonomy-history?taxnode_id=201907044","ICTVonline=201907044")</f>
        <v>ICTVonline=201907044</v>
      </c>
    </row>
    <row r="861" spans="1:23">
      <c r="A861" s="3">
        <v>860</v>
      </c>
      <c r="B861" s="1" t="s">
        <v>6915</v>
      </c>
      <c r="D861" s="1" t="s">
        <v>6916</v>
      </c>
      <c r="F861" s="1" t="s">
        <v>6920</v>
      </c>
      <c r="H861" s="1" t="s">
        <v>6921</v>
      </c>
      <c r="J861" s="1" t="s">
        <v>1324</v>
      </c>
      <c r="L861" s="1" t="s">
        <v>1325</v>
      </c>
      <c r="M861" s="1" t="s">
        <v>1335</v>
      </c>
      <c r="N861" s="1" t="s">
        <v>6276</v>
      </c>
      <c r="P861" s="1" t="s">
        <v>2787</v>
      </c>
      <c r="Q861" s="3">
        <v>0</v>
      </c>
      <c r="R861" s="22" t="s">
        <v>2721</v>
      </c>
      <c r="S861" s="42" t="s">
        <v>6910</v>
      </c>
      <c r="T861" s="3" t="s">
        <v>4868</v>
      </c>
      <c r="U861" s="45">
        <v>35</v>
      </c>
      <c r="V861" t="s">
        <v>6919</v>
      </c>
      <c r="W861" s="1" t="str">
        <f>HYPERLINK("http://ictvonline.org/taxonomy/p/taxonomy-history?taxnode_id=201900309","ICTVonline=201900309")</f>
        <v>ICTVonline=201900309</v>
      </c>
    </row>
    <row r="862" spans="1:23">
      <c r="A862" s="3">
        <v>861</v>
      </c>
      <c r="B862" s="1" t="s">
        <v>6915</v>
      </c>
      <c r="D862" s="1" t="s">
        <v>6916</v>
      </c>
      <c r="F862" s="1" t="s">
        <v>6920</v>
      </c>
      <c r="H862" s="1" t="s">
        <v>6921</v>
      </c>
      <c r="J862" s="1" t="s">
        <v>1324</v>
      </c>
      <c r="L862" s="1" t="s">
        <v>1325</v>
      </c>
      <c r="M862" s="1" t="s">
        <v>1335</v>
      </c>
      <c r="N862" s="1" t="s">
        <v>6284</v>
      </c>
      <c r="P862" s="1" t="s">
        <v>2790</v>
      </c>
      <c r="Q862" s="3">
        <v>1</v>
      </c>
      <c r="R862" s="22" t="s">
        <v>2721</v>
      </c>
      <c r="S862" s="42" t="s">
        <v>6910</v>
      </c>
      <c r="T862" s="3" t="s">
        <v>4868</v>
      </c>
      <c r="U862" s="45">
        <v>35</v>
      </c>
      <c r="V862" t="s">
        <v>6919</v>
      </c>
      <c r="W862" s="1" t="str">
        <f>HYPERLINK("http://ictvonline.org/taxonomy/p/taxonomy-history?taxnode_id=201900314","ICTVonline=201900314")</f>
        <v>ICTVonline=201900314</v>
      </c>
    </row>
    <row r="863" spans="1:23">
      <c r="A863" s="3">
        <v>862</v>
      </c>
      <c r="B863" s="1" t="s">
        <v>6915</v>
      </c>
      <c r="D863" s="1" t="s">
        <v>6916</v>
      </c>
      <c r="F863" s="1" t="s">
        <v>6920</v>
      </c>
      <c r="H863" s="1" t="s">
        <v>6921</v>
      </c>
      <c r="J863" s="1" t="s">
        <v>1324</v>
      </c>
      <c r="L863" s="1" t="s">
        <v>1325</v>
      </c>
      <c r="M863" s="1" t="s">
        <v>1335</v>
      </c>
      <c r="N863" s="1" t="s">
        <v>6284</v>
      </c>
      <c r="P863" s="1" t="s">
        <v>2791</v>
      </c>
      <c r="Q863" s="3">
        <v>0</v>
      </c>
      <c r="R863" s="22" t="s">
        <v>2721</v>
      </c>
      <c r="S863" s="42" t="s">
        <v>6910</v>
      </c>
      <c r="T863" s="3" t="s">
        <v>4868</v>
      </c>
      <c r="U863" s="45">
        <v>35</v>
      </c>
      <c r="V863" t="s">
        <v>6919</v>
      </c>
      <c r="W863" s="1" t="str">
        <f>HYPERLINK("http://ictvonline.org/taxonomy/p/taxonomy-history?taxnode_id=201900315","ICTVonline=201900315")</f>
        <v>ICTVonline=201900315</v>
      </c>
    </row>
    <row r="864" spans="1:23">
      <c r="A864" s="3">
        <v>863</v>
      </c>
      <c r="B864" s="1" t="s">
        <v>6915</v>
      </c>
      <c r="D864" s="1" t="s">
        <v>6916</v>
      </c>
      <c r="F864" s="1" t="s">
        <v>6920</v>
      </c>
      <c r="H864" s="1" t="s">
        <v>6921</v>
      </c>
      <c r="J864" s="1" t="s">
        <v>1324</v>
      </c>
      <c r="L864" s="1" t="s">
        <v>1325</v>
      </c>
      <c r="M864" s="1" t="s">
        <v>1335</v>
      </c>
      <c r="N864" s="1" t="s">
        <v>6284</v>
      </c>
      <c r="P864" s="1" t="s">
        <v>2792</v>
      </c>
      <c r="Q864" s="3">
        <v>0</v>
      </c>
      <c r="R864" s="22" t="s">
        <v>2721</v>
      </c>
      <c r="S864" s="42" t="s">
        <v>6910</v>
      </c>
      <c r="T864" s="3" t="s">
        <v>4868</v>
      </c>
      <c r="U864" s="45">
        <v>35</v>
      </c>
      <c r="V864" t="s">
        <v>6919</v>
      </c>
      <c r="W864" s="1" t="str">
        <f>HYPERLINK("http://ictvonline.org/taxonomy/p/taxonomy-history?taxnode_id=201900316","ICTVonline=201900316")</f>
        <v>ICTVonline=201900316</v>
      </c>
    </row>
    <row r="865" spans="1:23">
      <c r="A865" s="3">
        <v>864</v>
      </c>
      <c r="B865" s="1" t="s">
        <v>6915</v>
      </c>
      <c r="D865" s="1" t="s">
        <v>6916</v>
      </c>
      <c r="F865" s="1" t="s">
        <v>6920</v>
      </c>
      <c r="H865" s="1" t="s">
        <v>6921</v>
      </c>
      <c r="J865" s="1" t="s">
        <v>1324</v>
      </c>
      <c r="L865" s="1" t="s">
        <v>1325</v>
      </c>
      <c r="M865" s="1" t="s">
        <v>1335</v>
      </c>
      <c r="N865" s="1" t="s">
        <v>6285</v>
      </c>
      <c r="P865" s="1" t="s">
        <v>4150</v>
      </c>
      <c r="Q865" s="3">
        <v>0</v>
      </c>
      <c r="R865" s="22" t="s">
        <v>2721</v>
      </c>
      <c r="S865" s="42" t="s">
        <v>6910</v>
      </c>
      <c r="T865" s="3" t="s">
        <v>4868</v>
      </c>
      <c r="U865" s="45">
        <v>35</v>
      </c>
      <c r="V865" t="s">
        <v>6919</v>
      </c>
      <c r="W865" s="1" t="str">
        <f>HYPERLINK("http://ictvonline.org/taxonomy/p/taxonomy-history?taxnode_id=201900293","ICTVonline=201900293")</f>
        <v>ICTVonline=201900293</v>
      </c>
    </row>
    <row r="866" spans="1:23">
      <c r="A866" s="3">
        <v>865</v>
      </c>
      <c r="B866" s="1" t="s">
        <v>6915</v>
      </c>
      <c r="D866" s="1" t="s">
        <v>6916</v>
      </c>
      <c r="F866" s="1" t="s">
        <v>6920</v>
      </c>
      <c r="H866" s="1" t="s">
        <v>6921</v>
      </c>
      <c r="J866" s="1" t="s">
        <v>1324</v>
      </c>
      <c r="L866" s="1" t="s">
        <v>1325</v>
      </c>
      <c r="M866" s="1" t="s">
        <v>1335</v>
      </c>
      <c r="N866" s="1" t="s">
        <v>6285</v>
      </c>
      <c r="P866" s="1" t="s">
        <v>4151</v>
      </c>
      <c r="Q866" s="3">
        <v>1</v>
      </c>
      <c r="R866" s="22" t="s">
        <v>2721</v>
      </c>
      <c r="S866" s="42" t="s">
        <v>6910</v>
      </c>
      <c r="T866" s="3" t="s">
        <v>4868</v>
      </c>
      <c r="U866" s="45">
        <v>35</v>
      </c>
      <c r="V866" t="s">
        <v>6919</v>
      </c>
      <c r="W866" s="1" t="str">
        <f>HYPERLINK("http://ictvonline.org/taxonomy/p/taxonomy-history?taxnode_id=201900294","ICTVonline=201900294")</f>
        <v>ICTVonline=201900294</v>
      </c>
    </row>
    <row r="867" spans="1:23">
      <c r="A867" s="3">
        <v>866</v>
      </c>
      <c r="B867" s="1" t="s">
        <v>6915</v>
      </c>
      <c r="D867" s="1" t="s">
        <v>6916</v>
      </c>
      <c r="F867" s="1" t="s">
        <v>6920</v>
      </c>
      <c r="H867" s="1" t="s">
        <v>6921</v>
      </c>
      <c r="J867" s="1" t="s">
        <v>1324</v>
      </c>
      <c r="L867" s="1" t="s">
        <v>1325</v>
      </c>
      <c r="M867" s="1" t="s">
        <v>1335</v>
      </c>
      <c r="N867" s="1" t="s">
        <v>6285</v>
      </c>
      <c r="P867" s="1" t="s">
        <v>4152</v>
      </c>
      <c r="Q867" s="3">
        <v>0</v>
      </c>
      <c r="R867" s="22" t="s">
        <v>2721</v>
      </c>
      <c r="S867" s="42" t="s">
        <v>6910</v>
      </c>
      <c r="T867" s="3" t="s">
        <v>4868</v>
      </c>
      <c r="U867" s="45">
        <v>35</v>
      </c>
      <c r="V867" t="s">
        <v>6919</v>
      </c>
      <c r="W867" s="1" t="str">
        <f>HYPERLINK("http://ictvonline.org/taxonomy/p/taxonomy-history?taxnode_id=201900295","ICTVonline=201900295")</f>
        <v>ICTVonline=201900295</v>
      </c>
    </row>
    <row r="868" spans="1:23">
      <c r="A868" s="3">
        <v>867</v>
      </c>
      <c r="B868" s="1" t="s">
        <v>6915</v>
      </c>
      <c r="D868" s="1" t="s">
        <v>6916</v>
      </c>
      <c r="F868" s="1" t="s">
        <v>6920</v>
      </c>
      <c r="H868" s="1" t="s">
        <v>6921</v>
      </c>
      <c r="J868" s="1" t="s">
        <v>1324</v>
      </c>
      <c r="L868" s="1" t="s">
        <v>1325</v>
      </c>
      <c r="M868" s="1" t="s">
        <v>1335</v>
      </c>
      <c r="N868" s="1" t="s">
        <v>6285</v>
      </c>
      <c r="P868" s="1" t="s">
        <v>4153</v>
      </c>
      <c r="Q868" s="3">
        <v>0</v>
      </c>
      <c r="R868" s="22" t="s">
        <v>2721</v>
      </c>
      <c r="S868" s="42" t="s">
        <v>6910</v>
      </c>
      <c r="T868" s="3" t="s">
        <v>4868</v>
      </c>
      <c r="U868" s="45">
        <v>35</v>
      </c>
      <c r="V868" t="s">
        <v>6919</v>
      </c>
      <c r="W868" s="1" t="str">
        <f>HYPERLINK("http://ictvonline.org/taxonomy/p/taxonomy-history?taxnode_id=201900296","ICTVonline=201900296")</f>
        <v>ICTVonline=201900296</v>
      </c>
    </row>
    <row r="869" spans="1:23">
      <c r="A869" s="3">
        <v>868</v>
      </c>
      <c r="B869" s="1" t="s">
        <v>6915</v>
      </c>
      <c r="D869" s="1" t="s">
        <v>6916</v>
      </c>
      <c r="F869" s="1" t="s">
        <v>6920</v>
      </c>
      <c r="H869" s="1" t="s">
        <v>6921</v>
      </c>
      <c r="J869" s="1" t="s">
        <v>1324</v>
      </c>
      <c r="L869" s="1" t="s">
        <v>1325</v>
      </c>
      <c r="M869" s="1" t="s">
        <v>1335</v>
      </c>
      <c r="N869" s="1" t="s">
        <v>6285</v>
      </c>
      <c r="P869" s="1" t="s">
        <v>4154</v>
      </c>
      <c r="Q869" s="3">
        <v>0</v>
      </c>
      <c r="R869" s="22" t="s">
        <v>2721</v>
      </c>
      <c r="S869" s="42" t="s">
        <v>6910</v>
      </c>
      <c r="T869" s="3" t="s">
        <v>4868</v>
      </c>
      <c r="U869" s="45">
        <v>35</v>
      </c>
      <c r="V869" t="s">
        <v>6919</v>
      </c>
      <c r="W869" s="1" t="str">
        <f>HYPERLINK("http://ictvonline.org/taxonomy/p/taxonomy-history?taxnode_id=201900297","ICTVonline=201900297")</f>
        <v>ICTVonline=201900297</v>
      </c>
    </row>
    <row r="870" spans="1:23">
      <c r="A870" s="3">
        <v>869</v>
      </c>
      <c r="B870" s="1" t="s">
        <v>6915</v>
      </c>
      <c r="D870" s="1" t="s">
        <v>6916</v>
      </c>
      <c r="F870" s="1" t="s">
        <v>6920</v>
      </c>
      <c r="H870" s="1" t="s">
        <v>6921</v>
      </c>
      <c r="J870" s="1" t="s">
        <v>1324</v>
      </c>
      <c r="L870" s="1" t="s">
        <v>1325</v>
      </c>
      <c r="M870" s="1" t="s">
        <v>1335</v>
      </c>
      <c r="N870" s="1" t="s">
        <v>6285</v>
      </c>
      <c r="P870" s="1" t="s">
        <v>6286</v>
      </c>
      <c r="Q870" s="3">
        <v>0</v>
      </c>
      <c r="R870" s="22" t="s">
        <v>2721</v>
      </c>
      <c r="S870" s="42" t="s">
        <v>6910</v>
      </c>
      <c r="T870" s="3" t="s">
        <v>4868</v>
      </c>
      <c r="U870" s="45">
        <v>35</v>
      </c>
      <c r="V870" t="s">
        <v>6919</v>
      </c>
      <c r="W870" s="1" t="str">
        <f>HYPERLINK("http://ictvonline.org/taxonomy/p/taxonomy-history?taxnode_id=201907036","ICTVonline=201907036")</f>
        <v>ICTVonline=201907036</v>
      </c>
    </row>
    <row r="871" spans="1:23">
      <c r="A871" s="3">
        <v>870</v>
      </c>
      <c r="B871" s="1" t="s">
        <v>6915</v>
      </c>
      <c r="D871" s="1" t="s">
        <v>6916</v>
      </c>
      <c r="F871" s="1" t="s">
        <v>6920</v>
      </c>
      <c r="H871" s="1" t="s">
        <v>6921</v>
      </c>
      <c r="J871" s="1" t="s">
        <v>1324</v>
      </c>
      <c r="L871" s="1" t="s">
        <v>1325</v>
      </c>
      <c r="M871" s="1" t="s">
        <v>1335</v>
      </c>
      <c r="N871" s="1" t="s">
        <v>6287</v>
      </c>
      <c r="P871" s="1" t="s">
        <v>2798</v>
      </c>
      <c r="Q871" s="3">
        <v>0</v>
      </c>
      <c r="R871" s="22" t="s">
        <v>2721</v>
      </c>
      <c r="S871" s="42" t="s">
        <v>6910</v>
      </c>
      <c r="T871" s="3" t="s">
        <v>4868</v>
      </c>
      <c r="U871" s="45">
        <v>35</v>
      </c>
      <c r="V871" t="s">
        <v>6919</v>
      </c>
      <c r="W871" s="1" t="str">
        <f>HYPERLINK("http://ictvonline.org/taxonomy/p/taxonomy-history?taxnode_id=201900324","ICTVonline=201900324")</f>
        <v>ICTVonline=201900324</v>
      </c>
    </row>
    <row r="872" spans="1:23">
      <c r="A872" s="3">
        <v>871</v>
      </c>
      <c r="B872" s="1" t="s">
        <v>6915</v>
      </c>
      <c r="D872" s="1" t="s">
        <v>6916</v>
      </c>
      <c r="F872" s="1" t="s">
        <v>6920</v>
      </c>
      <c r="H872" s="1" t="s">
        <v>6921</v>
      </c>
      <c r="J872" s="1" t="s">
        <v>1324</v>
      </c>
      <c r="L872" s="1" t="s">
        <v>1325</v>
      </c>
      <c r="M872" s="1" t="s">
        <v>1335</v>
      </c>
      <c r="N872" s="1" t="s">
        <v>6287</v>
      </c>
      <c r="P872" s="1" t="s">
        <v>2799</v>
      </c>
      <c r="Q872" s="3">
        <v>0</v>
      </c>
      <c r="R872" s="22" t="s">
        <v>2721</v>
      </c>
      <c r="S872" s="42" t="s">
        <v>6910</v>
      </c>
      <c r="T872" s="3" t="s">
        <v>4868</v>
      </c>
      <c r="U872" s="45">
        <v>35</v>
      </c>
      <c r="V872" t="s">
        <v>6919</v>
      </c>
      <c r="W872" s="1" t="str">
        <f>HYPERLINK("http://ictvonline.org/taxonomy/p/taxonomy-history?taxnode_id=201900325","ICTVonline=201900325")</f>
        <v>ICTVonline=201900325</v>
      </c>
    </row>
    <row r="873" spans="1:23">
      <c r="A873" s="3">
        <v>872</v>
      </c>
      <c r="B873" s="1" t="s">
        <v>6915</v>
      </c>
      <c r="D873" s="1" t="s">
        <v>6916</v>
      </c>
      <c r="F873" s="1" t="s">
        <v>6920</v>
      </c>
      <c r="H873" s="1" t="s">
        <v>6921</v>
      </c>
      <c r="J873" s="1" t="s">
        <v>1324</v>
      </c>
      <c r="L873" s="1" t="s">
        <v>1325</v>
      </c>
      <c r="M873" s="1" t="s">
        <v>1335</v>
      </c>
      <c r="N873" s="1" t="s">
        <v>6287</v>
      </c>
      <c r="P873" s="1" t="s">
        <v>6288</v>
      </c>
      <c r="Q873" s="3">
        <v>0</v>
      </c>
      <c r="R873" s="22" t="s">
        <v>2721</v>
      </c>
      <c r="S873" s="42" t="s">
        <v>6910</v>
      </c>
      <c r="T873" s="3" t="s">
        <v>4868</v>
      </c>
      <c r="U873" s="45">
        <v>35</v>
      </c>
      <c r="V873" t="s">
        <v>6919</v>
      </c>
      <c r="W873" s="1" t="str">
        <f>HYPERLINK("http://ictvonline.org/taxonomy/p/taxonomy-history?taxnode_id=201907051","ICTVonline=201907051")</f>
        <v>ICTVonline=201907051</v>
      </c>
    </row>
    <row r="874" spans="1:23">
      <c r="A874" s="3">
        <v>873</v>
      </c>
      <c r="B874" s="1" t="s">
        <v>6915</v>
      </c>
      <c r="D874" s="1" t="s">
        <v>6916</v>
      </c>
      <c r="F874" s="1" t="s">
        <v>6920</v>
      </c>
      <c r="H874" s="1" t="s">
        <v>6921</v>
      </c>
      <c r="J874" s="1" t="s">
        <v>1324</v>
      </c>
      <c r="L874" s="1" t="s">
        <v>1325</v>
      </c>
      <c r="M874" s="1" t="s">
        <v>1335</v>
      </c>
      <c r="N874" s="1" t="s">
        <v>6287</v>
      </c>
      <c r="P874" s="1" t="s">
        <v>2800</v>
      </c>
      <c r="Q874" s="3">
        <v>0</v>
      </c>
      <c r="R874" s="22" t="s">
        <v>2721</v>
      </c>
      <c r="S874" s="42" t="s">
        <v>6910</v>
      </c>
      <c r="T874" s="3" t="s">
        <v>4868</v>
      </c>
      <c r="U874" s="45">
        <v>35</v>
      </c>
      <c r="V874" t="s">
        <v>6919</v>
      </c>
      <c r="W874" s="1" t="str">
        <f>HYPERLINK("http://ictvonline.org/taxonomy/p/taxonomy-history?taxnode_id=201900326","ICTVonline=201900326")</f>
        <v>ICTVonline=201900326</v>
      </c>
    </row>
    <row r="875" spans="1:23">
      <c r="A875" s="3">
        <v>874</v>
      </c>
      <c r="B875" s="1" t="s">
        <v>6915</v>
      </c>
      <c r="D875" s="1" t="s">
        <v>6916</v>
      </c>
      <c r="F875" s="1" t="s">
        <v>6920</v>
      </c>
      <c r="H875" s="1" t="s">
        <v>6921</v>
      </c>
      <c r="J875" s="1" t="s">
        <v>1324</v>
      </c>
      <c r="L875" s="1" t="s">
        <v>1325</v>
      </c>
      <c r="M875" s="1" t="s">
        <v>1335</v>
      </c>
      <c r="N875" s="1" t="s">
        <v>6287</v>
      </c>
      <c r="P875" s="1" t="s">
        <v>2801</v>
      </c>
      <c r="Q875" s="3">
        <v>0</v>
      </c>
      <c r="R875" s="22" t="s">
        <v>2721</v>
      </c>
      <c r="S875" s="42" t="s">
        <v>6910</v>
      </c>
      <c r="T875" s="3" t="s">
        <v>4868</v>
      </c>
      <c r="U875" s="45">
        <v>35</v>
      </c>
      <c r="V875" t="s">
        <v>6919</v>
      </c>
      <c r="W875" s="1" t="str">
        <f>HYPERLINK("http://ictvonline.org/taxonomy/p/taxonomy-history?taxnode_id=201900327","ICTVonline=201900327")</f>
        <v>ICTVonline=201900327</v>
      </c>
    </row>
    <row r="876" spans="1:23">
      <c r="A876" s="3">
        <v>875</v>
      </c>
      <c r="B876" s="1" t="s">
        <v>6915</v>
      </c>
      <c r="D876" s="1" t="s">
        <v>6916</v>
      </c>
      <c r="F876" s="1" t="s">
        <v>6920</v>
      </c>
      <c r="H876" s="1" t="s">
        <v>6921</v>
      </c>
      <c r="J876" s="1" t="s">
        <v>1324</v>
      </c>
      <c r="L876" s="1" t="s">
        <v>1325</v>
      </c>
      <c r="M876" s="1" t="s">
        <v>1335</v>
      </c>
      <c r="N876" s="1" t="s">
        <v>6287</v>
      </c>
      <c r="P876" s="1" t="s">
        <v>4159</v>
      </c>
      <c r="Q876" s="3">
        <v>0</v>
      </c>
      <c r="R876" s="22" t="s">
        <v>2721</v>
      </c>
      <c r="S876" s="42" t="s">
        <v>6910</v>
      </c>
      <c r="T876" s="3" t="s">
        <v>4868</v>
      </c>
      <c r="U876" s="45">
        <v>35</v>
      </c>
      <c r="V876" t="s">
        <v>6919</v>
      </c>
      <c r="W876" s="1" t="str">
        <f>HYPERLINK("http://ictvonline.org/taxonomy/p/taxonomy-history?taxnode_id=201900328","ICTVonline=201900328")</f>
        <v>ICTVonline=201900328</v>
      </c>
    </row>
    <row r="877" spans="1:23">
      <c r="A877" s="3">
        <v>876</v>
      </c>
      <c r="B877" s="1" t="s">
        <v>6915</v>
      </c>
      <c r="D877" s="1" t="s">
        <v>6916</v>
      </c>
      <c r="F877" s="1" t="s">
        <v>6920</v>
      </c>
      <c r="H877" s="1" t="s">
        <v>6921</v>
      </c>
      <c r="J877" s="1" t="s">
        <v>1324</v>
      </c>
      <c r="L877" s="1" t="s">
        <v>1325</v>
      </c>
      <c r="M877" s="1" t="s">
        <v>1335</v>
      </c>
      <c r="N877" s="1" t="s">
        <v>6287</v>
      </c>
      <c r="P877" s="1" t="s">
        <v>6289</v>
      </c>
      <c r="Q877" s="3">
        <v>0</v>
      </c>
      <c r="R877" s="22" t="s">
        <v>2721</v>
      </c>
      <c r="S877" s="42" t="s">
        <v>6910</v>
      </c>
      <c r="T877" s="3" t="s">
        <v>4868</v>
      </c>
      <c r="U877" s="45">
        <v>35</v>
      </c>
      <c r="V877" t="s">
        <v>6919</v>
      </c>
      <c r="W877" s="1" t="str">
        <f>HYPERLINK("http://ictvonline.org/taxonomy/p/taxonomy-history?taxnode_id=201907049","ICTVonline=201907049")</f>
        <v>ICTVonline=201907049</v>
      </c>
    </row>
    <row r="878" spans="1:23">
      <c r="A878" s="3">
        <v>877</v>
      </c>
      <c r="B878" s="1" t="s">
        <v>6915</v>
      </c>
      <c r="D878" s="1" t="s">
        <v>6916</v>
      </c>
      <c r="F878" s="1" t="s">
        <v>6920</v>
      </c>
      <c r="H878" s="1" t="s">
        <v>6921</v>
      </c>
      <c r="J878" s="1" t="s">
        <v>1324</v>
      </c>
      <c r="L878" s="1" t="s">
        <v>1325</v>
      </c>
      <c r="M878" s="1" t="s">
        <v>1335</v>
      </c>
      <c r="N878" s="1" t="s">
        <v>6287</v>
      </c>
      <c r="P878" s="1" t="s">
        <v>2802</v>
      </c>
      <c r="Q878" s="3">
        <v>0</v>
      </c>
      <c r="R878" s="22" t="s">
        <v>2721</v>
      </c>
      <c r="S878" s="42" t="s">
        <v>6910</v>
      </c>
      <c r="T878" s="3" t="s">
        <v>4868</v>
      </c>
      <c r="U878" s="45">
        <v>35</v>
      </c>
      <c r="V878" t="s">
        <v>6919</v>
      </c>
      <c r="W878" s="1" t="str">
        <f>HYPERLINK("http://ictvonline.org/taxonomy/p/taxonomy-history?taxnode_id=201900329","ICTVonline=201900329")</f>
        <v>ICTVonline=201900329</v>
      </c>
    </row>
    <row r="879" spans="1:23">
      <c r="A879" s="3">
        <v>878</v>
      </c>
      <c r="B879" s="1" t="s">
        <v>6915</v>
      </c>
      <c r="D879" s="1" t="s">
        <v>6916</v>
      </c>
      <c r="F879" s="1" t="s">
        <v>6920</v>
      </c>
      <c r="H879" s="1" t="s">
        <v>6921</v>
      </c>
      <c r="J879" s="1" t="s">
        <v>1324</v>
      </c>
      <c r="L879" s="1" t="s">
        <v>1325</v>
      </c>
      <c r="M879" s="1" t="s">
        <v>1335</v>
      </c>
      <c r="N879" s="1" t="s">
        <v>6287</v>
      </c>
      <c r="P879" s="1" t="s">
        <v>2803</v>
      </c>
      <c r="Q879" s="3">
        <v>0</v>
      </c>
      <c r="R879" s="22" t="s">
        <v>2721</v>
      </c>
      <c r="S879" s="42" t="s">
        <v>6910</v>
      </c>
      <c r="T879" s="3" t="s">
        <v>4868</v>
      </c>
      <c r="U879" s="45">
        <v>35</v>
      </c>
      <c r="V879" t="s">
        <v>6919</v>
      </c>
      <c r="W879" s="1" t="str">
        <f>HYPERLINK("http://ictvonline.org/taxonomy/p/taxonomy-history?taxnode_id=201900330","ICTVonline=201900330")</f>
        <v>ICTVonline=201900330</v>
      </c>
    </row>
    <row r="880" spans="1:23">
      <c r="A880" s="3">
        <v>879</v>
      </c>
      <c r="B880" s="1" t="s">
        <v>6915</v>
      </c>
      <c r="D880" s="1" t="s">
        <v>6916</v>
      </c>
      <c r="F880" s="1" t="s">
        <v>6920</v>
      </c>
      <c r="H880" s="1" t="s">
        <v>6921</v>
      </c>
      <c r="J880" s="1" t="s">
        <v>1324</v>
      </c>
      <c r="L880" s="1" t="s">
        <v>1325</v>
      </c>
      <c r="M880" s="1" t="s">
        <v>1335</v>
      </c>
      <c r="N880" s="1" t="s">
        <v>6287</v>
      </c>
      <c r="P880" s="1" t="s">
        <v>2804</v>
      </c>
      <c r="Q880" s="3">
        <v>0</v>
      </c>
      <c r="R880" s="22" t="s">
        <v>2721</v>
      </c>
      <c r="S880" s="42" t="s">
        <v>6910</v>
      </c>
      <c r="T880" s="3" t="s">
        <v>4868</v>
      </c>
      <c r="U880" s="45">
        <v>35</v>
      </c>
      <c r="V880" t="s">
        <v>6919</v>
      </c>
      <c r="W880" s="1" t="str">
        <f>HYPERLINK("http://ictvonline.org/taxonomy/p/taxonomy-history?taxnode_id=201900331","ICTVonline=201900331")</f>
        <v>ICTVonline=201900331</v>
      </c>
    </row>
    <row r="881" spans="1:23">
      <c r="A881" s="3">
        <v>880</v>
      </c>
      <c r="B881" s="1" t="s">
        <v>6915</v>
      </c>
      <c r="D881" s="1" t="s">
        <v>6916</v>
      </c>
      <c r="F881" s="1" t="s">
        <v>6920</v>
      </c>
      <c r="H881" s="1" t="s">
        <v>6921</v>
      </c>
      <c r="J881" s="1" t="s">
        <v>1324</v>
      </c>
      <c r="L881" s="1" t="s">
        <v>1325</v>
      </c>
      <c r="M881" s="1" t="s">
        <v>1335</v>
      </c>
      <c r="N881" s="1" t="s">
        <v>6287</v>
      </c>
      <c r="P881" s="1" t="s">
        <v>6290</v>
      </c>
      <c r="Q881" s="3">
        <v>0</v>
      </c>
      <c r="R881" s="22" t="s">
        <v>2721</v>
      </c>
      <c r="S881" s="42" t="s">
        <v>6910</v>
      </c>
      <c r="T881" s="3" t="s">
        <v>4868</v>
      </c>
      <c r="U881" s="45">
        <v>35</v>
      </c>
      <c r="V881" t="s">
        <v>6919</v>
      </c>
      <c r="W881" s="1" t="str">
        <f>HYPERLINK("http://ictvonline.org/taxonomy/p/taxonomy-history?taxnode_id=201907054","ICTVonline=201907054")</f>
        <v>ICTVonline=201907054</v>
      </c>
    </row>
    <row r="882" spans="1:23">
      <c r="A882" s="3">
        <v>881</v>
      </c>
      <c r="B882" s="1" t="s">
        <v>6915</v>
      </c>
      <c r="D882" s="1" t="s">
        <v>6916</v>
      </c>
      <c r="F882" s="1" t="s">
        <v>6920</v>
      </c>
      <c r="H882" s="1" t="s">
        <v>6921</v>
      </c>
      <c r="J882" s="1" t="s">
        <v>1324</v>
      </c>
      <c r="L882" s="1" t="s">
        <v>1325</v>
      </c>
      <c r="M882" s="1" t="s">
        <v>1335</v>
      </c>
      <c r="N882" s="1" t="s">
        <v>6287</v>
      </c>
      <c r="P882" s="1" t="s">
        <v>6291</v>
      </c>
      <c r="Q882" s="3">
        <v>0</v>
      </c>
      <c r="R882" s="22" t="s">
        <v>2721</v>
      </c>
      <c r="S882" s="42" t="s">
        <v>6910</v>
      </c>
      <c r="T882" s="3" t="s">
        <v>4868</v>
      </c>
      <c r="U882" s="45">
        <v>35</v>
      </c>
      <c r="V882" t="s">
        <v>6919</v>
      </c>
      <c r="W882" s="1" t="str">
        <f>HYPERLINK("http://ictvonline.org/taxonomy/p/taxonomy-history?taxnode_id=201907056","ICTVonline=201907056")</f>
        <v>ICTVonline=201907056</v>
      </c>
    </row>
    <row r="883" spans="1:23">
      <c r="A883" s="3">
        <v>882</v>
      </c>
      <c r="B883" s="1" t="s">
        <v>6915</v>
      </c>
      <c r="D883" s="1" t="s">
        <v>6916</v>
      </c>
      <c r="F883" s="1" t="s">
        <v>6920</v>
      </c>
      <c r="H883" s="1" t="s">
        <v>6921</v>
      </c>
      <c r="J883" s="1" t="s">
        <v>1324</v>
      </c>
      <c r="L883" s="1" t="s">
        <v>1325</v>
      </c>
      <c r="M883" s="1" t="s">
        <v>1335</v>
      </c>
      <c r="N883" s="1" t="s">
        <v>6287</v>
      </c>
      <c r="P883" s="1" t="s">
        <v>2805</v>
      </c>
      <c r="Q883" s="3">
        <v>1</v>
      </c>
      <c r="R883" s="22" t="s">
        <v>2721</v>
      </c>
      <c r="S883" s="42" t="s">
        <v>6910</v>
      </c>
      <c r="T883" s="3" t="s">
        <v>4868</v>
      </c>
      <c r="U883" s="45">
        <v>35</v>
      </c>
      <c r="V883" t="s">
        <v>6919</v>
      </c>
      <c r="W883" s="1" t="str">
        <f>HYPERLINK("http://ictvonline.org/taxonomy/p/taxonomy-history?taxnode_id=201900332","ICTVonline=201900332")</f>
        <v>ICTVonline=201900332</v>
      </c>
    </row>
    <row r="884" spans="1:23">
      <c r="A884" s="3">
        <v>883</v>
      </c>
      <c r="B884" s="1" t="s">
        <v>6915</v>
      </c>
      <c r="D884" s="1" t="s">
        <v>6916</v>
      </c>
      <c r="F884" s="1" t="s">
        <v>6920</v>
      </c>
      <c r="H884" s="1" t="s">
        <v>6921</v>
      </c>
      <c r="J884" s="1" t="s">
        <v>1324</v>
      </c>
      <c r="L884" s="1" t="s">
        <v>1325</v>
      </c>
      <c r="M884" s="1" t="s">
        <v>1335</v>
      </c>
      <c r="N884" s="1" t="s">
        <v>6287</v>
      </c>
      <c r="P884" s="1" t="s">
        <v>2806</v>
      </c>
      <c r="Q884" s="3">
        <v>0</v>
      </c>
      <c r="R884" s="22" t="s">
        <v>2721</v>
      </c>
      <c r="S884" s="42" t="s">
        <v>6910</v>
      </c>
      <c r="T884" s="3" t="s">
        <v>4868</v>
      </c>
      <c r="U884" s="45">
        <v>35</v>
      </c>
      <c r="V884" t="s">
        <v>6919</v>
      </c>
      <c r="W884" s="1" t="str">
        <f>HYPERLINK("http://ictvonline.org/taxonomy/p/taxonomy-history?taxnode_id=201900333","ICTVonline=201900333")</f>
        <v>ICTVonline=201900333</v>
      </c>
    </row>
    <row r="885" spans="1:23">
      <c r="A885" s="3">
        <v>884</v>
      </c>
      <c r="B885" s="1" t="s">
        <v>6915</v>
      </c>
      <c r="D885" s="1" t="s">
        <v>6916</v>
      </c>
      <c r="F885" s="1" t="s">
        <v>6920</v>
      </c>
      <c r="H885" s="1" t="s">
        <v>6921</v>
      </c>
      <c r="J885" s="1" t="s">
        <v>1324</v>
      </c>
      <c r="L885" s="1" t="s">
        <v>1325</v>
      </c>
      <c r="M885" s="1" t="s">
        <v>1335</v>
      </c>
      <c r="N885" s="1" t="s">
        <v>6287</v>
      </c>
      <c r="P885" s="1" t="s">
        <v>6292</v>
      </c>
      <c r="Q885" s="3">
        <v>0</v>
      </c>
      <c r="R885" s="22" t="s">
        <v>2721</v>
      </c>
      <c r="S885" s="42" t="s">
        <v>6910</v>
      </c>
      <c r="T885" s="3" t="s">
        <v>4868</v>
      </c>
      <c r="U885" s="45">
        <v>35</v>
      </c>
      <c r="V885" t="s">
        <v>6919</v>
      </c>
      <c r="W885" s="1" t="str">
        <f>HYPERLINK("http://ictvonline.org/taxonomy/p/taxonomy-history?taxnode_id=201907050","ICTVonline=201907050")</f>
        <v>ICTVonline=201907050</v>
      </c>
    </row>
    <row r="886" spans="1:23">
      <c r="A886" s="3">
        <v>885</v>
      </c>
      <c r="B886" s="1" t="s">
        <v>6915</v>
      </c>
      <c r="D886" s="1" t="s">
        <v>6916</v>
      </c>
      <c r="F886" s="1" t="s">
        <v>6920</v>
      </c>
      <c r="H886" s="1" t="s">
        <v>6921</v>
      </c>
      <c r="J886" s="1" t="s">
        <v>1324</v>
      </c>
      <c r="L886" s="1" t="s">
        <v>1325</v>
      </c>
      <c r="M886" s="1" t="s">
        <v>1335</v>
      </c>
      <c r="N886" s="1" t="s">
        <v>6287</v>
      </c>
      <c r="P886" s="1" t="s">
        <v>6293</v>
      </c>
      <c r="Q886" s="3">
        <v>0</v>
      </c>
      <c r="R886" s="22" t="s">
        <v>2721</v>
      </c>
      <c r="S886" s="42" t="s">
        <v>6910</v>
      </c>
      <c r="T886" s="3" t="s">
        <v>4868</v>
      </c>
      <c r="U886" s="45">
        <v>35</v>
      </c>
      <c r="V886" t="s">
        <v>6919</v>
      </c>
      <c r="W886" s="1" t="str">
        <f>HYPERLINK("http://ictvonline.org/taxonomy/p/taxonomy-history?taxnode_id=201907052","ICTVonline=201907052")</f>
        <v>ICTVonline=201907052</v>
      </c>
    </row>
    <row r="887" spans="1:23">
      <c r="A887" s="3">
        <v>886</v>
      </c>
      <c r="B887" s="1" t="s">
        <v>6915</v>
      </c>
      <c r="D887" s="1" t="s">
        <v>6916</v>
      </c>
      <c r="F887" s="1" t="s">
        <v>6920</v>
      </c>
      <c r="H887" s="1" t="s">
        <v>6921</v>
      </c>
      <c r="J887" s="1" t="s">
        <v>1324</v>
      </c>
      <c r="L887" s="1" t="s">
        <v>1325</v>
      </c>
      <c r="M887" s="1" t="s">
        <v>1335</v>
      </c>
      <c r="N887" s="1" t="s">
        <v>6287</v>
      </c>
      <c r="P887" s="1" t="s">
        <v>6294</v>
      </c>
      <c r="Q887" s="3">
        <v>0</v>
      </c>
      <c r="R887" s="22" t="s">
        <v>2721</v>
      </c>
      <c r="S887" s="42" t="s">
        <v>6910</v>
      </c>
      <c r="T887" s="3" t="s">
        <v>4868</v>
      </c>
      <c r="U887" s="45">
        <v>35</v>
      </c>
      <c r="V887" t="s">
        <v>6919</v>
      </c>
      <c r="W887" s="1" t="str">
        <f>HYPERLINK("http://ictvonline.org/taxonomy/p/taxonomy-history?taxnode_id=201907053","ICTVonline=201907053")</f>
        <v>ICTVonline=201907053</v>
      </c>
    </row>
    <row r="888" spans="1:23">
      <c r="A888" s="3">
        <v>887</v>
      </c>
      <c r="B888" s="1" t="s">
        <v>6915</v>
      </c>
      <c r="D888" s="1" t="s">
        <v>6916</v>
      </c>
      <c r="F888" s="1" t="s">
        <v>6920</v>
      </c>
      <c r="H888" s="1" t="s">
        <v>6921</v>
      </c>
      <c r="J888" s="1" t="s">
        <v>1324</v>
      </c>
      <c r="L888" s="1" t="s">
        <v>1325</v>
      </c>
      <c r="M888" s="1" t="s">
        <v>1335</v>
      </c>
      <c r="N888" s="1" t="s">
        <v>6287</v>
      </c>
      <c r="P888" s="1" t="s">
        <v>6295</v>
      </c>
      <c r="Q888" s="3">
        <v>0</v>
      </c>
      <c r="R888" s="22" t="s">
        <v>2721</v>
      </c>
      <c r="S888" s="42" t="s">
        <v>6910</v>
      </c>
      <c r="T888" s="3" t="s">
        <v>4868</v>
      </c>
      <c r="U888" s="45">
        <v>35</v>
      </c>
      <c r="V888" t="s">
        <v>6919</v>
      </c>
      <c r="W888" s="1" t="str">
        <f>HYPERLINK("http://ictvonline.org/taxonomy/p/taxonomy-history?taxnode_id=201907055","ICTVonline=201907055")</f>
        <v>ICTVonline=201907055</v>
      </c>
    </row>
    <row r="889" spans="1:23">
      <c r="A889" s="3">
        <v>888</v>
      </c>
      <c r="B889" s="1" t="s">
        <v>6915</v>
      </c>
      <c r="D889" s="1" t="s">
        <v>6916</v>
      </c>
      <c r="F889" s="1" t="s">
        <v>6920</v>
      </c>
      <c r="H889" s="1" t="s">
        <v>6921</v>
      </c>
      <c r="J889" s="1" t="s">
        <v>1324</v>
      </c>
      <c r="L889" s="1" t="s">
        <v>1325</v>
      </c>
      <c r="M889" s="1" t="s">
        <v>1335</v>
      </c>
      <c r="N889" s="1" t="s">
        <v>6287</v>
      </c>
      <c r="P889" s="1" t="s">
        <v>2807</v>
      </c>
      <c r="Q889" s="3">
        <v>0</v>
      </c>
      <c r="R889" s="22" t="s">
        <v>2721</v>
      </c>
      <c r="S889" s="42" t="s">
        <v>6910</v>
      </c>
      <c r="T889" s="3" t="s">
        <v>4868</v>
      </c>
      <c r="U889" s="45">
        <v>35</v>
      </c>
      <c r="V889" t="s">
        <v>6919</v>
      </c>
      <c r="W889" s="1" t="str">
        <f>HYPERLINK("http://ictvonline.org/taxonomy/p/taxonomy-history?taxnode_id=201900334","ICTVonline=201900334")</f>
        <v>ICTVonline=201900334</v>
      </c>
    </row>
    <row r="890" spans="1:23">
      <c r="A890" s="3">
        <v>889</v>
      </c>
      <c r="B890" s="1" t="s">
        <v>6915</v>
      </c>
      <c r="D890" s="1" t="s">
        <v>6916</v>
      </c>
      <c r="F890" s="1" t="s">
        <v>6920</v>
      </c>
      <c r="H890" s="1" t="s">
        <v>6921</v>
      </c>
      <c r="J890" s="1" t="s">
        <v>1324</v>
      </c>
      <c r="L890" s="1" t="s">
        <v>1325</v>
      </c>
      <c r="M890" s="1" t="s">
        <v>1335</v>
      </c>
      <c r="N890" s="1" t="s">
        <v>6287</v>
      </c>
      <c r="P890" s="1" t="s">
        <v>2808</v>
      </c>
      <c r="Q890" s="3">
        <v>0</v>
      </c>
      <c r="R890" s="22" t="s">
        <v>2721</v>
      </c>
      <c r="S890" s="42" t="s">
        <v>6910</v>
      </c>
      <c r="T890" s="3" t="s">
        <v>4868</v>
      </c>
      <c r="U890" s="45">
        <v>35</v>
      </c>
      <c r="V890" t="s">
        <v>6919</v>
      </c>
      <c r="W890" s="1" t="str">
        <f>HYPERLINK("http://ictvonline.org/taxonomy/p/taxonomy-history?taxnode_id=201900335","ICTVonline=201900335")</f>
        <v>ICTVonline=201900335</v>
      </c>
    </row>
    <row r="891" spans="1:23">
      <c r="A891" s="3">
        <v>890</v>
      </c>
      <c r="B891" s="1" t="s">
        <v>6915</v>
      </c>
      <c r="D891" s="1" t="s">
        <v>6916</v>
      </c>
      <c r="F891" s="1" t="s">
        <v>6920</v>
      </c>
      <c r="H891" s="1" t="s">
        <v>6921</v>
      </c>
      <c r="J891" s="1" t="s">
        <v>1324</v>
      </c>
      <c r="L891" s="1" t="s">
        <v>1325</v>
      </c>
      <c r="M891" s="1" t="s">
        <v>1335</v>
      </c>
      <c r="N891" s="1" t="s">
        <v>6287</v>
      </c>
      <c r="P891" s="1" t="s">
        <v>2809</v>
      </c>
      <c r="Q891" s="3">
        <v>0</v>
      </c>
      <c r="R891" s="22" t="s">
        <v>2721</v>
      </c>
      <c r="S891" s="42" t="s">
        <v>6910</v>
      </c>
      <c r="T891" s="3" t="s">
        <v>4868</v>
      </c>
      <c r="U891" s="45">
        <v>35</v>
      </c>
      <c r="V891" t="s">
        <v>6919</v>
      </c>
      <c r="W891" s="1" t="str">
        <f>HYPERLINK("http://ictvonline.org/taxonomy/p/taxonomy-history?taxnode_id=201900336","ICTVonline=201900336")</f>
        <v>ICTVonline=201900336</v>
      </c>
    </row>
    <row r="892" spans="1:23">
      <c r="A892" s="3">
        <v>891</v>
      </c>
      <c r="B892" s="1" t="s">
        <v>6915</v>
      </c>
      <c r="D892" s="1" t="s">
        <v>6916</v>
      </c>
      <c r="F892" s="1" t="s">
        <v>6920</v>
      </c>
      <c r="H892" s="1" t="s">
        <v>6921</v>
      </c>
      <c r="J892" s="1" t="s">
        <v>1324</v>
      </c>
      <c r="L892" s="1" t="s">
        <v>1325</v>
      </c>
      <c r="M892" s="1" t="s">
        <v>1335</v>
      </c>
      <c r="P892" s="1" t="s">
        <v>2810</v>
      </c>
      <c r="Q892" s="3">
        <v>0</v>
      </c>
      <c r="R892" s="22" t="s">
        <v>2721</v>
      </c>
      <c r="S892" s="42" t="s">
        <v>6910</v>
      </c>
      <c r="T892" s="3" t="s">
        <v>4868</v>
      </c>
      <c r="U892" s="45">
        <v>35</v>
      </c>
      <c r="V892" t="s">
        <v>6919</v>
      </c>
      <c r="W892" s="1" t="str">
        <f>HYPERLINK("http://ictvonline.org/taxonomy/p/taxonomy-history?taxnode_id=201900338","ICTVonline=201900338")</f>
        <v>ICTVonline=201900338</v>
      </c>
    </row>
    <row r="893" spans="1:23">
      <c r="A893" s="3">
        <v>892</v>
      </c>
      <c r="B893" s="1" t="s">
        <v>6915</v>
      </c>
      <c r="D893" s="1" t="s">
        <v>6916</v>
      </c>
      <c r="F893" s="1" t="s">
        <v>6920</v>
      </c>
      <c r="H893" s="1" t="s">
        <v>6921</v>
      </c>
      <c r="J893" s="1" t="s">
        <v>1324</v>
      </c>
      <c r="L893" s="1" t="s">
        <v>1325</v>
      </c>
      <c r="M893" s="1" t="s">
        <v>1335</v>
      </c>
      <c r="P893" s="1" t="s">
        <v>2811</v>
      </c>
      <c r="Q893" s="3">
        <v>0</v>
      </c>
      <c r="R893" s="22" t="s">
        <v>2721</v>
      </c>
      <c r="S893" s="42" t="s">
        <v>6910</v>
      </c>
      <c r="T893" s="3" t="s">
        <v>4868</v>
      </c>
      <c r="U893" s="45">
        <v>35</v>
      </c>
      <c r="V893" t="s">
        <v>6919</v>
      </c>
      <c r="W893" s="1" t="str">
        <f>HYPERLINK("http://ictvonline.org/taxonomy/p/taxonomy-history?taxnode_id=201900339","ICTVonline=201900339")</f>
        <v>ICTVonline=201900339</v>
      </c>
    </row>
    <row r="894" spans="1:23">
      <c r="A894" s="3">
        <v>893</v>
      </c>
      <c r="B894" s="1" t="s">
        <v>6915</v>
      </c>
      <c r="D894" s="1" t="s">
        <v>6916</v>
      </c>
      <c r="F894" s="1" t="s">
        <v>6920</v>
      </c>
      <c r="H894" s="1" t="s">
        <v>6921</v>
      </c>
      <c r="J894" s="1" t="s">
        <v>1324</v>
      </c>
      <c r="L894" s="1" t="s">
        <v>1325</v>
      </c>
      <c r="M894" s="1" t="s">
        <v>1335</v>
      </c>
      <c r="P894" s="1" t="s">
        <v>2812</v>
      </c>
      <c r="Q894" s="3">
        <v>0</v>
      </c>
      <c r="R894" s="22" t="s">
        <v>2721</v>
      </c>
      <c r="S894" s="42" t="s">
        <v>6910</v>
      </c>
      <c r="T894" s="3" t="s">
        <v>4868</v>
      </c>
      <c r="U894" s="45">
        <v>35</v>
      </c>
      <c r="V894" t="s">
        <v>6919</v>
      </c>
      <c r="W894" s="1" t="str">
        <f>HYPERLINK("http://ictvonline.org/taxonomy/p/taxonomy-history?taxnode_id=201900340","ICTVonline=201900340")</f>
        <v>ICTVonline=201900340</v>
      </c>
    </row>
    <row r="895" spans="1:23">
      <c r="A895" s="3">
        <v>894</v>
      </c>
      <c r="B895" s="1" t="s">
        <v>6915</v>
      </c>
      <c r="D895" s="1" t="s">
        <v>6916</v>
      </c>
      <c r="F895" s="1" t="s">
        <v>6920</v>
      </c>
      <c r="H895" s="1" t="s">
        <v>6921</v>
      </c>
      <c r="J895" s="1" t="s">
        <v>1324</v>
      </c>
      <c r="L895" s="1" t="s">
        <v>1325</v>
      </c>
      <c r="M895" s="1" t="s">
        <v>1335</v>
      </c>
      <c r="P895" s="1" t="s">
        <v>2813</v>
      </c>
      <c r="Q895" s="3">
        <v>0</v>
      </c>
      <c r="R895" s="22" t="s">
        <v>2721</v>
      </c>
      <c r="S895" s="42" t="s">
        <v>6910</v>
      </c>
      <c r="T895" s="3" t="s">
        <v>4868</v>
      </c>
      <c r="U895" s="45">
        <v>35</v>
      </c>
      <c r="V895" t="s">
        <v>6919</v>
      </c>
      <c r="W895" s="1" t="str">
        <f>HYPERLINK("http://ictvonline.org/taxonomy/p/taxonomy-history?taxnode_id=201900341","ICTVonline=201900341")</f>
        <v>ICTVonline=201900341</v>
      </c>
    </row>
    <row r="896" spans="1:23">
      <c r="A896" s="3">
        <v>895</v>
      </c>
      <c r="B896" s="1" t="s">
        <v>6915</v>
      </c>
      <c r="D896" s="1" t="s">
        <v>6916</v>
      </c>
      <c r="F896" s="1" t="s">
        <v>6920</v>
      </c>
      <c r="H896" s="1" t="s">
        <v>6921</v>
      </c>
      <c r="J896" s="1" t="s">
        <v>1324</v>
      </c>
      <c r="L896" s="1" t="s">
        <v>1325</v>
      </c>
      <c r="M896" s="1" t="s">
        <v>1335</v>
      </c>
      <c r="P896" s="1" t="s">
        <v>2814</v>
      </c>
      <c r="Q896" s="3">
        <v>0</v>
      </c>
      <c r="R896" s="22" t="s">
        <v>2721</v>
      </c>
      <c r="S896" s="42" t="s">
        <v>6910</v>
      </c>
      <c r="T896" s="3" t="s">
        <v>4868</v>
      </c>
      <c r="U896" s="45">
        <v>35</v>
      </c>
      <c r="V896" t="s">
        <v>6919</v>
      </c>
      <c r="W896" s="1" t="str">
        <f>HYPERLINK("http://ictvonline.org/taxonomy/p/taxonomy-history?taxnode_id=201900342","ICTVonline=201900342")</f>
        <v>ICTVonline=201900342</v>
      </c>
    </row>
    <row r="897" spans="1:23">
      <c r="A897" s="3">
        <v>896</v>
      </c>
      <c r="B897" s="1" t="s">
        <v>6915</v>
      </c>
      <c r="D897" s="1" t="s">
        <v>6916</v>
      </c>
      <c r="F897" s="1" t="s">
        <v>6920</v>
      </c>
      <c r="H897" s="1" t="s">
        <v>6921</v>
      </c>
      <c r="J897" s="1" t="s">
        <v>1324</v>
      </c>
      <c r="L897" s="1" t="s">
        <v>1325</v>
      </c>
      <c r="M897" s="1" t="s">
        <v>1335</v>
      </c>
      <c r="P897" s="1" t="s">
        <v>2815</v>
      </c>
      <c r="Q897" s="3">
        <v>0</v>
      </c>
      <c r="R897" s="22" t="s">
        <v>2721</v>
      </c>
      <c r="S897" s="42" t="s">
        <v>6910</v>
      </c>
      <c r="T897" s="3" t="s">
        <v>4868</v>
      </c>
      <c r="U897" s="45">
        <v>35</v>
      </c>
      <c r="V897" t="s">
        <v>6919</v>
      </c>
      <c r="W897" s="1" t="str">
        <f>HYPERLINK("http://ictvonline.org/taxonomy/p/taxonomy-history?taxnode_id=201900343","ICTVonline=201900343")</f>
        <v>ICTVonline=201900343</v>
      </c>
    </row>
    <row r="898" spans="1:23">
      <c r="A898" s="3">
        <v>897</v>
      </c>
      <c r="B898" s="1" t="s">
        <v>6915</v>
      </c>
      <c r="D898" s="1" t="s">
        <v>6916</v>
      </c>
      <c r="F898" s="1" t="s">
        <v>6920</v>
      </c>
      <c r="H898" s="1" t="s">
        <v>6921</v>
      </c>
      <c r="J898" s="1" t="s">
        <v>1324</v>
      </c>
      <c r="L898" s="1" t="s">
        <v>1325</v>
      </c>
      <c r="M898" s="1" t="s">
        <v>1335</v>
      </c>
      <c r="P898" s="1" t="s">
        <v>2816</v>
      </c>
      <c r="Q898" s="3">
        <v>0</v>
      </c>
      <c r="R898" s="22" t="s">
        <v>2721</v>
      </c>
      <c r="S898" s="42" t="s">
        <v>6910</v>
      </c>
      <c r="T898" s="3" t="s">
        <v>4868</v>
      </c>
      <c r="U898" s="45">
        <v>35</v>
      </c>
      <c r="V898" t="s">
        <v>6919</v>
      </c>
      <c r="W898" s="1" t="str">
        <f>HYPERLINK("http://ictvonline.org/taxonomy/p/taxonomy-history?taxnode_id=201900344","ICTVonline=201900344")</f>
        <v>ICTVonline=201900344</v>
      </c>
    </row>
    <row r="899" spans="1:23">
      <c r="A899" s="3">
        <v>898</v>
      </c>
      <c r="B899" s="1" t="s">
        <v>6915</v>
      </c>
      <c r="D899" s="1" t="s">
        <v>6916</v>
      </c>
      <c r="F899" s="1" t="s">
        <v>6920</v>
      </c>
      <c r="H899" s="1" t="s">
        <v>6921</v>
      </c>
      <c r="J899" s="1" t="s">
        <v>1324</v>
      </c>
      <c r="L899" s="1" t="s">
        <v>1325</v>
      </c>
      <c r="M899" s="1" t="s">
        <v>2817</v>
      </c>
      <c r="N899" s="1" t="s">
        <v>6296</v>
      </c>
      <c r="P899" s="1" t="s">
        <v>6297</v>
      </c>
      <c r="Q899" s="3">
        <v>1</v>
      </c>
      <c r="R899" s="22" t="s">
        <v>2721</v>
      </c>
      <c r="S899" s="42" t="s">
        <v>6910</v>
      </c>
      <c r="T899" s="3" t="s">
        <v>4868</v>
      </c>
      <c r="U899" s="45">
        <v>35</v>
      </c>
      <c r="V899" t="s">
        <v>6919</v>
      </c>
      <c r="W899" s="1" t="str">
        <f>HYPERLINK("http://ictvonline.org/taxonomy/p/taxonomy-history?taxnode_id=201907080","ICTVonline=201907080")</f>
        <v>ICTVonline=201907080</v>
      </c>
    </row>
    <row r="900" spans="1:23">
      <c r="A900" s="3">
        <v>899</v>
      </c>
      <c r="B900" s="1" t="s">
        <v>6915</v>
      </c>
      <c r="D900" s="1" t="s">
        <v>6916</v>
      </c>
      <c r="F900" s="1" t="s">
        <v>6920</v>
      </c>
      <c r="H900" s="1" t="s">
        <v>6921</v>
      </c>
      <c r="J900" s="1" t="s">
        <v>1324</v>
      </c>
      <c r="L900" s="1" t="s">
        <v>1325</v>
      </c>
      <c r="M900" s="1" t="s">
        <v>2817</v>
      </c>
      <c r="N900" s="1" t="s">
        <v>6298</v>
      </c>
      <c r="P900" s="1" t="s">
        <v>2818</v>
      </c>
      <c r="Q900" s="3">
        <v>1</v>
      </c>
      <c r="R900" s="22" t="s">
        <v>2721</v>
      </c>
      <c r="S900" s="42" t="s">
        <v>6910</v>
      </c>
      <c r="T900" s="3" t="s">
        <v>4868</v>
      </c>
      <c r="U900" s="45">
        <v>35</v>
      </c>
      <c r="V900" t="s">
        <v>6919</v>
      </c>
      <c r="W900" s="1" t="str">
        <f>HYPERLINK("http://ictvonline.org/taxonomy/p/taxonomy-history?taxnode_id=201900347","ICTVonline=201900347")</f>
        <v>ICTVonline=201900347</v>
      </c>
    </row>
    <row r="901" spans="1:23">
      <c r="A901" s="3">
        <v>900</v>
      </c>
      <c r="B901" s="1" t="s">
        <v>6915</v>
      </c>
      <c r="D901" s="1" t="s">
        <v>6916</v>
      </c>
      <c r="F901" s="1" t="s">
        <v>6920</v>
      </c>
      <c r="H901" s="1" t="s">
        <v>6921</v>
      </c>
      <c r="J901" s="1" t="s">
        <v>1324</v>
      </c>
      <c r="L901" s="1" t="s">
        <v>1325</v>
      </c>
      <c r="M901" s="1" t="s">
        <v>2817</v>
      </c>
      <c r="N901" s="1" t="s">
        <v>6298</v>
      </c>
      <c r="P901" s="1" t="s">
        <v>2819</v>
      </c>
      <c r="Q901" s="3">
        <v>0</v>
      </c>
      <c r="R901" s="22" t="s">
        <v>2721</v>
      </c>
      <c r="S901" s="42" t="s">
        <v>6910</v>
      </c>
      <c r="T901" s="3" t="s">
        <v>4868</v>
      </c>
      <c r="U901" s="45">
        <v>35</v>
      </c>
      <c r="V901" t="s">
        <v>6919</v>
      </c>
      <c r="W901" s="1" t="str">
        <f>HYPERLINK("http://ictvonline.org/taxonomy/p/taxonomy-history?taxnode_id=201900348","ICTVonline=201900348")</f>
        <v>ICTVonline=201900348</v>
      </c>
    </row>
    <row r="902" spans="1:23">
      <c r="A902" s="3">
        <v>901</v>
      </c>
      <c r="B902" s="1" t="s">
        <v>6915</v>
      </c>
      <c r="D902" s="1" t="s">
        <v>6916</v>
      </c>
      <c r="F902" s="1" t="s">
        <v>6920</v>
      </c>
      <c r="H902" s="1" t="s">
        <v>6921</v>
      </c>
      <c r="J902" s="1" t="s">
        <v>1324</v>
      </c>
      <c r="L902" s="1" t="s">
        <v>1325</v>
      </c>
      <c r="M902" s="1" t="s">
        <v>2817</v>
      </c>
      <c r="N902" s="1" t="s">
        <v>6298</v>
      </c>
      <c r="P902" s="1" t="s">
        <v>2820</v>
      </c>
      <c r="Q902" s="3">
        <v>0</v>
      </c>
      <c r="R902" s="22" t="s">
        <v>2721</v>
      </c>
      <c r="S902" s="42" t="s">
        <v>6910</v>
      </c>
      <c r="T902" s="3" t="s">
        <v>4868</v>
      </c>
      <c r="U902" s="45">
        <v>35</v>
      </c>
      <c r="V902" t="s">
        <v>6919</v>
      </c>
      <c r="W902" s="1" t="str">
        <f>HYPERLINK("http://ictvonline.org/taxonomy/p/taxonomy-history?taxnode_id=201900349","ICTVonline=201900349")</f>
        <v>ICTVonline=201900349</v>
      </c>
    </row>
    <row r="903" spans="1:23">
      <c r="A903" s="3">
        <v>902</v>
      </c>
      <c r="B903" s="1" t="s">
        <v>6915</v>
      </c>
      <c r="D903" s="1" t="s">
        <v>6916</v>
      </c>
      <c r="F903" s="1" t="s">
        <v>6920</v>
      </c>
      <c r="H903" s="1" t="s">
        <v>6921</v>
      </c>
      <c r="J903" s="1" t="s">
        <v>1324</v>
      </c>
      <c r="L903" s="1" t="s">
        <v>1325</v>
      </c>
      <c r="M903" s="1" t="s">
        <v>2817</v>
      </c>
      <c r="N903" s="1" t="s">
        <v>6298</v>
      </c>
      <c r="P903" s="1" t="s">
        <v>4160</v>
      </c>
      <c r="Q903" s="3">
        <v>0</v>
      </c>
      <c r="R903" s="22" t="s">
        <v>2721</v>
      </c>
      <c r="S903" s="42" t="s">
        <v>6910</v>
      </c>
      <c r="T903" s="3" t="s">
        <v>4868</v>
      </c>
      <c r="U903" s="45">
        <v>35</v>
      </c>
      <c r="V903" t="s">
        <v>6919</v>
      </c>
      <c r="W903" s="1" t="str">
        <f>HYPERLINK("http://ictvonline.org/taxonomy/p/taxonomy-history?taxnode_id=201900350","ICTVonline=201900350")</f>
        <v>ICTVonline=201900350</v>
      </c>
    </row>
    <row r="904" spans="1:23">
      <c r="A904" s="3">
        <v>903</v>
      </c>
      <c r="B904" s="1" t="s">
        <v>6915</v>
      </c>
      <c r="D904" s="1" t="s">
        <v>6916</v>
      </c>
      <c r="F904" s="1" t="s">
        <v>6920</v>
      </c>
      <c r="H904" s="1" t="s">
        <v>6921</v>
      </c>
      <c r="J904" s="1" t="s">
        <v>1324</v>
      </c>
      <c r="L904" s="1" t="s">
        <v>1325</v>
      </c>
      <c r="M904" s="1" t="s">
        <v>2817</v>
      </c>
      <c r="N904" s="1" t="s">
        <v>6298</v>
      </c>
      <c r="P904" s="1" t="s">
        <v>4161</v>
      </c>
      <c r="Q904" s="3">
        <v>0</v>
      </c>
      <c r="R904" s="22" t="s">
        <v>2721</v>
      </c>
      <c r="S904" s="42" t="s">
        <v>6910</v>
      </c>
      <c r="T904" s="3" t="s">
        <v>4868</v>
      </c>
      <c r="U904" s="45">
        <v>35</v>
      </c>
      <c r="V904" t="s">
        <v>6919</v>
      </c>
      <c r="W904" s="1" t="str">
        <f>HYPERLINK("http://ictvonline.org/taxonomy/p/taxonomy-history?taxnode_id=201900351","ICTVonline=201900351")</f>
        <v>ICTVonline=201900351</v>
      </c>
    </row>
    <row r="905" spans="1:23">
      <c r="A905" s="3">
        <v>904</v>
      </c>
      <c r="B905" s="1" t="s">
        <v>6915</v>
      </c>
      <c r="D905" s="1" t="s">
        <v>6916</v>
      </c>
      <c r="F905" s="1" t="s">
        <v>6920</v>
      </c>
      <c r="H905" s="1" t="s">
        <v>6921</v>
      </c>
      <c r="J905" s="1" t="s">
        <v>1324</v>
      </c>
      <c r="L905" s="1" t="s">
        <v>1325</v>
      </c>
      <c r="M905" s="1" t="s">
        <v>2817</v>
      </c>
      <c r="N905" s="1" t="s">
        <v>6299</v>
      </c>
      <c r="P905" s="1" t="s">
        <v>2821</v>
      </c>
      <c r="Q905" s="3">
        <v>0</v>
      </c>
      <c r="R905" s="22" t="s">
        <v>2721</v>
      </c>
      <c r="S905" s="42" t="s">
        <v>6910</v>
      </c>
      <c r="T905" s="3" t="s">
        <v>4868</v>
      </c>
      <c r="U905" s="45">
        <v>35</v>
      </c>
      <c r="V905" t="s">
        <v>6919</v>
      </c>
      <c r="W905" s="1" t="str">
        <f>HYPERLINK("http://ictvonline.org/taxonomy/p/taxonomy-history?taxnode_id=201900353","ICTVonline=201900353")</f>
        <v>ICTVonline=201900353</v>
      </c>
    </row>
    <row r="906" spans="1:23">
      <c r="A906" s="3">
        <v>905</v>
      </c>
      <c r="B906" s="1" t="s">
        <v>6915</v>
      </c>
      <c r="D906" s="1" t="s">
        <v>6916</v>
      </c>
      <c r="F906" s="1" t="s">
        <v>6920</v>
      </c>
      <c r="H906" s="1" t="s">
        <v>6921</v>
      </c>
      <c r="J906" s="1" t="s">
        <v>1324</v>
      </c>
      <c r="L906" s="1" t="s">
        <v>1325</v>
      </c>
      <c r="M906" s="1" t="s">
        <v>2817</v>
      </c>
      <c r="N906" s="1" t="s">
        <v>6299</v>
      </c>
      <c r="P906" s="1" t="s">
        <v>2822</v>
      </c>
      <c r="Q906" s="3">
        <v>0</v>
      </c>
      <c r="R906" s="22" t="s">
        <v>2721</v>
      </c>
      <c r="S906" s="42" t="s">
        <v>6910</v>
      </c>
      <c r="T906" s="3" t="s">
        <v>4868</v>
      </c>
      <c r="U906" s="45">
        <v>35</v>
      </c>
      <c r="V906" t="s">
        <v>6919</v>
      </c>
      <c r="W906" s="1" t="str">
        <f>HYPERLINK("http://ictvonline.org/taxonomy/p/taxonomy-history?taxnode_id=201900354","ICTVonline=201900354")</f>
        <v>ICTVonline=201900354</v>
      </c>
    </row>
    <row r="907" spans="1:23">
      <c r="A907" s="3">
        <v>906</v>
      </c>
      <c r="B907" s="1" t="s">
        <v>6915</v>
      </c>
      <c r="D907" s="1" t="s">
        <v>6916</v>
      </c>
      <c r="F907" s="1" t="s">
        <v>6920</v>
      </c>
      <c r="H907" s="1" t="s">
        <v>6921</v>
      </c>
      <c r="J907" s="1" t="s">
        <v>1324</v>
      </c>
      <c r="L907" s="1" t="s">
        <v>1325</v>
      </c>
      <c r="M907" s="1" t="s">
        <v>2817</v>
      </c>
      <c r="N907" s="1" t="s">
        <v>6299</v>
      </c>
      <c r="P907" s="1" t="s">
        <v>6300</v>
      </c>
      <c r="Q907" s="3">
        <v>1</v>
      </c>
      <c r="R907" s="22" t="s">
        <v>2721</v>
      </c>
      <c r="S907" s="42" t="s">
        <v>6910</v>
      </c>
      <c r="T907" s="3" t="s">
        <v>4868</v>
      </c>
      <c r="U907" s="45">
        <v>35</v>
      </c>
      <c r="V907" t="s">
        <v>6919</v>
      </c>
      <c r="W907" s="1" t="str">
        <f>HYPERLINK("http://ictvonline.org/taxonomy/p/taxonomy-history?taxnode_id=201900355","ICTVonline=201900355")</f>
        <v>ICTVonline=201900355</v>
      </c>
    </row>
    <row r="908" spans="1:23">
      <c r="A908" s="3">
        <v>907</v>
      </c>
      <c r="B908" s="1" t="s">
        <v>6915</v>
      </c>
      <c r="D908" s="1" t="s">
        <v>6916</v>
      </c>
      <c r="F908" s="1" t="s">
        <v>6920</v>
      </c>
      <c r="H908" s="1" t="s">
        <v>6921</v>
      </c>
      <c r="J908" s="1" t="s">
        <v>1324</v>
      </c>
      <c r="L908" s="1" t="s">
        <v>1325</v>
      </c>
      <c r="M908" s="1" t="s">
        <v>2817</v>
      </c>
      <c r="N908" s="1" t="s">
        <v>6299</v>
      </c>
      <c r="P908" s="1" t="s">
        <v>2823</v>
      </c>
      <c r="Q908" s="3">
        <v>0</v>
      </c>
      <c r="R908" s="22" t="s">
        <v>2721</v>
      </c>
      <c r="S908" s="42" t="s">
        <v>6910</v>
      </c>
      <c r="T908" s="3" t="s">
        <v>4868</v>
      </c>
      <c r="U908" s="45">
        <v>35</v>
      </c>
      <c r="V908" t="s">
        <v>6919</v>
      </c>
      <c r="W908" s="1" t="str">
        <f>HYPERLINK("http://ictvonline.org/taxonomy/p/taxonomy-history?taxnode_id=201900356","ICTVonline=201900356")</f>
        <v>ICTVonline=201900356</v>
      </c>
    </row>
    <row r="909" spans="1:23">
      <c r="A909" s="3">
        <v>908</v>
      </c>
      <c r="B909" s="1" t="s">
        <v>6915</v>
      </c>
      <c r="D909" s="1" t="s">
        <v>6916</v>
      </c>
      <c r="F909" s="1" t="s">
        <v>6920</v>
      </c>
      <c r="H909" s="1" t="s">
        <v>6921</v>
      </c>
      <c r="J909" s="1" t="s">
        <v>1324</v>
      </c>
      <c r="L909" s="1" t="s">
        <v>1325</v>
      </c>
      <c r="M909" s="1" t="s">
        <v>2817</v>
      </c>
      <c r="N909" s="1" t="s">
        <v>6301</v>
      </c>
      <c r="P909" s="1" t="s">
        <v>6302</v>
      </c>
      <c r="Q909" s="3">
        <v>0</v>
      </c>
      <c r="R909" s="22" t="s">
        <v>2721</v>
      </c>
      <c r="S909" s="42" t="s">
        <v>6910</v>
      </c>
      <c r="T909" s="3" t="s">
        <v>4868</v>
      </c>
      <c r="U909" s="45">
        <v>35</v>
      </c>
      <c r="V909" t="s">
        <v>6919</v>
      </c>
      <c r="W909" s="1" t="str">
        <f>HYPERLINK("http://ictvonline.org/taxonomy/p/taxonomy-history?taxnode_id=201907083","ICTVonline=201907083")</f>
        <v>ICTVonline=201907083</v>
      </c>
    </row>
    <row r="910" spans="1:23">
      <c r="A910" s="3">
        <v>909</v>
      </c>
      <c r="B910" s="1" t="s">
        <v>6915</v>
      </c>
      <c r="D910" s="1" t="s">
        <v>6916</v>
      </c>
      <c r="F910" s="1" t="s">
        <v>6920</v>
      </c>
      <c r="H910" s="1" t="s">
        <v>6921</v>
      </c>
      <c r="J910" s="1" t="s">
        <v>1324</v>
      </c>
      <c r="L910" s="1" t="s">
        <v>1325</v>
      </c>
      <c r="M910" s="1" t="s">
        <v>2817</v>
      </c>
      <c r="N910" s="1" t="s">
        <v>6301</v>
      </c>
      <c r="P910" s="1" t="s">
        <v>2824</v>
      </c>
      <c r="Q910" s="3">
        <v>0</v>
      </c>
      <c r="R910" s="22" t="s">
        <v>2721</v>
      </c>
      <c r="S910" s="42" t="s">
        <v>6910</v>
      </c>
      <c r="T910" s="3" t="s">
        <v>4868</v>
      </c>
      <c r="U910" s="45">
        <v>35</v>
      </c>
      <c r="V910" t="s">
        <v>6919</v>
      </c>
      <c r="W910" s="1" t="str">
        <f>HYPERLINK("http://ictvonline.org/taxonomy/p/taxonomy-history?taxnode_id=201900358","ICTVonline=201900358")</f>
        <v>ICTVonline=201900358</v>
      </c>
    </row>
    <row r="911" spans="1:23">
      <c r="A911" s="3">
        <v>910</v>
      </c>
      <c r="B911" s="1" t="s">
        <v>6915</v>
      </c>
      <c r="D911" s="1" t="s">
        <v>6916</v>
      </c>
      <c r="F911" s="1" t="s">
        <v>6920</v>
      </c>
      <c r="H911" s="1" t="s">
        <v>6921</v>
      </c>
      <c r="J911" s="1" t="s">
        <v>1324</v>
      </c>
      <c r="L911" s="1" t="s">
        <v>1325</v>
      </c>
      <c r="M911" s="1" t="s">
        <v>2817</v>
      </c>
      <c r="N911" s="1" t="s">
        <v>6301</v>
      </c>
      <c r="P911" s="1" t="s">
        <v>2825</v>
      </c>
      <c r="Q911" s="3">
        <v>0</v>
      </c>
      <c r="R911" s="22" t="s">
        <v>2721</v>
      </c>
      <c r="S911" s="42" t="s">
        <v>6910</v>
      </c>
      <c r="T911" s="3" t="s">
        <v>4868</v>
      </c>
      <c r="U911" s="45">
        <v>35</v>
      </c>
      <c r="V911" t="s">
        <v>6919</v>
      </c>
      <c r="W911" s="1" t="str">
        <f>HYPERLINK("http://ictvonline.org/taxonomy/p/taxonomy-history?taxnode_id=201900359","ICTVonline=201900359")</f>
        <v>ICTVonline=201900359</v>
      </c>
    </row>
    <row r="912" spans="1:23">
      <c r="A912" s="3">
        <v>911</v>
      </c>
      <c r="B912" s="1" t="s">
        <v>6915</v>
      </c>
      <c r="D912" s="1" t="s">
        <v>6916</v>
      </c>
      <c r="F912" s="1" t="s">
        <v>6920</v>
      </c>
      <c r="H912" s="1" t="s">
        <v>6921</v>
      </c>
      <c r="J912" s="1" t="s">
        <v>1324</v>
      </c>
      <c r="L912" s="1" t="s">
        <v>1325</v>
      </c>
      <c r="M912" s="1" t="s">
        <v>2817</v>
      </c>
      <c r="N912" s="1" t="s">
        <v>6301</v>
      </c>
      <c r="P912" s="1" t="s">
        <v>2826</v>
      </c>
      <c r="Q912" s="3">
        <v>0</v>
      </c>
      <c r="R912" s="22" t="s">
        <v>2721</v>
      </c>
      <c r="S912" s="42" t="s">
        <v>6910</v>
      </c>
      <c r="T912" s="3" t="s">
        <v>4868</v>
      </c>
      <c r="U912" s="45">
        <v>35</v>
      </c>
      <c r="V912" t="s">
        <v>6919</v>
      </c>
      <c r="W912" s="1" t="str">
        <f>HYPERLINK("http://ictvonline.org/taxonomy/p/taxonomy-history?taxnode_id=201900360","ICTVonline=201900360")</f>
        <v>ICTVonline=201900360</v>
      </c>
    </row>
    <row r="913" spans="1:23">
      <c r="A913" s="3">
        <v>912</v>
      </c>
      <c r="B913" s="1" t="s">
        <v>6915</v>
      </c>
      <c r="D913" s="1" t="s">
        <v>6916</v>
      </c>
      <c r="F913" s="1" t="s">
        <v>6920</v>
      </c>
      <c r="H913" s="1" t="s">
        <v>6921</v>
      </c>
      <c r="J913" s="1" t="s">
        <v>1324</v>
      </c>
      <c r="L913" s="1" t="s">
        <v>1325</v>
      </c>
      <c r="M913" s="1" t="s">
        <v>2817</v>
      </c>
      <c r="N913" s="1" t="s">
        <v>6301</v>
      </c>
      <c r="P913" s="1" t="s">
        <v>6303</v>
      </c>
      <c r="Q913" s="3">
        <v>0</v>
      </c>
      <c r="R913" s="22" t="s">
        <v>2721</v>
      </c>
      <c r="S913" s="42" t="s">
        <v>6910</v>
      </c>
      <c r="T913" s="3" t="s">
        <v>4868</v>
      </c>
      <c r="U913" s="45">
        <v>35</v>
      </c>
      <c r="V913" t="s">
        <v>6919</v>
      </c>
      <c r="W913" s="1" t="str">
        <f>HYPERLINK("http://ictvonline.org/taxonomy/p/taxonomy-history?taxnode_id=201907082","ICTVonline=201907082")</f>
        <v>ICTVonline=201907082</v>
      </c>
    </row>
    <row r="914" spans="1:23">
      <c r="A914" s="3">
        <v>913</v>
      </c>
      <c r="B914" s="1" t="s">
        <v>6915</v>
      </c>
      <c r="D914" s="1" t="s">
        <v>6916</v>
      </c>
      <c r="F914" s="1" t="s">
        <v>6920</v>
      </c>
      <c r="H914" s="1" t="s">
        <v>6921</v>
      </c>
      <c r="J914" s="1" t="s">
        <v>1324</v>
      </c>
      <c r="L914" s="1" t="s">
        <v>1325</v>
      </c>
      <c r="M914" s="1" t="s">
        <v>2817</v>
      </c>
      <c r="N914" s="1" t="s">
        <v>6301</v>
      </c>
      <c r="P914" s="1" t="s">
        <v>6304</v>
      </c>
      <c r="Q914" s="3">
        <v>0</v>
      </c>
      <c r="R914" s="22" t="s">
        <v>2721</v>
      </c>
      <c r="S914" s="42" t="s">
        <v>6910</v>
      </c>
      <c r="T914" s="3" t="s">
        <v>4868</v>
      </c>
      <c r="U914" s="45">
        <v>35</v>
      </c>
      <c r="V914" t="s">
        <v>6919</v>
      </c>
      <c r="W914" s="1" t="str">
        <f>HYPERLINK("http://ictvonline.org/taxonomy/p/taxonomy-history?taxnode_id=201907081","ICTVonline=201907081")</f>
        <v>ICTVonline=201907081</v>
      </c>
    </row>
    <row r="915" spans="1:23">
      <c r="A915" s="3">
        <v>914</v>
      </c>
      <c r="B915" s="1" t="s">
        <v>6915</v>
      </c>
      <c r="D915" s="1" t="s">
        <v>6916</v>
      </c>
      <c r="F915" s="1" t="s">
        <v>6920</v>
      </c>
      <c r="H915" s="1" t="s">
        <v>6921</v>
      </c>
      <c r="J915" s="1" t="s">
        <v>1324</v>
      </c>
      <c r="L915" s="1" t="s">
        <v>1325</v>
      </c>
      <c r="M915" s="1" t="s">
        <v>2817</v>
      </c>
      <c r="N915" s="1" t="s">
        <v>6301</v>
      </c>
      <c r="P915" s="1" t="s">
        <v>2827</v>
      </c>
      <c r="Q915" s="3">
        <v>1</v>
      </c>
      <c r="R915" s="22" t="s">
        <v>2721</v>
      </c>
      <c r="S915" s="42" t="s">
        <v>6910</v>
      </c>
      <c r="T915" s="3" t="s">
        <v>4868</v>
      </c>
      <c r="U915" s="45">
        <v>35</v>
      </c>
      <c r="V915" t="s">
        <v>6919</v>
      </c>
      <c r="W915" s="1" t="str">
        <f>HYPERLINK("http://ictvonline.org/taxonomy/p/taxonomy-history?taxnode_id=201900361","ICTVonline=201900361")</f>
        <v>ICTVonline=201900361</v>
      </c>
    </row>
    <row r="916" spans="1:23">
      <c r="A916" s="3">
        <v>915</v>
      </c>
      <c r="B916" s="1" t="s">
        <v>6915</v>
      </c>
      <c r="D916" s="1" t="s">
        <v>6916</v>
      </c>
      <c r="F916" s="1" t="s">
        <v>6920</v>
      </c>
      <c r="H916" s="1" t="s">
        <v>6921</v>
      </c>
      <c r="J916" s="1" t="s">
        <v>1324</v>
      </c>
      <c r="L916" s="1" t="s">
        <v>1325</v>
      </c>
      <c r="M916" s="1" t="s">
        <v>2817</v>
      </c>
      <c r="N916" s="1" t="s">
        <v>6301</v>
      </c>
      <c r="P916" s="1" t="s">
        <v>6305</v>
      </c>
      <c r="Q916" s="3">
        <v>0</v>
      </c>
      <c r="R916" s="22" t="s">
        <v>2721</v>
      </c>
      <c r="S916" s="42" t="s">
        <v>6910</v>
      </c>
      <c r="T916" s="3" t="s">
        <v>4868</v>
      </c>
      <c r="U916" s="45">
        <v>35</v>
      </c>
      <c r="V916" t="s">
        <v>6919</v>
      </c>
      <c r="W916" s="1" t="str">
        <f>HYPERLINK("http://ictvonline.org/taxonomy/p/taxonomy-history?taxnode_id=201907084","ICTVonline=201907084")</f>
        <v>ICTVonline=201907084</v>
      </c>
    </row>
    <row r="917" spans="1:23">
      <c r="A917" s="3">
        <v>916</v>
      </c>
      <c r="B917" s="1" t="s">
        <v>6915</v>
      </c>
      <c r="D917" s="1" t="s">
        <v>6916</v>
      </c>
      <c r="F917" s="1" t="s">
        <v>6920</v>
      </c>
      <c r="H917" s="1" t="s">
        <v>6921</v>
      </c>
      <c r="J917" s="1" t="s">
        <v>1324</v>
      </c>
      <c r="L917" s="1" t="s">
        <v>1325</v>
      </c>
      <c r="N917" s="1" t="s">
        <v>4162</v>
      </c>
      <c r="P917" s="1" t="s">
        <v>4163</v>
      </c>
      <c r="Q917" s="3">
        <v>1</v>
      </c>
      <c r="R917" s="22" t="s">
        <v>2721</v>
      </c>
      <c r="S917" s="42" t="s">
        <v>6910</v>
      </c>
      <c r="T917" s="3" t="s">
        <v>4868</v>
      </c>
      <c r="U917" s="45">
        <v>35</v>
      </c>
      <c r="V917" t="s">
        <v>6919</v>
      </c>
      <c r="W917" s="1" t="str">
        <f>HYPERLINK("http://ictvonline.org/taxonomy/p/taxonomy-history?taxnode_id=201900364","ICTVonline=201900364")</f>
        <v>ICTVonline=201900364</v>
      </c>
    </row>
    <row r="918" spans="1:23">
      <c r="A918" s="3">
        <v>917</v>
      </c>
      <c r="B918" s="1" t="s">
        <v>6915</v>
      </c>
      <c r="D918" s="1" t="s">
        <v>6916</v>
      </c>
      <c r="F918" s="1" t="s">
        <v>6920</v>
      </c>
      <c r="H918" s="1" t="s">
        <v>6921</v>
      </c>
      <c r="J918" s="1" t="s">
        <v>1324</v>
      </c>
      <c r="L918" s="1" t="s">
        <v>1325</v>
      </c>
      <c r="N918" s="1" t="s">
        <v>4162</v>
      </c>
      <c r="P918" s="1" t="s">
        <v>4164</v>
      </c>
      <c r="Q918" s="3">
        <v>0</v>
      </c>
      <c r="R918" s="22" t="s">
        <v>2721</v>
      </c>
      <c r="S918" s="42" t="s">
        <v>6910</v>
      </c>
      <c r="T918" s="3" t="s">
        <v>4868</v>
      </c>
      <c r="U918" s="45">
        <v>35</v>
      </c>
      <c r="V918" t="s">
        <v>6919</v>
      </c>
      <c r="W918" s="1" t="str">
        <f>HYPERLINK("http://ictvonline.org/taxonomy/p/taxonomy-history?taxnode_id=201900365","ICTVonline=201900365")</f>
        <v>ICTVonline=201900365</v>
      </c>
    </row>
    <row r="919" spans="1:23">
      <c r="A919" s="3">
        <v>918</v>
      </c>
      <c r="B919" s="1" t="s">
        <v>6915</v>
      </c>
      <c r="D919" s="1" t="s">
        <v>6916</v>
      </c>
      <c r="F919" s="1" t="s">
        <v>6920</v>
      </c>
      <c r="H919" s="1" t="s">
        <v>6921</v>
      </c>
      <c r="J919" s="1" t="s">
        <v>1324</v>
      </c>
      <c r="L919" s="1" t="s">
        <v>1325</v>
      </c>
      <c r="N919" s="1" t="s">
        <v>7566</v>
      </c>
      <c r="P919" s="1" t="s">
        <v>7567</v>
      </c>
      <c r="Q919" s="3">
        <v>1</v>
      </c>
      <c r="R919" s="22" t="s">
        <v>2721</v>
      </c>
      <c r="S919" s="42" t="s">
        <v>6914</v>
      </c>
      <c r="T919" s="3" t="s">
        <v>4866</v>
      </c>
      <c r="U919" s="45">
        <v>35</v>
      </c>
      <c r="V919" t="s">
        <v>7568</v>
      </c>
      <c r="W919" s="1" t="str">
        <f>HYPERLINK("http://ictvonline.org/taxonomy/p/taxonomy-history?taxnode_id=201907799","ICTVonline=201907799")</f>
        <v>ICTVonline=201907799</v>
      </c>
    </row>
    <row r="920" spans="1:23">
      <c r="A920" s="3">
        <v>919</v>
      </c>
      <c r="B920" s="1" t="s">
        <v>6915</v>
      </c>
      <c r="D920" s="1" t="s">
        <v>6916</v>
      </c>
      <c r="F920" s="1" t="s">
        <v>6920</v>
      </c>
      <c r="H920" s="1" t="s">
        <v>6921</v>
      </c>
      <c r="J920" s="1" t="s">
        <v>1324</v>
      </c>
      <c r="L920" s="1" t="s">
        <v>1325</v>
      </c>
      <c r="N920" s="1" t="s">
        <v>6306</v>
      </c>
      <c r="P920" s="1" t="s">
        <v>4165</v>
      </c>
      <c r="Q920" s="3">
        <v>0</v>
      </c>
      <c r="R920" s="22" t="s">
        <v>2721</v>
      </c>
      <c r="S920" s="42" t="s">
        <v>6910</v>
      </c>
      <c r="T920" s="3" t="s">
        <v>4868</v>
      </c>
      <c r="U920" s="45">
        <v>35</v>
      </c>
      <c r="V920" t="s">
        <v>6919</v>
      </c>
      <c r="W920" s="1" t="str">
        <f>HYPERLINK("http://ictvonline.org/taxonomy/p/taxonomy-history?taxnode_id=201900371","ICTVonline=201900371")</f>
        <v>ICTVonline=201900371</v>
      </c>
    </row>
    <row r="921" spans="1:23">
      <c r="A921" s="3">
        <v>920</v>
      </c>
      <c r="B921" s="1" t="s">
        <v>6915</v>
      </c>
      <c r="D921" s="1" t="s">
        <v>6916</v>
      </c>
      <c r="F921" s="1" t="s">
        <v>6920</v>
      </c>
      <c r="H921" s="1" t="s">
        <v>6921</v>
      </c>
      <c r="J921" s="1" t="s">
        <v>1324</v>
      </c>
      <c r="L921" s="1" t="s">
        <v>1325</v>
      </c>
      <c r="N921" s="1" t="s">
        <v>6306</v>
      </c>
      <c r="P921" s="1" t="s">
        <v>6307</v>
      </c>
      <c r="Q921" s="3">
        <v>0</v>
      </c>
      <c r="R921" s="22" t="s">
        <v>2721</v>
      </c>
      <c r="S921" s="42" t="s">
        <v>6910</v>
      </c>
      <c r="T921" s="3" t="s">
        <v>4868</v>
      </c>
      <c r="U921" s="45">
        <v>35</v>
      </c>
      <c r="V921" t="s">
        <v>6919</v>
      </c>
      <c r="W921" s="1" t="str">
        <f>HYPERLINK("http://ictvonline.org/taxonomy/p/taxonomy-history?taxnode_id=201906995","ICTVonline=201906995")</f>
        <v>ICTVonline=201906995</v>
      </c>
    </row>
    <row r="922" spans="1:23">
      <c r="A922" s="3">
        <v>921</v>
      </c>
      <c r="B922" s="1" t="s">
        <v>6915</v>
      </c>
      <c r="D922" s="1" t="s">
        <v>6916</v>
      </c>
      <c r="F922" s="1" t="s">
        <v>6920</v>
      </c>
      <c r="H922" s="1" t="s">
        <v>6921</v>
      </c>
      <c r="J922" s="1" t="s">
        <v>1324</v>
      </c>
      <c r="L922" s="1" t="s">
        <v>1325</v>
      </c>
      <c r="N922" s="1" t="s">
        <v>6306</v>
      </c>
      <c r="P922" s="1" t="s">
        <v>4166</v>
      </c>
      <c r="Q922" s="3">
        <v>1</v>
      </c>
      <c r="R922" s="22" t="s">
        <v>2721</v>
      </c>
      <c r="S922" s="42" t="s">
        <v>6910</v>
      </c>
      <c r="T922" s="3" t="s">
        <v>4868</v>
      </c>
      <c r="U922" s="45">
        <v>35</v>
      </c>
      <c r="V922" t="s">
        <v>6919</v>
      </c>
      <c r="W922" s="1" t="str">
        <f>HYPERLINK("http://ictvonline.org/taxonomy/p/taxonomy-history?taxnode_id=201900372","ICTVonline=201900372")</f>
        <v>ICTVonline=201900372</v>
      </c>
    </row>
    <row r="923" spans="1:23">
      <c r="A923" s="3">
        <v>922</v>
      </c>
      <c r="B923" s="1" t="s">
        <v>6915</v>
      </c>
      <c r="D923" s="1" t="s">
        <v>6916</v>
      </c>
      <c r="F923" s="1" t="s">
        <v>6920</v>
      </c>
      <c r="H923" s="1" t="s">
        <v>6921</v>
      </c>
      <c r="J923" s="1" t="s">
        <v>1324</v>
      </c>
      <c r="L923" s="1" t="s">
        <v>1325</v>
      </c>
      <c r="N923" s="1" t="s">
        <v>6306</v>
      </c>
      <c r="P923" s="1" t="s">
        <v>4167</v>
      </c>
      <c r="Q923" s="3">
        <v>0</v>
      </c>
      <c r="R923" s="22" t="s">
        <v>2721</v>
      </c>
      <c r="S923" s="42" t="s">
        <v>6910</v>
      </c>
      <c r="T923" s="3" t="s">
        <v>4868</v>
      </c>
      <c r="U923" s="45">
        <v>35</v>
      </c>
      <c r="V923" t="s">
        <v>6919</v>
      </c>
      <c r="W923" s="1" t="str">
        <f>HYPERLINK("http://ictvonline.org/taxonomy/p/taxonomy-history?taxnode_id=201900373","ICTVonline=201900373")</f>
        <v>ICTVonline=201900373</v>
      </c>
    </row>
    <row r="924" spans="1:23">
      <c r="A924" s="3">
        <v>923</v>
      </c>
      <c r="B924" s="1" t="s">
        <v>6915</v>
      </c>
      <c r="D924" s="1" t="s">
        <v>6916</v>
      </c>
      <c r="F924" s="1" t="s">
        <v>6920</v>
      </c>
      <c r="H924" s="1" t="s">
        <v>6921</v>
      </c>
      <c r="J924" s="1" t="s">
        <v>1324</v>
      </c>
      <c r="L924" s="1" t="s">
        <v>1325</v>
      </c>
      <c r="N924" s="1" t="s">
        <v>6306</v>
      </c>
      <c r="P924" s="1" t="s">
        <v>4168</v>
      </c>
      <c r="Q924" s="3">
        <v>0</v>
      </c>
      <c r="R924" s="22" t="s">
        <v>2721</v>
      </c>
      <c r="S924" s="42" t="s">
        <v>6910</v>
      </c>
      <c r="T924" s="3" t="s">
        <v>4868</v>
      </c>
      <c r="U924" s="45">
        <v>35</v>
      </c>
      <c r="V924" t="s">
        <v>6919</v>
      </c>
      <c r="W924" s="1" t="str">
        <f>HYPERLINK("http://ictvonline.org/taxonomy/p/taxonomy-history?taxnode_id=201900374","ICTVonline=201900374")</f>
        <v>ICTVonline=201900374</v>
      </c>
    </row>
    <row r="925" spans="1:23">
      <c r="A925" s="3">
        <v>924</v>
      </c>
      <c r="B925" s="1" t="s">
        <v>6915</v>
      </c>
      <c r="D925" s="1" t="s">
        <v>6916</v>
      </c>
      <c r="F925" s="1" t="s">
        <v>6920</v>
      </c>
      <c r="H925" s="1" t="s">
        <v>6921</v>
      </c>
      <c r="J925" s="1" t="s">
        <v>1324</v>
      </c>
      <c r="L925" s="1" t="s">
        <v>1325</v>
      </c>
      <c r="N925" s="1" t="s">
        <v>6306</v>
      </c>
      <c r="P925" s="1" t="s">
        <v>4169</v>
      </c>
      <c r="Q925" s="3">
        <v>0</v>
      </c>
      <c r="R925" s="22" t="s">
        <v>2721</v>
      </c>
      <c r="S925" s="42" t="s">
        <v>6910</v>
      </c>
      <c r="T925" s="3" t="s">
        <v>4868</v>
      </c>
      <c r="U925" s="45">
        <v>35</v>
      </c>
      <c r="V925" t="s">
        <v>6919</v>
      </c>
      <c r="W925" s="1" t="str">
        <f>HYPERLINK("http://ictvonline.org/taxonomy/p/taxonomy-history?taxnode_id=201900375","ICTVonline=201900375")</f>
        <v>ICTVonline=201900375</v>
      </c>
    </row>
    <row r="926" spans="1:23">
      <c r="A926" s="3">
        <v>925</v>
      </c>
      <c r="B926" s="1" t="s">
        <v>6915</v>
      </c>
      <c r="D926" s="1" t="s">
        <v>6916</v>
      </c>
      <c r="F926" s="1" t="s">
        <v>6920</v>
      </c>
      <c r="H926" s="1" t="s">
        <v>6921</v>
      </c>
      <c r="J926" s="1" t="s">
        <v>1324</v>
      </c>
      <c r="L926" s="1" t="s">
        <v>1325</v>
      </c>
      <c r="N926" s="1" t="s">
        <v>7569</v>
      </c>
      <c r="P926" s="1" t="s">
        <v>7570</v>
      </c>
      <c r="Q926" s="3">
        <v>1</v>
      </c>
      <c r="R926" s="22" t="s">
        <v>2721</v>
      </c>
      <c r="S926" s="42" t="s">
        <v>6914</v>
      </c>
      <c r="T926" s="3" t="s">
        <v>4866</v>
      </c>
      <c r="U926" s="45">
        <v>35</v>
      </c>
      <c r="V926" t="s">
        <v>7568</v>
      </c>
      <c r="W926" s="1" t="str">
        <f>HYPERLINK("http://ictvonline.org/taxonomy/p/taxonomy-history?taxnode_id=201907803","ICTVonline=201907803")</f>
        <v>ICTVonline=201907803</v>
      </c>
    </row>
    <row r="927" spans="1:23">
      <c r="A927" s="3">
        <v>926</v>
      </c>
      <c r="B927" s="1" t="s">
        <v>6915</v>
      </c>
      <c r="D927" s="1" t="s">
        <v>6916</v>
      </c>
      <c r="F927" s="1" t="s">
        <v>6920</v>
      </c>
      <c r="H927" s="1" t="s">
        <v>6921</v>
      </c>
      <c r="J927" s="1" t="s">
        <v>1324</v>
      </c>
      <c r="L927" s="1" t="s">
        <v>1325</v>
      </c>
      <c r="N927" s="1" t="s">
        <v>6308</v>
      </c>
      <c r="P927" s="1" t="s">
        <v>6309</v>
      </c>
      <c r="Q927" s="3">
        <v>1</v>
      </c>
      <c r="R927" s="22" t="s">
        <v>2721</v>
      </c>
      <c r="S927" s="42" t="s">
        <v>6910</v>
      </c>
      <c r="T927" s="3" t="s">
        <v>4868</v>
      </c>
      <c r="U927" s="45">
        <v>35</v>
      </c>
      <c r="V927" t="s">
        <v>6919</v>
      </c>
      <c r="W927" s="1" t="str">
        <f>HYPERLINK("http://ictvonline.org/taxonomy/p/taxonomy-history?taxnode_id=201906654","ICTVonline=201906654")</f>
        <v>ICTVonline=201906654</v>
      </c>
    </row>
    <row r="928" spans="1:23">
      <c r="A928" s="3">
        <v>927</v>
      </c>
      <c r="B928" s="1" t="s">
        <v>6915</v>
      </c>
      <c r="D928" s="1" t="s">
        <v>6916</v>
      </c>
      <c r="F928" s="1" t="s">
        <v>6920</v>
      </c>
      <c r="H928" s="1" t="s">
        <v>6921</v>
      </c>
      <c r="J928" s="1" t="s">
        <v>1324</v>
      </c>
      <c r="L928" s="1" t="s">
        <v>1325</v>
      </c>
      <c r="N928" s="1" t="s">
        <v>6308</v>
      </c>
      <c r="P928" s="1" t="s">
        <v>6310</v>
      </c>
      <c r="Q928" s="3">
        <v>0</v>
      </c>
      <c r="R928" s="22" t="s">
        <v>2721</v>
      </c>
      <c r="S928" s="42" t="s">
        <v>6910</v>
      </c>
      <c r="T928" s="3" t="s">
        <v>4868</v>
      </c>
      <c r="U928" s="45">
        <v>35</v>
      </c>
      <c r="V928" t="s">
        <v>6919</v>
      </c>
      <c r="W928" s="1" t="str">
        <f>HYPERLINK("http://ictvonline.org/taxonomy/p/taxonomy-history?taxnode_id=201906655","ICTVonline=201906655")</f>
        <v>ICTVonline=201906655</v>
      </c>
    </row>
    <row r="929" spans="1:23">
      <c r="A929" s="3">
        <v>928</v>
      </c>
      <c r="B929" s="1" t="s">
        <v>6915</v>
      </c>
      <c r="D929" s="1" t="s">
        <v>6916</v>
      </c>
      <c r="F929" s="1" t="s">
        <v>6920</v>
      </c>
      <c r="H929" s="1" t="s">
        <v>6921</v>
      </c>
      <c r="J929" s="1" t="s">
        <v>1324</v>
      </c>
      <c r="L929" s="1" t="s">
        <v>1325</v>
      </c>
      <c r="N929" s="1" t="s">
        <v>7571</v>
      </c>
      <c r="P929" s="1" t="s">
        <v>7572</v>
      </c>
      <c r="Q929" s="3">
        <v>0</v>
      </c>
      <c r="R929" s="22" t="s">
        <v>2721</v>
      </c>
      <c r="S929" s="42" t="s">
        <v>6914</v>
      </c>
      <c r="T929" s="3" t="s">
        <v>4866</v>
      </c>
      <c r="U929" s="45">
        <v>35</v>
      </c>
      <c r="V929" t="s">
        <v>7573</v>
      </c>
      <c r="W929" s="1" t="str">
        <f>HYPERLINK("http://ictvonline.org/taxonomy/p/taxonomy-history?taxnode_id=201907921","ICTVonline=201907921")</f>
        <v>ICTVonline=201907921</v>
      </c>
    </row>
    <row r="930" spans="1:23">
      <c r="A930" s="3">
        <v>929</v>
      </c>
      <c r="B930" s="1" t="s">
        <v>6915</v>
      </c>
      <c r="D930" s="1" t="s">
        <v>6916</v>
      </c>
      <c r="F930" s="1" t="s">
        <v>6920</v>
      </c>
      <c r="H930" s="1" t="s">
        <v>6921</v>
      </c>
      <c r="J930" s="1" t="s">
        <v>1324</v>
      </c>
      <c r="L930" s="1" t="s">
        <v>1325</v>
      </c>
      <c r="N930" s="1" t="s">
        <v>7571</v>
      </c>
      <c r="P930" s="1" t="s">
        <v>7574</v>
      </c>
      <c r="Q930" s="3">
        <v>1</v>
      </c>
      <c r="R930" s="22" t="s">
        <v>2721</v>
      </c>
      <c r="S930" s="42" t="s">
        <v>6914</v>
      </c>
      <c r="T930" s="3" t="s">
        <v>4866</v>
      </c>
      <c r="U930" s="45">
        <v>35</v>
      </c>
      <c r="V930" t="s">
        <v>7573</v>
      </c>
      <c r="W930" s="1" t="str">
        <f>HYPERLINK("http://ictvonline.org/taxonomy/p/taxonomy-history?taxnode_id=201907920","ICTVonline=201907920")</f>
        <v>ICTVonline=201907920</v>
      </c>
    </row>
    <row r="931" spans="1:23">
      <c r="A931" s="3">
        <v>930</v>
      </c>
      <c r="B931" s="1" t="s">
        <v>6915</v>
      </c>
      <c r="D931" s="1" t="s">
        <v>6916</v>
      </c>
      <c r="F931" s="1" t="s">
        <v>6920</v>
      </c>
      <c r="H931" s="1" t="s">
        <v>6921</v>
      </c>
      <c r="J931" s="1" t="s">
        <v>1324</v>
      </c>
      <c r="L931" s="1" t="s">
        <v>1325</v>
      </c>
      <c r="N931" s="1" t="s">
        <v>7575</v>
      </c>
      <c r="P931" s="1" t="s">
        <v>7576</v>
      </c>
      <c r="Q931" s="3">
        <v>1</v>
      </c>
      <c r="R931" s="22" t="s">
        <v>2721</v>
      </c>
      <c r="S931" s="42" t="s">
        <v>6914</v>
      </c>
      <c r="T931" s="3" t="s">
        <v>4866</v>
      </c>
      <c r="U931" s="45">
        <v>35</v>
      </c>
      <c r="V931" t="s">
        <v>7573</v>
      </c>
      <c r="W931" s="1" t="str">
        <f>HYPERLINK("http://ictvonline.org/taxonomy/p/taxonomy-history?taxnode_id=201907910","ICTVonline=201907910")</f>
        <v>ICTVonline=201907910</v>
      </c>
    </row>
    <row r="932" spans="1:23">
      <c r="A932" s="3">
        <v>931</v>
      </c>
      <c r="B932" s="1" t="s">
        <v>6915</v>
      </c>
      <c r="D932" s="1" t="s">
        <v>6916</v>
      </c>
      <c r="F932" s="1" t="s">
        <v>6920</v>
      </c>
      <c r="H932" s="1" t="s">
        <v>6921</v>
      </c>
      <c r="J932" s="1" t="s">
        <v>1324</v>
      </c>
      <c r="L932" s="1" t="s">
        <v>1325</v>
      </c>
      <c r="N932" s="1" t="s">
        <v>7577</v>
      </c>
      <c r="P932" s="1" t="s">
        <v>7578</v>
      </c>
      <c r="Q932" s="3">
        <v>1</v>
      </c>
      <c r="R932" s="22" t="s">
        <v>2721</v>
      </c>
      <c r="S932" s="42" t="s">
        <v>6910</v>
      </c>
      <c r="T932" s="3" t="s">
        <v>4866</v>
      </c>
      <c r="U932" s="45">
        <v>35</v>
      </c>
      <c r="V932" t="s">
        <v>7579</v>
      </c>
      <c r="W932" s="1" t="str">
        <f>HYPERLINK("http://ictvonline.org/taxonomy/p/taxonomy-history?taxnode_id=201907772","ICTVonline=201907772")</f>
        <v>ICTVonline=201907772</v>
      </c>
    </row>
    <row r="933" spans="1:23">
      <c r="A933" s="3">
        <v>932</v>
      </c>
      <c r="B933" s="1" t="s">
        <v>6915</v>
      </c>
      <c r="D933" s="1" t="s">
        <v>6916</v>
      </c>
      <c r="F933" s="1" t="s">
        <v>6920</v>
      </c>
      <c r="H933" s="1" t="s">
        <v>6921</v>
      </c>
      <c r="J933" s="1" t="s">
        <v>1324</v>
      </c>
      <c r="L933" s="1" t="s">
        <v>1325</v>
      </c>
      <c r="N933" s="1" t="s">
        <v>7580</v>
      </c>
      <c r="P933" s="1" t="s">
        <v>7581</v>
      </c>
      <c r="Q933" s="3">
        <v>1</v>
      </c>
      <c r="R933" s="22" t="s">
        <v>2721</v>
      </c>
      <c r="S933" s="42" t="s">
        <v>6914</v>
      </c>
      <c r="T933" s="3" t="s">
        <v>4866</v>
      </c>
      <c r="U933" s="45">
        <v>35</v>
      </c>
      <c r="V933" t="s">
        <v>7579</v>
      </c>
      <c r="W933" s="1" t="str">
        <f>HYPERLINK("http://ictvonline.org/taxonomy/p/taxonomy-history?taxnode_id=201907764","ICTVonline=201907764")</f>
        <v>ICTVonline=201907764</v>
      </c>
    </row>
    <row r="934" spans="1:23">
      <c r="A934" s="3">
        <v>933</v>
      </c>
      <c r="B934" s="1" t="s">
        <v>6915</v>
      </c>
      <c r="D934" s="1" t="s">
        <v>6916</v>
      </c>
      <c r="F934" s="1" t="s">
        <v>6920</v>
      </c>
      <c r="H934" s="1" t="s">
        <v>6921</v>
      </c>
      <c r="J934" s="1" t="s">
        <v>1324</v>
      </c>
      <c r="L934" s="1" t="s">
        <v>1325</v>
      </c>
      <c r="N934" s="1" t="s">
        <v>6311</v>
      </c>
      <c r="P934" s="1" t="s">
        <v>6312</v>
      </c>
      <c r="Q934" s="3">
        <v>1</v>
      </c>
      <c r="R934" s="22" t="s">
        <v>2721</v>
      </c>
      <c r="S934" s="42" t="s">
        <v>6910</v>
      </c>
      <c r="T934" s="3" t="s">
        <v>4868</v>
      </c>
      <c r="U934" s="45">
        <v>35</v>
      </c>
      <c r="V934" t="s">
        <v>6919</v>
      </c>
      <c r="W934" s="1" t="str">
        <f>HYPERLINK("http://ictvonline.org/taxonomy/p/taxonomy-history?taxnode_id=201906799","ICTVonline=201906799")</f>
        <v>ICTVonline=201906799</v>
      </c>
    </row>
    <row r="935" spans="1:23">
      <c r="A935" s="3">
        <v>934</v>
      </c>
      <c r="B935" s="1" t="s">
        <v>6915</v>
      </c>
      <c r="D935" s="1" t="s">
        <v>6916</v>
      </c>
      <c r="F935" s="1" t="s">
        <v>6920</v>
      </c>
      <c r="H935" s="1" t="s">
        <v>6921</v>
      </c>
      <c r="J935" s="1" t="s">
        <v>1324</v>
      </c>
      <c r="L935" s="1" t="s">
        <v>1325</v>
      </c>
      <c r="N935" s="1" t="s">
        <v>6313</v>
      </c>
      <c r="P935" s="1" t="s">
        <v>6314</v>
      </c>
      <c r="Q935" s="3">
        <v>0</v>
      </c>
      <c r="R935" s="22" t="s">
        <v>2721</v>
      </c>
      <c r="S935" s="42" t="s">
        <v>6910</v>
      </c>
      <c r="T935" s="3" t="s">
        <v>4868</v>
      </c>
      <c r="U935" s="45">
        <v>35</v>
      </c>
      <c r="V935" t="s">
        <v>6919</v>
      </c>
      <c r="W935" s="1" t="str">
        <f>HYPERLINK("http://ictvonline.org/taxonomy/p/taxonomy-history?taxnode_id=201906660","ICTVonline=201906660")</f>
        <v>ICTVonline=201906660</v>
      </c>
    </row>
    <row r="936" spans="1:23">
      <c r="A936" s="3">
        <v>935</v>
      </c>
      <c r="B936" s="1" t="s">
        <v>6915</v>
      </c>
      <c r="D936" s="1" t="s">
        <v>6916</v>
      </c>
      <c r="F936" s="1" t="s">
        <v>6920</v>
      </c>
      <c r="H936" s="1" t="s">
        <v>6921</v>
      </c>
      <c r="J936" s="1" t="s">
        <v>1324</v>
      </c>
      <c r="L936" s="1" t="s">
        <v>1325</v>
      </c>
      <c r="N936" s="1" t="s">
        <v>6313</v>
      </c>
      <c r="P936" s="1" t="s">
        <v>6315</v>
      </c>
      <c r="Q936" s="3">
        <v>1</v>
      </c>
      <c r="R936" s="22" t="s">
        <v>2721</v>
      </c>
      <c r="S936" s="42" t="s">
        <v>6910</v>
      </c>
      <c r="T936" s="3" t="s">
        <v>4868</v>
      </c>
      <c r="U936" s="45">
        <v>35</v>
      </c>
      <c r="V936" t="s">
        <v>6919</v>
      </c>
      <c r="W936" s="1" t="str">
        <f>HYPERLINK("http://ictvonline.org/taxonomy/p/taxonomy-history?taxnode_id=201906659","ICTVonline=201906659")</f>
        <v>ICTVonline=201906659</v>
      </c>
    </row>
    <row r="937" spans="1:23">
      <c r="A937" s="3">
        <v>936</v>
      </c>
      <c r="B937" s="1" t="s">
        <v>6915</v>
      </c>
      <c r="D937" s="1" t="s">
        <v>6916</v>
      </c>
      <c r="F937" s="1" t="s">
        <v>6920</v>
      </c>
      <c r="H937" s="1" t="s">
        <v>6921</v>
      </c>
      <c r="J937" s="1" t="s">
        <v>1324</v>
      </c>
      <c r="L937" s="1" t="s">
        <v>1325</v>
      </c>
      <c r="N937" s="1" t="s">
        <v>7582</v>
      </c>
      <c r="P937" s="1" t="s">
        <v>7583</v>
      </c>
      <c r="Q937" s="3">
        <v>0</v>
      </c>
      <c r="R937" s="22" t="s">
        <v>2721</v>
      </c>
      <c r="S937" s="42" t="s">
        <v>6914</v>
      </c>
      <c r="T937" s="3" t="s">
        <v>4866</v>
      </c>
      <c r="U937" s="45">
        <v>35</v>
      </c>
      <c r="V937" t="s">
        <v>7579</v>
      </c>
      <c r="W937" s="1" t="str">
        <f>HYPERLINK("http://ictvonline.org/taxonomy/p/taxonomy-history?taxnode_id=201907755","ICTVonline=201907755")</f>
        <v>ICTVonline=201907755</v>
      </c>
    </row>
    <row r="938" spans="1:23">
      <c r="A938" s="3">
        <v>937</v>
      </c>
      <c r="B938" s="1" t="s">
        <v>6915</v>
      </c>
      <c r="D938" s="1" t="s">
        <v>6916</v>
      </c>
      <c r="F938" s="1" t="s">
        <v>6920</v>
      </c>
      <c r="H938" s="1" t="s">
        <v>6921</v>
      </c>
      <c r="J938" s="1" t="s">
        <v>1324</v>
      </c>
      <c r="L938" s="1" t="s">
        <v>1325</v>
      </c>
      <c r="N938" s="1" t="s">
        <v>7582</v>
      </c>
      <c r="P938" s="1" t="s">
        <v>7584</v>
      </c>
      <c r="Q938" s="3">
        <v>1</v>
      </c>
      <c r="R938" s="22" t="s">
        <v>2721</v>
      </c>
      <c r="S938" s="42" t="s">
        <v>6914</v>
      </c>
      <c r="T938" s="3" t="s">
        <v>4866</v>
      </c>
      <c r="U938" s="45">
        <v>35</v>
      </c>
      <c r="V938" t="s">
        <v>7579</v>
      </c>
      <c r="W938" s="1" t="str">
        <f>HYPERLINK("http://ictvonline.org/taxonomy/p/taxonomy-history?taxnode_id=201907754","ICTVonline=201907754")</f>
        <v>ICTVonline=201907754</v>
      </c>
    </row>
    <row r="939" spans="1:23">
      <c r="A939" s="3">
        <v>938</v>
      </c>
      <c r="B939" s="1" t="s">
        <v>6915</v>
      </c>
      <c r="D939" s="1" t="s">
        <v>6916</v>
      </c>
      <c r="F939" s="1" t="s">
        <v>6920</v>
      </c>
      <c r="H939" s="1" t="s">
        <v>6921</v>
      </c>
      <c r="J939" s="1" t="s">
        <v>1324</v>
      </c>
      <c r="L939" s="1" t="s">
        <v>1325</v>
      </c>
      <c r="N939" s="1" t="s">
        <v>7582</v>
      </c>
      <c r="P939" s="1" t="s">
        <v>7585</v>
      </c>
      <c r="Q939" s="3">
        <v>0</v>
      </c>
      <c r="R939" s="22" t="s">
        <v>2721</v>
      </c>
      <c r="S939" s="42" t="s">
        <v>6914</v>
      </c>
      <c r="T939" s="3" t="s">
        <v>4866</v>
      </c>
      <c r="U939" s="45">
        <v>35</v>
      </c>
      <c r="V939" t="s">
        <v>7579</v>
      </c>
      <c r="W939" s="1" t="str">
        <f>HYPERLINK("http://ictvonline.org/taxonomy/p/taxonomy-history?taxnode_id=201907756","ICTVonline=201907756")</f>
        <v>ICTVonline=201907756</v>
      </c>
    </row>
    <row r="940" spans="1:23">
      <c r="A940" s="3">
        <v>939</v>
      </c>
      <c r="B940" s="1" t="s">
        <v>6915</v>
      </c>
      <c r="D940" s="1" t="s">
        <v>6916</v>
      </c>
      <c r="F940" s="1" t="s">
        <v>6920</v>
      </c>
      <c r="H940" s="1" t="s">
        <v>6921</v>
      </c>
      <c r="J940" s="1" t="s">
        <v>1324</v>
      </c>
      <c r="L940" s="1" t="s">
        <v>1325</v>
      </c>
      <c r="N940" s="1" t="s">
        <v>7586</v>
      </c>
      <c r="P940" s="1" t="s">
        <v>7587</v>
      </c>
      <c r="Q940" s="3">
        <v>1</v>
      </c>
      <c r="R940" s="22" t="s">
        <v>2721</v>
      </c>
      <c r="S940" s="42" t="s">
        <v>6914</v>
      </c>
      <c r="T940" s="3" t="s">
        <v>4866</v>
      </c>
      <c r="U940" s="45">
        <v>35</v>
      </c>
      <c r="V940" t="s">
        <v>7579</v>
      </c>
      <c r="W940" s="1" t="str">
        <f>HYPERLINK("http://ictvonline.org/taxonomy/p/taxonomy-history?taxnode_id=201907766","ICTVonline=201907766")</f>
        <v>ICTVonline=201907766</v>
      </c>
    </row>
    <row r="941" spans="1:23">
      <c r="A941" s="3">
        <v>940</v>
      </c>
      <c r="B941" s="1" t="s">
        <v>6915</v>
      </c>
      <c r="D941" s="1" t="s">
        <v>6916</v>
      </c>
      <c r="F941" s="1" t="s">
        <v>6920</v>
      </c>
      <c r="H941" s="1" t="s">
        <v>6921</v>
      </c>
      <c r="J941" s="1" t="s">
        <v>1324</v>
      </c>
      <c r="L941" s="1" t="s">
        <v>1325</v>
      </c>
      <c r="N941" s="1" t="s">
        <v>7588</v>
      </c>
      <c r="P941" s="1" t="s">
        <v>7589</v>
      </c>
      <c r="Q941" s="3">
        <v>1</v>
      </c>
      <c r="R941" s="22" t="s">
        <v>2721</v>
      </c>
      <c r="S941" s="42" t="s">
        <v>6914</v>
      </c>
      <c r="T941" s="3" t="s">
        <v>4866</v>
      </c>
      <c r="U941" s="45">
        <v>35</v>
      </c>
      <c r="V941" t="s">
        <v>7573</v>
      </c>
      <c r="W941" s="1" t="str">
        <f>HYPERLINK("http://ictvonline.org/taxonomy/p/taxonomy-history?taxnode_id=201907912","ICTVonline=201907912")</f>
        <v>ICTVonline=201907912</v>
      </c>
    </row>
    <row r="942" spans="1:23">
      <c r="A942" s="3">
        <v>941</v>
      </c>
      <c r="B942" s="1" t="s">
        <v>6915</v>
      </c>
      <c r="D942" s="1" t="s">
        <v>6916</v>
      </c>
      <c r="F942" s="1" t="s">
        <v>6920</v>
      </c>
      <c r="H942" s="1" t="s">
        <v>6921</v>
      </c>
      <c r="J942" s="1" t="s">
        <v>1324</v>
      </c>
      <c r="L942" s="1" t="s">
        <v>1325</v>
      </c>
      <c r="N942" s="1" t="s">
        <v>7590</v>
      </c>
      <c r="P942" s="1" t="s">
        <v>7591</v>
      </c>
      <c r="Q942" s="3">
        <v>1</v>
      </c>
      <c r="R942" s="22" t="s">
        <v>2721</v>
      </c>
      <c r="S942" s="42" t="s">
        <v>6914</v>
      </c>
      <c r="T942" s="3" t="s">
        <v>4866</v>
      </c>
      <c r="U942" s="45">
        <v>35</v>
      </c>
      <c r="V942" t="s">
        <v>7592</v>
      </c>
      <c r="W942" s="1" t="str">
        <f>HYPERLINK("http://ictvonline.org/taxonomy/p/taxonomy-history?taxnode_id=201907108","ICTVonline=201907108")</f>
        <v>ICTVonline=201907108</v>
      </c>
    </row>
    <row r="943" spans="1:23">
      <c r="A943" s="3">
        <v>942</v>
      </c>
      <c r="B943" s="1" t="s">
        <v>6915</v>
      </c>
      <c r="D943" s="1" t="s">
        <v>6916</v>
      </c>
      <c r="F943" s="1" t="s">
        <v>6920</v>
      </c>
      <c r="H943" s="1" t="s">
        <v>6921</v>
      </c>
      <c r="J943" s="1" t="s">
        <v>1324</v>
      </c>
      <c r="L943" s="1" t="s">
        <v>1325</v>
      </c>
      <c r="N943" s="1" t="s">
        <v>7590</v>
      </c>
      <c r="P943" s="1" t="s">
        <v>7593</v>
      </c>
      <c r="Q943" s="3">
        <v>0</v>
      </c>
      <c r="R943" s="22" t="s">
        <v>2721</v>
      </c>
      <c r="S943" s="42" t="s">
        <v>6914</v>
      </c>
      <c r="T943" s="3" t="s">
        <v>4866</v>
      </c>
      <c r="U943" s="45">
        <v>35</v>
      </c>
      <c r="V943" t="s">
        <v>7592</v>
      </c>
      <c r="W943" s="1" t="str">
        <f>HYPERLINK("http://ictvonline.org/taxonomy/p/taxonomy-history?taxnode_id=201907112","ICTVonline=201907112")</f>
        <v>ICTVonline=201907112</v>
      </c>
    </row>
    <row r="944" spans="1:23">
      <c r="A944" s="3">
        <v>943</v>
      </c>
      <c r="B944" s="1" t="s">
        <v>6915</v>
      </c>
      <c r="D944" s="1" t="s">
        <v>6916</v>
      </c>
      <c r="F944" s="1" t="s">
        <v>6920</v>
      </c>
      <c r="H944" s="1" t="s">
        <v>6921</v>
      </c>
      <c r="J944" s="1" t="s">
        <v>1324</v>
      </c>
      <c r="L944" s="1" t="s">
        <v>1325</v>
      </c>
      <c r="N944" s="1" t="s">
        <v>7590</v>
      </c>
      <c r="P944" s="1" t="s">
        <v>7594</v>
      </c>
      <c r="Q944" s="3">
        <v>0</v>
      </c>
      <c r="R944" s="22" t="s">
        <v>2721</v>
      </c>
      <c r="S944" s="42" t="s">
        <v>6914</v>
      </c>
      <c r="T944" s="3" t="s">
        <v>4866</v>
      </c>
      <c r="U944" s="45">
        <v>35</v>
      </c>
      <c r="V944" t="s">
        <v>7592</v>
      </c>
      <c r="W944" s="1" t="str">
        <f>HYPERLINK("http://ictvonline.org/taxonomy/p/taxonomy-history?taxnode_id=201907109","ICTVonline=201907109")</f>
        <v>ICTVonline=201907109</v>
      </c>
    </row>
    <row r="945" spans="1:23">
      <c r="A945" s="3">
        <v>944</v>
      </c>
      <c r="B945" s="1" t="s">
        <v>6915</v>
      </c>
      <c r="D945" s="1" t="s">
        <v>6916</v>
      </c>
      <c r="F945" s="1" t="s">
        <v>6920</v>
      </c>
      <c r="H945" s="1" t="s">
        <v>6921</v>
      </c>
      <c r="J945" s="1" t="s">
        <v>1324</v>
      </c>
      <c r="L945" s="1" t="s">
        <v>1325</v>
      </c>
      <c r="N945" s="1" t="s">
        <v>7590</v>
      </c>
      <c r="P945" s="1" t="s">
        <v>7595</v>
      </c>
      <c r="Q945" s="3">
        <v>0</v>
      </c>
      <c r="R945" s="22" t="s">
        <v>2721</v>
      </c>
      <c r="S945" s="42" t="s">
        <v>6914</v>
      </c>
      <c r="T945" s="3" t="s">
        <v>4866</v>
      </c>
      <c r="U945" s="45">
        <v>35</v>
      </c>
      <c r="V945" t="s">
        <v>7592</v>
      </c>
      <c r="W945" s="1" t="str">
        <f>HYPERLINK("http://ictvonline.org/taxonomy/p/taxonomy-history?taxnode_id=201907110","ICTVonline=201907110")</f>
        <v>ICTVonline=201907110</v>
      </c>
    </row>
    <row r="946" spans="1:23">
      <c r="A946" s="3">
        <v>945</v>
      </c>
      <c r="B946" s="1" t="s">
        <v>6915</v>
      </c>
      <c r="D946" s="1" t="s">
        <v>6916</v>
      </c>
      <c r="F946" s="1" t="s">
        <v>6920</v>
      </c>
      <c r="H946" s="1" t="s">
        <v>6921</v>
      </c>
      <c r="J946" s="1" t="s">
        <v>1324</v>
      </c>
      <c r="L946" s="1" t="s">
        <v>1325</v>
      </c>
      <c r="N946" s="1" t="s">
        <v>7590</v>
      </c>
      <c r="P946" s="1" t="s">
        <v>7596</v>
      </c>
      <c r="Q946" s="3">
        <v>0</v>
      </c>
      <c r="R946" s="22" t="s">
        <v>2721</v>
      </c>
      <c r="S946" s="42" t="s">
        <v>6914</v>
      </c>
      <c r="T946" s="3" t="s">
        <v>4866</v>
      </c>
      <c r="U946" s="45">
        <v>35</v>
      </c>
      <c r="V946" t="s">
        <v>7592</v>
      </c>
      <c r="W946" s="1" t="str">
        <f>HYPERLINK("http://ictvonline.org/taxonomy/p/taxonomy-history?taxnode_id=201907111","ICTVonline=201907111")</f>
        <v>ICTVonline=201907111</v>
      </c>
    </row>
    <row r="947" spans="1:23">
      <c r="A947" s="3">
        <v>946</v>
      </c>
      <c r="B947" s="1" t="s">
        <v>6915</v>
      </c>
      <c r="D947" s="1" t="s">
        <v>6916</v>
      </c>
      <c r="F947" s="1" t="s">
        <v>6920</v>
      </c>
      <c r="H947" s="1" t="s">
        <v>6921</v>
      </c>
      <c r="J947" s="1" t="s">
        <v>1324</v>
      </c>
      <c r="L947" s="1" t="s">
        <v>1325</v>
      </c>
      <c r="N947" s="1" t="s">
        <v>2853</v>
      </c>
      <c r="P947" s="1" t="s">
        <v>2854</v>
      </c>
      <c r="Q947" s="3">
        <v>1</v>
      </c>
      <c r="R947" s="22" t="s">
        <v>2721</v>
      </c>
      <c r="S947" s="42" t="s">
        <v>6910</v>
      </c>
      <c r="T947" s="3" t="s">
        <v>4868</v>
      </c>
      <c r="U947" s="45">
        <v>35</v>
      </c>
      <c r="V947" t="s">
        <v>6919</v>
      </c>
      <c r="W947" s="1" t="str">
        <f>HYPERLINK("http://ictvonline.org/taxonomy/p/taxonomy-history?taxnode_id=201900408","ICTVonline=201900408")</f>
        <v>ICTVonline=201900408</v>
      </c>
    </row>
    <row r="948" spans="1:23">
      <c r="A948" s="3">
        <v>947</v>
      </c>
      <c r="B948" s="1" t="s">
        <v>6915</v>
      </c>
      <c r="D948" s="1" t="s">
        <v>6916</v>
      </c>
      <c r="F948" s="1" t="s">
        <v>6920</v>
      </c>
      <c r="H948" s="1" t="s">
        <v>6921</v>
      </c>
      <c r="J948" s="1" t="s">
        <v>1324</v>
      </c>
      <c r="L948" s="1" t="s">
        <v>1325</v>
      </c>
      <c r="N948" s="1" t="s">
        <v>2853</v>
      </c>
      <c r="P948" s="1" t="s">
        <v>2855</v>
      </c>
      <c r="Q948" s="3">
        <v>0</v>
      </c>
      <c r="R948" s="22" t="s">
        <v>2721</v>
      </c>
      <c r="S948" s="42" t="s">
        <v>6910</v>
      </c>
      <c r="T948" s="3" t="s">
        <v>4868</v>
      </c>
      <c r="U948" s="45">
        <v>35</v>
      </c>
      <c r="V948" t="s">
        <v>6919</v>
      </c>
      <c r="W948" s="1" t="str">
        <f>HYPERLINK("http://ictvonline.org/taxonomy/p/taxonomy-history?taxnode_id=201900409","ICTVonline=201900409")</f>
        <v>ICTVonline=201900409</v>
      </c>
    </row>
    <row r="949" spans="1:23">
      <c r="A949" s="3">
        <v>948</v>
      </c>
      <c r="B949" s="1" t="s">
        <v>6915</v>
      </c>
      <c r="D949" s="1" t="s">
        <v>6916</v>
      </c>
      <c r="F949" s="1" t="s">
        <v>6920</v>
      </c>
      <c r="H949" s="1" t="s">
        <v>6921</v>
      </c>
      <c r="J949" s="1" t="s">
        <v>1324</v>
      </c>
      <c r="L949" s="1" t="s">
        <v>1325</v>
      </c>
      <c r="N949" s="1" t="s">
        <v>7597</v>
      </c>
      <c r="P949" s="1" t="s">
        <v>7598</v>
      </c>
      <c r="Q949" s="3">
        <v>1</v>
      </c>
      <c r="R949" s="22" t="s">
        <v>2721</v>
      </c>
      <c r="S949" s="42" t="s">
        <v>6914</v>
      </c>
      <c r="T949" s="3" t="s">
        <v>4866</v>
      </c>
      <c r="U949" s="45">
        <v>35</v>
      </c>
      <c r="V949" t="s">
        <v>7568</v>
      </c>
      <c r="W949" s="1" t="str">
        <f>HYPERLINK("http://ictvonline.org/taxonomy/p/taxonomy-history?taxnode_id=201907785","ICTVonline=201907785")</f>
        <v>ICTVonline=201907785</v>
      </c>
    </row>
    <row r="950" spans="1:23">
      <c r="A950" s="3">
        <v>949</v>
      </c>
      <c r="B950" s="1" t="s">
        <v>6915</v>
      </c>
      <c r="D950" s="1" t="s">
        <v>6916</v>
      </c>
      <c r="F950" s="1" t="s">
        <v>6920</v>
      </c>
      <c r="H950" s="1" t="s">
        <v>6921</v>
      </c>
      <c r="J950" s="1" t="s">
        <v>1324</v>
      </c>
      <c r="L950" s="1" t="s">
        <v>1325</v>
      </c>
      <c r="N950" s="1" t="s">
        <v>6533</v>
      </c>
      <c r="P950" s="1" t="s">
        <v>6534</v>
      </c>
      <c r="Q950" s="3">
        <v>1</v>
      </c>
      <c r="R950" s="22" t="s">
        <v>2721</v>
      </c>
      <c r="S950" s="42" t="s">
        <v>6910</v>
      </c>
      <c r="T950" s="3" t="s">
        <v>4868</v>
      </c>
      <c r="U950" s="45">
        <v>35</v>
      </c>
      <c r="V950" t="s">
        <v>7599</v>
      </c>
      <c r="W950" s="1" t="str">
        <f>HYPERLINK("http://ictvonline.org/taxonomy/p/taxonomy-history?taxnode_id=201906394","ICTVonline=201906394")</f>
        <v>ICTVonline=201906394</v>
      </c>
    </row>
    <row r="951" spans="1:23">
      <c r="A951" s="3">
        <v>950</v>
      </c>
      <c r="B951" s="1" t="s">
        <v>6915</v>
      </c>
      <c r="D951" s="1" t="s">
        <v>6916</v>
      </c>
      <c r="F951" s="1" t="s">
        <v>6920</v>
      </c>
      <c r="H951" s="1" t="s">
        <v>6921</v>
      </c>
      <c r="J951" s="1" t="s">
        <v>1324</v>
      </c>
      <c r="L951" s="1" t="s">
        <v>1325</v>
      </c>
      <c r="N951" s="1" t="s">
        <v>2856</v>
      </c>
      <c r="P951" s="1" t="s">
        <v>2857</v>
      </c>
      <c r="Q951" s="3">
        <v>1</v>
      </c>
      <c r="R951" s="22" t="s">
        <v>2721</v>
      </c>
      <c r="S951" s="42" t="s">
        <v>6910</v>
      </c>
      <c r="T951" s="3" t="s">
        <v>4868</v>
      </c>
      <c r="U951" s="45">
        <v>35</v>
      </c>
      <c r="V951" t="s">
        <v>6919</v>
      </c>
      <c r="W951" s="1" t="str">
        <f>HYPERLINK("http://ictvonline.org/taxonomy/p/taxonomy-history?taxnode_id=201900411","ICTVonline=201900411")</f>
        <v>ICTVonline=201900411</v>
      </c>
    </row>
    <row r="952" spans="1:23">
      <c r="A952" s="3">
        <v>951</v>
      </c>
      <c r="B952" s="1" t="s">
        <v>6915</v>
      </c>
      <c r="D952" s="1" t="s">
        <v>6916</v>
      </c>
      <c r="F952" s="1" t="s">
        <v>6920</v>
      </c>
      <c r="H952" s="1" t="s">
        <v>6921</v>
      </c>
      <c r="J952" s="1" t="s">
        <v>1324</v>
      </c>
      <c r="L952" s="1" t="s">
        <v>1325</v>
      </c>
      <c r="N952" s="1" t="s">
        <v>6317</v>
      </c>
      <c r="P952" s="1" t="s">
        <v>4175</v>
      </c>
      <c r="Q952" s="3">
        <v>0</v>
      </c>
      <c r="R952" s="22" t="s">
        <v>2721</v>
      </c>
      <c r="S952" s="42" t="s">
        <v>6910</v>
      </c>
      <c r="T952" s="3" t="s">
        <v>4868</v>
      </c>
      <c r="U952" s="45">
        <v>35</v>
      </c>
      <c r="V952" t="s">
        <v>6919</v>
      </c>
      <c r="W952" s="1" t="str">
        <f>HYPERLINK("http://ictvonline.org/taxonomy/p/taxonomy-history?taxnode_id=201900413","ICTVonline=201900413")</f>
        <v>ICTVonline=201900413</v>
      </c>
    </row>
    <row r="953" spans="1:23">
      <c r="A953" s="3">
        <v>952</v>
      </c>
      <c r="B953" s="1" t="s">
        <v>6915</v>
      </c>
      <c r="D953" s="1" t="s">
        <v>6916</v>
      </c>
      <c r="F953" s="1" t="s">
        <v>6920</v>
      </c>
      <c r="H953" s="1" t="s">
        <v>6921</v>
      </c>
      <c r="J953" s="1" t="s">
        <v>1324</v>
      </c>
      <c r="L953" s="1" t="s">
        <v>1325</v>
      </c>
      <c r="N953" s="1" t="s">
        <v>6317</v>
      </c>
      <c r="P953" s="1" t="s">
        <v>4176</v>
      </c>
      <c r="Q953" s="3">
        <v>0</v>
      </c>
      <c r="R953" s="22" t="s">
        <v>2721</v>
      </c>
      <c r="S953" s="42" t="s">
        <v>6910</v>
      </c>
      <c r="T953" s="3" t="s">
        <v>4868</v>
      </c>
      <c r="U953" s="45">
        <v>35</v>
      </c>
      <c r="V953" t="s">
        <v>6919</v>
      </c>
      <c r="W953" s="1" t="str">
        <f>HYPERLINK("http://ictvonline.org/taxonomy/p/taxonomy-history?taxnode_id=201900414","ICTVonline=201900414")</f>
        <v>ICTVonline=201900414</v>
      </c>
    </row>
    <row r="954" spans="1:23">
      <c r="A954" s="3">
        <v>953</v>
      </c>
      <c r="B954" s="1" t="s">
        <v>6915</v>
      </c>
      <c r="D954" s="1" t="s">
        <v>6916</v>
      </c>
      <c r="F954" s="1" t="s">
        <v>6920</v>
      </c>
      <c r="H954" s="1" t="s">
        <v>6921</v>
      </c>
      <c r="J954" s="1" t="s">
        <v>1324</v>
      </c>
      <c r="L954" s="1" t="s">
        <v>1325</v>
      </c>
      <c r="N954" s="1" t="s">
        <v>6317</v>
      </c>
      <c r="P954" s="1" t="s">
        <v>4177</v>
      </c>
      <c r="Q954" s="3">
        <v>0</v>
      </c>
      <c r="R954" s="22" t="s">
        <v>2721</v>
      </c>
      <c r="S954" s="42" t="s">
        <v>6910</v>
      </c>
      <c r="T954" s="3" t="s">
        <v>4868</v>
      </c>
      <c r="U954" s="45">
        <v>35</v>
      </c>
      <c r="V954" t="s">
        <v>6919</v>
      </c>
      <c r="W954" s="1" t="str">
        <f>HYPERLINK("http://ictvonline.org/taxonomy/p/taxonomy-history?taxnode_id=201900415","ICTVonline=201900415")</f>
        <v>ICTVonline=201900415</v>
      </c>
    </row>
    <row r="955" spans="1:23">
      <c r="A955" s="3">
        <v>954</v>
      </c>
      <c r="B955" s="1" t="s">
        <v>6915</v>
      </c>
      <c r="D955" s="1" t="s">
        <v>6916</v>
      </c>
      <c r="F955" s="1" t="s">
        <v>6920</v>
      </c>
      <c r="H955" s="1" t="s">
        <v>6921</v>
      </c>
      <c r="J955" s="1" t="s">
        <v>1324</v>
      </c>
      <c r="L955" s="1" t="s">
        <v>1325</v>
      </c>
      <c r="N955" s="1" t="s">
        <v>6317</v>
      </c>
      <c r="P955" s="1" t="s">
        <v>4178</v>
      </c>
      <c r="Q955" s="3">
        <v>0</v>
      </c>
      <c r="R955" s="22" t="s">
        <v>2721</v>
      </c>
      <c r="S955" s="42" t="s">
        <v>6910</v>
      </c>
      <c r="T955" s="3" t="s">
        <v>4868</v>
      </c>
      <c r="U955" s="45">
        <v>35</v>
      </c>
      <c r="V955" t="s">
        <v>6919</v>
      </c>
      <c r="W955" s="1" t="str">
        <f>HYPERLINK("http://ictvonline.org/taxonomy/p/taxonomy-history?taxnode_id=201900416","ICTVonline=201900416")</f>
        <v>ICTVonline=201900416</v>
      </c>
    </row>
    <row r="956" spans="1:23">
      <c r="A956" s="3">
        <v>955</v>
      </c>
      <c r="B956" s="1" t="s">
        <v>6915</v>
      </c>
      <c r="D956" s="1" t="s">
        <v>6916</v>
      </c>
      <c r="F956" s="1" t="s">
        <v>6920</v>
      </c>
      <c r="H956" s="1" t="s">
        <v>6921</v>
      </c>
      <c r="J956" s="1" t="s">
        <v>1324</v>
      </c>
      <c r="L956" s="1" t="s">
        <v>1325</v>
      </c>
      <c r="N956" s="1" t="s">
        <v>6317</v>
      </c>
      <c r="P956" s="1" t="s">
        <v>2858</v>
      </c>
      <c r="Q956" s="3">
        <v>1</v>
      </c>
      <c r="R956" s="22" t="s">
        <v>2721</v>
      </c>
      <c r="S956" s="42" t="s">
        <v>6910</v>
      </c>
      <c r="T956" s="3" t="s">
        <v>4868</v>
      </c>
      <c r="U956" s="45">
        <v>35</v>
      </c>
      <c r="V956" t="s">
        <v>6919</v>
      </c>
      <c r="W956" s="1" t="str">
        <f>HYPERLINK("http://ictvonline.org/taxonomy/p/taxonomy-history?taxnode_id=201900417","ICTVonline=201900417")</f>
        <v>ICTVonline=201900417</v>
      </c>
    </row>
    <row r="957" spans="1:23">
      <c r="A957" s="3">
        <v>956</v>
      </c>
      <c r="B957" s="1" t="s">
        <v>6915</v>
      </c>
      <c r="D957" s="1" t="s">
        <v>6916</v>
      </c>
      <c r="F957" s="1" t="s">
        <v>6920</v>
      </c>
      <c r="H957" s="1" t="s">
        <v>6921</v>
      </c>
      <c r="J957" s="1" t="s">
        <v>1324</v>
      </c>
      <c r="L957" s="1" t="s">
        <v>1325</v>
      </c>
      <c r="N957" s="1" t="s">
        <v>6317</v>
      </c>
      <c r="P957" s="1" t="s">
        <v>6318</v>
      </c>
      <c r="Q957" s="3">
        <v>0</v>
      </c>
      <c r="R957" s="22" t="s">
        <v>2721</v>
      </c>
      <c r="S957" s="42" t="s">
        <v>6910</v>
      </c>
      <c r="T957" s="3" t="s">
        <v>4868</v>
      </c>
      <c r="U957" s="45">
        <v>35</v>
      </c>
      <c r="V957" t="s">
        <v>6919</v>
      </c>
      <c r="W957" s="1" t="str">
        <f>HYPERLINK("http://ictvonline.org/taxonomy/p/taxonomy-history?taxnode_id=201906997","ICTVonline=201906997")</f>
        <v>ICTVonline=201906997</v>
      </c>
    </row>
    <row r="958" spans="1:23">
      <c r="A958" s="3">
        <v>957</v>
      </c>
      <c r="B958" s="1" t="s">
        <v>6915</v>
      </c>
      <c r="D958" s="1" t="s">
        <v>6916</v>
      </c>
      <c r="F958" s="1" t="s">
        <v>6920</v>
      </c>
      <c r="H958" s="1" t="s">
        <v>6921</v>
      </c>
      <c r="J958" s="1" t="s">
        <v>1324</v>
      </c>
      <c r="L958" s="1" t="s">
        <v>1325</v>
      </c>
      <c r="N958" s="1" t="s">
        <v>6317</v>
      </c>
      <c r="P958" s="1" t="s">
        <v>4179</v>
      </c>
      <c r="Q958" s="3">
        <v>0</v>
      </c>
      <c r="R958" s="22" t="s">
        <v>2721</v>
      </c>
      <c r="S958" s="42" t="s">
        <v>6910</v>
      </c>
      <c r="T958" s="3" t="s">
        <v>4868</v>
      </c>
      <c r="U958" s="45">
        <v>35</v>
      </c>
      <c r="V958" t="s">
        <v>6919</v>
      </c>
      <c r="W958" s="1" t="str">
        <f>HYPERLINK("http://ictvonline.org/taxonomy/p/taxonomy-history?taxnode_id=201900418","ICTVonline=201900418")</f>
        <v>ICTVonline=201900418</v>
      </c>
    </row>
    <row r="959" spans="1:23">
      <c r="A959" s="3">
        <v>958</v>
      </c>
      <c r="B959" s="1" t="s">
        <v>6915</v>
      </c>
      <c r="D959" s="1" t="s">
        <v>6916</v>
      </c>
      <c r="F959" s="1" t="s">
        <v>6920</v>
      </c>
      <c r="H959" s="1" t="s">
        <v>6921</v>
      </c>
      <c r="J959" s="1" t="s">
        <v>1324</v>
      </c>
      <c r="L959" s="1" t="s">
        <v>1325</v>
      </c>
      <c r="N959" s="1" t="s">
        <v>6317</v>
      </c>
      <c r="P959" s="1" t="s">
        <v>4180</v>
      </c>
      <c r="Q959" s="3">
        <v>0</v>
      </c>
      <c r="R959" s="22" t="s">
        <v>2721</v>
      </c>
      <c r="S959" s="42" t="s">
        <v>6910</v>
      </c>
      <c r="T959" s="3" t="s">
        <v>4868</v>
      </c>
      <c r="U959" s="45">
        <v>35</v>
      </c>
      <c r="V959" t="s">
        <v>6919</v>
      </c>
      <c r="W959" s="1" t="str">
        <f>HYPERLINK("http://ictvonline.org/taxonomy/p/taxonomy-history?taxnode_id=201900419","ICTVonline=201900419")</f>
        <v>ICTVonline=201900419</v>
      </c>
    </row>
    <row r="960" spans="1:23">
      <c r="A960" s="3">
        <v>959</v>
      </c>
      <c r="B960" s="1" t="s">
        <v>6915</v>
      </c>
      <c r="D960" s="1" t="s">
        <v>6916</v>
      </c>
      <c r="F960" s="1" t="s">
        <v>6920</v>
      </c>
      <c r="H960" s="1" t="s">
        <v>6921</v>
      </c>
      <c r="J960" s="1" t="s">
        <v>1324</v>
      </c>
      <c r="L960" s="1" t="s">
        <v>1325</v>
      </c>
      <c r="N960" s="1" t="s">
        <v>7600</v>
      </c>
      <c r="P960" s="1" t="s">
        <v>7601</v>
      </c>
      <c r="Q960" s="3">
        <v>1</v>
      </c>
      <c r="R960" s="22" t="s">
        <v>2721</v>
      </c>
      <c r="S960" s="42" t="s">
        <v>6914</v>
      </c>
      <c r="T960" s="3" t="s">
        <v>4866</v>
      </c>
      <c r="U960" s="45">
        <v>35</v>
      </c>
      <c r="V960" t="s">
        <v>7602</v>
      </c>
      <c r="W960" s="1" t="str">
        <f>HYPERLINK("http://ictvonline.org/taxonomy/p/taxonomy-history?taxnode_id=201908052","ICTVonline=201908052")</f>
        <v>ICTVonline=201908052</v>
      </c>
    </row>
    <row r="961" spans="1:23">
      <c r="A961" s="3">
        <v>960</v>
      </c>
      <c r="B961" s="1" t="s">
        <v>6915</v>
      </c>
      <c r="D961" s="1" t="s">
        <v>6916</v>
      </c>
      <c r="F961" s="1" t="s">
        <v>6920</v>
      </c>
      <c r="H961" s="1" t="s">
        <v>6921</v>
      </c>
      <c r="J961" s="1" t="s">
        <v>1324</v>
      </c>
      <c r="L961" s="1" t="s">
        <v>1325</v>
      </c>
      <c r="N961" s="1" t="s">
        <v>7603</v>
      </c>
      <c r="P961" s="1" t="s">
        <v>7604</v>
      </c>
      <c r="Q961" s="3">
        <v>0</v>
      </c>
      <c r="R961" s="22" t="s">
        <v>2721</v>
      </c>
      <c r="S961" s="42" t="s">
        <v>6914</v>
      </c>
      <c r="T961" s="3" t="s">
        <v>4866</v>
      </c>
      <c r="U961" s="45">
        <v>35</v>
      </c>
      <c r="V961" t="s">
        <v>7568</v>
      </c>
      <c r="W961" s="1" t="str">
        <f>HYPERLINK("http://ictvonline.org/taxonomy/p/taxonomy-history?taxnode_id=201907793","ICTVonline=201907793")</f>
        <v>ICTVonline=201907793</v>
      </c>
    </row>
    <row r="962" spans="1:23">
      <c r="A962" s="3">
        <v>961</v>
      </c>
      <c r="B962" s="1" t="s">
        <v>6915</v>
      </c>
      <c r="D962" s="1" t="s">
        <v>6916</v>
      </c>
      <c r="F962" s="1" t="s">
        <v>6920</v>
      </c>
      <c r="H962" s="1" t="s">
        <v>6921</v>
      </c>
      <c r="J962" s="1" t="s">
        <v>1324</v>
      </c>
      <c r="L962" s="1" t="s">
        <v>1325</v>
      </c>
      <c r="N962" s="1" t="s">
        <v>7603</v>
      </c>
      <c r="P962" s="1" t="s">
        <v>7605</v>
      </c>
      <c r="Q962" s="3">
        <v>1</v>
      </c>
      <c r="R962" s="22" t="s">
        <v>2721</v>
      </c>
      <c r="S962" s="42" t="s">
        <v>6914</v>
      </c>
      <c r="T962" s="3" t="s">
        <v>4866</v>
      </c>
      <c r="U962" s="45">
        <v>35</v>
      </c>
      <c r="V962" t="s">
        <v>7568</v>
      </c>
      <c r="W962" s="1" t="str">
        <f>HYPERLINK("http://ictvonline.org/taxonomy/p/taxonomy-history?taxnode_id=201907791","ICTVonline=201907791")</f>
        <v>ICTVonline=201907791</v>
      </c>
    </row>
    <row r="963" spans="1:23">
      <c r="A963" s="3">
        <v>962</v>
      </c>
      <c r="B963" s="1" t="s">
        <v>6915</v>
      </c>
      <c r="D963" s="1" t="s">
        <v>6916</v>
      </c>
      <c r="F963" s="1" t="s">
        <v>6920</v>
      </c>
      <c r="H963" s="1" t="s">
        <v>6921</v>
      </c>
      <c r="J963" s="1" t="s">
        <v>1324</v>
      </c>
      <c r="L963" s="1" t="s">
        <v>1325</v>
      </c>
      <c r="N963" s="1" t="s">
        <v>7603</v>
      </c>
      <c r="P963" s="1" t="s">
        <v>7606</v>
      </c>
      <c r="Q963" s="3">
        <v>0</v>
      </c>
      <c r="R963" s="22" t="s">
        <v>2721</v>
      </c>
      <c r="S963" s="42" t="s">
        <v>6914</v>
      </c>
      <c r="T963" s="3" t="s">
        <v>4866</v>
      </c>
      <c r="U963" s="45">
        <v>35</v>
      </c>
      <c r="V963" t="s">
        <v>7568</v>
      </c>
      <c r="W963" s="1" t="str">
        <f>HYPERLINK("http://ictvonline.org/taxonomy/p/taxonomy-history?taxnode_id=201907792","ICTVonline=201907792")</f>
        <v>ICTVonline=201907792</v>
      </c>
    </row>
    <row r="964" spans="1:23">
      <c r="A964" s="3">
        <v>963</v>
      </c>
      <c r="B964" s="1" t="s">
        <v>6915</v>
      </c>
      <c r="D964" s="1" t="s">
        <v>6916</v>
      </c>
      <c r="F964" s="1" t="s">
        <v>6920</v>
      </c>
      <c r="H964" s="1" t="s">
        <v>6921</v>
      </c>
      <c r="J964" s="1" t="s">
        <v>1324</v>
      </c>
      <c r="L964" s="1" t="s">
        <v>1325</v>
      </c>
      <c r="N964" s="1" t="s">
        <v>7603</v>
      </c>
      <c r="P964" s="1" t="s">
        <v>7607</v>
      </c>
      <c r="Q964" s="3">
        <v>0</v>
      </c>
      <c r="R964" s="22" t="s">
        <v>2721</v>
      </c>
      <c r="S964" s="42" t="s">
        <v>6914</v>
      </c>
      <c r="T964" s="3" t="s">
        <v>4866</v>
      </c>
      <c r="U964" s="45">
        <v>35</v>
      </c>
      <c r="V964" t="s">
        <v>7568</v>
      </c>
      <c r="W964" s="1" t="str">
        <f>HYPERLINK("http://ictvonline.org/taxonomy/p/taxonomy-history?taxnode_id=201907794","ICTVonline=201907794")</f>
        <v>ICTVonline=201907794</v>
      </c>
    </row>
    <row r="965" spans="1:23">
      <c r="A965" s="3">
        <v>964</v>
      </c>
      <c r="B965" s="1" t="s">
        <v>6915</v>
      </c>
      <c r="D965" s="1" t="s">
        <v>6916</v>
      </c>
      <c r="F965" s="1" t="s">
        <v>6920</v>
      </c>
      <c r="H965" s="1" t="s">
        <v>6921</v>
      </c>
      <c r="J965" s="1" t="s">
        <v>1324</v>
      </c>
      <c r="L965" s="1" t="s">
        <v>1325</v>
      </c>
      <c r="N965" s="1" t="s">
        <v>6319</v>
      </c>
      <c r="P965" s="1" t="s">
        <v>6320</v>
      </c>
      <c r="Q965" s="3">
        <v>1</v>
      </c>
      <c r="R965" s="22" t="s">
        <v>2721</v>
      </c>
      <c r="S965" s="42" t="s">
        <v>6910</v>
      </c>
      <c r="T965" s="3" t="s">
        <v>4868</v>
      </c>
      <c r="U965" s="45">
        <v>35</v>
      </c>
      <c r="V965" t="s">
        <v>6919</v>
      </c>
      <c r="W965" s="1" t="str">
        <f>HYPERLINK("http://ictvonline.org/taxonomy/p/taxonomy-history?taxnode_id=201906810","ICTVonline=201906810")</f>
        <v>ICTVonline=201906810</v>
      </c>
    </row>
    <row r="966" spans="1:23">
      <c r="A966" s="3">
        <v>965</v>
      </c>
      <c r="B966" s="1" t="s">
        <v>6915</v>
      </c>
      <c r="D966" s="1" t="s">
        <v>6916</v>
      </c>
      <c r="F966" s="1" t="s">
        <v>6920</v>
      </c>
      <c r="H966" s="1" t="s">
        <v>6921</v>
      </c>
      <c r="J966" s="1" t="s">
        <v>1324</v>
      </c>
      <c r="L966" s="1" t="s">
        <v>1325</v>
      </c>
      <c r="N966" s="1" t="s">
        <v>6321</v>
      </c>
      <c r="P966" s="1" t="s">
        <v>6322</v>
      </c>
      <c r="Q966" s="3">
        <v>1</v>
      </c>
      <c r="R966" s="22" t="s">
        <v>2721</v>
      </c>
      <c r="S966" s="42" t="s">
        <v>6910</v>
      </c>
      <c r="T966" s="3" t="s">
        <v>4868</v>
      </c>
      <c r="U966" s="45">
        <v>35</v>
      </c>
      <c r="V966" t="s">
        <v>6919</v>
      </c>
      <c r="W966" s="1" t="str">
        <f>HYPERLINK("http://ictvonline.org/taxonomy/p/taxonomy-history?taxnode_id=201906812","ICTVonline=201906812")</f>
        <v>ICTVonline=201906812</v>
      </c>
    </row>
    <row r="967" spans="1:23">
      <c r="A967" s="3">
        <v>966</v>
      </c>
      <c r="B967" s="1" t="s">
        <v>6915</v>
      </c>
      <c r="D967" s="1" t="s">
        <v>6916</v>
      </c>
      <c r="F967" s="1" t="s">
        <v>6920</v>
      </c>
      <c r="H967" s="1" t="s">
        <v>6921</v>
      </c>
      <c r="J967" s="1" t="s">
        <v>1324</v>
      </c>
      <c r="L967" s="1" t="s">
        <v>1325</v>
      </c>
      <c r="N967" s="1" t="s">
        <v>7608</v>
      </c>
      <c r="P967" s="1" t="s">
        <v>7609</v>
      </c>
      <c r="Q967" s="3">
        <v>1</v>
      </c>
      <c r="R967" s="22" t="s">
        <v>2721</v>
      </c>
      <c r="S967" s="42" t="s">
        <v>6914</v>
      </c>
      <c r="T967" s="3" t="s">
        <v>4866</v>
      </c>
      <c r="U967" s="45">
        <v>35</v>
      </c>
      <c r="V967" t="s">
        <v>7573</v>
      </c>
      <c r="W967" s="1" t="str">
        <f>HYPERLINK("http://ictvonline.org/taxonomy/p/taxonomy-history?taxnode_id=201907928","ICTVonline=201907928")</f>
        <v>ICTVonline=201907928</v>
      </c>
    </row>
    <row r="968" spans="1:23">
      <c r="A968" s="3">
        <v>967</v>
      </c>
      <c r="B968" s="1" t="s">
        <v>6915</v>
      </c>
      <c r="D968" s="1" t="s">
        <v>6916</v>
      </c>
      <c r="F968" s="1" t="s">
        <v>6920</v>
      </c>
      <c r="H968" s="1" t="s">
        <v>6921</v>
      </c>
      <c r="J968" s="1" t="s">
        <v>1324</v>
      </c>
      <c r="L968" s="1" t="s">
        <v>1325</v>
      </c>
      <c r="N968" s="1" t="s">
        <v>7608</v>
      </c>
      <c r="P968" s="1" t="s">
        <v>7610</v>
      </c>
      <c r="Q968" s="3">
        <v>0</v>
      </c>
      <c r="R968" s="22" t="s">
        <v>2721</v>
      </c>
      <c r="S968" s="42" t="s">
        <v>6914</v>
      </c>
      <c r="T968" s="3" t="s">
        <v>4866</v>
      </c>
      <c r="U968" s="45">
        <v>35</v>
      </c>
      <c r="V968" t="s">
        <v>7573</v>
      </c>
      <c r="W968" s="1" t="str">
        <f>HYPERLINK("http://ictvonline.org/taxonomy/p/taxonomy-history?taxnode_id=201907929","ICTVonline=201907929")</f>
        <v>ICTVonline=201907929</v>
      </c>
    </row>
    <row r="969" spans="1:23">
      <c r="A969" s="3">
        <v>968</v>
      </c>
      <c r="B969" s="1" t="s">
        <v>6915</v>
      </c>
      <c r="D969" s="1" t="s">
        <v>6916</v>
      </c>
      <c r="F969" s="1" t="s">
        <v>6920</v>
      </c>
      <c r="H969" s="1" t="s">
        <v>6921</v>
      </c>
      <c r="J969" s="1" t="s">
        <v>1324</v>
      </c>
      <c r="L969" s="1" t="s">
        <v>1325</v>
      </c>
      <c r="N969" s="1" t="s">
        <v>6323</v>
      </c>
      <c r="P969" s="1" t="s">
        <v>6324</v>
      </c>
      <c r="Q969" s="3">
        <v>1</v>
      </c>
      <c r="R969" s="22" t="s">
        <v>2721</v>
      </c>
      <c r="S969" s="42" t="s">
        <v>6910</v>
      </c>
      <c r="T969" s="3" t="s">
        <v>4868</v>
      </c>
      <c r="U969" s="45">
        <v>35</v>
      </c>
      <c r="V969" t="s">
        <v>6919</v>
      </c>
      <c r="W969" s="1" t="str">
        <f>HYPERLINK("http://ictvonline.org/taxonomy/p/taxonomy-history?taxnode_id=201906814","ICTVonline=201906814")</f>
        <v>ICTVonline=201906814</v>
      </c>
    </row>
    <row r="970" spans="1:23">
      <c r="A970" s="3">
        <v>969</v>
      </c>
      <c r="B970" s="1" t="s">
        <v>6915</v>
      </c>
      <c r="D970" s="1" t="s">
        <v>6916</v>
      </c>
      <c r="F970" s="1" t="s">
        <v>6920</v>
      </c>
      <c r="H970" s="1" t="s">
        <v>6921</v>
      </c>
      <c r="J970" s="1" t="s">
        <v>1324</v>
      </c>
      <c r="L970" s="1" t="s">
        <v>1325</v>
      </c>
      <c r="N970" s="1" t="s">
        <v>7611</v>
      </c>
      <c r="P970" s="1" t="s">
        <v>7612</v>
      </c>
      <c r="Q970" s="3">
        <v>1</v>
      </c>
      <c r="R970" s="22" t="s">
        <v>2721</v>
      </c>
      <c r="S970" s="42" t="s">
        <v>6910</v>
      </c>
      <c r="T970" s="3" t="s">
        <v>4866</v>
      </c>
      <c r="U970" s="45">
        <v>35</v>
      </c>
      <c r="V970" t="s">
        <v>7579</v>
      </c>
      <c r="W970" s="1" t="str">
        <f>HYPERLINK("http://ictvonline.org/taxonomy/p/taxonomy-history?taxnode_id=201907774","ICTVonline=201907774")</f>
        <v>ICTVonline=201907774</v>
      </c>
    </row>
    <row r="971" spans="1:23">
      <c r="A971" s="3">
        <v>970</v>
      </c>
      <c r="B971" s="1" t="s">
        <v>6915</v>
      </c>
      <c r="D971" s="1" t="s">
        <v>6916</v>
      </c>
      <c r="F971" s="1" t="s">
        <v>6920</v>
      </c>
      <c r="H971" s="1" t="s">
        <v>6921</v>
      </c>
      <c r="J971" s="1" t="s">
        <v>1324</v>
      </c>
      <c r="L971" s="1" t="s">
        <v>1325</v>
      </c>
      <c r="N971" s="1" t="s">
        <v>6325</v>
      </c>
      <c r="P971" s="1" t="s">
        <v>4196</v>
      </c>
      <c r="Q971" s="3">
        <v>0</v>
      </c>
      <c r="R971" s="22" t="s">
        <v>2721</v>
      </c>
      <c r="S971" s="42" t="s">
        <v>6910</v>
      </c>
      <c r="T971" s="3" t="s">
        <v>4868</v>
      </c>
      <c r="U971" s="45">
        <v>35</v>
      </c>
      <c r="V971" t="s">
        <v>6919</v>
      </c>
      <c r="W971" s="1" t="str">
        <f>HYPERLINK("http://ictvonline.org/taxonomy/p/taxonomy-history?taxnode_id=201900493","ICTVonline=201900493")</f>
        <v>ICTVonline=201900493</v>
      </c>
    </row>
    <row r="972" spans="1:23">
      <c r="A972" s="3">
        <v>971</v>
      </c>
      <c r="B972" s="1" t="s">
        <v>6915</v>
      </c>
      <c r="D972" s="1" t="s">
        <v>6916</v>
      </c>
      <c r="F972" s="1" t="s">
        <v>6920</v>
      </c>
      <c r="H972" s="1" t="s">
        <v>6921</v>
      </c>
      <c r="J972" s="1" t="s">
        <v>1324</v>
      </c>
      <c r="L972" s="1" t="s">
        <v>1325</v>
      </c>
      <c r="N972" s="1" t="s">
        <v>6325</v>
      </c>
      <c r="P972" s="1" t="s">
        <v>4197</v>
      </c>
      <c r="Q972" s="3">
        <v>1</v>
      </c>
      <c r="R972" s="22" t="s">
        <v>2721</v>
      </c>
      <c r="S972" s="42" t="s">
        <v>6910</v>
      </c>
      <c r="T972" s="3" t="s">
        <v>4868</v>
      </c>
      <c r="U972" s="45">
        <v>35</v>
      </c>
      <c r="V972" t="s">
        <v>6919</v>
      </c>
      <c r="W972" s="1" t="str">
        <f>HYPERLINK("http://ictvonline.org/taxonomy/p/taxonomy-history?taxnode_id=201900494","ICTVonline=201900494")</f>
        <v>ICTVonline=201900494</v>
      </c>
    </row>
    <row r="973" spans="1:23">
      <c r="A973" s="3">
        <v>972</v>
      </c>
      <c r="B973" s="1" t="s">
        <v>6915</v>
      </c>
      <c r="D973" s="1" t="s">
        <v>6916</v>
      </c>
      <c r="F973" s="1" t="s">
        <v>6920</v>
      </c>
      <c r="H973" s="1" t="s">
        <v>6921</v>
      </c>
      <c r="J973" s="1" t="s">
        <v>1324</v>
      </c>
      <c r="L973" s="1" t="s">
        <v>1325</v>
      </c>
      <c r="N973" s="1" t="s">
        <v>7613</v>
      </c>
      <c r="P973" s="1" t="s">
        <v>7614</v>
      </c>
      <c r="Q973" s="3">
        <v>1</v>
      </c>
      <c r="R973" s="22" t="s">
        <v>2721</v>
      </c>
      <c r="S973" s="42" t="s">
        <v>6910</v>
      </c>
      <c r="T973" s="3" t="s">
        <v>4866</v>
      </c>
      <c r="U973" s="45">
        <v>35</v>
      </c>
      <c r="V973" t="s">
        <v>7579</v>
      </c>
      <c r="W973" s="1" t="str">
        <f>HYPERLINK("http://ictvonline.org/taxonomy/p/taxonomy-history?taxnode_id=201907776","ICTVonline=201907776")</f>
        <v>ICTVonline=201907776</v>
      </c>
    </row>
    <row r="974" spans="1:23">
      <c r="A974" s="3">
        <v>973</v>
      </c>
      <c r="B974" s="1" t="s">
        <v>6915</v>
      </c>
      <c r="D974" s="1" t="s">
        <v>6916</v>
      </c>
      <c r="F974" s="1" t="s">
        <v>6920</v>
      </c>
      <c r="H974" s="1" t="s">
        <v>6921</v>
      </c>
      <c r="J974" s="1" t="s">
        <v>1324</v>
      </c>
      <c r="L974" s="1" t="s">
        <v>1325</v>
      </c>
      <c r="N974" s="1" t="s">
        <v>7615</v>
      </c>
      <c r="P974" s="1" t="s">
        <v>7616</v>
      </c>
      <c r="Q974" s="3">
        <v>1</v>
      </c>
      <c r="R974" s="22" t="s">
        <v>2721</v>
      </c>
      <c r="S974" s="42" t="s">
        <v>6914</v>
      </c>
      <c r="T974" s="3" t="s">
        <v>4866</v>
      </c>
      <c r="U974" s="45">
        <v>35</v>
      </c>
      <c r="V974" t="s">
        <v>7617</v>
      </c>
      <c r="W974" s="1" t="str">
        <f>HYPERLINK("http://ictvonline.org/taxonomy/p/taxonomy-history?taxnode_id=201907837","ICTVonline=201907837")</f>
        <v>ICTVonline=201907837</v>
      </c>
    </row>
    <row r="975" spans="1:23">
      <c r="A975" s="3">
        <v>974</v>
      </c>
      <c r="B975" s="1" t="s">
        <v>6915</v>
      </c>
      <c r="D975" s="1" t="s">
        <v>6916</v>
      </c>
      <c r="F975" s="1" t="s">
        <v>6920</v>
      </c>
      <c r="H975" s="1" t="s">
        <v>6921</v>
      </c>
      <c r="J975" s="1" t="s">
        <v>1324</v>
      </c>
      <c r="L975" s="1" t="s">
        <v>1325</v>
      </c>
      <c r="N975" s="1" t="s">
        <v>4061</v>
      </c>
      <c r="P975" s="1" t="s">
        <v>2912</v>
      </c>
      <c r="Q975" s="3">
        <v>1</v>
      </c>
      <c r="R975" s="22" t="s">
        <v>2721</v>
      </c>
      <c r="S975" s="42" t="s">
        <v>6910</v>
      </c>
      <c r="T975" s="3" t="s">
        <v>4868</v>
      </c>
      <c r="U975" s="45">
        <v>35</v>
      </c>
      <c r="V975" t="s">
        <v>6919</v>
      </c>
      <c r="W975" s="1" t="str">
        <f>HYPERLINK("http://ictvonline.org/taxonomy/p/taxonomy-history?taxnode_id=201900432","ICTVonline=201900432")</f>
        <v>ICTVonline=201900432</v>
      </c>
    </row>
    <row r="976" spans="1:23">
      <c r="A976" s="3">
        <v>975</v>
      </c>
      <c r="B976" s="1" t="s">
        <v>6915</v>
      </c>
      <c r="D976" s="1" t="s">
        <v>6916</v>
      </c>
      <c r="F976" s="1" t="s">
        <v>6920</v>
      </c>
      <c r="H976" s="1" t="s">
        <v>6921</v>
      </c>
      <c r="J976" s="1" t="s">
        <v>1324</v>
      </c>
      <c r="L976" s="1" t="s">
        <v>1325</v>
      </c>
      <c r="N976" s="1" t="s">
        <v>6326</v>
      </c>
      <c r="P976" s="1" t="s">
        <v>4184</v>
      </c>
      <c r="Q976" s="3">
        <v>0</v>
      </c>
      <c r="R976" s="22" t="s">
        <v>2721</v>
      </c>
      <c r="S976" s="42" t="s">
        <v>6910</v>
      </c>
      <c r="T976" s="3" t="s">
        <v>4868</v>
      </c>
      <c r="U976" s="45">
        <v>35</v>
      </c>
      <c r="V976" t="s">
        <v>6919</v>
      </c>
      <c r="W976" s="1" t="str">
        <f>HYPERLINK("http://ictvonline.org/taxonomy/p/taxonomy-history?taxnode_id=201900444","ICTVonline=201900444")</f>
        <v>ICTVonline=201900444</v>
      </c>
    </row>
    <row r="977" spans="1:23">
      <c r="A977" s="3">
        <v>976</v>
      </c>
      <c r="B977" s="1" t="s">
        <v>6915</v>
      </c>
      <c r="D977" s="1" t="s">
        <v>6916</v>
      </c>
      <c r="F977" s="1" t="s">
        <v>6920</v>
      </c>
      <c r="H977" s="1" t="s">
        <v>6921</v>
      </c>
      <c r="J977" s="1" t="s">
        <v>1324</v>
      </c>
      <c r="L977" s="1" t="s">
        <v>1325</v>
      </c>
      <c r="N977" s="1" t="s">
        <v>6326</v>
      </c>
      <c r="P977" s="1" t="s">
        <v>4185</v>
      </c>
      <c r="Q977" s="3">
        <v>1</v>
      </c>
      <c r="R977" s="22" t="s">
        <v>2721</v>
      </c>
      <c r="S977" s="42" t="s">
        <v>6910</v>
      </c>
      <c r="T977" s="3" t="s">
        <v>4868</v>
      </c>
      <c r="U977" s="45">
        <v>35</v>
      </c>
      <c r="V977" t="s">
        <v>6919</v>
      </c>
      <c r="W977" s="1" t="str">
        <f>HYPERLINK("http://ictvonline.org/taxonomy/p/taxonomy-history?taxnode_id=201900445","ICTVonline=201900445")</f>
        <v>ICTVonline=201900445</v>
      </c>
    </row>
    <row r="978" spans="1:23">
      <c r="A978" s="3">
        <v>977</v>
      </c>
      <c r="B978" s="1" t="s">
        <v>6915</v>
      </c>
      <c r="D978" s="1" t="s">
        <v>6916</v>
      </c>
      <c r="F978" s="1" t="s">
        <v>6920</v>
      </c>
      <c r="H978" s="1" t="s">
        <v>6921</v>
      </c>
      <c r="J978" s="1" t="s">
        <v>1324</v>
      </c>
      <c r="L978" s="1" t="s">
        <v>1325</v>
      </c>
      <c r="N978" s="1" t="s">
        <v>6326</v>
      </c>
      <c r="P978" s="1" t="s">
        <v>4186</v>
      </c>
      <c r="Q978" s="3">
        <v>0</v>
      </c>
      <c r="R978" s="22" t="s">
        <v>2721</v>
      </c>
      <c r="S978" s="42" t="s">
        <v>6910</v>
      </c>
      <c r="T978" s="3" t="s">
        <v>4868</v>
      </c>
      <c r="U978" s="45">
        <v>35</v>
      </c>
      <c r="V978" t="s">
        <v>6919</v>
      </c>
      <c r="W978" s="1" t="str">
        <f>HYPERLINK("http://ictvonline.org/taxonomy/p/taxonomy-history?taxnode_id=201900446","ICTVonline=201900446")</f>
        <v>ICTVonline=201900446</v>
      </c>
    </row>
    <row r="979" spans="1:23">
      <c r="A979" s="3">
        <v>978</v>
      </c>
      <c r="B979" s="1" t="s">
        <v>6915</v>
      </c>
      <c r="D979" s="1" t="s">
        <v>6916</v>
      </c>
      <c r="F979" s="1" t="s">
        <v>6920</v>
      </c>
      <c r="H979" s="1" t="s">
        <v>6921</v>
      </c>
      <c r="J979" s="1" t="s">
        <v>1324</v>
      </c>
      <c r="L979" s="1" t="s">
        <v>1325</v>
      </c>
      <c r="N979" s="1" t="s">
        <v>6327</v>
      </c>
      <c r="P979" s="1" t="s">
        <v>6328</v>
      </c>
      <c r="Q979" s="3">
        <v>1</v>
      </c>
      <c r="R979" s="22" t="s">
        <v>2721</v>
      </c>
      <c r="S979" s="42" t="s">
        <v>6910</v>
      </c>
      <c r="T979" s="3" t="s">
        <v>4868</v>
      </c>
      <c r="U979" s="45">
        <v>35</v>
      </c>
      <c r="V979" t="s">
        <v>6919</v>
      </c>
      <c r="W979" s="1" t="str">
        <f>HYPERLINK("http://ictvonline.org/taxonomy/p/taxonomy-history?taxnode_id=201906669","ICTVonline=201906669")</f>
        <v>ICTVonline=201906669</v>
      </c>
    </row>
    <row r="980" spans="1:23">
      <c r="A980" s="3">
        <v>979</v>
      </c>
      <c r="B980" s="1" t="s">
        <v>6915</v>
      </c>
      <c r="D980" s="1" t="s">
        <v>6916</v>
      </c>
      <c r="F980" s="1" t="s">
        <v>6920</v>
      </c>
      <c r="H980" s="1" t="s">
        <v>6921</v>
      </c>
      <c r="J980" s="1" t="s">
        <v>1324</v>
      </c>
      <c r="L980" s="1" t="s">
        <v>1325</v>
      </c>
      <c r="N980" s="1" t="s">
        <v>6327</v>
      </c>
      <c r="P980" s="1" t="s">
        <v>6329</v>
      </c>
      <c r="Q980" s="3">
        <v>0</v>
      </c>
      <c r="R980" s="22" t="s">
        <v>2721</v>
      </c>
      <c r="S980" s="42" t="s">
        <v>6910</v>
      </c>
      <c r="T980" s="3" t="s">
        <v>4868</v>
      </c>
      <c r="U980" s="45">
        <v>35</v>
      </c>
      <c r="V980" t="s">
        <v>6919</v>
      </c>
      <c r="W980" s="1" t="str">
        <f>HYPERLINK("http://ictvonline.org/taxonomy/p/taxonomy-history?taxnode_id=201906670","ICTVonline=201906670")</f>
        <v>ICTVonline=201906670</v>
      </c>
    </row>
    <row r="981" spans="1:23">
      <c r="A981" s="3">
        <v>980</v>
      </c>
      <c r="B981" s="1" t="s">
        <v>6915</v>
      </c>
      <c r="D981" s="1" t="s">
        <v>6916</v>
      </c>
      <c r="F981" s="1" t="s">
        <v>6920</v>
      </c>
      <c r="H981" s="1" t="s">
        <v>6921</v>
      </c>
      <c r="J981" s="1" t="s">
        <v>1324</v>
      </c>
      <c r="L981" s="1" t="s">
        <v>1325</v>
      </c>
      <c r="N981" s="1" t="s">
        <v>7618</v>
      </c>
      <c r="P981" s="1" t="s">
        <v>7619</v>
      </c>
      <c r="Q981" s="3">
        <v>1</v>
      </c>
      <c r="R981" s="22" t="s">
        <v>2721</v>
      </c>
      <c r="S981" s="42" t="s">
        <v>6914</v>
      </c>
      <c r="T981" s="3" t="s">
        <v>4866</v>
      </c>
      <c r="U981" s="45">
        <v>35</v>
      </c>
      <c r="V981" t="s">
        <v>7602</v>
      </c>
      <c r="W981" s="1" t="str">
        <f>HYPERLINK("http://ictvonline.org/taxonomy/p/taxonomy-history?taxnode_id=201908048","ICTVonline=201908048")</f>
        <v>ICTVonline=201908048</v>
      </c>
    </row>
    <row r="982" spans="1:23">
      <c r="A982" s="3">
        <v>981</v>
      </c>
      <c r="B982" s="1" t="s">
        <v>6915</v>
      </c>
      <c r="D982" s="1" t="s">
        <v>6916</v>
      </c>
      <c r="F982" s="1" t="s">
        <v>6920</v>
      </c>
      <c r="H982" s="1" t="s">
        <v>6921</v>
      </c>
      <c r="J982" s="1" t="s">
        <v>1324</v>
      </c>
      <c r="L982" s="1" t="s">
        <v>1325</v>
      </c>
      <c r="N982" s="1" t="s">
        <v>6330</v>
      </c>
      <c r="P982" s="1" t="s">
        <v>4950</v>
      </c>
      <c r="Q982" s="3">
        <v>0</v>
      </c>
      <c r="R982" s="22" t="s">
        <v>2721</v>
      </c>
      <c r="S982" s="42" t="s">
        <v>6910</v>
      </c>
      <c r="T982" s="3" t="s">
        <v>4868</v>
      </c>
      <c r="U982" s="45">
        <v>35</v>
      </c>
      <c r="V982" t="s">
        <v>6919</v>
      </c>
      <c r="W982" s="1" t="str">
        <f>HYPERLINK("http://ictvonline.org/taxonomy/p/taxonomy-history?taxnode_id=201905480","ICTVonline=201905480")</f>
        <v>ICTVonline=201905480</v>
      </c>
    </row>
    <row r="983" spans="1:23">
      <c r="A983" s="3">
        <v>982</v>
      </c>
      <c r="B983" s="1" t="s">
        <v>6915</v>
      </c>
      <c r="D983" s="1" t="s">
        <v>6916</v>
      </c>
      <c r="F983" s="1" t="s">
        <v>6920</v>
      </c>
      <c r="H983" s="1" t="s">
        <v>6921</v>
      </c>
      <c r="J983" s="1" t="s">
        <v>1324</v>
      </c>
      <c r="L983" s="1" t="s">
        <v>1325</v>
      </c>
      <c r="N983" s="1" t="s">
        <v>6330</v>
      </c>
      <c r="P983" s="1" t="s">
        <v>4951</v>
      </c>
      <c r="Q983" s="3">
        <v>1</v>
      </c>
      <c r="R983" s="22" t="s">
        <v>2721</v>
      </c>
      <c r="S983" s="42" t="s">
        <v>6910</v>
      </c>
      <c r="T983" s="3" t="s">
        <v>4868</v>
      </c>
      <c r="U983" s="45">
        <v>35</v>
      </c>
      <c r="V983" t="s">
        <v>6919</v>
      </c>
      <c r="W983" s="1" t="str">
        <f>HYPERLINK("http://ictvonline.org/taxonomy/p/taxonomy-history?taxnode_id=201905481","ICTVonline=201905481")</f>
        <v>ICTVonline=201905481</v>
      </c>
    </row>
    <row r="984" spans="1:23">
      <c r="A984" s="3">
        <v>983</v>
      </c>
      <c r="B984" s="1" t="s">
        <v>6915</v>
      </c>
      <c r="D984" s="1" t="s">
        <v>6916</v>
      </c>
      <c r="F984" s="1" t="s">
        <v>6920</v>
      </c>
      <c r="H984" s="1" t="s">
        <v>6921</v>
      </c>
      <c r="J984" s="1" t="s">
        <v>1324</v>
      </c>
      <c r="L984" s="1" t="s">
        <v>1325</v>
      </c>
      <c r="N984" s="1" t="s">
        <v>7620</v>
      </c>
      <c r="P984" s="1" t="s">
        <v>7621</v>
      </c>
      <c r="Q984" s="3">
        <v>0</v>
      </c>
      <c r="R984" s="22" t="s">
        <v>2721</v>
      </c>
      <c r="S984" s="42" t="s">
        <v>6910</v>
      </c>
      <c r="T984" s="3" t="s">
        <v>4866</v>
      </c>
      <c r="U984" s="45">
        <v>35</v>
      </c>
      <c r="V984" t="s">
        <v>7579</v>
      </c>
      <c r="W984" s="1" t="str">
        <f>HYPERLINK("http://ictvonline.org/taxonomy/p/taxonomy-history?taxnode_id=201907779","ICTVonline=201907779")</f>
        <v>ICTVonline=201907779</v>
      </c>
    </row>
    <row r="985" spans="1:23">
      <c r="A985" s="3">
        <v>984</v>
      </c>
      <c r="B985" s="1" t="s">
        <v>6915</v>
      </c>
      <c r="D985" s="1" t="s">
        <v>6916</v>
      </c>
      <c r="F985" s="1" t="s">
        <v>6920</v>
      </c>
      <c r="H985" s="1" t="s">
        <v>6921</v>
      </c>
      <c r="J985" s="1" t="s">
        <v>1324</v>
      </c>
      <c r="L985" s="1" t="s">
        <v>1325</v>
      </c>
      <c r="N985" s="1" t="s">
        <v>7620</v>
      </c>
      <c r="P985" s="1" t="s">
        <v>7622</v>
      </c>
      <c r="Q985" s="3">
        <v>1</v>
      </c>
      <c r="R985" s="22" t="s">
        <v>2721</v>
      </c>
      <c r="S985" s="42" t="s">
        <v>6910</v>
      </c>
      <c r="T985" s="3" t="s">
        <v>4866</v>
      </c>
      <c r="U985" s="45">
        <v>35</v>
      </c>
      <c r="V985" t="s">
        <v>7579</v>
      </c>
      <c r="W985" s="1" t="str">
        <f>HYPERLINK("http://ictvonline.org/taxonomy/p/taxonomy-history?taxnode_id=201907778","ICTVonline=201907778")</f>
        <v>ICTVonline=201907778</v>
      </c>
    </row>
    <row r="986" spans="1:23">
      <c r="A986" s="3">
        <v>985</v>
      </c>
      <c r="B986" s="1" t="s">
        <v>6915</v>
      </c>
      <c r="D986" s="1" t="s">
        <v>6916</v>
      </c>
      <c r="F986" s="1" t="s">
        <v>6920</v>
      </c>
      <c r="H986" s="1" t="s">
        <v>6921</v>
      </c>
      <c r="J986" s="1" t="s">
        <v>1324</v>
      </c>
      <c r="L986" s="1" t="s">
        <v>1325</v>
      </c>
      <c r="N986" s="1" t="s">
        <v>7620</v>
      </c>
      <c r="P986" s="1" t="s">
        <v>7623</v>
      </c>
      <c r="Q986" s="3">
        <v>0</v>
      </c>
      <c r="R986" s="22" t="s">
        <v>2721</v>
      </c>
      <c r="S986" s="42" t="s">
        <v>6910</v>
      </c>
      <c r="T986" s="3" t="s">
        <v>4866</v>
      </c>
      <c r="U986" s="45">
        <v>35</v>
      </c>
      <c r="V986" t="s">
        <v>7579</v>
      </c>
      <c r="W986" s="1" t="str">
        <f>HYPERLINK("http://ictvonline.org/taxonomy/p/taxonomy-history?taxnode_id=201907780","ICTVonline=201907780")</f>
        <v>ICTVonline=201907780</v>
      </c>
    </row>
    <row r="987" spans="1:23">
      <c r="A987" s="3">
        <v>986</v>
      </c>
      <c r="B987" s="1" t="s">
        <v>6915</v>
      </c>
      <c r="D987" s="1" t="s">
        <v>6916</v>
      </c>
      <c r="F987" s="1" t="s">
        <v>6920</v>
      </c>
      <c r="H987" s="1" t="s">
        <v>6921</v>
      </c>
      <c r="J987" s="1" t="s">
        <v>1324</v>
      </c>
      <c r="L987" s="1" t="s">
        <v>1325</v>
      </c>
      <c r="N987" s="1" t="s">
        <v>6331</v>
      </c>
      <c r="P987" s="1" t="s">
        <v>6332</v>
      </c>
      <c r="Q987" s="3">
        <v>0</v>
      </c>
      <c r="R987" s="22" t="s">
        <v>2721</v>
      </c>
      <c r="S987" s="42" t="s">
        <v>6910</v>
      </c>
      <c r="T987" s="3" t="s">
        <v>4868</v>
      </c>
      <c r="U987" s="45">
        <v>35</v>
      </c>
      <c r="V987" t="s">
        <v>6919</v>
      </c>
      <c r="W987" s="1" t="str">
        <f>HYPERLINK("http://ictvonline.org/taxonomy/p/taxonomy-history?taxnode_id=201906949","ICTVonline=201906949")</f>
        <v>ICTVonline=201906949</v>
      </c>
    </row>
    <row r="988" spans="1:23">
      <c r="A988" s="3">
        <v>987</v>
      </c>
      <c r="B988" s="1" t="s">
        <v>6915</v>
      </c>
      <c r="D988" s="1" t="s">
        <v>6916</v>
      </c>
      <c r="F988" s="1" t="s">
        <v>6920</v>
      </c>
      <c r="H988" s="1" t="s">
        <v>6921</v>
      </c>
      <c r="J988" s="1" t="s">
        <v>1324</v>
      </c>
      <c r="L988" s="1" t="s">
        <v>1325</v>
      </c>
      <c r="N988" s="1" t="s">
        <v>6331</v>
      </c>
      <c r="P988" s="1" t="s">
        <v>6333</v>
      </c>
      <c r="Q988" s="3">
        <v>1</v>
      </c>
      <c r="R988" s="22" t="s">
        <v>2721</v>
      </c>
      <c r="S988" s="42" t="s">
        <v>6910</v>
      </c>
      <c r="T988" s="3" t="s">
        <v>4868</v>
      </c>
      <c r="U988" s="45">
        <v>35</v>
      </c>
      <c r="V988" t="s">
        <v>6919</v>
      </c>
      <c r="W988" s="1" t="str">
        <f>HYPERLINK("http://ictvonline.org/taxonomy/p/taxonomy-history?taxnode_id=201906950","ICTVonline=201906950")</f>
        <v>ICTVonline=201906950</v>
      </c>
    </row>
    <row r="989" spans="1:23">
      <c r="A989" s="3">
        <v>988</v>
      </c>
      <c r="B989" s="1" t="s">
        <v>6915</v>
      </c>
      <c r="D989" s="1" t="s">
        <v>6916</v>
      </c>
      <c r="F989" s="1" t="s">
        <v>6920</v>
      </c>
      <c r="H989" s="1" t="s">
        <v>6921</v>
      </c>
      <c r="J989" s="1" t="s">
        <v>1324</v>
      </c>
      <c r="L989" s="1" t="s">
        <v>1325</v>
      </c>
      <c r="N989" s="1" t="s">
        <v>6334</v>
      </c>
      <c r="P989" s="1" t="s">
        <v>6335</v>
      </c>
      <c r="Q989" s="3">
        <v>0</v>
      </c>
      <c r="R989" s="22" t="s">
        <v>2721</v>
      </c>
      <c r="S989" s="42" t="s">
        <v>6910</v>
      </c>
      <c r="T989" s="3" t="s">
        <v>4868</v>
      </c>
      <c r="U989" s="45">
        <v>35</v>
      </c>
      <c r="V989" t="s">
        <v>6919</v>
      </c>
      <c r="W989" s="1" t="str">
        <f>HYPERLINK("http://ictvonline.org/taxonomy/p/taxonomy-history?taxnode_id=201906824","ICTVonline=201906824")</f>
        <v>ICTVonline=201906824</v>
      </c>
    </row>
    <row r="990" spans="1:23">
      <c r="A990" s="3">
        <v>989</v>
      </c>
      <c r="B990" s="1" t="s">
        <v>6915</v>
      </c>
      <c r="D990" s="1" t="s">
        <v>6916</v>
      </c>
      <c r="F990" s="1" t="s">
        <v>6920</v>
      </c>
      <c r="H990" s="1" t="s">
        <v>6921</v>
      </c>
      <c r="J990" s="1" t="s">
        <v>1324</v>
      </c>
      <c r="L990" s="1" t="s">
        <v>1325</v>
      </c>
      <c r="N990" s="1" t="s">
        <v>6334</v>
      </c>
      <c r="P990" s="1" t="s">
        <v>6336</v>
      </c>
      <c r="Q990" s="3">
        <v>1</v>
      </c>
      <c r="R990" s="22" t="s">
        <v>2721</v>
      </c>
      <c r="S990" s="42" t="s">
        <v>6910</v>
      </c>
      <c r="T990" s="3" t="s">
        <v>4868</v>
      </c>
      <c r="U990" s="45">
        <v>35</v>
      </c>
      <c r="V990" t="s">
        <v>6919</v>
      </c>
      <c r="W990" s="1" t="str">
        <f>HYPERLINK("http://ictvonline.org/taxonomy/p/taxonomy-history?taxnode_id=201906823","ICTVonline=201906823")</f>
        <v>ICTVonline=201906823</v>
      </c>
    </row>
    <row r="991" spans="1:23">
      <c r="A991" s="3">
        <v>990</v>
      </c>
      <c r="B991" s="1" t="s">
        <v>6915</v>
      </c>
      <c r="D991" s="1" t="s">
        <v>6916</v>
      </c>
      <c r="F991" s="1" t="s">
        <v>6920</v>
      </c>
      <c r="H991" s="1" t="s">
        <v>6921</v>
      </c>
      <c r="J991" s="1" t="s">
        <v>1324</v>
      </c>
      <c r="L991" s="1" t="s">
        <v>1325</v>
      </c>
      <c r="N991" s="1" t="s">
        <v>6337</v>
      </c>
      <c r="P991" s="1" t="s">
        <v>6338</v>
      </c>
      <c r="Q991" s="3">
        <v>1</v>
      </c>
      <c r="R991" s="22" t="s">
        <v>2721</v>
      </c>
      <c r="S991" s="42" t="s">
        <v>6910</v>
      </c>
      <c r="T991" s="3" t="s">
        <v>4868</v>
      </c>
      <c r="U991" s="45">
        <v>35</v>
      </c>
      <c r="V991" t="s">
        <v>6919</v>
      </c>
      <c r="W991" s="1" t="str">
        <f>HYPERLINK("http://ictvonline.org/taxonomy/p/taxonomy-history?taxnode_id=201906769","ICTVonline=201906769")</f>
        <v>ICTVonline=201906769</v>
      </c>
    </row>
    <row r="992" spans="1:23">
      <c r="A992" s="3">
        <v>991</v>
      </c>
      <c r="B992" s="1" t="s">
        <v>6915</v>
      </c>
      <c r="D992" s="1" t="s">
        <v>6916</v>
      </c>
      <c r="F992" s="1" t="s">
        <v>6920</v>
      </c>
      <c r="H992" s="1" t="s">
        <v>6921</v>
      </c>
      <c r="J992" s="1" t="s">
        <v>1324</v>
      </c>
      <c r="L992" s="1" t="s">
        <v>1325</v>
      </c>
      <c r="N992" s="1" t="s">
        <v>7624</v>
      </c>
      <c r="P992" s="1" t="s">
        <v>7625</v>
      </c>
      <c r="Q992" s="3">
        <v>1</v>
      </c>
      <c r="R992" s="22" t="s">
        <v>2721</v>
      </c>
      <c r="S992" s="42" t="s">
        <v>6914</v>
      </c>
      <c r="T992" s="3" t="s">
        <v>4866</v>
      </c>
      <c r="U992" s="45">
        <v>35</v>
      </c>
      <c r="V992" t="s">
        <v>7626</v>
      </c>
      <c r="W992" s="1" t="str">
        <f>HYPERLINK("http://ictvonline.org/taxonomy/p/taxonomy-history?taxnode_id=201907371","ICTVonline=201907371")</f>
        <v>ICTVonline=201907371</v>
      </c>
    </row>
    <row r="993" spans="1:23">
      <c r="A993" s="3">
        <v>992</v>
      </c>
      <c r="B993" s="1" t="s">
        <v>6915</v>
      </c>
      <c r="D993" s="1" t="s">
        <v>6916</v>
      </c>
      <c r="F993" s="1" t="s">
        <v>6920</v>
      </c>
      <c r="H993" s="1" t="s">
        <v>6921</v>
      </c>
      <c r="J993" s="1" t="s">
        <v>1324</v>
      </c>
      <c r="L993" s="1" t="s">
        <v>1325</v>
      </c>
      <c r="N993" s="1" t="s">
        <v>2876</v>
      </c>
      <c r="P993" s="1" t="s">
        <v>2877</v>
      </c>
      <c r="Q993" s="3">
        <v>1</v>
      </c>
      <c r="R993" s="22" t="s">
        <v>2721</v>
      </c>
      <c r="S993" s="42" t="s">
        <v>6910</v>
      </c>
      <c r="T993" s="3" t="s">
        <v>4868</v>
      </c>
      <c r="U993" s="45">
        <v>35</v>
      </c>
      <c r="V993" t="s">
        <v>6919</v>
      </c>
      <c r="W993" s="1" t="str">
        <f>HYPERLINK("http://ictvonline.org/taxonomy/p/taxonomy-history?taxnode_id=201900434","ICTVonline=201900434")</f>
        <v>ICTVonline=201900434</v>
      </c>
    </row>
    <row r="994" spans="1:23">
      <c r="A994" s="3">
        <v>993</v>
      </c>
      <c r="B994" s="1" t="s">
        <v>6915</v>
      </c>
      <c r="D994" s="1" t="s">
        <v>6916</v>
      </c>
      <c r="F994" s="1" t="s">
        <v>6920</v>
      </c>
      <c r="H994" s="1" t="s">
        <v>6921</v>
      </c>
      <c r="J994" s="1" t="s">
        <v>1324</v>
      </c>
      <c r="L994" s="1" t="s">
        <v>1325</v>
      </c>
      <c r="N994" s="1" t="s">
        <v>2876</v>
      </c>
      <c r="P994" s="1" t="s">
        <v>2878</v>
      </c>
      <c r="Q994" s="3">
        <v>0</v>
      </c>
      <c r="R994" s="22" t="s">
        <v>2721</v>
      </c>
      <c r="S994" s="42" t="s">
        <v>6910</v>
      </c>
      <c r="T994" s="3" t="s">
        <v>4868</v>
      </c>
      <c r="U994" s="45">
        <v>35</v>
      </c>
      <c r="V994" t="s">
        <v>6919</v>
      </c>
      <c r="W994" s="1" t="str">
        <f>HYPERLINK("http://ictvonline.org/taxonomy/p/taxonomy-history?taxnode_id=201900435","ICTVonline=201900435")</f>
        <v>ICTVonline=201900435</v>
      </c>
    </row>
    <row r="995" spans="1:23">
      <c r="A995" s="3">
        <v>994</v>
      </c>
      <c r="B995" s="1" t="s">
        <v>6915</v>
      </c>
      <c r="D995" s="1" t="s">
        <v>6916</v>
      </c>
      <c r="F995" s="1" t="s">
        <v>6920</v>
      </c>
      <c r="H995" s="1" t="s">
        <v>6921</v>
      </c>
      <c r="J995" s="1" t="s">
        <v>1324</v>
      </c>
      <c r="L995" s="1" t="s">
        <v>1325</v>
      </c>
      <c r="N995" s="1" t="s">
        <v>7627</v>
      </c>
      <c r="P995" s="1" t="s">
        <v>7628</v>
      </c>
      <c r="Q995" s="3">
        <v>1</v>
      </c>
      <c r="R995" s="22" t="s">
        <v>2721</v>
      </c>
      <c r="S995" s="42" t="s">
        <v>6914</v>
      </c>
      <c r="T995" s="3" t="s">
        <v>4866</v>
      </c>
      <c r="U995" s="45">
        <v>35</v>
      </c>
      <c r="V995" t="s">
        <v>7573</v>
      </c>
      <c r="W995" s="1" t="str">
        <f>HYPERLINK("http://ictvonline.org/taxonomy/p/taxonomy-history?taxnode_id=201907908","ICTVonline=201907908")</f>
        <v>ICTVonline=201907908</v>
      </c>
    </row>
    <row r="996" spans="1:23">
      <c r="A996" s="3">
        <v>995</v>
      </c>
      <c r="B996" s="1" t="s">
        <v>6915</v>
      </c>
      <c r="D996" s="1" t="s">
        <v>6916</v>
      </c>
      <c r="F996" s="1" t="s">
        <v>6920</v>
      </c>
      <c r="H996" s="1" t="s">
        <v>6921</v>
      </c>
      <c r="J996" s="1" t="s">
        <v>1324</v>
      </c>
      <c r="L996" s="1" t="s">
        <v>1325</v>
      </c>
      <c r="N996" s="1" t="s">
        <v>6339</v>
      </c>
      <c r="P996" s="1" t="s">
        <v>6340</v>
      </c>
      <c r="Q996" s="3">
        <v>1</v>
      </c>
      <c r="R996" s="22" t="s">
        <v>2721</v>
      </c>
      <c r="S996" s="42" t="s">
        <v>6910</v>
      </c>
      <c r="T996" s="3" t="s">
        <v>4868</v>
      </c>
      <c r="U996" s="45">
        <v>35</v>
      </c>
      <c r="V996" t="s">
        <v>6919</v>
      </c>
      <c r="W996" s="1" t="str">
        <f>HYPERLINK("http://ictvonline.org/taxonomy/p/taxonomy-history?taxnode_id=201906317","ICTVonline=201906317")</f>
        <v>ICTVonline=201906317</v>
      </c>
    </row>
    <row r="997" spans="1:23">
      <c r="A997" s="3">
        <v>996</v>
      </c>
      <c r="B997" s="1" t="s">
        <v>6915</v>
      </c>
      <c r="D997" s="1" t="s">
        <v>6916</v>
      </c>
      <c r="F997" s="1" t="s">
        <v>6920</v>
      </c>
      <c r="H997" s="1" t="s">
        <v>6921</v>
      </c>
      <c r="J997" s="1" t="s">
        <v>1324</v>
      </c>
      <c r="L997" s="1" t="s">
        <v>1325</v>
      </c>
      <c r="N997" s="1" t="s">
        <v>6341</v>
      </c>
      <c r="P997" s="1" t="s">
        <v>6342</v>
      </c>
      <c r="Q997" s="3">
        <v>1</v>
      </c>
      <c r="R997" s="22" t="s">
        <v>2721</v>
      </c>
      <c r="S997" s="42" t="s">
        <v>6910</v>
      </c>
      <c r="T997" s="3" t="s">
        <v>4868</v>
      </c>
      <c r="U997" s="45">
        <v>35</v>
      </c>
      <c r="V997" t="s">
        <v>6919</v>
      </c>
      <c r="W997" s="1" t="str">
        <f>HYPERLINK("http://ictvonline.org/taxonomy/p/taxonomy-history?taxnode_id=201906507","ICTVonline=201906507")</f>
        <v>ICTVonline=201906507</v>
      </c>
    </row>
    <row r="998" spans="1:23">
      <c r="A998" s="3">
        <v>997</v>
      </c>
      <c r="B998" s="1" t="s">
        <v>6915</v>
      </c>
      <c r="D998" s="1" t="s">
        <v>6916</v>
      </c>
      <c r="F998" s="1" t="s">
        <v>6920</v>
      </c>
      <c r="H998" s="1" t="s">
        <v>6921</v>
      </c>
      <c r="J998" s="1" t="s">
        <v>1324</v>
      </c>
      <c r="L998" s="1" t="s">
        <v>1325</v>
      </c>
      <c r="N998" s="1" t="s">
        <v>6343</v>
      </c>
      <c r="P998" s="1" t="s">
        <v>7629</v>
      </c>
      <c r="Q998" s="3">
        <v>1</v>
      </c>
      <c r="R998" s="22" t="s">
        <v>2721</v>
      </c>
      <c r="S998" s="42" t="s">
        <v>6914</v>
      </c>
      <c r="T998" s="3" t="s">
        <v>4867</v>
      </c>
      <c r="U998" s="45">
        <v>35</v>
      </c>
      <c r="V998" t="s">
        <v>7599</v>
      </c>
      <c r="W998" s="1" t="str">
        <f>HYPERLINK("http://ictvonline.org/taxonomy/p/taxonomy-history?taxnode_id=201906832","ICTVonline=201906832")</f>
        <v>ICTVonline=201906832</v>
      </c>
    </row>
    <row r="999" spans="1:23">
      <c r="A999" s="3">
        <v>998</v>
      </c>
      <c r="B999" s="1" t="s">
        <v>6915</v>
      </c>
      <c r="D999" s="1" t="s">
        <v>6916</v>
      </c>
      <c r="F999" s="1" t="s">
        <v>6920</v>
      </c>
      <c r="H999" s="1" t="s">
        <v>6921</v>
      </c>
      <c r="J999" s="1" t="s">
        <v>1324</v>
      </c>
      <c r="L999" s="1" t="s">
        <v>1325</v>
      </c>
      <c r="N999" s="1" t="s">
        <v>6344</v>
      </c>
      <c r="P999" s="1" t="s">
        <v>6345</v>
      </c>
      <c r="Q999" s="3">
        <v>1</v>
      </c>
      <c r="R999" s="22" t="s">
        <v>2721</v>
      </c>
      <c r="S999" s="42" t="s">
        <v>6910</v>
      </c>
      <c r="T999" s="3" t="s">
        <v>4868</v>
      </c>
      <c r="U999" s="45">
        <v>35</v>
      </c>
      <c r="V999" t="s">
        <v>6919</v>
      </c>
      <c r="W999" s="1" t="str">
        <f>HYPERLINK("http://ictvonline.org/taxonomy/p/taxonomy-history?taxnode_id=201906836","ICTVonline=201906836")</f>
        <v>ICTVonline=201906836</v>
      </c>
    </row>
    <row r="1000" spans="1:23">
      <c r="A1000" s="3">
        <v>999</v>
      </c>
      <c r="B1000" s="1" t="s">
        <v>6915</v>
      </c>
      <c r="D1000" s="1" t="s">
        <v>6916</v>
      </c>
      <c r="F1000" s="1" t="s">
        <v>6920</v>
      </c>
      <c r="H1000" s="1" t="s">
        <v>6921</v>
      </c>
      <c r="J1000" s="1" t="s">
        <v>1324</v>
      </c>
      <c r="L1000" s="1" t="s">
        <v>1325</v>
      </c>
      <c r="N1000" s="1" t="s">
        <v>6344</v>
      </c>
      <c r="P1000" s="1" t="s">
        <v>6346</v>
      </c>
      <c r="Q1000" s="3">
        <v>0</v>
      </c>
      <c r="R1000" s="22" t="s">
        <v>2721</v>
      </c>
      <c r="S1000" s="42" t="s">
        <v>6910</v>
      </c>
      <c r="T1000" s="3" t="s">
        <v>4868</v>
      </c>
      <c r="U1000" s="45">
        <v>35</v>
      </c>
      <c r="V1000" t="s">
        <v>6919</v>
      </c>
      <c r="W1000" s="1" t="str">
        <f>HYPERLINK("http://ictvonline.org/taxonomy/p/taxonomy-history?taxnode_id=201906837","ICTVonline=201906837")</f>
        <v>ICTVonline=201906837</v>
      </c>
    </row>
    <row r="1001" spans="1:23">
      <c r="A1001" s="3">
        <v>1000</v>
      </c>
      <c r="B1001" s="1" t="s">
        <v>6915</v>
      </c>
      <c r="D1001" s="1" t="s">
        <v>6916</v>
      </c>
      <c r="F1001" s="1" t="s">
        <v>6920</v>
      </c>
      <c r="H1001" s="1" t="s">
        <v>6921</v>
      </c>
      <c r="J1001" s="1" t="s">
        <v>1324</v>
      </c>
      <c r="L1001" s="1" t="s">
        <v>1325</v>
      </c>
      <c r="N1001" s="1" t="s">
        <v>6344</v>
      </c>
      <c r="P1001" s="1" t="s">
        <v>6347</v>
      </c>
      <c r="Q1001" s="3">
        <v>0</v>
      </c>
      <c r="R1001" s="22" t="s">
        <v>2721</v>
      </c>
      <c r="S1001" s="42" t="s">
        <v>6910</v>
      </c>
      <c r="T1001" s="3" t="s">
        <v>4868</v>
      </c>
      <c r="U1001" s="45">
        <v>35</v>
      </c>
      <c r="V1001" t="s">
        <v>6919</v>
      </c>
      <c r="W1001" s="1" t="str">
        <f>HYPERLINK("http://ictvonline.org/taxonomy/p/taxonomy-history?taxnode_id=201906838","ICTVonline=201906838")</f>
        <v>ICTVonline=201906838</v>
      </c>
    </row>
    <row r="1002" spans="1:23">
      <c r="A1002" s="3">
        <v>1001</v>
      </c>
      <c r="B1002" s="1" t="s">
        <v>6915</v>
      </c>
      <c r="D1002" s="1" t="s">
        <v>6916</v>
      </c>
      <c r="F1002" s="1" t="s">
        <v>6920</v>
      </c>
      <c r="H1002" s="1" t="s">
        <v>6921</v>
      </c>
      <c r="J1002" s="1" t="s">
        <v>1324</v>
      </c>
      <c r="L1002" s="1" t="s">
        <v>1325</v>
      </c>
      <c r="N1002" s="1" t="s">
        <v>6348</v>
      </c>
      <c r="P1002" s="1" t="s">
        <v>2865</v>
      </c>
      <c r="Q1002" s="3">
        <v>1</v>
      </c>
      <c r="R1002" s="22" t="s">
        <v>2721</v>
      </c>
      <c r="S1002" s="42" t="s">
        <v>6910</v>
      </c>
      <c r="T1002" s="3" t="s">
        <v>4868</v>
      </c>
      <c r="U1002" s="45">
        <v>35</v>
      </c>
      <c r="V1002" t="s">
        <v>6919</v>
      </c>
      <c r="W1002" s="1" t="str">
        <f>HYPERLINK("http://ictvonline.org/taxonomy/p/taxonomy-history?taxnode_id=201900429","ICTVonline=201900429")</f>
        <v>ICTVonline=201900429</v>
      </c>
    </row>
    <row r="1003" spans="1:23">
      <c r="A1003" s="3">
        <v>1002</v>
      </c>
      <c r="B1003" s="1" t="s">
        <v>6915</v>
      </c>
      <c r="D1003" s="1" t="s">
        <v>6916</v>
      </c>
      <c r="F1003" s="1" t="s">
        <v>6920</v>
      </c>
      <c r="H1003" s="1" t="s">
        <v>6921</v>
      </c>
      <c r="J1003" s="1" t="s">
        <v>1324</v>
      </c>
      <c r="L1003" s="1" t="s">
        <v>1325</v>
      </c>
      <c r="N1003" s="1" t="s">
        <v>6348</v>
      </c>
      <c r="P1003" s="1" t="s">
        <v>6349</v>
      </c>
      <c r="Q1003" s="3">
        <v>0</v>
      </c>
      <c r="R1003" s="22" t="s">
        <v>2721</v>
      </c>
      <c r="S1003" s="42" t="s">
        <v>6910</v>
      </c>
      <c r="T1003" s="3" t="s">
        <v>4868</v>
      </c>
      <c r="U1003" s="45">
        <v>35</v>
      </c>
      <c r="V1003" t="s">
        <v>6919</v>
      </c>
      <c r="W1003" s="1" t="str">
        <f>HYPERLINK("http://ictvonline.org/taxonomy/p/taxonomy-history?taxnode_id=201906999","ICTVonline=201906999")</f>
        <v>ICTVonline=201906999</v>
      </c>
    </row>
    <row r="1004" spans="1:23">
      <c r="A1004" s="3">
        <v>1003</v>
      </c>
      <c r="B1004" s="1" t="s">
        <v>6915</v>
      </c>
      <c r="D1004" s="1" t="s">
        <v>6916</v>
      </c>
      <c r="F1004" s="1" t="s">
        <v>6920</v>
      </c>
      <c r="H1004" s="1" t="s">
        <v>6921</v>
      </c>
      <c r="J1004" s="1" t="s">
        <v>1324</v>
      </c>
      <c r="L1004" s="1" t="s">
        <v>1325</v>
      </c>
      <c r="N1004" s="1" t="s">
        <v>6348</v>
      </c>
      <c r="P1004" s="1" t="s">
        <v>2866</v>
      </c>
      <c r="Q1004" s="3">
        <v>0</v>
      </c>
      <c r="R1004" s="22" t="s">
        <v>2721</v>
      </c>
      <c r="S1004" s="42" t="s">
        <v>6910</v>
      </c>
      <c r="T1004" s="3" t="s">
        <v>4868</v>
      </c>
      <c r="U1004" s="45">
        <v>35</v>
      </c>
      <c r="V1004" t="s">
        <v>6919</v>
      </c>
      <c r="W1004" s="1" t="str">
        <f>HYPERLINK("http://ictvonline.org/taxonomy/p/taxonomy-history?taxnode_id=201900430","ICTVonline=201900430")</f>
        <v>ICTVonline=201900430</v>
      </c>
    </row>
    <row r="1005" spans="1:23">
      <c r="A1005" s="3">
        <v>1004</v>
      </c>
      <c r="B1005" s="1" t="s">
        <v>6915</v>
      </c>
      <c r="D1005" s="1" t="s">
        <v>6916</v>
      </c>
      <c r="F1005" s="1" t="s">
        <v>6920</v>
      </c>
      <c r="H1005" s="1" t="s">
        <v>6921</v>
      </c>
      <c r="J1005" s="1" t="s">
        <v>1324</v>
      </c>
      <c r="L1005" s="1" t="s">
        <v>1325</v>
      </c>
      <c r="N1005" s="1" t="s">
        <v>4181</v>
      </c>
      <c r="P1005" s="1" t="s">
        <v>4182</v>
      </c>
      <c r="Q1005" s="3">
        <v>1</v>
      </c>
      <c r="R1005" s="22" t="s">
        <v>2721</v>
      </c>
      <c r="S1005" s="42" t="s">
        <v>6910</v>
      </c>
      <c r="T1005" s="3" t="s">
        <v>4868</v>
      </c>
      <c r="U1005" s="45">
        <v>35</v>
      </c>
      <c r="V1005" t="s">
        <v>6919</v>
      </c>
      <c r="W1005" s="1" t="str">
        <f>HYPERLINK("http://ictvonline.org/taxonomy/p/taxonomy-history?taxnode_id=201900437","ICTVonline=201900437")</f>
        <v>ICTVonline=201900437</v>
      </c>
    </row>
    <row r="1006" spans="1:23">
      <c r="A1006" s="3">
        <v>1005</v>
      </c>
      <c r="B1006" s="1" t="s">
        <v>6915</v>
      </c>
      <c r="D1006" s="1" t="s">
        <v>6916</v>
      </c>
      <c r="F1006" s="1" t="s">
        <v>6920</v>
      </c>
      <c r="H1006" s="1" t="s">
        <v>6921</v>
      </c>
      <c r="J1006" s="1" t="s">
        <v>1324</v>
      </c>
      <c r="L1006" s="1" t="s">
        <v>1325</v>
      </c>
      <c r="N1006" s="1" t="s">
        <v>4181</v>
      </c>
      <c r="P1006" s="1" t="s">
        <v>4183</v>
      </c>
      <c r="Q1006" s="3">
        <v>0</v>
      </c>
      <c r="R1006" s="22" t="s">
        <v>2721</v>
      </c>
      <c r="S1006" s="42" t="s">
        <v>6910</v>
      </c>
      <c r="T1006" s="3" t="s">
        <v>4868</v>
      </c>
      <c r="U1006" s="45">
        <v>35</v>
      </c>
      <c r="V1006" t="s">
        <v>6919</v>
      </c>
      <c r="W1006" s="1" t="str">
        <f>HYPERLINK("http://ictvonline.org/taxonomy/p/taxonomy-history?taxnode_id=201900438","ICTVonline=201900438")</f>
        <v>ICTVonline=201900438</v>
      </c>
    </row>
    <row r="1007" spans="1:23">
      <c r="A1007" s="3">
        <v>1006</v>
      </c>
      <c r="B1007" s="1" t="s">
        <v>6915</v>
      </c>
      <c r="D1007" s="1" t="s">
        <v>6916</v>
      </c>
      <c r="F1007" s="1" t="s">
        <v>6920</v>
      </c>
      <c r="H1007" s="1" t="s">
        <v>6921</v>
      </c>
      <c r="J1007" s="1" t="s">
        <v>1324</v>
      </c>
      <c r="L1007" s="1" t="s">
        <v>1325</v>
      </c>
      <c r="N1007" s="1" t="s">
        <v>7630</v>
      </c>
      <c r="P1007" s="1" t="s">
        <v>7631</v>
      </c>
      <c r="Q1007" s="3">
        <v>1</v>
      </c>
      <c r="R1007" s="22" t="s">
        <v>2721</v>
      </c>
      <c r="S1007" s="42" t="s">
        <v>6914</v>
      </c>
      <c r="T1007" s="3" t="s">
        <v>4866</v>
      </c>
      <c r="U1007" s="45">
        <v>35</v>
      </c>
      <c r="V1007" t="s">
        <v>7568</v>
      </c>
      <c r="W1007" s="1" t="str">
        <f>HYPERLINK("http://ictvonline.org/taxonomy/p/taxonomy-history?taxnode_id=201907805","ICTVonline=201907805")</f>
        <v>ICTVonline=201907805</v>
      </c>
    </row>
    <row r="1008" spans="1:23">
      <c r="A1008" s="3">
        <v>1007</v>
      </c>
      <c r="B1008" s="1" t="s">
        <v>6915</v>
      </c>
      <c r="D1008" s="1" t="s">
        <v>6916</v>
      </c>
      <c r="F1008" s="1" t="s">
        <v>6920</v>
      </c>
      <c r="H1008" s="1" t="s">
        <v>6921</v>
      </c>
      <c r="J1008" s="1" t="s">
        <v>1324</v>
      </c>
      <c r="L1008" s="1" t="s">
        <v>1325</v>
      </c>
      <c r="N1008" s="1" t="s">
        <v>6350</v>
      </c>
      <c r="P1008" s="1" t="s">
        <v>2914</v>
      </c>
      <c r="Q1008" s="3">
        <v>1</v>
      </c>
      <c r="R1008" s="22" t="s">
        <v>2721</v>
      </c>
      <c r="S1008" s="42" t="s">
        <v>6910</v>
      </c>
      <c r="T1008" s="3" t="s">
        <v>4868</v>
      </c>
      <c r="U1008" s="45">
        <v>35</v>
      </c>
      <c r="V1008" t="s">
        <v>6919</v>
      </c>
      <c r="W1008" s="1" t="str">
        <f>HYPERLINK("http://ictvonline.org/taxonomy/p/taxonomy-history?taxnode_id=201900491","ICTVonline=201900491")</f>
        <v>ICTVonline=201900491</v>
      </c>
    </row>
    <row r="1009" spans="1:23">
      <c r="A1009" s="3">
        <v>1008</v>
      </c>
      <c r="B1009" s="1" t="s">
        <v>6915</v>
      </c>
      <c r="D1009" s="1" t="s">
        <v>6916</v>
      </c>
      <c r="F1009" s="1" t="s">
        <v>6920</v>
      </c>
      <c r="H1009" s="1" t="s">
        <v>6921</v>
      </c>
      <c r="J1009" s="1" t="s">
        <v>1324</v>
      </c>
      <c r="L1009" s="1" t="s">
        <v>1325</v>
      </c>
      <c r="N1009" s="1" t="s">
        <v>7632</v>
      </c>
      <c r="P1009" s="1" t="s">
        <v>7633</v>
      </c>
      <c r="Q1009" s="3">
        <v>1</v>
      </c>
      <c r="R1009" s="22" t="s">
        <v>2721</v>
      </c>
      <c r="S1009" s="42" t="s">
        <v>6914</v>
      </c>
      <c r="T1009" s="3" t="s">
        <v>4866</v>
      </c>
      <c r="U1009" s="45">
        <v>35</v>
      </c>
      <c r="V1009" t="s">
        <v>7602</v>
      </c>
      <c r="W1009" s="1" t="str">
        <f>HYPERLINK("http://ictvonline.org/taxonomy/p/taxonomy-history?taxnode_id=201908044","ICTVonline=201908044")</f>
        <v>ICTVonline=201908044</v>
      </c>
    </row>
    <row r="1010" spans="1:23">
      <c r="A1010" s="3">
        <v>1009</v>
      </c>
      <c r="B1010" s="1" t="s">
        <v>6915</v>
      </c>
      <c r="D1010" s="1" t="s">
        <v>6916</v>
      </c>
      <c r="F1010" s="1" t="s">
        <v>6920</v>
      </c>
      <c r="H1010" s="1" t="s">
        <v>6921</v>
      </c>
      <c r="J1010" s="1" t="s">
        <v>1324</v>
      </c>
      <c r="L1010" s="1" t="s">
        <v>1325</v>
      </c>
      <c r="N1010" s="1" t="s">
        <v>7634</v>
      </c>
      <c r="P1010" s="1" t="s">
        <v>7635</v>
      </c>
      <c r="Q1010" s="3">
        <v>0</v>
      </c>
      <c r="R1010" s="22" t="s">
        <v>2721</v>
      </c>
      <c r="S1010" s="42" t="s">
        <v>6914</v>
      </c>
      <c r="T1010" s="3" t="s">
        <v>4866</v>
      </c>
      <c r="U1010" s="45">
        <v>35</v>
      </c>
      <c r="V1010" t="s">
        <v>7568</v>
      </c>
      <c r="W1010" s="1" t="str">
        <f>HYPERLINK("http://ictvonline.org/taxonomy/p/taxonomy-history?taxnode_id=201907814","ICTVonline=201907814")</f>
        <v>ICTVonline=201907814</v>
      </c>
    </row>
    <row r="1011" spans="1:23">
      <c r="A1011" s="3">
        <v>1010</v>
      </c>
      <c r="B1011" s="1" t="s">
        <v>6915</v>
      </c>
      <c r="D1011" s="1" t="s">
        <v>6916</v>
      </c>
      <c r="F1011" s="1" t="s">
        <v>6920</v>
      </c>
      <c r="H1011" s="1" t="s">
        <v>6921</v>
      </c>
      <c r="J1011" s="1" t="s">
        <v>1324</v>
      </c>
      <c r="L1011" s="1" t="s">
        <v>1325</v>
      </c>
      <c r="N1011" s="1" t="s">
        <v>7634</v>
      </c>
      <c r="P1011" s="1" t="s">
        <v>7636</v>
      </c>
      <c r="Q1011" s="3">
        <v>1</v>
      </c>
      <c r="R1011" s="22" t="s">
        <v>2721</v>
      </c>
      <c r="S1011" s="42" t="s">
        <v>6914</v>
      </c>
      <c r="T1011" s="3" t="s">
        <v>4866</v>
      </c>
      <c r="U1011" s="45">
        <v>35</v>
      </c>
      <c r="V1011" t="s">
        <v>7568</v>
      </c>
      <c r="W1011" s="1" t="str">
        <f>HYPERLINK("http://ictvonline.org/taxonomy/p/taxonomy-history?taxnode_id=201907813","ICTVonline=201907813")</f>
        <v>ICTVonline=201907813</v>
      </c>
    </row>
    <row r="1012" spans="1:23">
      <c r="A1012" s="3">
        <v>1011</v>
      </c>
      <c r="B1012" s="1" t="s">
        <v>6915</v>
      </c>
      <c r="D1012" s="1" t="s">
        <v>6916</v>
      </c>
      <c r="F1012" s="1" t="s">
        <v>6920</v>
      </c>
      <c r="H1012" s="1" t="s">
        <v>6921</v>
      </c>
      <c r="J1012" s="1" t="s">
        <v>1324</v>
      </c>
      <c r="L1012" s="1" t="s">
        <v>1325</v>
      </c>
      <c r="N1012" s="1" t="s">
        <v>7637</v>
      </c>
      <c r="P1012" s="1" t="s">
        <v>7638</v>
      </c>
      <c r="Q1012" s="3">
        <v>1</v>
      </c>
      <c r="R1012" s="22" t="s">
        <v>2721</v>
      </c>
      <c r="S1012" s="42" t="s">
        <v>6914</v>
      </c>
      <c r="T1012" s="3" t="s">
        <v>4866</v>
      </c>
      <c r="U1012" s="45">
        <v>35</v>
      </c>
      <c r="V1012" t="s">
        <v>7568</v>
      </c>
      <c r="W1012" s="1" t="str">
        <f>HYPERLINK("http://ictvonline.org/taxonomy/p/taxonomy-history?taxnode_id=201907821","ICTVonline=201907821")</f>
        <v>ICTVonline=201907821</v>
      </c>
    </row>
    <row r="1013" spans="1:23">
      <c r="A1013" s="3">
        <v>1012</v>
      </c>
      <c r="B1013" s="1" t="s">
        <v>6915</v>
      </c>
      <c r="D1013" s="1" t="s">
        <v>6916</v>
      </c>
      <c r="F1013" s="1" t="s">
        <v>6920</v>
      </c>
      <c r="H1013" s="1" t="s">
        <v>6921</v>
      </c>
      <c r="J1013" s="1" t="s">
        <v>1324</v>
      </c>
      <c r="L1013" s="1" t="s">
        <v>1325</v>
      </c>
      <c r="N1013" s="1" t="s">
        <v>7639</v>
      </c>
      <c r="P1013" s="1" t="s">
        <v>7640</v>
      </c>
      <c r="Q1013" s="3">
        <v>1</v>
      </c>
      <c r="R1013" s="22" t="s">
        <v>2721</v>
      </c>
      <c r="S1013" s="42" t="s">
        <v>6914</v>
      </c>
      <c r="T1013" s="3" t="s">
        <v>4866</v>
      </c>
      <c r="U1013" s="45">
        <v>35</v>
      </c>
      <c r="V1013" t="s">
        <v>7579</v>
      </c>
      <c r="W1013" s="1" t="str">
        <f>HYPERLINK("http://ictvonline.org/taxonomy/p/taxonomy-history?taxnode_id=201907758","ICTVonline=201907758")</f>
        <v>ICTVonline=201907758</v>
      </c>
    </row>
    <row r="1014" spans="1:23">
      <c r="A1014" s="3">
        <v>1013</v>
      </c>
      <c r="B1014" s="1" t="s">
        <v>6915</v>
      </c>
      <c r="D1014" s="1" t="s">
        <v>6916</v>
      </c>
      <c r="F1014" s="1" t="s">
        <v>6920</v>
      </c>
      <c r="H1014" s="1" t="s">
        <v>6921</v>
      </c>
      <c r="J1014" s="1" t="s">
        <v>1324</v>
      </c>
      <c r="L1014" s="1" t="s">
        <v>1325</v>
      </c>
      <c r="N1014" s="1" t="s">
        <v>7641</v>
      </c>
      <c r="P1014" s="1" t="s">
        <v>7642</v>
      </c>
      <c r="Q1014" s="3">
        <v>1</v>
      </c>
      <c r="R1014" s="22" t="s">
        <v>2721</v>
      </c>
      <c r="S1014" s="42" t="s">
        <v>6914</v>
      </c>
      <c r="T1014" s="3" t="s">
        <v>4866</v>
      </c>
      <c r="U1014" s="45">
        <v>35</v>
      </c>
      <c r="V1014" t="s">
        <v>7573</v>
      </c>
      <c r="W1014" s="1" t="str">
        <f>HYPERLINK("http://ictvonline.org/taxonomy/p/taxonomy-history?taxnode_id=201907914","ICTVonline=201907914")</f>
        <v>ICTVonline=201907914</v>
      </c>
    </row>
    <row r="1015" spans="1:23">
      <c r="A1015" s="3">
        <v>1014</v>
      </c>
      <c r="B1015" s="1" t="s">
        <v>6915</v>
      </c>
      <c r="D1015" s="1" t="s">
        <v>6916</v>
      </c>
      <c r="F1015" s="1" t="s">
        <v>6920</v>
      </c>
      <c r="H1015" s="1" t="s">
        <v>6921</v>
      </c>
      <c r="J1015" s="1" t="s">
        <v>1324</v>
      </c>
      <c r="L1015" s="1" t="s">
        <v>1325</v>
      </c>
      <c r="N1015" s="1" t="s">
        <v>6351</v>
      </c>
      <c r="P1015" s="1" t="s">
        <v>2859</v>
      </c>
      <c r="Q1015" s="3">
        <v>0</v>
      </c>
      <c r="R1015" s="22" t="s">
        <v>2721</v>
      </c>
      <c r="S1015" s="42" t="s">
        <v>6910</v>
      </c>
      <c r="T1015" s="3" t="s">
        <v>4868</v>
      </c>
      <c r="U1015" s="45">
        <v>35</v>
      </c>
      <c r="V1015" t="s">
        <v>6919</v>
      </c>
      <c r="W1015" s="1" t="str">
        <f>HYPERLINK("http://ictvonline.org/taxonomy/p/taxonomy-history?taxnode_id=201900421","ICTVonline=201900421")</f>
        <v>ICTVonline=201900421</v>
      </c>
    </row>
    <row r="1016" spans="1:23">
      <c r="A1016" s="3">
        <v>1015</v>
      </c>
      <c r="B1016" s="1" t="s">
        <v>6915</v>
      </c>
      <c r="D1016" s="1" t="s">
        <v>6916</v>
      </c>
      <c r="F1016" s="1" t="s">
        <v>6920</v>
      </c>
      <c r="H1016" s="1" t="s">
        <v>6921</v>
      </c>
      <c r="J1016" s="1" t="s">
        <v>1324</v>
      </c>
      <c r="L1016" s="1" t="s">
        <v>1325</v>
      </c>
      <c r="N1016" s="1" t="s">
        <v>6351</v>
      </c>
      <c r="P1016" s="1" t="s">
        <v>2860</v>
      </c>
      <c r="Q1016" s="3">
        <v>0</v>
      </c>
      <c r="R1016" s="22" t="s">
        <v>2721</v>
      </c>
      <c r="S1016" s="42" t="s">
        <v>6910</v>
      </c>
      <c r="T1016" s="3" t="s">
        <v>4868</v>
      </c>
      <c r="U1016" s="45">
        <v>35</v>
      </c>
      <c r="V1016" t="s">
        <v>6919</v>
      </c>
      <c r="W1016" s="1" t="str">
        <f>HYPERLINK("http://ictvonline.org/taxonomy/p/taxonomy-history?taxnode_id=201900422","ICTVonline=201900422")</f>
        <v>ICTVonline=201900422</v>
      </c>
    </row>
    <row r="1017" spans="1:23">
      <c r="A1017" s="3">
        <v>1016</v>
      </c>
      <c r="B1017" s="1" t="s">
        <v>6915</v>
      </c>
      <c r="D1017" s="1" t="s">
        <v>6916</v>
      </c>
      <c r="F1017" s="1" t="s">
        <v>6920</v>
      </c>
      <c r="H1017" s="1" t="s">
        <v>6921</v>
      </c>
      <c r="J1017" s="1" t="s">
        <v>1324</v>
      </c>
      <c r="L1017" s="1" t="s">
        <v>1325</v>
      </c>
      <c r="N1017" s="1" t="s">
        <v>6351</v>
      </c>
      <c r="P1017" s="1" t="s">
        <v>2861</v>
      </c>
      <c r="Q1017" s="3">
        <v>1</v>
      </c>
      <c r="R1017" s="22" t="s">
        <v>2721</v>
      </c>
      <c r="S1017" s="42" t="s">
        <v>6910</v>
      </c>
      <c r="T1017" s="3" t="s">
        <v>4868</v>
      </c>
      <c r="U1017" s="45">
        <v>35</v>
      </c>
      <c r="V1017" t="s">
        <v>6919</v>
      </c>
      <c r="W1017" s="1" t="str">
        <f>HYPERLINK("http://ictvonline.org/taxonomy/p/taxonomy-history?taxnode_id=201900423","ICTVonline=201900423")</f>
        <v>ICTVonline=201900423</v>
      </c>
    </row>
    <row r="1018" spans="1:23">
      <c r="A1018" s="3">
        <v>1017</v>
      </c>
      <c r="B1018" s="1" t="s">
        <v>6915</v>
      </c>
      <c r="D1018" s="1" t="s">
        <v>6916</v>
      </c>
      <c r="F1018" s="1" t="s">
        <v>6920</v>
      </c>
      <c r="H1018" s="1" t="s">
        <v>6921</v>
      </c>
      <c r="J1018" s="1" t="s">
        <v>1324</v>
      </c>
      <c r="L1018" s="1" t="s">
        <v>1325</v>
      </c>
      <c r="N1018" s="1" t="s">
        <v>4952</v>
      </c>
      <c r="P1018" s="1" t="s">
        <v>4953</v>
      </c>
      <c r="Q1018" s="3">
        <v>1</v>
      </c>
      <c r="R1018" s="22" t="s">
        <v>2721</v>
      </c>
      <c r="S1018" s="42" t="s">
        <v>6910</v>
      </c>
      <c r="T1018" s="3" t="s">
        <v>4868</v>
      </c>
      <c r="U1018" s="45">
        <v>35</v>
      </c>
      <c r="V1018" t="s">
        <v>6919</v>
      </c>
      <c r="W1018" s="1" t="str">
        <f>HYPERLINK("http://ictvonline.org/taxonomy/p/taxonomy-history?taxnode_id=201905483","ICTVonline=201905483")</f>
        <v>ICTVonline=201905483</v>
      </c>
    </row>
    <row r="1019" spans="1:23">
      <c r="A1019" s="3">
        <v>1018</v>
      </c>
      <c r="B1019" s="1" t="s">
        <v>6915</v>
      </c>
      <c r="D1019" s="1" t="s">
        <v>6916</v>
      </c>
      <c r="F1019" s="1" t="s">
        <v>6920</v>
      </c>
      <c r="H1019" s="1" t="s">
        <v>6921</v>
      </c>
      <c r="J1019" s="1" t="s">
        <v>1324</v>
      </c>
      <c r="L1019" s="1" t="s">
        <v>1325</v>
      </c>
      <c r="N1019" s="1" t="s">
        <v>4187</v>
      </c>
      <c r="P1019" s="1" t="s">
        <v>6352</v>
      </c>
      <c r="Q1019" s="3">
        <v>0</v>
      </c>
      <c r="R1019" s="22" t="s">
        <v>2721</v>
      </c>
      <c r="S1019" s="42" t="s">
        <v>6910</v>
      </c>
      <c r="T1019" s="3" t="s">
        <v>4868</v>
      </c>
      <c r="U1019" s="45">
        <v>35</v>
      </c>
      <c r="V1019" t="s">
        <v>6919</v>
      </c>
      <c r="W1019" s="1" t="str">
        <f>HYPERLINK("http://ictvonline.org/taxonomy/p/taxonomy-history?taxnode_id=201907002","ICTVonline=201907002")</f>
        <v>ICTVonline=201907002</v>
      </c>
    </row>
    <row r="1020" spans="1:23">
      <c r="A1020" s="3">
        <v>1019</v>
      </c>
      <c r="B1020" s="1" t="s">
        <v>6915</v>
      </c>
      <c r="D1020" s="1" t="s">
        <v>6916</v>
      </c>
      <c r="F1020" s="1" t="s">
        <v>6920</v>
      </c>
      <c r="H1020" s="1" t="s">
        <v>6921</v>
      </c>
      <c r="J1020" s="1" t="s">
        <v>1324</v>
      </c>
      <c r="L1020" s="1" t="s">
        <v>1325</v>
      </c>
      <c r="N1020" s="1" t="s">
        <v>4187</v>
      </c>
      <c r="P1020" s="1" t="s">
        <v>6353</v>
      </c>
      <c r="Q1020" s="3">
        <v>0</v>
      </c>
      <c r="R1020" s="22" t="s">
        <v>2721</v>
      </c>
      <c r="S1020" s="42" t="s">
        <v>6910</v>
      </c>
      <c r="T1020" s="3" t="s">
        <v>4868</v>
      </c>
      <c r="U1020" s="45">
        <v>35</v>
      </c>
      <c r="V1020" t="s">
        <v>6919</v>
      </c>
      <c r="W1020" s="1" t="str">
        <f>HYPERLINK("http://ictvonline.org/taxonomy/p/taxonomy-history?taxnode_id=201907003","ICTVonline=201907003")</f>
        <v>ICTVonline=201907003</v>
      </c>
    </row>
    <row r="1021" spans="1:23">
      <c r="A1021" s="3">
        <v>1020</v>
      </c>
      <c r="B1021" s="1" t="s">
        <v>6915</v>
      </c>
      <c r="D1021" s="1" t="s">
        <v>6916</v>
      </c>
      <c r="F1021" s="1" t="s">
        <v>6920</v>
      </c>
      <c r="H1021" s="1" t="s">
        <v>6921</v>
      </c>
      <c r="J1021" s="1" t="s">
        <v>1324</v>
      </c>
      <c r="L1021" s="1" t="s">
        <v>1325</v>
      </c>
      <c r="N1021" s="1" t="s">
        <v>4187</v>
      </c>
      <c r="P1021" s="1" t="s">
        <v>4188</v>
      </c>
      <c r="Q1021" s="3">
        <v>0</v>
      </c>
      <c r="R1021" s="22" t="s">
        <v>2721</v>
      </c>
      <c r="S1021" s="42" t="s">
        <v>6910</v>
      </c>
      <c r="T1021" s="3" t="s">
        <v>4868</v>
      </c>
      <c r="U1021" s="45">
        <v>35</v>
      </c>
      <c r="V1021" t="s">
        <v>6919</v>
      </c>
      <c r="W1021" s="1" t="str">
        <f>HYPERLINK("http://ictvonline.org/taxonomy/p/taxonomy-history?taxnode_id=201900448","ICTVonline=201900448")</f>
        <v>ICTVonline=201900448</v>
      </c>
    </row>
    <row r="1022" spans="1:23">
      <c r="A1022" s="3">
        <v>1021</v>
      </c>
      <c r="B1022" s="1" t="s">
        <v>6915</v>
      </c>
      <c r="D1022" s="1" t="s">
        <v>6916</v>
      </c>
      <c r="F1022" s="1" t="s">
        <v>6920</v>
      </c>
      <c r="H1022" s="1" t="s">
        <v>6921</v>
      </c>
      <c r="J1022" s="1" t="s">
        <v>1324</v>
      </c>
      <c r="L1022" s="1" t="s">
        <v>1325</v>
      </c>
      <c r="N1022" s="1" t="s">
        <v>4187</v>
      </c>
      <c r="P1022" s="1" t="s">
        <v>4189</v>
      </c>
      <c r="Q1022" s="3">
        <v>0</v>
      </c>
      <c r="R1022" s="22" t="s">
        <v>2721</v>
      </c>
      <c r="S1022" s="42" t="s">
        <v>6910</v>
      </c>
      <c r="T1022" s="3" t="s">
        <v>4868</v>
      </c>
      <c r="U1022" s="45">
        <v>35</v>
      </c>
      <c r="V1022" t="s">
        <v>6919</v>
      </c>
      <c r="W1022" s="1" t="str">
        <f>HYPERLINK("http://ictvonline.org/taxonomy/p/taxonomy-history?taxnode_id=201900449","ICTVonline=201900449")</f>
        <v>ICTVonline=201900449</v>
      </c>
    </row>
    <row r="1023" spans="1:23">
      <c r="A1023" s="3">
        <v>1022</v>
      </c>
      <c r="B1023" s="1" t="s">
        <v>6915</v>
      </c>
      <c r="D1023" s="1" t="s">
        <v>6916</v>
      </c>
      <c r="F1023" s="1" t="s">
        <v>6920</v>
      </c>
      <c r="H1023" s="1" t="s">
        <v>6921</v>
      </c>
      <c r="J1023" s="1" t="s">
        <v>1324</v>
      </c>
      <c r="L1023" s="1" t="s">
        <v>1325</v>
      </c>
      <c r="N1023" s="1" t="s">
        <v>4187</v>
      </c>
      <c r="P1023" s="1" t="s">
        <v>4190</v>
      </c>
      <c r="Q1023" s="3">
        <v>1</v>
      </c>
      <c r="R1023" s="22" t="s">
        <v>2721</v>
      </c>
      <c r="S1023" s="42" t="s">
        <v>6910</v>
      </c>
      <c r="T1023" s="3" t="s">
        <v>4868</v>
      </c>
      <c r="U1023" s="45">
        <v>35</v>
      </c>
      <c r="V1023" t="s">
        <v>6919</v>
      </c>
      <c r="W1023" s="1" t="str">
        <f>HYPERLINK("http://ictvonline.org/taxonomy/p/taxonomy-history?taxnode_id=201900450","ICTVonline=201900450")</f>
        <v>ICTVonline=201900450</v>
      </c>
    </row>
    <row r="1024" spans="1:23">
      <c r="A1024" s="3">
        <v>1023</v>
      </c>
      <c r="B1024" s="1" t="s">
        <v>6915</v>
      </c>
      <c r="D1024" s="1" t="s">
        <v>6916</v>
      </c>
      <c r="F1024" s="1" t="s">
        <v>6920</v>
      </c>
      <c r="H1024" s="1" t="s">
        <v>6921</v>
      </c>
      <c r="J1024" s="1" t="s">
        <v>1324</v>
      </c>
      <c r="L1024" s="1" t="s">
        <v>1325</v>
      </c>
      <c r="N1024" s="1" t="s">
        <v>4187</v>
      </c>
      <c r="P1024" s="1" t="s">
        <v>6354</v>
      </c>
      <c r="Q1024" s="3">
        <v>0</v>
      </c>
      <c r="R1024" s="22" t="s">
        <v>2721</v>
      </c>
      <c r="S1024" s="42" t="s">
        <v>6910</v>
      </c>
      <c r="T1024" s="3" t="s">
        <v>4868</v>
      </c>
      <c r="U1024" s="45">
        <v>35</v>
      </c>
      <c r="V1024" t="s">
        <v>6919</v>
      </c>
      <c r="W1024" s="1" t="str">
        <f>HYPERLINK("http://ictvonline.org/taxonomy/p/taxonomy-history?taxnode_id=201907004","ICTVonline=201907004")</f>
        <v>ICTVonline=201907004</v>
      </c>
    </row>
    <row r="1025" spans="1:23">
      <c r="A1025" s="3">
        <v>1024</v>
      </c>
      <c r="B1025" s="1" t="s">
        <v>6915</v>
      </c>
      <c r="D1025" s="1" t="s">
        <v>6916</v>
      </c>
      <c r="F1025" s="1" t="s">
        <v>6920</v>
      </c>
      <c r="H1025" s="1" t="s">
        <v>6921</v>
      </c>
      <c r="J1025" s="1" t="s">
        <v>1324</v>
      </c>
      <c r="L1025" s="1" t="s">
        <v>1325</v>
      </c>
      <c r="N1025" s="1" t="s">
        <v>4187</v>
      </c>
      <c r="P1025" s="1" t="s">
        <v>6355</v>
      </c>
      <c r="Q1025" s="3">
        <v>0</v>
      </c>
      <c r="R1025" s="22" t="s">
        <v>2721</v>
      </c>
      <c r="S1025" s="42" t="s">
        <v>6910</v>
      </c>
      <c r="T1025" s="3" t="s">
        <v>4868</v>
      </c>
      <c r="U1025" s="45">
        <v>35</v>
      </c>
      <c r="V1025" t="s">
        <v>6919</v>
      </c>
      <c r="W1025" s="1" t="str">
        <f>HYPERLINK("http://ictvonline.org/taxonomy/p/taxonomy-history?taxnode_id=201907005","ICTVonline=201907005")</f>
        <v>ICTVonline=201907005</v>
      </c>
    </row>
    <row r="1026" spans="1:23">
      <c r="A1026" s="3">
        <v>1025</v>
      </c>
      <c r="B1026" s="1" t="s">
        <v>6915</v>
      </c>
      <c r="D1026" s="1" t="s">
        <v>6916</v>
      </c>
      <c r="F1026" s="1" t="s">
        <v>6920</v>
      </c>
      <c r="H1026" s="1" t="s">
        <v>6921</v>
      </c>
      <c r="J1026" s="1" t="s">
        <v>1324</v>
      </c>
      <c r="L1026" s="1" t="s">
        <v>1325</v>
      </c>
      <c r="N1026" s="1" t="s">
        <v>4187</v>
      </c>
      <c r="P1026" s="1" t="s">
        <v>4191</v>
      </c>
      <c r="Q1026" s="3">
        <v>0</v>
      </c>
      <c r="R1026" s="22" t="s">
        <v>2721</v>
      </c>
      <c r="S1026" s="42" t="s">
        <v>6910</v>
      </c>
      <c r="T1026" s="3" t="s">
        <v>4868</v>
      </c>
      <c r="U1026" s="45">
        <v>35</v>
      </c>
      <c r="V1026" t="s">
        <v>6919</v>
      </c>
      <c r="W1026" s="1" t="str">
        <f>HYPERLINK("http://ictvonline.org/taxonomy/p/taxonomy-history?taxnode_id=201900451","ICTVonline=201900451")</f>
        <v>ICTVonline=201900451</v>
      </c>
    </row>
    <row r="1027" spans="1:23">
      <c r="A1027" s="3">
        <v>1026</v>
      </c>
      <c r="B1027" s="1" t="s">
        <v>6915</v>
      </c>
      <c r="D1027" s="1" t="s">
        <v>6916</v>
      </c>
      <c r="F1027" s="1" t="s">
        <v>6920</v>
      </c>
      <c r="H1027" s="1" t="s">
        <v>6921</v>
      </c>
      <c r="J1027" s="1" t="s">
        <v>1324</v>
      </c>
      <c r="L1027" s="1" t="s">
        <v>1325</v>
      </c>
      <c r="N1027" s="1" t="s">
        <v>7643</v>
      </c>
      <c r="P1027" s="1" t="s">
        <v>7644</v>
      </c>
      <c r="Q1027" s="3">
        <v>1</v>
      </c>
      <c r="R1027" s="22" t="s">
        <v>2721</v>
      </c>
      <c r="S1027" s="42" t="s">
        <v>6914</v>
      </c>
      <c r="T1027" s="3" t="s">
        <v>4866</v>
      </c>
      <c r="U1027" s="45">
        <v>35</v>
      </c>
      <c r="V1027" t="s">
        <v>7579</v>
      </c>
      <c r="W1027" s="1" t="str">
        <f>HYPERLINK("http://ictvonline.org/taxonomy/p/taxonomy-history?taxnode_id=201907760","ICTVonline=201907760")</f>
        <v>ICTVonline=201907760</v>
      </c>
    </row>
    <row r="1028" spans="1:23">
      <c r="A1028" s="3">
        <v>1027</v>
      </c>
      <c r="B1028" s="1" t="s">
        <v>6915</v>
      </c>
      <c r="D1028" s="1" t="s">
        <v>6916</v>
      </c>
      <c r="F1028" s="1" t="s">
        <v>6920</v>
      </c>
      <c r="H1028" s="1" t="s">
        <v>6921</v>
      </c>
      <c r="J1028" s="1" t="s">
        <v>1324</v>
      </c>
      <c r="L1028" s="1" t="s">
        <v>1325</v>
      </c>
      <c r="N1028" s="1" t="s">
        <v>6356</v>
      </c>
      <c r="P1028" s="1" t="s">
        <v>6357</v>
      </c>
      <c r="Q1028" s="3">
        <v>1</v>
      </c>
      <c r="R1028" s="22" t="s">
        <v>2721</v>
      </c>
      <c r="S1028" s="42" t="s">
        <v>6910</v>
      </c>
      <c r="T1028" s="3" t="s">
        <v>4868</v>
      </c>
      <c r="U1028" s="45">
        <v>35</v>
      </c>
      <c r="V1028" t="s">
        <v>6919</v>
      </c>
      <c r="W1028" s="1" t="str">
        <f>HYPERLINK("http://ictvonline.org/taxonomy/p/taxonomy-history?taxnode_id=201906918","ICTVonline=201906918")</f>
        <v>ICTVonline=201906918</v>
      </c>
    </row>
    <row r="1029" spans="1:23">
      <c r="A1029" s="3">
        <v>1028</v>
      </c>
      <c r="B1029" s="1" t="s">
        <v>6915</v>
      </c>
      <c r="D1029" s="1" t="s">
        <v>6916</v>
      </c>
      <c r="F1029" s="1" t="s">
        <v>6920</v>
      </c>
      <c r="H1029" s="1" t="s">
        <v>6921</v>
      </c>
      <c r="J1029" s="1" t="s">
        <v>1324</v>
      </c>
      <c r="L1029" s="1" t="s">
        <v>1325</v>
      </c>
      <c r="N1029" s="1" t="s">
        <v>6358</v>
      </c>
      <c r="P1029" s="1" t="s">
        <v>4198</v>
      </c>
      <c r="Q1029" s="3">
        <v>1</v>
      </c>
      <c r="R1029" s="22" t="s">
        <v>2721</v>
      </c>
      <c r="S1029" s="42" t="s">
        <v>6910</v>
      </c>
      <c r="T1029" s="3" t="s">
        <v>4868</v>
      </c>
      <c r="U1029" s="45">
        <v>35</v>
      </c>
      <c r="V1029" t="s">
        <v>6919</v>
      </c>
      <c r="W1029" s="1" t="str">
        <f>HYPERLINK("http://ictvonline.org/taxonomy/p/taxonomy-history?taxnode_id=201900496","ICTVonline=201900496")</f>
        <v>ICTVonline=201900496</v>
      </c>
    </row>
    <row r="1030" spans="1:23">
      <c r="A1030" s="3">
        <v>1029</v>
      </c>
      <c r="B1030" s="1" t="s">
        <v>6915</v>
      </c>
      <c r="D1030" s="1" t="s">
        <v>6916</v>
      </c>
      <c r="F1030" s="1" t="s">
        <v>6920</v>
      </c>
      <c r="H1030" s="1" t="s">
        <v>6921</v>
      </c>
      <c r="J1030" s="1" t="s">
        <v>1324</v>
      </c>
      <c r="L1030" s="1" t="s">
        <v>1325</v>
      </c>
      <c r="N1030" s="1" t="s">
        <v>6359</v>
      </c>
      <c r="P1030" s="1" t="s">
        <v>6360</v>
      </c>
      <c r="Q1030" s="3">
        <v>1</v>
      </c>
      <c r="R1030" s="22" t="s">
        <v>2721</v>
      </c>
      <c r="S1030" s="42" t="s">
        <v>6910</v>
      </c>
      <c r="T1030" s="3" t="s">
        <v>4868</v>
      </c>
      <c r="U1030" s="45">
        <v>35</v>
      </c>
      <c r="V1030" t="s">
        <v>6919</v>
      </c>
      <c r="W1030" s="1" t="str">
        <f>HYPERLINK("http://ictvonline.org/taxonomy/p/taxonomy-history?taxnode_id=201906679","ICTVonline=201906679")</f>
        <v>ICTVonline=201906679</v>
      </c>
    </row>
    <row r="1031" spans="1:23">
      <c r="A1031" s="3">
        <v>1030</v>
      </c>
      <c r="B1031" s="1" t="s">
        <v>6915</v>
      </c>
      <c r="D1031" s="1" t="s">
        <v>6916</v>
      </c>
      <c r="F1031" s="1" t="s">
        <v>6920</v>
      </c>
      <c r="H1031" s="1" t="s">
        <v>6921</v>
      </c>
      <c r="J1031" s="1" t="s">
        <v>1324</v>
      </c>
      <c r="L1031" s="1" t="s">
        <v>1325</v>
      </c>
      <c r="N1031" s="1" t="s">
        <v>6359</v>
      </c>
      <c r="P1031" s="1" t="s">
        <v>6361</v>
      </c>
      <c r="Q1031" s="3">
        <v>0</v>
      </c>
      <c r="R1031" s="22" t="s">
        <v>2721</v>
      </c>
      <c r="S1031" s="42" t="s">
        <v>6910</v>
      </c>
      <c r="T1031" s="3" t="s">
        <v>4868</v>
      </c>
      <c r="U1031" s="45">
        <v>35</v>
      </c>
      <c r="V1031" t="s">
        <v>6919</v>
      </c>
      <c r="W1031" s="1" t="str">
        <f>HYPERLINK("http://ictvonline.org/taxonomy/p/taxonomy-history?taxnode_id=201906680","ICTVonline=201906680")</f>
        <v>ICTVonline=201906680</v>
      </c>
    </row>
    <row r="1032" spans="1:23">
      <c r="A1032" s="3">
        <v>1031</v>
      </c>
      <c r="B1032" s="1" t="s">
        <v>6915</v>
      </c>
      <c r="D1032" s="1" t="s">
        <v>6916</v>
      </c>
      <c r="F1032" s="1" t="s">
        <v>6920</v>
      </c>
      <c r="H1032" s="1" t="s">
        <v>6921</v>
      </c>
      <c r="J1032" s="1" t="s">
        <v>1324</v>
      </c>
      <c r="L1032" s="1" t="s">
        <v>1325</v>
      </c>
      <c r="N1032" s="1" t="s">
        <v>7645</v>
      </c>
      <c r="P1032" s="1" t="s">
        <v>7646</v>
      </c>
      <c r="Q1032" s="3">
        <v>1</v>
      </c>
      <c r="R1032" s="22" t="s">
        <v>2721</v>
      </c>
      <c r="S1032" s="42" t="s">
        <v>6914</v>
      </c>
      <c r="T1032" s="3" t="s">
        <v>4866</v>
      </c>
      <c r="U1032" s="45">
        <v>35</v>
      </c>
      <c r="V1032" t="s">
        <v>7602</v>
      </c>
      <c r="W1032" s="1" t="str">
        <f>HYPERLINK("http://ictvonline.org/taxonomy/p/taxonomy-history?taxnode_id=201908042","ICTVonline=201908042")</f>
        <v>ICTVonline=201908042</v>
      </c>
    </row>
    <row r="1033" spans="1:23">
      <c r="A1033" s="3">
        <v>1032</v>
      </c>
      <c r="B1033" s="1" t="s">
        <v>6915</v>
      </c>
      <c r="D1033" s="1" t="s">
        <v>6916</v>
      </c>
      <c r="F1033" s="1" t="s">
        <v>6920</v>
      </c>
      <c r="H1033" s="1" t="s">
        <v>6921</v>
      </c>
      <c r="J1033" s="1" t="s">
        <v>1324</v>
      </c>
      <c r="L1033" s="1" t="s">
        <v>1325</v>
      </c>
      <c r="N1033" s="1" t="s">
        <v>2882</v>
      </c>
      <c r="P1033" s="1" t="s">
        <v>2883</v>
      </c>
      <c r="Q1033" s="3">
        <v>1</v>
      </c>
      <c r="R1033" s="22" t="s">
        <v>2721</v>
      </c>
      <c r="S1033" s="42" t="s">
        <v>6910</v>
      </c>
      <c r="T1033" s="3" t="s">
        <v>4868</v>
      </c>
      <c r="U1033" s="45">
        <v>35</v>
      </c>
      <c r="V1033" t="s">
        <v>6919</v>
      </c>
      <c r="W1033" s="1" t="str">
        <f>HYPERLINK("http://ictvonline.org/taxonomy/p/taxonomy-history?taxnode_id=201900456","ICTVonline=201900456")</f>
        <v>ICTVonline=201900456</v>
      </c>
    </row>
    <row r="1034" spans="1:23">
      <c r="A1034" s="3">
        <v>1033</v>
      </c>
      <c r="B1034" s="1" t="s">
        <v>6915</v>
      </c>
      <c r="D1034" s="1" t="s">
        <v>6916</v>
      </c>
      <c r="F1034" s="1" t="s">
        <v>6920</v>
      </c>
      <c r="H1034" s="1" t="s">
        <v>6921</v>
      </c>
      <c r="J1034" s="1" t="s">
        <v>1324</v>
      </c>
      <c r="L1034" s="1" t="s">
        <v>1325</v>
      </c>
      <c r="N1034" s="1" t="s">
        <v>2882</v>
      </c>
      <c r="P1034" s="1" t="s">
        <v>4194</v>
      </c>
      <c r="Q1034" s="3">
        <v>0</v>
      </c>
      <c r="R1034" s="22" t="s">
        <v>2721</v>
      </c>
      <c r="S1034" s="42" t="s">
        <v>6910</v>
      </c>
      <c r="T1034" s="3" t="s">
        <v>4868</v>
      </c>
      <c r="U1034" s="45">
        <v>35</v>
      </c>
      <c r="V1034" t="s">
        <v>6919</v>
      </c>
      <c r="W1034" s="1" t="str">
        <f>HYPERLINK("http://ictvonline.org/taxonomy/p/taxonomy-history?taxnode_id=201900457","ICTVonline=201900457")</f>
        <v>ICTVonline=201900457</v>
      </c>
    </row>
    <row r="1035" spans="1:23">
      <c r="A1035" s="3">
        <v>1034</v>
      </c>
      <c r="B1035" s="1" t="s">
        <v>6915</v>
      </c>
      <c r="D1035" s="1" t="s">
        <v>6916</v>
      </c>
      <c r="F1035" s="1" t="s">
        <v>6920</v>
      </c>
      <c r="H1035" s="1" t="s">
        <v>6921</v>
      </c>
      <c r="J1035" s="1" t="s">
        <v>1324</v>
      </c>
      <c r="L1035" s="1" t="s">
        <v>1325</v>
      </c>
      <c r="N1035" s="1" t="s">
        <v>2884</v>
      </c>
      <c r="P1035" s="1" t="s">
        <v>2885</v>
      </c>
      <c r="Q1035" s="3">
        <v>1</v>
      </c>
      <c r="R1035" s="22" t="s">
        <v>2721</v>
      </c>
      <c r="S1035" s="42" t="s">
        <v>6910</v>
      </c>
      <c r="T1035" s="3" t="s">
        <v>4868</v>
      </c>
      <c r="U1035" s="45">
        <v>35</v>
      </c>
      <c r="V1035" t="s">
        <v>6919</v>
      </c>
      <c r="W1035" s="1" t="str">
        <f>HYPERLINK("http://ictvonline.org/taxonomy/p/taxonomy-history?taxnode_id=201900459","ICTVonline=201900459")</f>
        <v>ICTVonline=201900459</v>
      </c>
    </row>
    <row r="1036" spans="1:23">
      <c r="A1036" s="3">
        <v>1035</v>
      </c>
      <c r="B1036" s="1" t="s">
        <v>6915</v>
      </c>
      <c r="D1036" s="1" t="s">
        <v>6916</v>
      </c>
      <c r="F1036" s="1" t="s">
        <v>6920</v>
      </c>
      <c r="H1036" s="1" t="s">
        <v>6921</v>
      </c>
      <c r="J1036" s="1" t="s">
        <v>1324</v>
      </c>
      <c r="L1036" s="1" t="s">
        <v>1325</v>
      </c>
      <c r="N1036" s="1" t="s">
        <v>7647</v>
      </c>
      <c r="P1036" s="1" t="s">
        <v>2848</v>
      </c>
      <c r="Q1036" s="3">
        <v>0</v>
      </c>
      <c r="R1036" s="22" t="s">
        <v>2721</v>
      </c>
      <c r="S1036" s="42" t="s">
        <v>6910</v>
      </c>
      <c r="T1036" s="3" t="s">
        <v>4868</v>
      </c>
      <c r="U1036" s="45">
        <v>35</v>
      </c>
      <c r="V1036" t="s">
        <v>7599</v>
      </c>
      <c r="W1036" s="1" t="str">
        <f>HYPERLINK("http://ictvonline.org/taxonomy/p/taxonomy-history?taxnode_id=201900402","ICTVonline=201900402")</f>
        <v>ICTVonline=201900402</v>
      </c>
    </row>
    <row r="1037" spans="1:23">
      <c r="A1037" s="3">
        <v>1036</v>
      </c>
      <c r="B1037" s="1" t="s">
        <v>6915</v>
      </c>
      <c r="D1037" s="1" t="s">
        <v>6916</v>
      </c>
      <c r="F1037" s="1" t="s">
        <v>6920</v>
      </c>
      <c r="H1037" s="1" t="s">
        <v>6921</v>
      </c>
      <c r="J1037" s="1" t="s">
        <v>1324</v>
      </c>
      <c r="L1037" s="1" t="s">
        <v>1325</v>
      </c>
      <c r="N1037" s="1" t="s">
        <v>7647</v>
      </c>
      <c r="P1037" s="1" t="s">
        <v>2849</v>
      </c>
      <c r="Q1037" s="3">
        <v>0</v>
      </c>
      <c r="R1037" s="22" t="s">
        <v>2721</v>
      </c>
      <c r="S1037" s="42" t="s">
        <v>6910</v>
      </c>
      <c r="T1037" s="3" t="s">
        <v>4868</v>
      </c>
      <c r="U1037" s="45">
        <v>35</v>
      </c>
      <c r="V1037" t="s">
        <v>7599</v>
      </c>
      <c r="W1037" s="1" t="str">
        <f>HYPERLINK("http://ictvonline.org/taxonomy/p/taxonomy-history?taxnode_id=201900403","ICTVonline=201900403")</f>
        <v>ICTVonline=201900403</v>
      </c>
    </row>
    <row r="1038" spans="1:23">
      <c r="A1038" s="3">
        <v>1037</v>
      </c>
      <c r="B1038" s="1" t="s">
        <v>6915</v>
      </c>
      <c r="D1038" s="1" t="s">
        <v>6916</v>
      </c>
      <c r="F1038" s="1" t="s">
        <v>6920</v>
      </c>
      <c r="H1038" s="1" t="s">
        <v>6921</v>
      </c>
      <c r="J1038" s="1" t="s">
        <v>1324</v>
      </c>
      <c r="L1038" s="1" t="s">
        <v>1325</v>
      </c>
      <c r="N1038" s="1" t="s">
        <v>7647</v>
      </c>
      <c r="P1038" s="1" t="s">
        <v>2850</v>
      </c>
      <c r="Q1038" s="3">
        <v>1</v>
      </c>
      <c r="R1038" s="22" t="s">
        <v>2721</v>
      </c>
      <c r="S1038" s="42" t="s">
        <v>6910</v>
      </c>
      <c r="T1038" s="3" t="s">
        <v>4868</v>
      </c>
      <c r="U1038" s="45">
        <v>35</v>
      </c>
      <c r="V1038" t="s">
        <v>7599</v>
      </c>
      <c r="W1038" s="1" t="str">
        <f>HYPERLINK("http://ictvonline.org/taxonomy/p/taxonomy-history?taxnode_id=201900404","ICTVonline=201900404")</f>
        <v>ICTVonline=201900404</v>
      </c>
    </row>
    <row r="1039" spans="1:23">
      <c r="A1039" s="3">
        <v>1038</v>
      </c>
      <c r="B1039" s="1" t="s">
        <v>6915</v>
      </c>
      <c r="D1039" s="1" t="s">
        <v>6916</v>
      </c>
      <c r="F1039" s="1" t="s">
        <v>6920</v>
      </c>
      <c r="H1039" s="1" t="s">
        <v>6921</v>
      </c>
      <c r="J1039" s="1" t="s">
        <v>1324</v>
      </c>
      <c r="L1039" s="1" t="s">
        <v>1325</v>
      </c>
      <c r="N1039" s="1" t="s">
        <v>7647</v>
      </c>
      <c r="P1039" s="1" t="s">
        <v>2851</v>
      </c>
      <c r="Q1039" s="3">
        <v>0</v>
      </c>
      <c r="R1039" s="22" t="s">
        <v>2721</v>
      </c>
      <c r="S1039" s="42" t="s">
        <v>6910</v>
      </c>
      <c r="T1039" s="3" t="s">
        <v>4868</v>
      </c>
      <c r="U1039" s="45">
        <v>35</v>
      </c>
      <c r="V1039" t="s">
        <v>7599</v>
      </c>
      <c r="W1039" s="1" t="str">
        <f>HYPERLINK("http://ictvonline.org/taxonomy/p/taxonomy-history?taxnode_id=201900405","ICTVonline=201900405")</f>
        <v>ICTVonline=201900405</v>
      </c>
    </row>
    <row r="1040" spans="1:23">
      <c r="A1040" s="3">
        <v>1039</v>
      </c>
      <c r="B1040" s="1" t="s">
        <v>6915</v>
      </c>
      <c r="D1040" s="1" t="s">
        <v>6916</v>
      </c>
      <c r="F1040" s="1" t="s">
        <v>6920</v>
      </c>
      <c r="H1040" s="1" t="s">
        <v>6921</v>
      </c>
      <c r="J1040" s="1" t="s">
        <v>1324</v>
      </c>
      <c r="L1040" s="1" t="s">
        <v>1325</v>
      </c>
      <c r="N1040" s="1" t="s">
        <v>7647</v>
      </c>
      <c r="P1040" s="1" t="s">
        <v>2852</v>
      </c>
      <c r="Q1040" s="3">
        <v>0</v>
      </c>
      <c r="R1040" s="22" t="s">
        <v>2721</v>
      </c>
      <c r="S1040" s="42" t="s">
        <v>6910</v>
      </c>
      <c r="T1040" s="3" t="s">
        <v>4868</v>
      </c>
      <c r="U1040" s="45">
        <v>35</v>
      </c>
      <c r="V1040" t="s">
        <v>7599</v>
      </c>
      <c r="W1040" s="1" t="str">
        <f>HYPERLINK("http://ictvonline.org/taxonomy/p/taxonomy-history?taxnode_id=201900406","ICTVonline=201900406")</f>
        <v>ICTVonline=201900406</v>
      </c>
    </row>
    <row r="1041" spans="1:23">
      <c r="A1041" s="3">
        <v>1040</v>
      </c>
      <c r="B1041" s="1" t="s">
        <v>6915</v>
      </c>
      <c r="D1041" s="1" t="s">
        <v>6916</v>
      </c>
      <c r="F1041" s="1" t="s">
        <v>6920</v>
      </c>
      <c r="H1041" s="1" t="s">
        <v>6921</v>
      </c>
      <c r="J1041" s="1" t="s">
        <v>1324</v>
      </c>
      <c r="L1041" s="1" t="s">
        <v>1325</v>
      </c>
      <c r="N1041" s="1" t="s">
        <v>7648</v>
      </c>
      <c r="P1041" s="1" t="s">
        <v>7649</v>
      </c>
      <c r="Q1041" s="3">
        <v>1</v>
      </c>
      <c r="R1041" s="22" t="s">
        <v>2721</v>
      </c>
      <c r="S1041" s="42" t="s">
        <v>6914</v>
      </c>
      <c r="T1041" s="3" t="s">
        <v>4866</v>
      </c>
      <c r="U1041" s="45">
        <v>35</v>
      </c>
      <c r="V1041" t="s">
        <v>7568</v>
      </c>
      <c r="W1041" s="1" t="str">
        <f>HYPERLINK("http://ictvonline.org/taxonomy/p/taxonomy-history?taxnode_id=201907801","ICTVonline=201907801")</f>
        <v>ICTVonline=201907801</v>
      </c>
    </row>
    <row r="1042" spans="1:23">
      <c r="A1042" s="3">
        <v>1041</v>
      </c>
      <c r="B1042" s="1" t="s">
        <v>6915</v>
      </c>
      <c r="D1042" s="1" t="s">
        <v>6916</v>
      </c>
      <c r="F1042" s="1" t="s">
        <v>6920</v>
      </c>
      <c r="H1042" s="1" t="s">
        <v>6921</v>
      </c>
      <c r="J1042" s="1" t="s">
        <v>1324</v>
      </c>
      <c r="L1042" s="1" t="s">
        <v>1325</v>
      </c>
      <c r="N1042" s="1" t="s">
        <v>6362</v>
      </c>
      <c r="P1042" s="1" t="s">
        <v>2879</v>
      </c>
      <c r="Q1042" s="3">
        <v>0</v>
      </c>
      <c r="R1042" s="22" t="s">
        <v>2721</v>
      </c>
      <c r="S1042" s="42" t="s">
        <v>6910</v>
      </c>
      <c r="T1042" s="3" t="s">
        <v>4868</v>
      </c>
      <c r="U1042" s="45">
        <v>35</v>
      </c>
      <c r="V1042" t="s">
        <v>6919</v>
      </c>
      <c r="W1042" s="1" t="str">
        <f>HYPERLINK("http://ictvonline.org/taxonomy/p/taxonomy-history?taxnode_id=201900440","ICTVonline=201900440")</f>
        <v>ICTVonline=201900440</v>
      </c>
    </row>
    <row r="1043" spans="1:23">
      <c r="A1043" s="3">
        <v>1042</v>
      </c>
      <c r="B1043" s="1" t="s">
        <v>6915</v>
      </c>
      <c r="D1043" s="1" t="s">
        <v>6916</v>
      </c>
      <c r="F1043" s="1" t="s">
        <v>6920</v>
      </c>
      <c r="H1043" s="1" t="s">
        <v>6921</v>
      </c>
      <c r="J1043" s="1" t="s">
        <v>1324</v>
      </c>
      <c r="L1043" s="1" t="s">
        <v>1325</v>
      </c>
      <c r="N1043" s="1" t="s">
        <v>6362</v>
      </c>
      <c r="P1043" s="1" t="s">
        <v>6363</v>
      </c>
      <c r="Q1043" s="3">
        <v>0</v>
      </c>
      <c r="R1043" s="22" t="s">
        <v>2721</v>
      </c>
      <c r="S1043" s="42" t="s">
        <v>6910</v>
      </c>
      <c r="T1043" s="3" t="s">
        <v>4868</v>
      </c>
      <c r="U1043" s="45">
        <v>35</v>
      </c>
      <c r="V1043" t="s">
        <v>6919</v>
      </c>
      <c r="W1043" s="1" t="str">
        <f>HYPERLINK("http://ictvonline.org/taxonomy/p/taxonomy-history?taxnode_id=201907000","ICTVonline=201907000")</f>
        <v>ICTVonline=201907000</v>
      </c>
    </row>
    <row r="1044" spans="1:23">
      <c r="A1044" s="3">
        <v>1043</v>
      </c>
      <c r="B1044" s="1" t="s">
        <v>6915</v>
      </c>
      <c r="D1044" s="1" t="s">
        <v>6916</v>
      </c>
      <c r="F1044" s="1" t="s">
        <v>6920</v>
      </c>
      <c r="H1044" s="1" t="s">
        <v>6921</v>
      </c>
      <c r="J1044" s="1" t="s">
        <v>1324</v>
      </c>
      <c r="L1044" s="1" t="s">
        <v>1325</v>
      </c>
      <c r="N1044" s="1" t="s">
        <v>6362</v>
      </c>
      <c r="P1044" s="1" t="s">
        <v>2880</v>
      </c>
      <c r="Q1044" s="3">
        <v>1</v>
      </c>
      <c r="R1044" s="22" t="s">
        <v>2721</v>
      </c>
      <c r="S1044" s="42" t="s">
        <v>6910</v>
      </c>
      <c r="T1044" s="3" t="s">
        <v>4868</v>
      </c>
      <c r="U1044" s="45">
        <v>35</v>
      </c>
      <c r="V1044" t="s">
        <v>6919</v>
      </c>
      <c r="W1044" s="1" t="str">
        <f>HYPERLINK("http://ictvonline.org/taxonomy/p/taxonomy-history?taxnode_id=201900441","ICTVonline=201900441")</f>
        <v>ICTVonline=201900441</v>
      </c>
    </row>
    <row r="1045" spans="1:23">
      <c r="A1045" s="3">
        <v>1044</v>
      </c>
      <c r="B1045" s="1" t="s">
        <v>6915</v>
      </c>
      <c r="D1045" s="1" t="s">
        <v>6916</v>
      </c>
      <c r="F1045" s="1" t="s">
        <v>6920</v>
      </c>
      <c r="H1045" s="1" t="s">
        <v>6921</v>
      </c>
      <c r="J1045" s="1" t="s">
        <v>1324</v>
      </c>
      <c r="L1045" s="1" t="s">
        <v>1325</v>
      </c>
      <c r="N1045" s="1" t="s">
        <v>6362</v>
      </c>
      <c r="P1045" s="1" t="s">
        <v>2881</v>
      </c>
      <c r="Q1045" s="3">
        <v>0</v>
      </c>
      <c r="R1045" s="22" t="s">
        <v>2721</v>
      </c>
      <c r="S1045" s="42" t="s">
        <v>6910</v>
      </c>
      <c r="T1045" s="3" t="s">
        <v>4868</v>
      </c>
      <c r="U1045" s="45">
        <v>35</v>
      </c>
      <c r="V1045" t="s">
        <v>6919</v>
      </c>
      <c r="W1045" s="1" t="str">
        <f>HYPERLINK("http://ictvonline.org/taxonomy/p/taxonomy-history?taxnode_id=201900442","ICTVonline=201900442")</f>
        <v>ICTVonline=201900442</v>
      </c>
    </row>
    <row r="1046" spans="1:23">
      <c r="A1046" s="3">
        <v>1045</v>
      </c>
      <c r="B1046" s="1" t="s">
        <v>6915</v>
      </c>
      <c r="D1046" s="1" t="s">
        <v>6916</v>
      </c>
      <c r="F1046" s="1" t="s">
        <v>6920</v>
      </c>
      <c r="H1046" s="1" t="s">
        <v>6921</v>
      </c>
      <c r="J1046" s="1" t="s">
        <v>1324</v>
      </c>
      <c r="L1046" s="1" t="s">
        <v>1325</v>
      </c>
      <c r="N1046" s="1" t="s">
        <v>6362</v>
      </c>
      <c r="P1046" s="1" t="s">
        <v>6364</v>
      </c>
      <c r="Q1046" s="3">
        <v>0</v>
      </c>
      <c r="R1046" s="22" t="s">
        <v>2721</v>
      </c>
      <c r="S1046" s="42" t="s">
        <v>6910</v>
      </c>
      <c r="T1046" s="3" t="s">
        <v>4868</v>
      </c>
      <c r="U1046" s="45">
        <v>35</v>
      </c>
      <c r="V1046" t="s">
        <v>6919</v>
      </c>
      <c r="W1046" s="1" t="str">
        <f>HYPERLINK("http://ictvonline.org/taxonomy/p/taxonomy-history?taxnode_id=201907001","ICTVonline=201907001")</f>
        <v>ICTVonline=201907001</v>
      </c>
    </row>
    <row r="1047" spans="1:23">
      <c r="A1047" s="3">
        <v>1046</v>
      </c>
      <c r="B1047" s="1" t="s">
        <v>6915</v>
      </c>
      <c r="D1047" s="1" t="s">
        <v>6916</v>
      </c>
      <c r="F1047" s="1" t="s">
        <v>6920</v>
      </c>
      <c r="H1047" s="1" t="s">
        <v>6921</v>
      </c>
      <c r="J1047" s="1" t="s">
        <v>1324</v>
      </c>
      <c r="L1047" s="1" t="s">
        <v>1325</v>
      </c>
      <c r="N1047" s="1" t="s">
        <v>7650</v>
      </c>
      <c r="P1047" s="1" t="s">
        <v>7651</v>
      </c>
      <c r="Q1047" s="3">
        <v>1</v>
      </c>
      <c r="R1047" s="22" t="s">
        <v>2721</v>
      </c>
      <c r="S1047" s="42" t="s">
        <v>6914</v>
      </c>
      <c r="T1047" s="3" t="s">
        <v>4866</v>
      </c>
      <c r="U1047" s="45">
        <v>35</v>
      </c>
      <c r="V1047" t="s">
        <v>7568</v>
      </c>
      <c r="W1047" s="1" t="str">
        <f>HYPERLINK("http://ictvonline.org/taxonomy/p/taxonomy-history?taxnode_id=201907782","ICTVonline=201907782")</f>
        <v>ICTVonline=201907782</v>
      </c>
    </row>
    <row r="1048" spans="1:23">
      <c r="A1048" s="3">
        <v>1047</v>
      </c>
      <c r="B1048" s="1" t="s">
        <v>6915</v>
      </c>
      <c r="D1048" s="1" t="s">
        <v>6916</v>
      </c>
      <c r="F1048" s="1" t="s">
        <v>6920</v>
      </c>
      <c r="H1048" s="1" t="s">
        <v>6921</v>
      </c>
      <c r="J1048" s="1" t="s">
        <v>1324</v>
      </c>
      <c r="L1048" s="1" t="s">
        <v>1325</v>
      </c>
      <c r="N1048" s="1" t="s">
        <v>7650</v>
      </c>
      <c r="P1048" s="1" t="s">
        <v>7652</v>
      </c>
      <c r="Q1048" s="3">
        <v>0</v>
      </c>
      <c r="R1048" s="22" t="s">
        <v>2721</v>
      </c>
      <c r="S1048" s="42" t="s">
        <v>6914</v>
      </c>
      <c r="T1048" s="3" t="s">
        <v>4866</v>
      </c>
      <c r="U1048" s="45">
        <v>35</v>
      </c>
      <c r="V1048" t="s">
        <v>7568</v>
      </c>
      <c r="W1048" s="1" t="str">
        <f>HYPERLINK("http://ictvonline.org/taxonomy/p/taxonomy-history?taxnode_id=201907783","ICTVonline=201907783")</f>
        <v>ICTVonline=201907783</v>
      </c>
    </row>
    <row r="1049" spans="1:23">
      <c r="A1049" s="3">
        <v>1048</v>
      </c>
      <c r="B1049" s="1" t="s">
        <v>6915</v>
      </c>
      <c r="D1049" s="1" t="s">
        <v>6916</v>
      </c>
      <c r="F1049" s="1" t="s">
        <v>6920</v>
      </c>
      <c r="H1049" s="1" t="s">
        <v>6921</v>
      </c>
      <c r="J1049" s="1" t="s">
        <v>1324</v>
      </c>
      <c r="L1049" s="1" t="s">
        <v>1325</v>
      </c>
      <c r="N1049" s="1" t="s">
        <v>7653</v>
      </c>
      <c r="P1049" s="1" t="s">
        <v>7654</v>
      </c>
      <c r="Q1049" s="3">
        <v>0</v>
      </c>
      <c r="R1049" s="22" t="s">
        <v>2721</v>
      </c>
      <c r="S1049" s="42" t="s">
        <v>6914</v>
      </c>
      <c r="T1049" s="3" t="s">
        <v>4866</v>
      </c>
      <c r="U1049" s="45">
        <v>35</v>
      </c>
      <c r="V1049" t="s">
        <v>7568</v>
      </c>
      <c r="W1049" s="1" t="str">
        <f>HYPERLINK("http://ictvonline.org/taxonomy/p/taxonomy-history?taxnode_id=201907797","ICTVonline=201907797")</f>
        <v>ICTVonline=201907797</v>
      </c>
    </row>
    <row r="1050" spans="1:23">
      <c r="A1050" s="3">
        <v>1049</v>
      </c>
      <c r="B1050" s="1" t="s">
        <v>6915</v>
      </c>
      <c r="D1050" s="1" t="s">
        <v>6916</v>
      </c>
      <c r="F1050" s="1" t="s">
        <v>6920</v>
      </c>
      <c r="H1050" s="1" t="s">
        <v>6921</v>
      </c>
      <c r="J1050" s="1" t="s">
        <v>1324</v>
      </c>
      <c r="L1050" s="1" t="s">
        <v>1325</v>
      </c>
      <c r="N1050" s="1" t="s">
        <v>7653</v>
      </c>
      <c r="P1050" s="1" t="s">
        <v>7655</v>
      </c>
      <c r="Q1050" s="3">
        <v>1</v>
      </c>
      <c r="R1050" s="22" t="s">
        <v>2721</v>
      </c>
      <c r="S1050" s="42" t="s">
        <v>6914</v>
      </c>
      <c r="T1050" s="3" t="s">
        <v>4866</v>
      </c>
      <c r="U1050" s="45">
        <v>35</v>
      </c>
      <c r="V1050" t="s">
        <v>7568</v>
      </c>
      <c r="W1050" s="1" t="str">
        <f>HYPERLINK("http://ictvonline.org/taxonomy/p/taxonomy-history?taxnode_id=201907796","ICTVonline=201907796")</f>
        <v>ICTVonline=201907796</v>
      </c>
    </row>
    <row r="1051" spans="1:23">
      <c r="A1051" s="3">
        <v>1050</v>
      </c>
      <c r="B1051" s="1" t="s">
        <v>6915</v>
      </c>
      <c r="D1051" s="1" t="s">
        <v>6916</v>
      </c>
      <c r="F1051" s="1" t="s">
        <v>6920</v>
      </c>
      <c r="H1051" s="1" t="s">
        <v>6921</v>
      </c>
      <c r="J1051" s="1" t="s">
        <v>1324</v>
      </c>
      <c r="L1051" s="1" t="s">
        <v>1325</v>
      </c>
      <c r="N1051" s="1" t="s">
        <v>7656</v>
      </c>
      <c r="P1051" s="1" t="s">
        <v>7657</v>
      </c>
      <c r="Q1051" s="3">
        <v>1</v>
      </c>
      <c r="R1051" s="22" t="s">
        <v>2721</v>
      </c>
      <c r="S1051" s="42" t="s">
        <v>6914</v>
      </c>
      <c r="T1051" s="3" t="s">
        <v>4866</v>
      </c>
      <c r="U1051" s="45">
        <v>35</v>
      </c>
      <c r="V1051" t="s">
        <v>7568</v>
      </c>
      <c r="W1051" s="1" t="str">
        <f>HYPERLINK("http://ictvonline.org/taxonomy/p/taxonomy-history?taxnode_id=201907789","ICTVonline=201907789")</f>
        <v>ICTVonline=201907789</v>
      </c>
    </row>
    <row r="1052" spans="1:23">
      <c r="A1052" s="3">
        <v>1051</v>
      </c>
      <c r="B1052" s="1" t="s">
        <v>6915</v>
      </c>
      <c r="D1052" s="1" t="s">
        <v>6916</v>
      </c>
      <c r="F1052" s="1" t="s">
        <v>6920</v>
      </c>
      <c r="H1052" s="1" t="s">
        <v>6921</v>
      </c>
      <c r="J1052" s="1" t="s">
        <v>1324</v>
      </c>
      <c r="L1052" s="1" t="s">
        <v>1325</v>
      </c>
      <c r="N1052" s="1" t="s">
        <v>7658</v>
      </c>
      <c r="P1052" s="1" t="s">
        <v>7659</v>
      </c>
      <c r="Q1052" s="3">
        <v>1</v>
      </c>
      <c r="R1052" s="22" t="s">
        <v>2721</v>
      </c>
      <c r="S1052" s="42" t="s">
        <v>6914</v>
      </c>
      <c r="T1052" s="3" t="s">
        <v>4866</v>
      </c>
      <c r="U1052" s="45">
        <v>35</v>
      </c>
      <c r="V1052" t="s">
        <v>7579</v>
      </c>
      <c r="W1052" s="1" t="str">
        <f>HYPERLINK("http://ictvonline.org/taxonomy/p/taxonomy-history?taxnode_id=201907768","ICTVonline=201907768")</f>
        <v>ICTVonline=201907768</v>
      </c>
    </row>
    <row r="1053" spans="1:23">
      <c r="A1053" s="3">
        <v>1052</v>
      </c>
      <c r="B1053" s="1" t="s">
        <v>6915</v>
      </c>
      <c r="D1053" s="1" t="s">
        <v>6916</v>
      </c>
      <c r="F1053" s="1" t="s">
        <v>6920</v>
      </c>
      <c r="H1053" s="1" t="s">
        <v>6921</v>
      </c>
      <c r="J1053" s="1" t="s">
        <v>1324</v>
      </c>
      <c r="L1053" s="1" t="s">
        <v>1325</v>
      </c>
      <c r="N1053" s="1" t="s">
        <v>6368</v>
      </c>
      <c r="P1053" s="1" t="s">
        <v>6369</v>
      </c>
      <c r="Q1053" s="3">
        <v>1</v>
      </c>
      <c r="R1053" s="22" t="s">
        <v>2721</v>
      </c>
      <c r="S1053" s="42" t="s">
        <v>6910</v>
      </c>
      <c r="T1053" s="3" t="s">
        <v>4868</v>
      </c>
      <c r="U1053" s="45">
        <v>35</v>
      </c>
      <c r="V1053" t="s">
        <v>6919</v>
      </c>
      <c r="W1053" s="1" t="str">
        <f>HYPERLINK("http://ictvonline.org/taxonomy/p/taxonomy-history?taxnode_id=201906327","ICTVonline=201906327")</f>
        <v>ICTVonline=201906327</v>
      </c>
    </row>
    <row r="1054" spans="1:23">
      <c r="A1054" s="3">
        <v>1053</v>
      </c>
      <c r="B1054" s="1" t="s">
        <v>6915</v>
      </c>
      <c r="D1054" s="1" t="s">
        <v>6916</v>
      </c>
      <c r="F1054" s="1" t="s">
        <v>6920</v>
      </c>
      <c r="H1054" s="1" t="s">
        <v>6921</v>
      </c>
      <c r="J1054" s="1" t="s">
        <v>1324</v>
      </c>
      <c r="L1054" s="1" t="s">
        <v>1325</v>
      </c>
      <c r="N1054" s="1" t="s">
        <v>6370</v>
      </c>
      <c r="P1054" s="1" t="s">
        <v>2832</v>
      </c>
      <c r="Q1054" s="3">
        <v>0</v>
      </c>
      <c r="R1054" s="22" t="s">
        <v>2721</v>
      </c>
      <c r="S1054" s="42" t="s">
        <v>6910</v>
      </c>
      <c r="T1054" s="3" t="s">
        <v>4868</v>
      </c>
      <c r="U1054" s="45">
        <v>35</v>
      </c>
      <c r="V1054" t="s">
        <v>6919</v>
      </c>
      <c r="W1054" s="1" t="str">
        <f>HYPERLINK("http://ictvonline.org/taxonomy/p/taxonomy-history?taxnode_id=201900377","ICTVonline=201900377")</f>
        <v>ICTVonline=201900377</v>
      </c>
    </row>
    <row r="1055" spans="1:23">
      <c r="A1055" s="3">
        <v>1054</v>
      </c>
      <c r="B1055" s="1" t="s">
        <v>6915</v>
      </c>
      <c r="D1055" s="1" t="s">
        <v>6916</v>
      </c>
      <c r="F1055" s="1" t="s">
        <v>6920</v>
      </c>
      <c r="H1055" s="1" t="s">
        <v>6921</v>
      </c>
      <c r="J1055" s="1" t="s">
        <v>1324</v>
      </c>
      <c r="L1055" s="1" t="s">
        <v>1325</v>
      </c>
      <c r="N1055" s="1" t="s">
        <v>6370</v>
      </c>
      <c r="P1055" s="1" t="s">
        <v>2833</v>
      </c>
      <c r="Q1055" s="3">
        <v>0</v>
      </c>
      <c r="R1055" s="22" t="s">
        <v>2721</v>
      </c>
      <c r="S1055" s="42" t="s">
        <v>6910</v>
      </c>
      <c r="T1055" s="3" t="s">
        <v>4868</v>
      </c>
      <c r="U1055" s="45">
        <v>35</v>
      </c>
      <c r="V1055" t="s">
        <v>6919</v>
      </c>
      <c r="W1055" s="1" t="str">
        <f>HYPERLINK("http://ictvonline.org/taxonomy/p/taxonomy-history?taxnode_id=201900378","ICTVonline=201900378")</f>
        <v>ICTVonline=201900378</v>
      </c>
    </row>
    <row r="1056" spans="1:23">
      <c r="A1056" s="3">
        <v>1055</v>
      </c>
      <c r="B1056" s="1" t="s">
        <v>6915</v>
      </c>
      <c r="D1056" s="1" t="s">
        <v>6916</v>
      </c>
      <c r="F1056" s="1" t="s">
        <v>6920</v>
      </c>
      <c r="H1056" s="1" t="s">
        <v>6921</v>
      </c>
      <c r="J1056" s="1" t="s">
        <v>1324</v>
      </c>
      <c r="L1056" s="1" t="s">
        <v>1325</v>
      </c>
      <c r="N1056" s="1" t="s">
        <v>6370</v>
      </c>
      <c r="P1056" s="1" t="s">
        <v>2834</v>
      </c>
      <c r="Q1056" s="3">
        <v>0</v>
      </c>
      <c r="R1056" s="22" t="s">
        <v>2721</v>
      </c>
      <c r="S1056" s="42" t="s">
        <v>6910</v>
      </c>
      <c r="T1056" s="3" t="s">
        <v>4868</v>
      </c>
      <c r="U1056" s="45">
        <v>35</v>
      </c>
      <c r="V1056" t="s">
        <v>6919</v>
      </c>
      <c r="W1056" s="1" t="str">
        <f>HYPERLINK("http://ictvonline.org/taxonomy/p/taxonomy-history?taxnode_id=201900379","ICTVonline=201900379")</f>
        <v>ICTVonline=201900379</v>
      </c>
    </row>
    <row r="1057" spans="1:23">
      <c r="A1057" s="3">
        <v>1056</v>
      </c>
      <c r="B1057" s="1" t="s">
        <v>6915</v>
      </c>
      <c r="D1057" s="1" t="s">
        <v>6916</v>
      </c>
      <c r="F1057" s="1" t="s">
        <v>6920</v>
      </c>
      <c r="H1057" s="1" t="s">
        <v>6921</v>
      </c>
      <c r="J1057" s="1" t="s">
        <v>1324</v>
      </c>
      <c r="L1057" s="1" t="s">
        <v>1325</v>
      </c>
      <c r="N1057" s="1" t="s">
        <v>6370</v>
      </c>
      <c r="P1057" s="1" t="s">
        <v>6371</v>
      </c>
      <c r="Q1057" s="3">
        <v>0</v>
      </c>
      <c r="R1057" s="22" t="s">
        <v>2721</v>
      </c>
      <c r="S1057" s="42" t="s">
        <v>6910</v>
      </c>
      <c r="T1057" s="3" t="s">
        <v>4868</v>
      </c>
      <c r="U1057" s="45">
        <v>35</v>
      </c>
      <c r="V1057" t="s">
        <v>6919</v>
      </c>
      <c r="W1057" s="1" t="str">
        <f>HYPERLINK("http://ictvonline.org/taxonomy/p/taxonomy-history?taxnode_id=201906922","ICTVonline=201906922")</f>
        <v>ICTVonline=201906922</v>
      </c>
    </row>
    <row r="1058" spans="1:23">
      <c r="A1058" s="3">
        <v>1057</v>
      </c>
      <c r="B1058" s="1" t="s">
        <v>6915</v>
      </c>
      <c r="D1058" s="1" t="s">
        <v>6916</v>
      </c>
      <c r="F1058" s="1" t="s">
        <v>6920</v>
      </c>
      <c r="H1058" s="1" t="s">
        <v>6921</v>
      </c>
      <c r="J1058" s="1" t="s">
        <v>1324</v>
      </c>
      <c r="L1058" s="1" t="s">
        <v>1325</v>
      </c>
      <c r="N1058" s="1" t="s">
        <v>6370</v>
      </c>
      <c r="P1058" s="1" t="s">
        <v>2835</v>
      </c>
      <c r="Q1058" s="3">
        <v>1</v>
      </c>
      <c r="R1058" s="22" t="s">
        <v>2721</v>
      </c>
      <c r="S1058" s="42" t="s">
        <v>6910</v>
      </c>
      <c r="T1058" s="3" t="s">
        <v>4868</v>
      </c>
      <c r="U1058" s="45">
        <v>35</v>
      </c>
      <c r="V1058" t="s">
        <v>6919</v>
      </c>
      <c r="W1058" s="1" t="str">
        <f>HYPERLINK("http://ictvonline.org/taxonomy/p/taxonomy-history?taxnode_id=201900380","ICTVonline=201900380")</f>
        <v>ICTVonline=201900380</v>
      </c>
    </row>
    <row r="1059" spans="1:23">
      <c r="A1059" s="3">
        <v>1058</v>
      </c>
      <c r="B1059" s="1" t="s">
        <v>6915</v>
      </c>
      <c r="D1059" s="1" t="s">
        <v>6916</v>
      </c>
      <c r="F1059" s="1" t="s">
        <v>6920</v>
      </c>
      <c r="H1059" s="1" t="s">
        <v>6921</v>
      </c>
      <c r="J1059" s="1" t="s">
        <v>1324</v>
      </c>
      <c r="L1059" s="1" t="s">
        <v>1325</v>
      </c>
      <c r="N1059" s="1" t="s">
        <v>6370</v>
      </c>
      <c r="P1059" s="1" t="s">
        <v>6372</v>
      </c>
      <c r="Q1059" s="3">
        <v>0</v>
      </c>
      <c r="R1059" s="22" t="s">
        <v>2721</v>
      </c>
      <c r="S1059" s="42" t="s">
        <v>6910</v>
      </c>
      <c r="T1059" s="3" t="s">
        <v>4868</v>
      </c>
      <c r="U1059" s="45">
        <v>35</v>
      </c>
      <c r="V1059" t="s">
        <v>6919</v>
      </c>
      <c r="W1059" s="1" t="str">
        <f>HYPERLINK("http://ictvonline.org/taxonomy/p/taxonomy-history?taxnode_id=201906921","ICTVonline=201906921")</f>
        <v>ICTVonline=201906921</v>
      </c>
    </row>
    <row r="1060" spans="1:23">
      <c r="A1060" s="3">
        <v>1059</v>
      </c>
      <c r="B1060" s="1" t="s">
        <v>6915</v>
      </c>
      <c r="D1060" s="1" t="s">
        <v>6916</v>
      </c>
      <c r="F1060" s="1" t="s">
        <v>6920</v>
      </c>
      <c r="H1060" s="1" t="s">
        <v>6921</v>
      </c>
      <c r="J1060" s="1" t="s">
        <v>1324</v>
      </c>
      <c r="L1060" s="1" t="s">
        <v>1325</v>
      </c>
      <c r="N1060" s="1" t="s">
        <v>6370</v>
      </c>
      <c r="P1060" s="1" t="s">
        <v>6373</v>
      </c>
      <c r="Q1060" s="3">
        <v>0</v>
      </c>
      <c r="R1060" s="22" t="s">
        <v>2721</v>
      </c>
      <c r="S1060" s="42" t="s">
        <v>6910</v>
      </c>
      <c r="T1060" s="3" t="s">
        <v>4868</v>
      </c>
      <c r="U1060" s="45">
        <v>35</v>
      </c>
      <c r="V1060" t="s">
        <v>6919</v>
      </c>
      <c r="W1060" s="1" t="str">
        <f>HYPERLINK("http://ictvonline.org/taxonomy/p/taxonomy-history?taxnode_id=201906919","ICTVonline=201906919")</f>
        <v>ICTVonline=201906919</v>
      </c>
    </row>
    <row r="1061" spans="1:23">
      <c r="A1061" s="3">
        <v>1060</v>
      </c>
      <c r="B1061" s="1" t="s">
        <v>6915</v>
      </c>
      <c r="D1061" s="1" t="s">
        <v>6916</v>
      </c>
      <c r="F1061" s="1" t="s">
        <v>6920</v>
      </c>
      <c r="H1061" s="1" t="s">
        <v>6921</v>
      </c>
      <c r="J1061" s="1" t="s">
        <v>1324</v>
      </c>
      <c r="L1061" s="1" t="s">
        <v>1325</v>
      </c>
      <c r="N1061" s="1" t="s">
        <v>6370</v>
      </c>
      <c r="P1061" s="1" t="s">
        <v>6374</v>
      </c>
      <c r="Q1061" s="3">
        <v>0</v>
      </c>
      <c r="R1061" s="22" t="s">
        <v>2721</v>
      </c>
      <c r="S1061" s="42" t="s">
        <v>6910</v>
      </c>
      <c r="T1061" s="3" t="s">
        <v>4868</v>
      </c>
      <c r="U1061" s="45">
        <v>35</v>
      </c>
      <c r="V1061" t="s">
        <v>6919</v>
      </c>
      <c r="W1061" s="1" t="str">
        <f>HYPERLINK("http://ictvonline.org/taxonomy/p/taxonomy-history?taxnode_id=201906920","ICTVonline=201906920")</f>
        <v>ICTVonline=201906920</v>
      </c>
    </row>
    <row r="1062" spans="1:23">
      <c r="A1062" s="3">
        <v>1061</v>
      </c>
      <c r="B1062" s="1" t="s">
        <v>6915</v>
      </c>
      <c r="D1062" s="1" t="s">
        <v>6916</v>
      </c>
      <c r="F1062" s="1" t="s">
        <v>6920</v>
      </c>
      <c r="H1062" s="1" t="s">
        <v>6921</v>
      </c>
      <c r="J1062" s="1" t="s">
        <v>1324</v>
      </c>
      <c r="L1062" s="1" t="s">
        <v>1325</v>
      </c>
      <c r="N1062" s="1" t="s">
        <v>6375</v>
      </c>
      <c r="P1062" s="1" t="s">
        <v>6376</v>
      </c>
      <c r="Q1062" s="3">
        <v>1</v>
      </c>
      <c r="R1062" s="22" t="s">
        <v>2721</v>
      </c>
      <c r="S1062" s="42" t="s">
        <v>6910</v>
      </c>
      <c r="T1062" s="3" t="s">
        <v>4868</v>
      </c>
      <c r="U1062" s="45">
        <v>35</v>
      </c>
      <c r="V1062" t="s">
        <v>6919</v>
      </c>
      <c r="W1062" s="1" t="str">
        <f>HYPERLINK("http://ictvonline.org/taxonomy/p/taxonomy-history?taxnode_id=201906854","ICTVonline=201906854")</f>
        <v>ICTVonline=201906854</v>
      </c>
    </row>
    <row r="1063" spans="1:23">
      <c r="A1063" s="3">
        <v>1062</v>
      </c>
      <c r="B1063" s="1" t="s">
        <v>6915</v>
      </c>
      <c r="D1063" s="1" t="s">
        <v>6916</v>
      </c>
      <c r="F1063" s="1" t="s">
        <v>6920</v>
      </c>
      <c r="H1063" s="1" t="s">
        <v>6921</v>
      </c>
      <c r="J1063" s="1" t="s">
        <v>1324</v>
      </c>
      <c r="L1063" s="1" t="s">
        <v>1325</v>
      </c>
      <c r="N1063" s="1" t="s">
        <v>6375</v>
      </c>
      <c r="P1063" s="1" t="s">
        <v>6377</v>
      </c>
      <c r="Q1063" s="3">
        <v>0</v>
      </c>
      <c r="R1063" s="22" t="s">
        <v>2721</v>
      </c>
      <c r="S1063" s="42" t="s">
        <v>6910</v>
      </c>
      <c r="T1063" s="3" t="s">
        <v>4868</v>
      </c>
      <c r="U1063" s="45">
        <v>35</v>
      </c>
      <c r="V1063" t="s">
        <v>6919</v>
      </c>
      <c r="W1063" s="1" t="str">
        <f>HYPERLINK("http://ictvonline.org/taxonomy/p/taxonomy-history?taxnode_id=201906855","ICTVonline=201906855")</f>
        <v>ICTVonline=201906855</v>
      </c>
    </row>
    <row r="1064" spans="1:23">
      <c r="A1064" s="3">
        <v>1063</v>
      </c>
      <c r="B1064" s="1" t="s">
        <v>6915</v>
      </c>
      <c r="D1064" s="1" t="s">
        <v>6916</v>
      </c>
      <c r="F1064" s="1" t="s">
        <v>6920</v>
      </c>
      <c r="H1064" s="1" t="s">
        <v>6921</v>
      </c>
      <c r="J1064" s="1" t="s">
        <v>1324</v>
      </c>
      <c r="L1064" s="1" t="s">
        <v>1325</v>
      </c>
      <c r="N1064" s="1" t="s">
        <v>2891</v>
      </c>
      <c r="P1064" s="1" t="s">
        <v>2892</v>
      </c>
      <c r="Q1064" s="3">
        <v>0</v>
      </c>
      <c r="R1064" s="22" t="s">
        <v>2721</v>
      </c>
      <c r="S1064" s="42" t="s">
        <v>6910</v>
      </c>
      <c r="T1064" s="3" t="s">
        <v>4868</v>
      </c>
      <c r="U1064" s="45">
        <v>35</v>
      </c>
      <c r="V1064" t="s">
        <v>6919</v>
      </c>
      <c r="W1064" s="1" t="str">
        <f>HYPERLINK("http://ictvonline.org/taxonomy/p/taxonomy-history?taxnode_id=201900468","ICTVonline=201900468")</f>
        <v>ICTVonline=201900468</v>
      </c>
    </row>
    <row r="1065" spans="1:23">
      <c r="A1065" s="3">
        <v>1064</v>
      </c>
      <c r="B1065" s="1" t="s">
        <v>6915</v>
      </c>
      <c r="D1065" s="1" t="s">
        <v>6916</v>
      </c>
      <c r="F1065" s="1" t="s">
        <v>6920</v>
      </c>
      <c r="H1065" s="1" t="s">
        <v>6921</v>
      </c>
      <c r="J1065" s="1" t="s">
        <v>1324</v>
      </c>
      <c r="L1065" s="1" t="s">
        <v>1325</v>
      </c>
      <c r="N1065" s="1" t="s">
        <v>2891</v>
      </c>
      <c r="P1065" s="1" t="s">
        <v>2893</v>
      </c>
      <c r="Q1065" s="3">
        <v>0</v>
      </c>
      <c r="R1065" s="22" t="s">
        <v>2721</v>
      </c>
      <c r="S1065" s="42" t="s">
        <v>6910</v>
      </c>
      <c r="T1065" s="3" t="s">
        <v>4868</v>
      </c>
      <c r="U1065" s="45">
        <v>35</v>
      </c>
      <c r="V1065" t="s">
        <v>6919</v>
      </c>
      <c r="W1065" s="1" t="str">
        <f>HYPERLINK("http://ictvonline.org/taxonomy/p/taxonomy-history?taxnode_id=201900469","ICTVonline=201900469")</f>
        <v>ICTVonline=201900469</v>
      </c>
    </row>
    <row r="1066" spans="1:23">
      <c r="A1066" s="3">
        <v>1065</v>
      </c>
      <c r="B1066" s="1" t="s">
        <v>6915</v>
      </c>
      <c r="D1066" s="1" t="s">
        <v>6916</v>
      </c>
      <c r="F1066" s="1" t="s">
        <v>6920</v>
      </c>
      <c r="H1066" s="1" t="s">
        <v>6921</v>
      </c>
      <c r="J1066" s="1" t="s">
        <v>1324</v>
      </c>
      <c r="L1066" s="1" t="s">
        <v>1325</v>
      </c>
      <c r="N1066" s="1" t="s">
        <v>2891</v>
      </c>
      <c r="P1066" s="1" t="s">
        <v>2894</v>
      </c>
      <c r="Q1066" s="3">
        <v>0</v>
      </c>
      <c r="R1066" s="22" t="s">
        <v>2721</v>
      </c>
      <c r="S1066" s="42" t="s">
        <v>6910</v>
      </c>
      <c r="T1066" s="3" t="s">
        <v>4868</v>
      </c>
      <c r="U1066" s="45">
        <v>35</v>
      </c>
      <c r="V1066" t="s">
        <v>6919</v>
      </c>
      <c r="W1066" s="1" t="str">
        <f>HYPERLINK("http://ictvonline.org/taxonomy/p/taxonomy-history?taxnode_id=201900470","ICTVonline=201900470")</f>
        <v>ICTVonline=201900470</v>
      </c>
    </row>
    <row r="1067" spans="1:23">
      <c r="A1067" s="3">
        <v>1066</v>
      </c>
      <c r="B1067" s="1" t="s">
        <v>6915</v>
      </c>
      <c r="D1067" s="1" t="s">
        <v>6916</v>
      </c>
      <c r="F1067" s="1" t="s">
        <v>6920</v>
      </c>
      <c r="H1067" s="1" t="s">
        <v>6921</v>
      </c>
      <c r="J1067" s="1" t="s">
        <v>1324</v>
      </c>
      <c r="L1067" s="1" t="s">
        <v>1325</v>
      </c>
      <c r="N1067" s="1" t="s">
        <v>2891</v>
      </c>
      <c r="P1067" s="1" t="s">
        <v>6378</v>
      </c>
      <c r="Q1067" s="3">
        <v>0</v>
      </c>
      <c r="R1067" s="22" t="s">
        <v>2721</v>
      </c>
      <c r="S1067" s="42" t="s">
        <v>6910</v>
      </c>
      <c r="T1067" s="3" t="s">
        <v>4868</v>
      </c>
      <c r="U1067" s="45">
        <v>35</v>
      </c>
      <c r="V1067" t="s">
        <v>6919</v>
      </c>
      <c r="W1067" s="1" t="str">
        <f>HYPERLINK("http://ictvonline.org/taxonomy/p/taxonomy-history?taxnode_id=201907020","ICTVonline=201907020")</f>
        <v>ICTVonline=201907020</v>
      </c>
    </row>
    <row r="1068" spans="1:23">
      <c r="A1068" s="3">
        <v>1067</v>
      </c>
      <c r="B1068" s="1" t="s">
        <v>6915</v>
      </c>
      <c r="D1068" s="1" t="s">
        <v>6916</v>
      </c>
      <c r="F1068" s="1" t="s">
        <v>6920</v>
      </c>
      <c r="H1068" s="1" t="s">
        <v>6921</v>
      </c>
      <c r="J1068" s="1" t="s">
        <v>1324</v>
      </c>
      <c r="L1068" s="1" t="s">
        <v>1325</v>
      </c>
      <c r="N1068" s="1" t="s">
        <v>2891</v>
      </c>
      <c r="P1068" s="1" t="s">
        <v>6379</v>
      </c>
      <c r="Q1068" s="3">
        <v>0</v>
      </c>
      <c r="R1068" s="22" t="s">
        <v>2721</v>
      </c>
      <c r="S1068" s="42" t="s">
        <v>6910</v>
      </c>
      <c r="T1068" s="3" t="s">
        <v>4868</v>
      </c>
      <c r="U1068" s="45">
        <v>35</v>
      </c>
      <c r="V1068" t="s">
        <v>6919</v>
      </c>
      <c r="W1068" s="1" t="str">
        <f>HYPERLINK("http://ictvonline.org/taxonomy/p/taxonomy-history?taxnode_id=201907017","ICTVonline=201907017")</f>
        <v>ICTVonline=201907017</v>
      </c>
    </row>
    <row r="1069" spans="1:23">
      <c r="A1069" s="3">
        <v>1068</v>
      </c>
      <c r="B1069" s="1" t="s">
        <v>6915</v>
      </c>
      <c r="D1069" s="1" t="s">
        <v>6916</v>
      </c>
      <c r="F1069" s="1" t="s">
        <v>6920</v>
      </c>
      <c r="H1069" s="1" t="s">
        <v>6921</v>
      </c>
      <c r="J1069" s="1" t="s">
        <v>1324</v>
      </c>
      <c r="L1069" s="1" t="s">
        <v>1325</v>
      </c>
      <c r="N1069" s="1" t="s">
        <v>2891</v>
      </c>
      <c r="P1069" s="1" t="s">
        <v>2895</v>
      </c>
      <c r="Q1069" s="3">
        <v>1</v>
      </c>
      <c r="R1069" s="22" t="s">
        <v>2721</v>
      </c>
      <c r="S1069" s="42" t="s">
        <v>6910</v>
      </c>
      <c r="T1069" s="3" t="s">
        <v>4868</v>
      </c>
      <c r="U1069" s="45">
        <v>35</v>
      </c>
      <c r="V1069" t="s">
        <v>6919</v>
      </c>
      <c r="W1069" s="1" t="str">
        <f>HYPERLINK("http://ictvonline.org/taxonomy/p/taxonomy-history?taxnode_id=201900471","ICTVonline=201900471")</f>
        <v>ICTVonline=201900471</v>
      </c>
    </row>
    <row r="1070" spans="1:23">
      <c r="A1070" s="3">
        <v>1069</v>
      </c>
      <c r="B1070" s="1" t="s">
        <v>6915</v>
      </c>
      <c r="D1070" s="1" t="s">
        <v>6916</v>
      </c>
      <c r="F1070" s="1" t="s">
        <v>6920</v>
      </c>
      <c r="H1070" s="1" t="s">
        <v>6921</v>
      </c>
      <c r="J1070" s="1" t="s">
        <v>1324</v>
      </c>
      <c r="L1070" s="1" t="s">
        <v>1325</v>
      </c>
      <c r="N1070" s="1" t="s">
        <v>2891</v>
      </c>
      <c r="P1070" s="1" t="s">
        <v>6380</v>
      </c>
      <c r="Q1070" s="3">
        <v>0</v>
      </c>
      <c r="R1070" s="22" t="s">
        <v>2721</v>
      </c>
      <c r="S1070" s="42" t="s">
        <v>6910</v>
      </c>
      <c r="T1070" s="3" t="s">
        <v>4868</v>
      </c>
      <c r="U1070" s="45">
        <v>35</v>
      </c>
      <c r="V1070" t="s">
        <v>6919</v>
      </c>
      <c r="W1070" s="1" t="str">
        <f>HYPERLINK("http://ictvonline.org/taxonomy/p/taxonomy-history?taxnode_id=201907019","ICTVonline=201907019")</f>
        <v>ICTVonline=201907019</v>
      </c>
    </row>
    <row r="1071" spans="1:23">
      <c r="A1071" s="3">
        <v>1070</v>
      </c>
      <c r="B1071" s="1" t="s">
        <v>6915</v>
      </c>
      <c r="D1071" s="1" t="s">
        <v>6916</v>
      </c>
      <c r="F1071" s="1" t="s">
        <v>6920</v>
      </c>
      <c r="H1071" s="1" t="s">
        <v>6921</v>
      </c>
      <c r="J1071" s="1" t="s">
        <v>1324</v>
      </c>
      <c r="L1071" s="1" t="s">
        <v>1325</v>
      </c>
      <c r="N1071" s="1" t="s">
        <v>2891</v>
      </c>
      <c r="P1071" s="1" t="s">
        <v>2896</v>
      </c>
      <c r="Q1071" s="3">
        <v>0</v>
      </c>
      <c r="R1071" s="22" t="s">
        <v>2721</v>
      </c>
      <c r="S1071" s="42" t="s">
        <v>6910</v>
      </c>
      <c r="T1071" s="3" t="s">
        <v>4868</v>
      </c>
      <c r="U1071" s="45">
        <v>35</v>
      </c>
      <c r="V1071" t="s">
        <v>6919</v>
      </c>
      <c r="W1071" s="1" t="str">
        <f>HYPERLINK("http://ictvonline.org/taxonomy/p/taxonomy-history?taxnode_id=201900472","ICTVonline=201900472")</f>
        <v>ICTVonline=201900472</v>
      </c>
    </row>
    <row r="1072" spans="1:23">
      <c r="A1072" s="3">
        <v>1071</v>
      </c>
      <c r="B1072" s="1" t="s">
        <v>6915</v>
      </c>
      <c r="D1072" s="1" t="s">
        <v>6916</v>
      </c>
      <c r="F1072" s="1" t="s">
        <v>6920</v>
      </c>
      <c r="H1072" s="1" t="s">
        <v>6921</v>
      </c>
      <c r="J1072" s="1" t="s">
        <v>1324</v>
      </c>
      <c r="L1072" s="1" t="s">
        <v>1325</v>
      </c>
      <c r="N1072" s="1" t="s">
        <v>2891</v>
      </c>
      <c r="P1072" s="1" t="s">
        <v>2897</v>
      </c>
      <c r="Q1072" s="3">
        <v>0</v>
      </c>
      <c r="R1072" s="22" t="s">
        <v>2721</v>
      </c>
      <c r="S1072" s="42" t="s">
        <v>6910</v>
      </c>
      <c r="T1072" s="3" t="s">
        <v>4868</v>
      </c>
      <c r="U1072" s="45">
        <v>35</v>
      </c>
      <c r="V1072" t="s">
        <v>6919</v>
      </c>
      <c r="W1072" s="1" t="str">
        <f>HYPERLINK("http://ictvonline.org/taxonomy/p/taxonomy-history?taxnode_id=201900473","ICTVonline=201900473")</f>
        <v>ICTVonline=201900473</v>
      </c>
    </row>
    <row r="1073" spans="1:23">
      <c r="A1073" s="3">
        <v>1072</v>
      </c>
      <c r="B1073" s="1" t="s">
        <v>6915</v>
      </c>
      <c r="D1073" s="1" t="s">
        <v>6916</v>
      </c>
      <c r="F1073" s="1" t="s">
        <v>6920</v>
      </c>
      <c r="H1073" s="1" t="s">
        <v>6921</v>
      </c>
      <c r="J1073" s="1" t="s">
        <v>1324</v>
      </c>
      <c r="L1073" s="1" t="s">
        <v>1325</v>
      </c>
      <c r="N1073" s="1" t="s">
        <v>2891</v>
      </c>
      <c r="P1073" s="1" t="s">
        <v>6381</v>
      </c>
      <c r="Q1073" s="3">
        <v>0</v>
      </c>
      <c r="R1073" s="22" t="s">
        <v>2721</v>
      </c>
      <c r="S1073" s="42" t="s">
        <v>6910</v>
      </c>
      <c r="T1073" s="3" t="s">
        <v>4868</v>
      </c>
      <c r="U1073" s="45">
        <v>35</v>
      </c>
      <c r="V1073" t="s">
        <v>6919</v>
      </c>
      <c r="W1073" s="1" t="str">
        <f>HYPERLINK("http://ictvonline.org/taxonomy/p/taxonomy-history?taxnode_id=201907018","ICTVonline=201907018")</f>
        <v>ICTVonline=201907018</v>
      </c>
    </row>
    <row r="1074" spans="1:23">
      <c r="A1074" s="3">
        <v>1073</v>
      </c>
      <c r="B1074" s="1" t="s">
        <v>6915</v>
      </c>
      <c r="D1074" s="1" t="s">
        <v>6916</v>
      </c>
      <c r="F1074" s="1" t="s">
        <v>6920</v>
      </c>
      <c r="H1074" s="1" t="s">
        <v>6921</v>
      </c>
      <c r="J1074" s="1" t="s">
        <v>1324</v>
      </c>
      <c r="L1074" s="1" t="s">
        <v>1325</v>
      </c>
      <c r="N1074" s="1" t="s">
        <v>2891</v>
      </c>
      <c r="P1074" s="1" t="s">
        <v>6382</v>
      </c>
      <c r="Q1074" s="3">
        <v>0</v>
      </c>
      <c r="R1074" s="22" t="s">
        <v>2721</v>
      </c>
      <c r="S1074" s="42" t="s">
        <v>6910</v>
      </c>
      <c r="T1074" s="3" t="s">
        <v>4868</v>
      </c>
      <c r="U1074" s="45">
        <v>35</v>
      </c>
      <c r="V1074" t="s">
        <v>6919</v>
      </c>
      <c r="W1074" s="1" t="str">
        <f>HYPERLINK("http://ictvonline.org/taxonomy/p/taxonomy-history?taxnode_id=201907016","ICTVonline=201907016")</f>
        <v>ICTVonline=201907016</v>
      </c>
    </row>
    <row r="1075" spans="1:23">
      <c r="A1075" s="3">
        <v>1074</v>
      </c>
      <c r="B1075" s="1" t="s">
        <v>6915</v>
      </c>
      <c r="D1075" s="1" t="s">
        <v>6916</v>
      </c>
      <c r="F1075" s="1" t="s">
        <v>6920</v>
      </c>
      <c r="H1075" s="1" t="s">
        <v>6921</v>
      </c>
      <c r="J1075" s="1" t="s">
        <v>1324</v>
      </c>
      <c r="L1075" s="1" t="s">
        <v>1325</v>
      </c>
      <c r="N1075" s="1" t="s">
        <v>7660</v>
      </c>
      <c r="P1075" s="1" t="s">
        <v>7661</v>
      </c>
      <c r="Q1075" s="3">
        <v>1</v>
      </c>
      <c r="R1075" s="22" t="s">
        <v>2721</v>
      </c>
      <c r="S1075" s="42" t="s">
        <v>6914</v>
      </c>
      <c r="T1075" s="3" t="s">
        <v>4866</v>
      </c>
      <c r="U1075" s="45">
        <v>35</v>
      </c>
      <c r="V1075" t="s">
        <v>7568</v>
      </c>
      <c r="W1075" s="1" t="str">
        <f>HYPERLINK("http://ictvonline.org/taxonomy/p/taxonomy-history?taxnode_id=201907816","ICTVonline=201907816")</f>
        <v>ICTVonline=201907816</v>
      </c>
    </row>
    <row r="1076" spans="1:23">
      <c r="A1076" s="3">
        <v>1075</v>
      </c>
      <c r="B1076" s="1" t="s">
        <v>6915</v>
      </c>
      <c r="D1076" s="1" t="s">
        <v>6916</v>
      </c>
      <c r="F1076" s="1" t="s">
        <v>6920</v>
      </c>
      <c r="H1076" s="1" t="s">
        <v>6921</v>
      </c>
      <c r="J1076" s="1" t="s">
        <v>1324</v>
      </c>
      <c r="L1076" s="1" t="s">
        <v>1325</v>
      </c>
      <c r="N1076" s="1" t="s">
        <v>2898</v>
      </c>
      <c r="P1076" s="1" t="s">
        <v>2899</v>
      </c>
      <c r="Q1076" s="3">
        <v>0</v>
      </c>
      <c r="R1076" s="22" t="s">
        <v>2721</v>
      </c>
      <c r="S1076" s="42" t="s">
        <v>6910</v>
      </c>
      <c r="T1076" s="3" t="s">
        <v>4868</v>
      </c>
      <c r="U1076" s="45">
        <v>35</v>
      </c>
      <c r="V1076" t="s">
        <v>6919</v>
      </c>
      <c r="W1076" s="1" t="str">
        <f>HYPERLINK("http://ictvonline.org/taxonomy/p/taxonomy-history?taxnode_id=201900475","ICTVonline=201900475")</f>
        <v>ICTVonline=201900475</v>
      </c>
    </row>
    <row r="1077" spans="1:23">
      <c r="A1077" s="3">
        <v>1076</v>
      </c>
      <c r="B1077" s="1" t="s">
        <v>6915</v>
      </c>
      <c r="D1077" s="1" t="s">
        <v>6916</v>
      </c>
      <c r="F1077" s="1" t="s">
        <v>6920</v>
      </c>
      <c r="H1077" s="1" t="s">
        <v>6921</v>
      </c>
      <c r="J1077" s="1" t="s">
        <v>1324</v>
      </c>
      <c r="L1077" s="1" t="s">
        <v>1325</v>
      </c>
      <c r="N1077" s="1" t="s">
        <v>2898</v>
      </c>
      <c r="P1077" s="1" t="s">
        <v>2900</v>
      </c>
      <c r="Q1077" s="3">
        <v>0</v>
      </c>
      <c r="R1077" s="22" t="s">
        <v>2721</v>
      </c>
      <c r="S1077" s="42" t="s">
        <v>6910</v>
      </c>
      <c r="T1077" s="3" t="s">
        <v>4868</v>
      </c>
      <c r="U1077" s="45">
        <v>35</v>
      </c>
      <c r="V1077" t="s">
        <v>6919</v>
      </c>
      <c r="W1077" s="1" t="str">
        <f>HYPERLINK("http://ictvonline.org/taxonomy/p/taxonomy-history?taxnode_id=201900476","ICTVonline=201900476")</f>
        <v>ICTVonline=201900476</v>
      </c>
    </row>
    <row r="1078" spans="1:23">
      <c r="A1078" s="3">
        <v>1077</v>
      </c>
      <c r="B1078" s="1" t="s">
        <v>6915</v>
      </c>
      <c r="D1078" s="1" t="s">
        <v>6916</v>
      </c>
      <c r="F1078" s="1" t="s">
        <v>6920</v>
      </c>
      <c r="H1078" s="1" t="s">
        <v>6921</v>
      </c>
      <c r="J1078" s="1" t="s">
        <v>1324</v>
      </c>
      <c r="L1078" s="1" t="s">
        <v>1325</v>
      </c>
      <c r="N1078" s="1" t="s">
        <v>2898</v>
      </c>
      <c r="P1078" s="1" t="s">
        <v>2901</v>
      </c>
      <c r="Q1078" s="3">
        <v>0</v>
      </c>
      <c r="R1078" s="22" t="s">
        <v>2721</v>
      </c>
      <c r="S1078" s="42" t="s">
        <v>6910</v>
      </c>
      <c r="T1078" s="3" t="s">
        <v>4868</v>
      </c>
      <c r="U1078" s="45">
        <v>35</v>
      </c>
      <c r="V1078" t="s">
        <v>6919</v>
      </c>
      <c r="W1078" s="1" t="str">
        <f>HYPERLINK("http://ictvonline.org/taxonomy/p/taxonomy-history?taxnode_id=201900477","ICTVonline=201900477")</f>
        <v>ICTVonline=201900477</v>
      </c>
    </row>
    <row r="1079" spans="1:23">
      <c r="A1079" s="3">
        <v>1078</v>
      </c>
      <c r="B1079" s="1" t="s">
        <v>6915</v>
      </c>
      <c r="D1079" s="1" t="s">
        <v>6916</v>
      </c>
      <c r="F1079" s="1" t="s">
        <v>6920</v>
      </c>
      <c r="H1079" s="1" t="s">
        <v>6921</v>
      </c>
      <c r="J1079" s="1" t="s">
        <v>1324</v>
      </c>
      <c r="L1079" s="1" t="s">
        <v>1325</v>
      </c>
      <c r="N1079" s="1" t="s">
        <v>2898</v>
      </c>
      <c r="P1079" s="1" t="s">
        <v>6383</v>
      </c>
      <c r="Q1079" s="3">
        <v>0</v>
      </c>
      <c r="R1079" s="22" t="s">
        <v>2721</v>
      </c>
      <c r="S1079" s="42" t="s">
        <v>6910</v>
      </c>
      <c r="T1079" s="3" t="s">
        <v>4868</v>
      </c>
      <c r="U1079" s="45">
        <v>35</v>
      </c>
      <c r="V1079" t="s">
        <v>6919</v>
      </c>
      <c r="W1079" s="1" t="str">
        <f>HYPERLINK("http://ictvonline.org/taxonomy/p/taxonomy-history?taxnode_id=201907023","ICTVonline=201907023")</f>
        <v>ICTVonline=201907023</v>
      </c>
    </row>
    <row r="1080" spans="1:23">
      <c r="A1080" s="3">
        <v>1079</v>
      </c>
      <c r="B1080" s="1" t="s">
        <v>6915</v>
      </c>
      <c r="D1080" s="1" t="s">
        <v>6916</v>
      </c>
      <c r="F1080" s="1" t="s">
        <v>6920</v>
      </c>
      <c r="H1080" s="1" t="s">
        <v>6921</v>
      </c>
      <c r="J1080" s="1" t="s">
        <v>1324</v>
      </c>
      <c r="L1080" s="1" t="s">
        <v>1325</v>
      </c>
      <c r="N1080" s="1" t="s">
        <v>2898</v>
      </c>
      <c r="P1080" s="1" t="s">
        <v>2902</v>
      </c>
      <c r="Q1080" s="3">
        <v>0</v>
      </c>
      <c r="R1080" s="22" t="s">
        <v>2721</v>
      </c>
      <c r="S1080" s="42" t="s">
        <v>6910</v>
      </c>
      <c r="T1080" s="3" t="s">
        <v>4868</v>
      </c>
      <c r="U1080" s="45">
        <v>35</v>
      </c>
      <c r="V1080" t="s">
        <v>6919</v>
      </c>
      <c r="W1080" s="1" t="str">
        <f>HYPERLINK("http://ictvonline.org/taxonomy/p/taxonomy-history?taxnode_id=201900478","ICTVonline=201900478")</f>
        <v>ICTVonline=201900478</v>
      </c>
    </row>
    <row r="1081" spans="1:23">
      <c r="A1081" s="3">
        <v>1080</v>
      </c>
      <c r="B1081" s="1" t="s">
        <v>6915</v>
      </c>
      <c r="D1081" s="1" t="s">
        <v>6916</v>
      </c>
      <c r="F1081" s="1" t="s">
        <v>6920</v>
      </c>
      <c r="H1081" s="1" t="s">
        <v>6921</v>
      </c>
      <c r="J1081" s="1" t="s">
        <v>1324</v>
      </c>
      <c r="L1081" s="1" t="s">
        <v>1325</v>
      </c>
      <c r="N1081" s="1" t="s">
        <v>2898</v>
      </c>
      <c r="P1081" s="1" t="s">
        <v>2903</v>
      </c>
      <c r="Q1081" s="3">
        <v>0</v>
      </c>
      <c r="R1081" s="22" t="s">
        <v>2721</v>
      </c>
      <c r="S1081" s="42" t="s">
        <v>6910</v>
      </c>
      <c r="T1081" s="3" t="s">
        <v>4868</v>
      </c>
      <c r="U1081" s="45">
        <v>35</v>
      </c>
      <c r="V1081" t="s">
        <v>6919</v>
      </c>
      <c r="W1081" s="1" t="str">
        <f>HYPERLINK("http://ictvonline.org/taxonomy/p/taxonomy-history?taxnode_id=201900479","ICTVonline=201900479")</f>
        <v>ICTVonline=201900479</v>
      </c>
    </row>
    <row r="1082" spans="1:23">
      <c r="A1082" s="3">
        <v>1081</v>
      </c>
      <c r="B1082" s="1" t="s">
        <v>6915</v>
      </c>
      <c r="D1082" s="1" t="s">
        <v>6916</v>
      </c>
      <c r="F1082" s="1" t="s">
        <v>6920</v>
      </c>
      <c r="H1082" s="1" t="s">
        <v>6921</v>
      </c>
      <c r="J1082" s="1" t="s">
        <v>1324</v>
      </c>
      <c r="L1082" s="1" t="s">
        <v>1325</v>
      </c>
      <c r="N1082" s="1" t="s">
        <v>2898</v>
      </c>
      <c r="P1082" s="1" t="s">
        <v>6384</v>
      </c>
      <c r="Q1082" s="3">
        <v>0</v>
      </c>
      <c r="R1082" s="22" t="s">
        <v>2721</v>
      </c>
      <c r="S1082" s="42" t="s">
        <v>6910</v>
      </c>
      <c r="T1082" s="3" t="s">
        <v>4868</v>
      </c>
      <c r="U1082" s="45">
        <v>35</v>
      </c>
      <c r="V1082" t="s">
        <v>6919</v>
      </c>
      <c r="W1082" s="1" t="str">
        <f>HYPERLINK("http://ictvonline.org/taxonomy/p/taxonomy-history?taxnode_id=201907024","ICTVonline=201907024")</f>
        <v>ICTVonline=201907024</v>
      </c>
    </row>
    <row r="1083" spans="1:23">
      <c r="A1083" s="3">
        <v>1082</v>
      </c>
      <c r="B1083" s="1" t="s">
        <v>6915</v>
      </c>
      <c r="D1083" s="1" t="s">
        <v>6916</v>
      </c>
      <c r="F1083" s="1" t="s">
        <v>6920</v>
      </c>
      <c r="H1083" s="1" t="s">
        <v>6921</v>
      </c>
      <c r="J1083" s="1" t="s">
        <v>1324</v>
      </c>
      <c r="L1083" s="1" t="s">
        <v>1325</v>
      </c>
      <c r="N1083" s="1" t="s">
        <v>2898</v>
      </c>
      <c r="P1083" s="1" t="s">
        <v>6385</v>
      </c>
      <c r="Q1083" s="3">
        <v>0</v>
      </c>
      <c r="R1083" s="22" t="s">
        <v>2721</v>
      </c>
      <c r="S1083" s="42" t="s">
        <v>6910</v>
      </c>
      <c r="T1083" s="3" t="s">
        <v>4868</v>
      </c>
      <c r="U1083" s="45">
        <v>35</v>
      </c>
      <c r="V1083" t="s">
        <v>6919</v>
      </c>
      <c r="W1083" s="1" t="str">
        <f>HYPERLINK("http://ictvonline.org/taxonomy/p/taxonomy-history?taxnode_id=201907025","ICTVonline=201907025")</f>
        <v>ICTVonline=201907025</v>
      </c>
    </row>
    <row r="1084" spans="1:23">
      <c r="A1084" s="3">
        <v>1083</v>
      </c>
      <c r="B1084" s="1" t="s">
        <v>6915</v>
      </c>
      <c r="D1084" s="1" t="s">
        <v>6916</v>
      </c>
      <c r="F1084" s="1" t="s">
        <v>6920</v>
      </c>
      <c r="H1084" s="1" t="s">
        <v>6921</v>
      </c>
      <c r="J1084" s="1" t="s">
        <v>1324</v>
      </c>
      <c r="L1084" s="1" t="s">
        <v>1325</v>
      </c>
      <c r="N1084" s="1" t="s">
        <v>2898</v>
      </c>
      <c r="P1084" s="1" t="s">
        <v>2904</v>
      </c>
      <c r="Q1084" s="3">
        <v>0</v>
      </c>
      <c r="R1084" s="22" t="s">
        <v>2721</v>
      </c>
      <c r="S1084" s="42" t="s">
        <v>6910</v>
      </c>
      <c r="T1084" s="3" t="s">
        <v>4868</v>
      </c>
      <c r="U1084" s="45">
        <v>35</v>
      </c>
      <c r="V1084" t="s">
        <v>6919</v>
      </c>
      <c r="W1084" s="1" t="str">
        <f>HYPERLINK("http://ictvonline.org/taxonomy/p/taxonomy-history?taxnode_id=201900480","ICTVonline=201900480")</f>
        <v>ICTVonline=201900480</v>
      </c>
    </row>
    <row r="1085" spans="1:23">
      <c r="A1085" s="3">
        <v>1084</v>
      </c>
      <c r="B1085" s="1" t="s">
        <v>6915</v>
      </c>
      <c r="D1085" s="1" t="s">
        <v>6916</v>
      </c>
      <c r="F1085" s="1" t="s">
        <v>6920</v>
      </c>
      <c r="H1085" s="1" t="s">
        <v>6921</v>
      </c>
      <c r="J1085" s="1" t="s">
        <v>1324</v>
      </c>
      <c r="L1085" s="1" t="s">
        <v>1325</v>
      </c>
      <c r="N1085" s="1" t="s">
        <v>2898</v>
      </c>
      <c r="P1085" s="1" t="s">
        <v>2905</v>
      </c>
      <c r="Q1085" s="3">
        <v>0</v>
      </c>
      <c r="R1085" s="22" t="s">
        <v>2721</v>
      </c>
      <c r="S1085" s="42" t="s">
        <v>6910</v>
      </c>
      <c r="T1085" s="3" t="s">
        <v>4868</v>
      </c>
      <c r="U1085" s="45">
        <v>35</v>
      </c>
      <c r="V1085" t="s">
        <v>6919</v>
      </c>
      <c r="W1085" s="1" t="str">
        <f>HYPERLINK("http://ictvonline.org/taxonomy/p/taxonomy-history?taxnode_id=201900481","ICTVonline=201900481")</f>
        <v>ICTVonline=201900481</v>
      </c>
    </row>
    <row r="1086" spans="1:23">
      <c r="A1086" s="3">
        <v>1085</v>
      </c>
      <c r="B1086" s="1" t="s">
        <v>6915</v>
      </c>
      <c r="D1086" s="1" t="s">
        <v>6916</v>
      </c>
      <c r="F1086" s="1" t="s">
        <v>6920</v>
      </c>
      <c r="H1086" s="1" t="s">
        <v>6921</v>
      </c>
      <c r="J1086" s="1" t="s">
        <v>1324</v>
      </c>
      <c r="L1086" s="1" t="s">
        <v>1325</v>
      </c>
      <c r="N1086" s="1" t="s">
        <v>2898</v>
      </c>
      <c r="P1086" s="1" t="s">
        <v>2906</v>
      </c>
      <c r="Q1086" s="3">
        <v>0</v>
      </c>
      <c r="R1086" s="22" t="s">
        <v>2721</v>
      </c>
      <c r="S1086" s="42" t="s">
        <v>6910</v>
      </c>
      <c r="T1086" s="3" t="s">
        <v>4868</v>
      </c>
      <c r="U1086" s="45">
        <v>35</v>
      </c>
      <c r="V1086" t="s">
        <v>6919</v>
      </c>
      <c r="W1086" s="1" t="str">
        <f>HYPERLINK("http://ictvonline.org/taxonomy/p/taxonomy-history?taxnode_id=201900482","ICTVonline=201900482")</f>
        <v>ICTVonline=201900482</v>
      </c>
    </row>
    <row r="1087" spans="1:23">
      <c r="A1087" s="3">
        <v>1086</v>
      </c>
      <c r="B1087" s="1" t="s">
        <v>6915</v>
      </c>
      <c r="D1087" s="1" t="s">
        <v>6916</v>
      </c>
      <c r="F1087" s="1" t="s">
        <v>6920</v>
      </c>
      <c r="H1087" s="1" t="s">
        <v>6921</v>
      </c>
      <c r="J1087" s="1" t="s">
        <v>1324</v>
      </c>
      <c r="L1087" s="1" t="s">
        <v>1325</v>
      </c>
      <c r="N1087" s="1" t="s">
        <v>2898</v>
      </c>
      <c r="P1087" s="1" t="s">
        <v>6386</v>
      </c>
      <c r="Q1087" s="3">
        <v>0</v>
      </c>
      <c r="R1087" s="22" t="s">
        <v>2721</v>
      </c>
      <c r="S1087" s="42" t="s">
        <v>6910</v>
      </c>
      <c r="T1087" s="3" t="s">
        <v>4868</v>
      </c>
      <c r="U1087" s="45">
        <v>35</v>
      </c>
      <c r="V1087" t="s">
        <v>6919</v>
      </c>
      <c r="W1087" s="1" t="str">
        <f>HYPERLINK("http://ictvonline.org/taxonomy/p/taxonomy-history?taxnode_id=201907021","ICTVonline=201907021")</f>
        <v>ICTVonline=201907021</v>
      </c>
    </row>
    <row r="1088" spans="1:23">
      <c r="A1088" s="3">
        <v>1087</v>
      </c>
      <c r="B1088" s="1" t="s">
        <v>6915</v>
      </c>
      <c r="D1088" s="1" t="s">
        <v>6916</v>
      </c>
      <c r="F1088" s="1" t="s">
        <v>6920</v>
      </c>
      <c r="H1088" s="1" t="s">
        <v>6921</v>
      </c>
      <c r="J1088" s="1" t="s">
        <v>1324</v>
      </c>
      <c r="L1088" s="1" t="s">
        <v>1325</v>
      </c>
      <c r="N1088" s="1" t="s">
        <v>2898</v>
      </c>
      <c r="P1088" s="1" t="s">
        <v>2907</v>
      </c>
      <c r="Q1088" s="3">
        <v>0</v>
      </c>
      <c r="R1088" s="22" t="s">
        <v>2721</v>
      </c>
      <c r="S1088" s="42" t="s">
        <v>6910</v>
      </c>
      <c r="T1088" s="3" t="s">
        <v>4868</v>
      </c>
      <c r="U1088" s="45">
        <v>35</v>
      </c>
      <c r="V1088" t="s">
        <v>6919</v>
      </c>
      <c r="W1088" s="1" t="str">
        <f>HYPERLINK("http://ictvonline.org/taxonomy/p/taxonomy-history?taxnode_id=201900483","ICTVonline=201900483")</f>
        <v>ICTVonline=201900483</v>
      </c>
    </row>
    <row r="1089" spans="1:23">
      <c r="A1089" s="3">
        <v>1088</v>
      </c>
      <c r="B1089" s="1" t="s">
        <v>6915</v>
      </c>
      <c r="D1089" s="1" t="s">
        <v>6916</v>
      </c>
      <c r="F1089" s="1" t="s">
        <v>6920</v>
      </c>
      <c r="H1089" s="1" t="s">
        <v>6921</v>
      </c>
      <c r="J1089" s="1" t="s">
        <v>1324</v>
      </c>
      <c r="L1089" s="1" t="s">
        <v>1325</v>
      </c>
      <c r="N1089" s="1" t="s">
        <v>2898</v>
      </c>
      <c r="P1089" s="1" t="s">
        <v>2908</v>
      </c>
      <c r="Q1089" s="3">
        <v>0</v>
      </c>
      <c r="R1089" s="22" t="s">
        <v>2721</v>
      </c>
      <c r="S1089" s="42" t="s">
        <v>6910</v>
      </c>
      <c r="T1089" s="3" t="s">
        <v>4868</v>
      </c>
      <c r="U1089" s="45">
        <v>35</v>
      </c>
      <c r="V1089" t="s">
        <v>6919</v>
      </c>
      <c r="W1089" s="1" t="str">
        <f>HYPERLINK("http://ictvonline.org/taxonomy/p/taxonomy-history?taxnode_id=201900484","ICTVonline=201900484")</f>
        <v>ICTVonline=201900484</v>
      </c>
    </row>
    <row r="1090" spans="1:23">
      <c r="A1090" s="3">
        <v>1089</v>
      </c>
      <c r="B1090" s="1" t="s">
        <v>6915</v>
      </c>
      <c r="D1090" s="1" t="s">
        <v>6916</v>
      </c>
      <c r="F1090" s="1" t="s">
        <v>6920</v>
      </c>
      <c r="H1090" s="1" t="s">
        <v>6921</v>
      </c>
      <c r="J1090" s="1" t="s">
        <v>1324</v>
      </c>
      <c r="L1090" s="1" t="s">
        <v>1325</v>
      </c>
      <c r="N1090" s="1" t="s">
        <v>2898</v>
      </c>
      <c r="P1090" s="1" t="s">
        <v>6387</v>
      </c>
      <c r="Q1090" s="3">
        <v>0</v>
      </c>
      <c r="R1090" s="22" t="s">
        <v>2721</v>
      </c>
      <c r="S1090" s="42" t="s">
        <v>6910</v>
      </c>
      <c r="T1090" s="3" t="s">
        <v>4868</v>
      </c>
      <c r="U1090" s="45">
        <v>35</v>
      </c>
      <c r="V1090" t="s">
        <v>6919</v>
      </c>
      <c r="W1090" s="1" t="str">
        <f>HYPERLINK("http://ictvonline.org/taxonomy/p/taxonomy-history?taxnode_id=201907026","ICTVonline=201907026")</f>
        <v>ICTVonline=201907026</v>
      </c>
    </row>
    <row r="1091" spans="1:23">
      <c r="A1091" s="3">
        <v>1090</v>
      </c>
      <c r="B1091" s="1" t="s">
        <v>6915</v>
      </c>
      <c r="D1091" s="1" t="s">
        <v>6916</v>
      </c>
      <c r="F1091" s="1" t="s">
        <v>6920</v>
      </c>
      <c r="H1091" s="1" t="s">
        <v>6921</v>
      </c>
      <c r="J1091" s="1" t="s">
        <v>1324</v>
      </c>
      <c r="L1091" s="1" t="s">
        <v>1325</v>
      </c>
      <c r="N1091" s="1" t="s">
        <v>2898</v>
      </c>
      <c r="P1091" s="1" t="s">
        <v>6388</v>
      </c>
      <c r="Q1091" s="3">
        <v>0</v>
      </c>
      <c r="R1091" s="22" t="s">
        <v>2721</v>
      </c>
      <c r="S1091" s="42" t="s">
        <v>6910</v>
      </c>
      <c r="T1091" s="3" t="s">
        <v>4868</v>
      </c>
      <c r="U1091" s="45">
        <v>35</v>
      </c>
      <c r="V1091" t="s">
        <v>6919</v>
      </c>
      <c r="W1091" s="1" t="str">
        <f>HYPERLINK("http://ictvonline.org/taxonomy/p/taxonomy-history?taxnode_id=201907022","ICTVonline=201907022")</f>
        <v>ICTVonline=201907022</v>
      </c>
    </row>
    <row r="1092" spans="1:23">
      <c r="A1092" s="3">
        <v>1091</v>
      </c>
      <c r="B1092" s="1" t="s">
        <v>6915</v>
      </c>
      <c r="D1092" s="1" t="s">
        <v>6916</v>
      </c>
      <c r="F1092" s="1" t="s">
        <v>6920</v>
      </c>
      <c r="H1092" s="1" t="s">
        <v>6921</v>
      </c>
      <c r="J1092" s="1" t="s">
        <v>1324</v>
      </c>
      <c r="L1092" s="1" t="s">
        <v>1325</v>
      </c>
      <c r="N1092" s="1" t="s">
        <v>2898</v>
      </c>
      <c r="P1092" s="1" t="s">
        <v>2909</v>
      </c>
      <c r="Q1092" s="3">
        <v>1</v>
      </c>
      <c r="R1092" s="22" t="s">
        <v>2721</v>
      </c>
      <c r="S1092" s="42" t="s">
        <v>6910</v>
      </c>
      <c r="T1092" s="3" t="s">
        <v>4868</v>
      </c>
      <c r="U1092" s="45">
        <v>35</v>
      </c>
      <c r="V1092" t="s">
        <v>6919</v>
      </c>
      <c r="W1092" s="1" t="str">
        <f>HYPERLINK("http://ictvonline.org/taxonomy/p/taxonomy-history?taxnode_id=201900485","ICTVonline=201900485")</f>
        <v>ICTVonline=201900485</v>
      </c>
    </row>
    <row r="1093" spans="1:23">
      <c r="A1093" s="3">
        <v>1092</v>
      </c>
      <c r="B1093" s="1" t="s">
        <v>6915</v>
      </c>
      <c r="D1093" s="1" t="s">
        <v>6916</v>
      </c>
      <c r="F1093" s="1" t="s">
        <v>6920</v>
      </c>
      <c r="H1093" s="1" t="s">
        <v>6921</v>
      </c>
      <c r="J1093" s="1" t="s">
        <v>1324</v>
      </c>
      <c r="L1093" s="1" t="s">
        <v>1325</v>
      </c>
      <c r="N1093" s="1" t="s">
        <v>2898</v>
      </c>
      <c r="P1093" s="1" t="s">
        <v>6389</v>
      </c>
      <c r="Q1093" s="3">
        <v>0</v>
      </c>
      <c r="R1093" s="22" t="s">
        <v>2721</v>
      </c>
      <c r="S1093" s="42" t="s">
        <v>6910</v>
      </c>
      <c r="T1093" s="3" t="s">
        <v>4868</v>
      </c>
      <c r="U1093" s="45">
        <v>35</v>
      </c>
      <c r="V1093" t="s">
        <v>6919</v>
      </c>
      <c r="W1093" s="1" t="str">
        <f>HYPERLINK("http://ictvonline.org/taxonomy/p/taxonomy-history?taxnode_id=201907027","ICTVonline=201907027")</f>
        <v>ICTVonline=201907027</v>
      </c>
    </row>
    <row r="1094" spans="1:23">
      <c r="A1094" s="3">
        <v>1093</v>
      </c>
      <c r="B1094" s="1" t="s">
        <v>6915</v>
      </c>
      <c r="D1094" s="1" t="s">
        <v>6916</v>
      </c>
      <c r="F1094" s="1" t="s">
        <v>6920</v>
      </c>
      <c r="H1094" s="1" t="s">
        <v>6921</v>
      </c>
      <c r="J1094" s="1" t="s">
        <v>1324</v>
      </c>
      <c r="L1094" s="1" t="s">
        <v>1325</v>
      </c>
      <c r="N1094" s="1" t="s">
        <v>2898</v>
      </c>
      <c r="P1094" s="1" t="s">
        <v>2910</v>
      </c>
      <c r="Q1094" s="3">
        <v>0</v>
      </c>
      <c r="R1094" s="22" t="s">
        <v>2721</v>
      </c>
      <c r="S1094" s="42" t="s">
        <v>6910</v>
      </c>
      <c r="T1094" s="3" t="s">
        <v>4868</v>
      </c>
      <c r="U1094" s="45">
        <v>35</v>
      </c>
      <c r="V1094" t="s">
        <v>6919</v>
      </c>
      <c r="W1094" s="1" t="str">
        <f>HYPERLINK("http://ictvonline.org/taxonomy/p/taxonomy-history?taxnode_id=201900486","ICTVonline=201900486")</f>
        <v>ICTVonline=201900486</v>
      </c>
    </row>
    <row r="1095" spans="1:23">
      <c r="A1095" s="3">
        <v>1094</v>
      </c>
      <c r="B1095" s="1" t="s">
        <v>6915</v>
      </c>
      <c r="D1095" s="1" t="s">
        <v>6916</v>
      </c>
      <c r="F1095" s="1" t="s">
        <v>6920</v>
      </c>
      <c r="H1095" s="1" t="s">
        <v>6921</v>
      </c>
      <c r="J1095" s="1" t="s">
        <v>1324</v>
      </c>
      <c r="L1095" s="1" t="s">
        <v>1325</v>
      </c>
      <c r="N1095" s="1" t="s">
        <v>6390</v>
      </c>
      <c r="P1095" s="1" t="s">
        <v>6391</v>
      </c>
      <c r="Q1095" s="3">
        <v>1</v>
      </c>
      <c r="R1095" s="22" t="s">
        <v>2721</v>
      </c>
      <c r="S1095" s="42" t="s">
        <v>6910</v>
      </c>
      <c r="T1095" s="3" t="s">
        <v>4868</v>
      </c>
      <c r="U1095" s="45">
        <v>35</v>
      </c>
      <c r="V1095" t="s">
        <v>6919</v>
      </c>
      <c r="W1095" s="1" t="str">
        <f>HYPERLINK("http://ictvonline.org/taxonomy/p/taxonomy-history?taxnode_id=201906857","ICTVonline=201906857")</f>
        <v>ICTVonline=201906857</v>
      </c>
    </row>
    <row r="1096" spans="1:23">
      <c r="A1096" s="3">
        <v>1095</v>
      </c>
      <c r="B1096" s="1" t="s">
        <v>6915</v>
      </c>
      <c r="D1096" s="1" t="s">
        <v>6916</v>
      </c>
      <c r="F1096" s="1" t="s">
        <v>6920</v>
      </c>
      <c r="H1096" s="1" t="s">
        <v>6921</v>
      </c>
      <c r="J1096" s="1" t="s">
        <v>1324</v>
      </c>
      <c r="L1096" s="1" t="s">
        <v>1325</v>
      </c>
      <c r="N1096" s="1" t="s">
        <v>7662</v>
      </c>
      <c r="P1096" s="1" t="s">
        <v>7663</v>
      </c>
      <c r="Q1096" s="3">
        <v>1</v>
      </c>
      <c r="R1096" s="22" t="s">
        <v>2721</v>
      </c>
      <c r="S1096" s="42" t="s">
        <v>6914</v>
      </c>
      <c r="T1096" s="3" t="s">
        <v>4866</v>
      </c>
      <c r="U1096" s="45">
        <v>35</v>
      </c>
      <c r="V1096" t="s">
        <v>7664</v>
      </c>
      <c r="W1096" s="1" t="str">
        <f>HYPERLINK("http://ictvonline.org/taxonomy/p/taxonomy-history?taxnode_id=201907985","ICTVonline=201907985")</f>
        <v>ICTVonline=201907985</v>
      </c>
    </row>
    <row r="1097" spans="1:23">
      <c r="A1097" s="3">
        <v>1096</v>
      </c>
      <c r="B1097" s="1" t="s">
        <v>6915</v>
      </c>
      <c r="D1097" s="1" t="s">
        <v>6916</v>
      </c>
      <c r="F1097" s="1" t="s">
        <v>6920</v>
      </c>
      <c r="H1097" s="1" t="s">
        <v>6921</v>
      </c>
      <c r="J1097" s="1" t="s">
        <v>1324</v>
      </c>
      <c r="L1097" s="1" t="s">
        <v>1325</v>
      </c>
      <c r="N1097" s="1" t="s">
        <v>7665</v>
      </c>
      <c r="P1097" s="1" t="s">
        <v>7666</v>
      </c>
      <c r="Q1097" s="3">
        <v>1</v>
      </c>
      <c r="R1097" s="22" t="s">
        <v>2721</v>
      </c>
      <c r="S1097" s="42" t="s">
        <v>6914</v>
      </c>
      <c r="T1097" s="3" t="s">
        <v>4866</v>
      </c>
      <c r="U1097" s="45">
        <v>35</v>
      </c>
      <c r="V1097" t="s">
        <v>7667</v>
      </c>
      <c r="W1097" s="1" t="str">
        <f>HYPERLINK("http://ictvonline.org/taxonomy/p/taxonomy-history?taxnode_id=201908188","ICTVonline=201908188")</f>
        <v>ICTVonline=201908188</v>
      </c>
    </row>
    <row r="1098" spans="1:23">
      <c r="A1098" s="3">
        <v>1097</v>
      </c>
      <c r="B1098" s="1" t="s">
        <v>6915</v>
      </c>
      <c r="D1098" s="1" t="s">
        <v>6916</v>
      </c>
      <c r="F1098" s="1" t="s">
        <v>6920</v>
      </c>
      <c r="H1098" s="1" t="s">
        <v>6921</v>
      </c>
      <c r="J1098" s="1" t="s">
        <v>1324</v>
      </c>
      <c r="L1098" s="1" t="s">
        <v>1325</v>
      </c>
      <c r="N1098" s="1" t="s">
        <v>7668</v>
      </c>
      <c r="P1098" s="1" t="s">
        <v>7669</v>
      </c>
      <c r="Q1098" s="3">
        <v>0</v>
      </c>
      <c r="R1098" s="22" t="s">
        <v>2721</v>
      </c>
      <c r="S1098" s="42" t="s">
        <v>6914</v>
      </c>
      <c r="T1098" s="3" t="s">
        <v>4866</v>
      </c>
      <c r="U1098" s="45">
        <v>35</v>
      </c>
      <c r="V1098" t="s">
        <v>7670</v>
      </c>
      <c r="W1098" s="1" t="str">
        <f>HYPERLINK("http://ictvonline.org/taxonomy/p/taxonomy-history?taxnode_id=201907991","ICTVonline=201907991")</f>
        <v>ICTVonline=201907991</v>
      </c>
    </row>
    <row r="1099" spans="1:23">
      <c r="A1099" s="3">
        <v>1098</v>
      </c>
      <c r="B1099" s="1" t="s">
        <v>6915</v>
      </c>
      <c r="D1099" s="1" t="s">
        <v>6916</v>
      </c>
      <c r="F1099" s="1" t="s">
        <v>6920</v>
      </c>
      <c r="H1099" s="1" t="s">
        <v>6921</v>
      </c>
      <c r="J1099" s="1" t="s">
        <v>1324</v>
      </c>
      <c r="L1099" s="1" t="s">
        <v>1325</v>
      </c>
      <c r="N1099" s="1" t="s">
        <v>7668</v>
      </c>
      <c r="P1099" s="1" t="s">
        <v>7671</v>
      </c>
      <c r="Q1099" s="3">
        <v>0</v>
      </c>
      <c r="R1099" s="22" t="s">
        <v>2721</v>
      </c>
      <c r="S1099" s="42" t="s">
        <v>6914</v>
      </c>
      <c r="T1099" s="3" t="s">
        <v>4866</v>
      </c>
      <c r="U1099" s="45">
        <v>35</v>
      </c>
      <c r="V1099" t="s">
        <v>7670</v>
      </c>
      <c r="W1099" s="1" t="str">
        <f>HYPERLINK("http://ictvonline.org/taxonomy/p/taxonomy-history?taxnode_id=201907989","ICTVonline=201907989")</f>
        <v>ICTVonline=201907989</v>
      </c>
    </row>
    <row r="1100" spans="1:23">
      <c r="A1100" s="3">
        <v>1099</v>
      </c>
      <c r="B1100" s="1" t="s">
        <v>6915</v>
      </c>
      <c r="D1100" s="1" t="s">
        <v>6916</v>
      </c>
      <c r="F1100" s="1" t="s">
        <v>6920</v>
      </c>
      <c r="H1100" s="1" t="s">
        <v>6921</v>
      </c>
      <c r="J1100" s="1" t="s">
        <v>1324</v>
      </c>
      <c r="L1100" s="1" t="s">
        <v>1325</v>
      </c>
      <c r="N1100" s="1" t="s">
        <v>7668</v>
      </c>
      <c r="P1100" s="1" t="s">
        <v>7672</v>
      </c>
      <c r="Q1100" s="3">
        <v>1</v>
      </c>
      <c r="R1100" s="22" t="s">
        <v>2721</v>
      </c>
      <c r="S1100" s="42" t="s">
        <v>6914</v>
      </c>
      <c r="T1100" s="3" t="s">
        <v>4866</v>
      </c>
      <c r="U1100" s="45">
        <v>35</v>
      </c>
      <c r="V1100" t="s">
        <v>7670</v>
      </c>
      <c r="W1100" s="1" t="str">
        <f>HYPERLINK("http://ictvonline.org/taxonomy/p/taxonomy-history?taxnode_id=201907987","ICTVonline=201907987")</f>
        <v>ICTVonline=201907987</v>
      </c>
    </row>
    <row r="1101" spans="1:23">
      <c r="A1101" s="3">
        <v>1100</v>
      </c>
      <c r="B1101" s="1" t="s">
        <v>6915</v>
      </c>
      <c r="D1101" s="1" t="s">
        <v>6916</v>
      </c>
      <c r="F1101" s="1" t="s">
        <v>6920</v>
      </c>
      <c r="H1101" s="1" t="s">
        <v>6921</v>
      </c>
      <c r="J1101" s="1" t="s">
        <v>1324</v>
      </c>
      <c r="L1101" s="1" t="s">
        <v>1325</v>
      </c>
      <c r="N1101" s="1" t="s">
        <v>7668</v>
      </c>
      <c r="P1101" s="1" t="s">
        <v>7673</v>
      </c>
      <c r="Q1101" s="3">
        <v>0</v>
      </c>
      <c r="R1101" s="22" t="s">
        <v>2721</v>
      </c>
      <c r="S1101" s="42" t="s">
        <v>6914</v>
      </c>
      <c r="T1101" s="3" t="s">
        <v>4866</v>
      </c>
      <c r="U1101" s="45">
        <v>35</v>
      </c>
      <c r="V1101" t="s">
        <v>7670</v>
      </c>
      <c r="W1101" s="1" t="str">
        <f>HYPERLINK("http://ictvonline.org/taxonomy/p/taxonomy-history?taxnode_id=201907988","ICTVonline=201907988")</f>
        <v>ICTVonline=201907988</v>
      </c>
    </row>
    <row r="1102" spans="1:23">
      <c r="A1102" s="3">
        <v>1101</v>
      </c>
      <c r="B1102" s="1" t="s">
        <v>6915</v>
      </c>
      <c r="D1102" s="1" t="s">
        <v>6916</v>
      </c>
      <c r="F1102" s="1" t="s">
        <v>6920</v>
      </c>
      <c r="H1102" s="1" t="s">
        <v>6921</v>
      </c>
      <c r="J1102" s="1" t="s">
        <v>1324</v>
      </c>
      <c r="L1102" s="1" t="s">
        <v>1325</v>
      </c>
      <c r="N1102" s="1" t="s">
        <v>7668</v>
      </c>
      <c r="P1102" s="1" t="s">
        <v>7674</v>
      </c>
      <c r="Q1102" s="3">
        <v>0</v>
      </c>
      <c r="R1102" s="22" t="s">
        <v>2721</v>
      </c>
      <c r="S1102" s="42" t="s">
        <v>6914</v>
      </c>
      <c r="T1102" s="3" t="s">
        <v>4866</v>
      </c>
      <c r="U1102" s="45">
        <v>35</v>
      </c>
      <c r="V1102" t="s">
        <v>7670</v>
      </c>
      <c r="W1102" s="1" t="str">
        <f>HYPERLINK("http://ictvonline.org/taxonomy/p/taxonomy-history?taxnode_id=201907990","ICTVonline=201907990")</f>
        <v>ICTVonline=201907990</v>
      </c>
    </row>
    <row r="1103" spans="1:23">
      <c r="A1103" s="3">
        <v>1102</v>
      </c>
      <c r="B1103" s="1" t="s">
        <v>6915</v>
      </c>
      <c r="D1103" s="1" t="s">
        <v>6916</v>
      </c>
      <c r="F1103" s="1" t="s">
        <v>6920</v>
      </c>
      <c r="H1103" s="1" t="s">
        <v>6921</v>
      </c>
      <c r="J1103" s="1" t="s">
        <v>1324</v>
      </c>
      <c r="L1103" s="1" t="s">
        <v>1325</v>
      </c>
      <c r="N1103" s="1" t="s">
        <v>2911</v>
      </c>
      <c r="P1103" s="1" t="s">
        <v>4195</v>
      </c>
      <c r="Q1103" s="3">
        <v>0</v>
      </c>
      <c r="R1103" s="22" t="s">
        <v>2721</v>
      </c>
      <c r="S1103" s="42" t="s">
        <v>6910</v>
      </c>
      <c r="T1103" s="3" t="s">
        <v>4868</v>
      </c>
      <c r="U1103" s="45">
        <v>35</v>
      </c>
      <c r="V1103" t="s">
        <v>6919</v>
      </c>
      <c r="W1103" s="1" t="str">
        <f>HYPERLINK("http://ictvonline.org/taxonomy/p/taxonomy-history?taxnode_id=201900488","ICTVonline=201900488")</f>
        <v>ICTVonline=201900488</v>
      </c>
    </row>
    <row r="1104" spans="1:23">
      <c r="A1104" s="3">
        <v>1103</v>
      </c>
      <c r="B1104" s="1" t="s">
        <v>6915</v>
      </c>
      <c r="D1104" s="1" t="s">
        <v>6916</v>
      </c>
      <c r="F1104" s="1" t="s">
        <v>6920</v>
      </c>
      <c r="H1104" s="1" t="s">
        <v>6921</v>
      </c>
      <c r="J1104" s="1" t="s">
        <v>1324</v>
      </c>
      <c r="L1104" s="1" t="s">
        <v>1325</v>
      </c>
      <c r="N1104" s="1" t="s">
        <v>2911</v>
      </c>
      <c r="P1104" s="1" t="s">
        <v>2913</v>
      </c>
      <c r="Q1104" s="3">
        <v>1</v>
      </c>
      <c r="R1104" s="22" t="s">
        <v>2721</v>
      </c>
      <c r="S1104" s="42" t="s">
        <v>6910</v>
      </c>
      <c r="T1104" s="3" t="s">
        <v>4868</v>
      </c>
      <c r="U1104" s="45">
        <v>35</v>
      </c>
      <c r="V1104" t="s">
        <v>6919</v>
      </c>
      <c r="W1104" s="1" t="str">
        <f>HYPERLINK("http://ictvonline.org/taxonomy/p/taxonomy-history?taxnode_id=201900489","ICTVonline=201900489")</f>
        <v>ICTVonline=201900489</v>
      </c>
    </row>
    <row r="1105" spans="1:23">
      <c r="A1105" s="3">
        <v>1104</v>
      </c>
      <c r="B1105" s="1" t="s">
        <v>6915</v>
      </c>
      <c r="D1105" s="1" t="s">
        <v>6916</v>
      </c>
      <c r="F1105" s="1" t="s">
        <v>6920</v>
      </c>
      <c r="H1105" s="1" t="s">
        <v>6921</v>
      </c>
      <c r="J1105" s="1" t="s">
        <v>1324</v>
      </c>
      <c r="L1105" s="1" t="s">
        <v>1325</v>
      </c>
      <c r="N1105" s="1" t="s">
        <v>2911</v>
      </c>
      <c r="P1105" s="1" t="s">
        <v>6392</v>
      </c>
      <c r="Q1105" s="3">
        <v>0</v>
      </c>
      <c r="R1105" s="22" t="s">
        <v>2721</v>
      </c>
      <c r="S1105" s="42" t="s">
        <v>6910</v>
      </c>
      <c r="T1105" s="3" t="s">
        <v>4868</v>
      </c>
      <c r="U1105" s="45">
        <v>35</v>
      </c>
      <c r="V1105" t="s">
        <v>6919</v>
      </c>
      <c r="W1105" s="1" t="str">
        <f>HYPERLINK("http://ictvonline.org/taxonomy/p/taxonomy-history?taxnode_id=201907032","ICTVonline=201907032")</f>
        <v>ICTVonline=201907032</v>
      </c>
    </row>
    <row r="1106" spans="1:23">
      <c r="A1106" s="3">
        <v>1105</v>
      </c>
      <c r="B1106" s="1" t="s">
        <v>6915</v>
      </c>
      <c r="D1106" s="1" t="s">
        <v>6916</v>
      </c>
      <c r="F1106" s="1" t="s">
        <v>6920</v>
      </c>
      <c r="H1106" s="1" t="s">
        <v>6921</v>
      </c>
      <c r="J1106" s="1" t="s">
        <v>1324</v>
      </c>
      <c r="L1106" s="1" t="s">
        <v>1325</v>
      </c>
      <c r="N1106" s="1" t="s">
        <v>6393</v>
      </c>
      <c r="P1106" s="1" t="s">
        <v>6394</v>
      </c>
      <c r="Q1106" s="3">
        <v>1</v>
      </c>
      <c r="R1106" s="22" t="s">
        <v>2721</v>
      </c>
      <c r="S1106" s="42" t="s">
        <v>6910</v>
      </c>
      <c r="T1106" s="3" t="s">
        <v>4868</v>
      </c>
      <c r="U1106" s="45">
        <v>35</v>
      </c>
      <c r="V1106" t="s">
        <v>6919</v>
      </c>
      <c r="W1106" s="1" t="str">
        <f>HYPERLINK("http://ictvonline.org/taxonomy/p/taxonomy-history?taxnode_id=201906859","ICTVonline=201906859")</f>
        <v>ICTVonline=201906859</v>
      </c>
    </row>
    <row r="1107" spans="1:23">
      <c r="A1107" s="3">
        <v>1106</v>
      </c>
      <c r="B1107" s="1" t="s">
        <v>6915</v>
      </c>
      <c r="D1107" s="1" t="s">
        <v>6916</v>
      </c>
      <c r="F1107" s="1" t="s">
        <v>6920</v>
      </c>
      <c r="H1107" s="1" t="s">
        <v>6921</v>
      </c>
      <c r="J1107" s="1" t="s">
        <v>1324</v>
      </c>
      <c r="L1107" s="1" t="s">
        <v>1325</v>
      </c>
      <c r="N1107" s="1" t="s">
        <v>6395</v>
      </c>
      <c r="P1107" s="1" t="s">
        <v>6396</v>
      </c>
      <c r="Q1107" s="3">
        <v>1</v>
      </c>
      <c r="R1107" s="22" t="s">
        <v>2721</v>
      </c>
      <c r="S1107" s="42" t="s">
        <v>6910</v>
      </c>
      <c r="T1107" s="3" t="s">
        <v>4868</v>
      </c>
      <c r="U1107" s="45">
        <v>35</v>
      </c>
      <c r="V1107" t="s">
        <v>6919</v>
      </c>
      <c r="W1107" s="1" t="str">
        <f>HYPERLINK("http://ictvonline.org/taxonomy/p/taxonomy-history?taxnode_id=201906720","ICTVonline=201906720")</f>
        <v>ICTVonline=201906720</v>
      </c>
    </row>
    <row r="1108" spans="1:23">
      <c r="A1108" s="3">
        <v>1107</v>
      </c>
      <c r="B1108" s="1" t="s">
        <v>6915</v>
      </c>
      <c r="D1108" s="1" t="s">
        <v>6916</v>
      </c>
      <c r="F1108" s="1" t="s">
        <v>6920</v>
      </c>
      <c r="H1108" s="1" t="s">
        <v>6921</v>
      </c>
      <c r="J1108" s="1" t="s">
        <v>1324</v>
      </c>
      <c r="L1108" s="1" t="s">
        <v>1325</v>
      </c>
      <c r="N1108" s="1" t="s">
        <v>7675</v>
      </c>
      <c r="P1108" s="1" t="s">
        <v>7676</v>
      </c>
      <c r="Q1108" s="3">
        <v>1</v>
      </c>
      <c r="R1108" s="22" t="s">
        <v>2721</v>
      </c>
      <c r="S1108" s="42" t="s">
        <v>6914</v>
      </c>
      <c r="T1108" s="3" t="s">
        <v>4866</v>
      </c>
      <c r="U1108" s="45">
        <v>35</v>
      </c>
      <c r="V1108" t="s">
        <v>7568</v>
      </c>
      <c r="W1108" s="1" t="str">
        <f>HYPERLINK("http://ictvonline.org/taxonomy/p/taxonomy-history?taxnode_id=201907811","ICTVonline=201907811")</f>
        <v>ICTVonline=201907811</v>
      </c>
    </row>
    <row r="1109" spans="1:23">
      <c r="A1109" s="3">
        <v>1108</v>
      </c>
      <c r="B1109" s="1" t="s">
        <v>6915</v>
      </c>
      <c r="D1109" s="1" t="s">
        <v>6916</v>
      </c>
      <c r="F1109" s="1" t="s">
        <v>6920</v>
      </c>
      <c r="H1109" s="1" t="s">
        <v>6921</v>
      </c>
      <c r="J1109" s="1" t="s">
        <v>1324</v>
      </c>
      <c r="L1109" s="1" t="s">
        <v>1325</v>
      </c>
      <c r="N1109" s="1" t="s">
        <v>6397</v>
      </c>
      <c r="P1109" s="1" t="s">
        <v>6398</v>
      </c>
      <c r="Q1109" s="3">
        <v>1</v>
      </c>
      <c r="R1109" s="22" t="s">
        <v>2721</v>
      </c>
      <c r="S1109" s="42" t="s">
        <v>6910</v>
      </c>
      <c r="T1109" s="3" t="s">
        <v>4868</v>
      </c>
      <c r="U1109" s="45">
        <v>35</v>
      </c>
      <c r="V1109" t="s">
        <v>6919</v>
      </c>
      <c r="W1109" s="1" t="str">
        <f>HYPERLINK("http://ictvonline.org/taxonomy/p/taxonomy-history?taxnode_id=201906778","ICTVonline=201906778")</f>
        <v>ICTVonline=201906778</v>
      </c>
    </row>
    <row r="1110" spans="1:23">
      <c r="A1110" s="3">
        <v>1109</v>
      </c>
      <c r="B1110" s="1" t="s">
        <v>6915</v>
      </c>
      <c r="D1110" s="1" t="s">
        <v>6916</v>
      </c>
      <c r="F1110" s="1" t="s">
        <v>6920</v>
      </c>
      <c r="H1110" s="1" t="s">
        <v>6921</v>
      </c>
      <c r="J1110" s="1" t="s">
        <v>1324</v>
      </c>
      <c r="L1110" s="1" t="s">
        <v>1325</v>
      </c>
      <c r="N1110" s="1" t="s">
        <v>6399</v>
      </c>
      <c r="P1110" s="1" t="s">
        <v>2889</v>
      </c>
      <c r="Q1110" s="3">
        <v>0</v>
      </c>
      <c r="R1110" s="22" t="s">
        <v>2721</v>
      </c>
      <c r="S1110" s="42" t="s">
        <v>6910</v>
      </c>
      <c r="T1110" s="3" t="s">
        <v>4868</v>
      </c>
      <c r="U1110" s="45">
        <v>35</v>
      </c>
      <c r="V1110" t="s">
        <v>6919</v>
      </c>
      <c r="W1110" s="1" t="str">
        <f>HYPERLINK("http://ictvonline.org/taxonomy/p/taxonomy-history?taxnode_id=201900465","ICTVonline=201900465")</f>
        <v>ICTVonline=201900465</v>
      </c>
    </row>
    <row r="1111" spans="1:23">
      <c r="A1111" s="3">
        <v>1110</v>
      </c>
      <c r="B1111" s="1" t="s">
        <v>6915</v>
      </c>
      <c r="D1111" s="1" t="s">
        <v>6916</v>
      </c>
      <c r="F1111" s="1" t="s">
        <v>6920</v>
      </c>
      <c r="H1111" s="1" t="s">
        <v>6921</v>
      </c>
      <c r="J1111" s="1" t="s">
        <v>1324</v>
      </c>
      <c r="L1111" s="1" t="s">
        <v>1325</v>
      </c>
      <c r="N1111" s="1" t="s">
        <v>6399</v>
      </c>
      <c r="P1111" s="1" t="s">
        <v>2890</v>
      </c>
      <c r="Q1111" s="3">
        <v>1</v>
      </c>
      <c r="R1111" s="22" t="s">
        <v>2721</v>
      </c>
      <c r="S1111" s="42" t="s">
        <v>6910</v>
      </c>
      <c r="T1111" s="3" t="s">
        <v>4868</v>
      </c>
      <c r="U1111" s="45">
        <v>35</v>
      </c>
      <c r="V1111" t="s">
        <v>6919</v>
      </c>
      <c r="W1111" s="1" t="str">
        <f>HYPERLINK("http://ictvonline.org/taxonomy/p/taxonomy-history?taxnode_id=201900466","ICTVonline=201900466")</f>
        <v>ICTVonline=201900466</v>
      </c>
    </row>
    <row r="1112" spans="1:23">
      <c r="A1112" s="3">
        <v>1111</v>
      </c>
      <c r="B1112" s="1" t="s">
        <v>6915</v>
      </c>
      <c r="D1112" s="1" t="s">
        <v>6916</v>
      </c>
      <c r="F1112" s="1" t="s">
        <v>6920</v>
      </c>
      <c r="H1112" s="1" t="s">
        <v>6921</v>
      </c>
      <c r="J1112" s="1" t="s">
        <v>1324</v>
      </c>
      <c r="L1112" s="1" t="s">
        <v>1325</v>
      </c>
      <c r="N1112" s="1" t="s">
        <v>6399</v>
      </c>
      <c r="P1112" s="1" t="s">
        <v>6400</v>
      </c>
      <c r="Q1112" s="3">
        <v>0</v>
      </c>
      <c r="R1112" s="22" t="s">
        <v>2721</v>
      </c>
      <c r="S1112" s="42" t="s">
        <v>6910</v>
      </c>
      <c r="T1112" s="3" t="s">
        <v>4868</v>
      </c>
      <c r="U1112" s="45">
        <v>35</v>
      </c>
      <c r="V1112" t="s">
        <v>6919</v>
      </c>
      <c r="W1112" s="1" t="str">
        <f>HYPERLINK("http://ictvonline.org/taxonomy/p/taxonomy-history?taxnode_id=201907014","ICTVonline=201907014")</f>
        <v>ICTVonline=201907014</v>
      </c>
    </row>
    <row r="1113" spans="1:23">
      <c r="A1113" s="3">
        <v>1112</v>
      </c>
      <c r="B1113" s="1" t="s">
        <v>6915</v>
      </c>
      <c r="D1113" s="1" t="s">
        <v>6916</v>
      </c>
      <c r="F1113" s="1" t="s">
        <v>6920</v>
      </c>
      <c r="H1113" s="1" t="s">
        <v>6921</v>
      </c>
      <c r="J1113" s="1" t="s">
        <v>1324</v>
      </c>
      <c r="L1113" s="1" t="s">
        <v>1325</v>
      </c>
      <c r="N1113" s="1" t="s">
        <v>6399</v>
      </c>
      <c r="P1113" s="1" t="s">
        <v>6401</v>
      </c>
      <c r="Q1113" s="3">
        <v>0</v>
      </c>
      <c r="R1113" s="22" t="s">
        <v>2721</v>
      </c>
      <c r="S1113" s="42" t="s">
        <v>6910</v>
      </c>
      <c r="T1113" s="3" t="s">
        <v>4868</v>
      </c>
      <c r="U1113" s="45">
        <v>35</v>
      </c>
      <c r="V1113" t="s">
        <v>6919</v>
      </c>
      <c r="W1113" s="1" t="str">
        <f>HYPERLINK("http://ictvonline.org/taxonomy/p/taxonomy-history?taxnode_id=201907015","ICTVonline=201907015")</f>
        <v>ICTVonline=201907015</v>
      </c>
    </row>
    <row r="1114" spans="1:23">
      <c r="A1114" s="3">
        <v>1113</v>
      </c>
      <c r="B1114" s="1" t="s">
        <v>6915</v>
      </c>
      <c r="D1114" s="1" t="s">
        <v>6916</v>
      </c>
      <c r="F1114" s="1" t="s">
        <v>6920</v>
      </c>
      <c r="H1114" s="1" t="s">
        <v>6921</v>
      </c>
      <c r="J1114" s="1" t="s">
        <v>1324</v>
      </c>
      <c r="L1114" s="1" t="s">
        <v>1325</v>
      </c>
      <c r="N1114" s="1" t="s">
        <v>7677</v>
      </c>
      <c r="P1114" s="1" t="s">
        <v>7678</v>
      </c>
      <c r="Q1114" s="3">
        <v>1</v>
      </c>
      <c r="R1114" s="22" t="s">
        <v>2721</v>
      </c>
      <c r="S1114" s="42" t="s">
        <v>6914</v>
      </c>
      <c r="T1114" s="3" t="s">
        <v>4866</v>
      </c>
      <c r="U1114" s="45">
        <v>35</v>
      </c>
      <c r="V1114" t="s">
        <v>7679</v>
      </c>
      <c r="W1114" s="1" t="str">
        <f>HYPERLINK("http://ictvonline.org/taxonomy/p/taxonomy-history?taxnode_id=201907516","ICTVonline=201907516")</f>
        <v>ICTVonline=201907516</v>
      </c>
    </row>
    <row r="1115" spans="1:23">
      <c r="A1115" s="3">
        <v>1114</v>
      </c>
      <c r="B1115" s="1" t="s">
        <v>6915</v>
      </c>
      <c r="D1115" s="1" t="s">
        <v>6916</v>
      </c>
      <c r="F1115" s="1" t="s">
        <v>6920</v>
      </c>
      <c r="H1115" s="1" t="s">
        <v>6921</v>
      </c>
      <c r="J1115" s="1" t="s">
        <v>1324</v>
      </c>
      <c r="L1115" s="1" t="s">
        <v>1325</v>
      </c>
      <c r="N1115" s="1" t="s">
        <v>6402</v>
      </c>
      <c r="P1115" s="1" t="s">
        <v>4170</v>
      </c>
      <c r="Q1115" s="3">
        <v>1</v>
      </c>
      <c r="R1115" s="22" t="s">
        <v>2721</v>
      </c>
      <c r="S1115" s="42" t="s">
        <v>6910</v>
      </c>
      <c r="T1115" s="3" t="s">
        <v>4868</v>
      </c>
      <c r="U1115" s="45">
        <v>35</v>
      </c>
      <c r="V1115" t="s">
        <v>6919</v>
      </c>
      <c r="W1115" s="1" t="str">
        <f>HYPERLINK("http://ictvonline.org/taxonomy/p/taxonomy-history?taxnode_id=201900382","ICTVonline=201900382")</f>
        <v>ICTVonline=201900382</v>
      </c>
    </row>
    <row r="1116" spans="1:23">
      <c r="A1116" s="3">
        <v>1115</v>
      </c>
      <c r="B1116" s="1" t="s">
        <v>6915</v>
      </c>
      <c r="D1116" s="1" t="s">
        <v>6916</v>
      </c>
      <c r="F1116" s="1" t="s">
        <v>6920</v>
      </c>
      <c r="H1116" s="1" t="s">
        <v>6921</v>
      </c>
      <c r="J1116" s="1" t="s">
        <v>1324</v>
      </c>
      <c r="L1116" s="1" t="s">
        <v>1325</v>
      </c>
      <c r="N1116" s="1" t="s">
        <v>6402</v>
      </c>
      <c r="P1116" s="1" t="s">
        <v>6403</v>
      </c>
      <c r="Q1116" s="3">
        <v>0</v>
      </c>
      <c r="R1116" s="22" t="s">
        <v>2721</v>
      </c>
      <c r="S1116" s="42" t="s">
        <v>6910</v>
      </c>
      <c r="T1116" s="3" t="s">
        <v>4868</v>
      </c>
      <c r="U1116" s="45">
        <v>35</v>
      </c>
      <c r="V1116" t="s">
        <v>6919</v>
      </c>
      <c r="W1116" s="1" t="str">
        <f>HYPERLINK("http://ictvonline.org/taxonomy/p/taxonomy-history?taxnode_id=201906996","ICTVonline=201906996")</f>
        <v>ICTVonline=201906996</v>
      </c>
    </row>
    <row r="1117" spans="1:23">
      <c r="A1117" s="3">
        <v>1116</v>
      </c>
      <c r="B1117" s="1" t="s">
        <v>6915</v>
      </c>
      <c r="D1117" s="1" t="s">
        <v>6916</v>
      </c>
      <c r="F1117" s="1" t="s">
        <v>6920</v>
      </c>
      <c r="H1117" s="1" t="s">
        <v>6921</v>
      </c>
      <c r="J1117" s="1" t="s">
        <v>1324</v>
      </c>
      <c r="L1117" s="1" t="s">
        <v>1325</v>
      </c>
      <c r="N1117" s="1" t="s">
        <v>6402</v>
      </c>
      <c r="P1117" s="1" t="s">
        <v>4171</v>
      </c>
      <c r="Q1117" s="3">
        <v>0</v>
      </c>
      <c r="R1117" s="22" t="s">
        <v>2721</v>
      </c>
      <c r="S1117" s="42" t="s">
        <v>6910</v>
      </c>
      <c r="T1117" s="3" t="s">
        <v>4868</v>
      </c>
      <c r="U1117" s="45">
        <v>35</v>
      </c>
      <c r="V1117" t="s">
        <v>6919</v>
      </c>
      <c r="W1117" s="1" t="str">
        <f>HYPERLINK("http://ictvonline.org/taxonomy/p/taxonomy-history?taxnode_id=201900383","ICTVonline=201900383")</f>
        <v>ICTVonline=201900383</v>
      </c>
    </row>
    <row r="1118" spans="1:23">
      <c r="A1118" s="3">
        <v>1117</v>
      </c>
      <c r="B1118" s="1" t="s">
        <v>6915</v>
      </c>
      <c r="D1118" s="1" t="s">
        <v>6916</v>
      </c>
      <c r="F1118" s="1" t="s">
        <v>6920</v>
      </c>
      <c r="H1118" s="1" t="s">
        <v>6921</v>
      </c>
      <c r="J1118" s="1" t="s">
        <v>1324</v>
      </c>
      <c r="L1118" s="1" t="s">
        <v>1325</v>
      </c>
      <c r="N1118" s="1" t="s">
        <v>6404</v>
      </c>
      <c r="P1118" s="1" t="s">
        <v>6405</v>
      </c>
      <c r="Q1118" s="3">
        <v>1</v>
      </c>
      <c r="R1118" s="22" t="s">
        <v>2721</v>
      </c>
      <c r="S1118" s="42" t="s">
        <v>6910</v>
      </c>
      <c r="T1118" s="3" t="s">
        <v>4868</v>
      </c>
      <c r="U1118" s="45">
        <v>35</v>
      </c>
      <c r="V1118" t="s">
        <v>6919</v>
      </c>
      <c r="W1118" s="1" t="str">
        <f>HYPERLINK("http://ictvonline.org/taxonomy/p/taxonomy-history?taxnode_id=201906865","ICTVonline=201906865")</f>
        <v>ICTVonline=201906865</v>
      </c>
    </row>
    <row r="1119" spans="1:23">
      <c r="A1119" s="3">
        <v>1118</v>
      </c>
      <c r="B1119" s="1" t="s">
        <v>6915</v>
      </c>
      <c r="D1119" s="1" t="s">
        <v>6916</v>
      </c>
      <c r="F1119" s="1" t="s">
        <v>6920</v>
      </c>
      <c r="H1119" s="1" t="s">
        <v>6921</v>
      </c>
      <c r="J1119" s="1" t="s">
        <v>1324</v>
      </c>
      <c r="L1119" s="1" t="s">
        <v>1325</v>
      </c>
      <c r="N1119" s="1" t="s">
        <v>6406</v>
      </c>
      <c r="P1119" s="1" t="s">
        <v>6407</v>
      </c>
      <c r="Q1119" s="3">
        <v>1</v>
      </c>
      <c r="R1119" s="22" t="s">
        <v>2721</v>
      </c>
      <c r="S1119" s="42" t="s">
        <v>6910</v>
      </c>
      <c r="T1119" s="3" t="s">
        <v>4868</v>
      </c>
      <c r="U1119" s="45">
        <v>35</v>
      </c>
      <c r="V1119" t="s">
        <v>6919</v>
      </c>
      <c r="W1119" s="1" t="str">
        <f>HYPERLINK("http://ictvonline.org/taxonomy/p/taxonomy-history?taxnode_id=201906867","ICTVonline=201906867")</f>
        <v>ICTVonline=201906867</v>
      </c>
    </row>
    <row r="1120" spans="1:23">
      <c r="A1120" s="3">
        <v>1119</v>
      </c>
      <c r="B1120" s="1" t="s">
        <v>6915</v>
      </c>
      <c r="D1120" s="1" t="s">
        <v>6916</v>
      </c>
      <c r="F1120" s="1" t="s">
        <v>6920</v>
      </c>
      <c r="H1120" s="1" t="s">
        <v>6921</v>
      </c>
      <c r="J1120" s="1" t="s">
        <v>1324</v>
      </c>
      <c r="L1120" s="1" t="s">
        <v>1325</v>
      </c>
      <c r="N1120" s="1" t="s">
        <v>7680</v>
      </c>
      <c r="P1120" s="1" t="s">
        <v>7681</v>
      </c>
      <c r="Q1120" s="3">
        <v>1</v>
      </c>
      <c r="R1120" s="22" t="s">
        <v>2721</v>
      </c>
      <c r="S1120" s="42" t="s">
        <v>6914</v>
      </c>
      <c r="T1120" s="3" t="s">
        <v>4866</v>
      </c>
      <c r="U1120" s="45">
        <v>35</v>
      </c>
      <c r="V1120" t="s">
        <v>7573</v>
      </c>
      <c r="W1120" s="1" t="str">
        <f>HYPERLINK("http://ictvonline.org/taxonomy/p/taxonomy-history?taxnode_id=201907916","ICTVonline=201907916")</f>
        <v>ICTVonline=201907916</v>
      </c>
    </row>
    <row r="1121" spans="1:23">
      <c r="A1121" s="3">
        <v>1120</v>
      </c>
      <c r="B1121" s="1" t="s">
        <v>6915</v>
      </c>
      <c r="D1121" s="1" t="s">
        <v>6916</v>
      </c>
      <c r="F1121" s="1" t="s">
        <v>6920</v>
      </c>
      <c r="H1121" s="1" t="s">
        <v>6921</v>
      </c>
      <c r="J1121" s="1" t="s">
        <v>1324</v>
      </c>
      <c r="L1121" s="1" t="s">
        <v>1325</v>
      </c>
      <c r="N1121" s="1" t="s">
        <v>7682</v>
      </c>
      <c r="P1121" s="1" t="s">
        <v>7683</v>
      </c>
      <c r="Q1121" s="3">
        <v>0</v>
      </c>
      <c r="R1121" s="22" t="s">
        <v>2721</v>
      </c>
      <c r="S1121" s="42" t="s">
        <v>6914</v>
      </c>
      <c r="T1121" s="3" t="s">
        <v>4866</v>
      </c>
      <c r="U1121" s="45">
        <v>35</v>
      </c>
      <c r="V1121" t="s">
        <v>7684</v>
      </c>
      <c r="W1121" s="1" t="str">
        <f>HYPERLINK("http://ictvonline.org/taxonomy/p/taxonomy-history?taxnode_id=201907935","ICTVonline=201907935")</f>
        <v>ICTVonline=201907935</v>
      </c>
    </row>
    <row r="1122" spans="1:23">
      <c r="A1122" s="3">
        <v>1121</v>
      </c>
      <c r="B1122" s="1" t="s">
        <v>6915</v>
      </c>
      <c r="D1122" s="1" t="s">
        <v>6916</v>
      </c>
      <c r="F1122" s="1" t="s">
        <v>6920</v>
      </c>
      <c r="H1122" s="1" t="s">
        <v>6921</v>
      </c>
      <c r="J1122" s="1" t="s">
        <v>1324</v>
      </c>
      <c r="L1122" s="1" t="s">
        <v>1325</v>
      </c>
      <c r="N1122" s="1" t="s">
        <v>7682</v>
      </c>
      <c r="P1122" s="1" t="s">
        <v>7685</v>
      </c>
      <c r="Q1122" s="3">
        <v>0</v>
      </c>
      <c r="R1122" s="22" t="s">
        <v>2721</v>
      </c>
      <c r="S1122" s="42" t="s">
        <v>6914</v>
      </c>
      <c r="T1122" s="3" t="s">
        <v>4866</v>
      </c>
      <c r="U1122" s="45">
        <v>35</v>
      </c>
      <c r="V1122" t="s">
        <v>7684</v>
      </c>
      <c r="W1122" s="1" t="str">
        <f>HYPERLINK("http://ictvonline.org/taxonomy/p/taxonomy-history?taxnode_id=201907934","ICTVonline=201907934")</f>
        <v>ICTVonline=201907934</v>
      </c>
    </row>
    <row r="1123" spans="1:23">
      <c r="A1123" s="3">
        <v>1122</v>
      </c>
      <c r="B1123" s="1" t="s">
        <v>6915</v>
      </c>
      <c r="D1123" s="1" t="s">
        <v>6916</v>
      </c>
      <c r="F1123" s="1" t="s">
        <v>6920</v>
      </c>
      <c r="H1123" s="1" t="s">
        <v>6921</v>
      </c>
      <c r="J1123" s="1" t="s">
        <v>1324</v>
      </c>
      <c r="L1123" s="1" t="s">
        <v>1325</v>
      </c>
      <c r="N1123" s="1" t="s">
        <v>7682</v>
      </c>
      <c r="P1123" s="1" t="s">
        <v>7686</v>
      </c>
      <c r="Q1123" s="3">
        <v>1</v>
      </c>
      <c r="R1123" s="22" t="s">
        <v>2721</v>
      </c>
      <c r="S1123" s="42" t="s">
        <v>6914</v>
      </c>
      <c r="T1123" s="3" t="s">
        <v>4866</v>
      </c>
      <c r="U1123" s="45">
        <v>35</v>
      </c>
      <c r="V1123" t="s">
        <v>7684</v>
      </c>
      <c r="W1123" s="1" t="str">
        <f>HYPERLINK("http://ictvonline.org/taxonomy/p/taxonomy-history?taxnode_id=201907933","ICTVonline=201907933")</f>
        <v>ICTVonline=201907933</v>
      </c>
    </row>
    <row r="1124" spans="1:23">
      <c r="A1124" s="3">
        <v>1123</v>
      </c>
      <c r="B1124" s="1" t="s">
        <v>6915</v>
      </c>
      <c r="D1124" s="1" t="s">
        <v>6916</v>
      </c>
      <c r="F1124" s="1" t="s">
        <v>6920</v>
      </c>
      <c r="H1124" s="1" t="s">
        <v>6921</v>
      </c>
      <c r="J1124" s="1" t="s">
        <v>1324</v>
      </c>
      <c r="L1124" s="1" t="s">
        <v>1325</v>
      </c>
      <c r="N1124" s="1" t="s">
        <v>7687</v>
      </c>
      <c r="P1124" s="1" t="s">
        <v>7688</v>
      </c>
      <c r="Q1124" s="3">
        <v>1</v>
      </c>
      <c r="R1124" s="22" t="s">
        <v>2721</v>
      </c>
      <c r="S1124" s="42" t="s">
        <v>6914</v>
      </c>
      <c r="T1124" s="3" t="s">
        <v>4866</v>
      </c>
      <c r="U1124" s="45">
        <v>35</v>
      </c>
      <c r="V1124" t="s">
        <v>7568</v>
      </c>
      <c r="W1124" s="1" t="str">
        <f>HYPERLINK("http://ictvonline.org/taxonomy/p/taxonomy-history?taxnode_id=201907787","ICTVonline=201907787")</f>
        <v>ICTVonline=201907787</v>
      </c>
    </row>
    <row r="1125" spans="1:23">
      <c r="A1125" s="3">
        <v>1124</v>
      </c>
      <c r="B1125" s="1" t="s">
        <v>6915</v>
      </c>
      <c r="D1125" s="1" t="s">
        <v>6916</v>
      </c>
      <c r="F1125" s="1" t="s">
        <v>6920</v>
      </c>
      <c r="H1125" s="1" t="s">
        <v>6921</v>
      </c>
      <c r="J1125" s="1" t="s">
        <v>1324</v>
      </c>
      <c r="L1125" s="1" t="s">
        <v>1325</v>
      </c>
      <c r="N1125" s="1" t="s">
        <v>7689</v>
      </c>
      <c r="P1125" s="1" t="s">
        <v>7690</v>
      </c>
      <c r="Q1125" s="3">
        <v>1</v>
      </c>
      <c r="R1125" s="22" t="s">
        <v>2721</v>
      </c>
      <c r="S1125" s="42" t="s">
        <v>6914</v>
      </c>
      <c r="T1125" s="3" t="s">
        <v>4866</v>
      </c>
      <c r="U1125" s="45">
        <v>35</v>
      </c>
      <c r="V1125" t="s">
        <v>7573</v>
      </c>
      <c r="W1125" s="1" t="str">
        <f>HYPERLINK("http://ictvonline.org/taxonomy/p/taxonomy-history?taxnode_id=201907925","ICTVonline=201907925")</f>
        <v>ICTVonline=201907925</v>
      </c>
    </row>
    <row r="1126" spans="1:23">
      <c r="A1126" s="3">
        <v>1125</v>
      </c>
      <c r="B1126" s="1" t="s">
        <v>6915</v>
      </c>
      <c r="D1126" s="1" t="s">
        <v>6916</v>
      </c>
      <c r="F1126" s="1" t="s">
        <v>6920</v>
      </c>
      <c r="H1126" s="1" t="s">
        <v>6921</v>
      </c>
      <c r="J1126" s="1" t="s">
        <v>1324</v>
      </c>
      <c r="L1126" s="1" t="s">
        <v>1325</v>
      </c>
      <c r="N1126" s="1" t="s">
        <v>7689</v>
      </c>
      <c r="P1126" s="1" t="s">
        <v>7691</v>
      </c>
      <c r="Q1126" s="3">
        <v>0</v>
      </c>
      <c r="R1126" s="22" t="s">
        <v>2721</v>
      </c>
      <c r="S1126" s="42" t="s">
        <v>6914</v>
      </c>
      <c r="T1126" s="3" t="s">
        <v>4866</v>
      </c>
      <c r="U1126" s="45">
        <v>35</v>
      </c>
      <c r="V1126" t="s">
        <v>7573</v>
      </c>
      <c r="W1126" s="1" t="str">
        <f>HYPERLINK("http://ictvonline.org/taxonomy/p/taxonomy-history?taxnode_id=201907926","ICTVonline=201907926")</f>
        <v>ICTVonline=201907926</v>
      </c>
    </row>
    <row r="1127" spans="1:23">
      <c r="A1127" s="3">
        <v>1126</v>
      </c>
      <c r="B1127" s="1" t="s">
        <v>6915</v>
      </c>
      <c r="D1127" s="1" t="s">
        <v>6916</v>
      </c>
      <c r="F1127" s="1" t="s">
        <v>6920</v>
      </c>
      <c r="H1127" s="1" t="s">
        <v>6921</v>
      </c>
      <c r="J1127" s="1" t="s">
        <v>1324</v>
      </c>
      <c r="L1127" s="1" t="s">
        <v>1325</v>
      </c>
      <c r="N1127" s="1" t="s">
        <v>7692</v>
      </c>
      <c r="P1127" s="1" t="s">
        <v>7693</v>
      </c>
      <c r="Q1127" s="3">
        <v>1</v>
      </c>
      <c r="R1127" s="22" t="s">
        <v>2721</v>
      </c>
      <c r="S1127" s="42" t="s">
        <v>6914</v>
      </c>
      <c r="T1127" s="3" t="s">
        <v>4866</v>
      </c>
      <c r="U1127" s="45">
        <v>35</v>
      </c>
      <c r="V1127" t="s">
        <v>7573</v>
      </c>
      <c r="W1127" s="1" t="str">
        <f>HYPERLINK("http://ictvonline.org/taxonomy/p/taxonomy-history?taxnode_id=201907923","ICTVonline=201907923")</f>
        <v>ICTVonline=201907923</v>
      </c>
    </row>
    <row r="1128" spans="1:23">
      <c r="A1128" s="3">
        <v>1127</v>
      </c>
      <c r="B1128" s="1" t="s">
        <v>6915</v>
      </c>
      <c r="D1128" s="1" t="s">
        <v>6916</v>
      </c>
      <c r="F1128" s="1" t="s">
        <v>6920</v>
      </c>
      <c r="H1128" s="1" t="s">
        <v>6921</v>
      </c>
      <c r="J1128" s="1" t="s">
        <v>1324</v>
      </c>
      <c r="L1128" s="1" t="s">
        <v>1325</v>
      </c>
      <c r="N1128" s="1" t="s">
        <v>7694</v>
      </c>
      <c r="P1128" s="1" t="s">
        <v>7695</v>
      </c>
      <c r="Q1128" s="3">
        <v>1</v>
      </c>
      <c r="R1128" s="22" t="s">
        <v>2721</v>
      </c>
      <c r="S1128" s="42" t="s">
        <v>6914</v>
      </c>
      <c r="T1128" s="3" t="s">
        <v>4866</v>
      </c>
      <c r="U1128" s="45">
        <v>35</v>
      </c>
      <c r="V1128" t="s">
        <v>7696</v>
      </c>
      <c r="W1128" s="1" t="str">
        <f>HYPERLINK("http://ictvonline.org/taxonomy/p/taxonomy-history?taxnode_id=201908029","ICTVonline=201908029")</f>
        <v>ICTVonline=201908029</v>
      </c>
    </row>
    <row r="1129" spans="1:23">
      <c r="A1129" s="3">
        <v>1128</v>
      </c>
      <c r="B1129" s="1" t="s">
        <v>6915</v>
      </c>
      <c r="D1129" s="1" t="s">
        <v>6916</v>
      </c>
      <c r="F1129" s="1" t="s">
        <v>6920</v>
      </c>
      <c r="H1129" s="1" t="s">
        <v>6921</v>
      </c>
      <c r="J1129" s="1" t="s">
        <v>1324</v>
      </c>
      <c r="L1129" s="1" t="s">
        <v>1325</v>
      </c>
      <c r="N1129" s="1" t="s">
        <v>6408</v>
      </c>
      <c r="P1129" s="1" t="s">
        <v>4201</v>
      </c>
      <c r="Q1129" s="3">
        <v>1</v>
      </c>
      <c r="R1129" s="22" t="s">
        <v>2721</v>
      </c>
      <c r="S1129" s="42" t="s">
        <v>6910</v>
      </c>
      <c r="T1129" s="3" t="s">
        <v>4868</v>
      </c>
      <c r="U1129" s="45">
        <v>35</v>
      </c>
      <c r="V1129" t="s">
        <v>6919</v>
      </c>
      <c r="W1129" s="1" t="str">
        <f>HYPERLINK("http://ictvonline.org/taxonomy/p/taxonomy-history?taxnode_id=201900508","ICTVonline=201900508")</f>
        <v>ICTVonline=201900508</v>
      </c>
    </row>
    <row r="1130" spans="1:23">
      <c r="A1130" s="3">
        <v>1129</v>
      </c>
      <c r="B1130" s="1" t="s">
        <v>6915</v>
      </c>
      <c r="D1130" s="1" t="s">
        <v>6916</v>
      </c>
      <c r="F1130" s="1" t="s">
        <v>6920</v>
      </c>
      <c r="H1130" s="1" t="s">
        <v>6921</v>
      </c>
      <c r="J1130" s="1" t="s">
        <v>1324</v>
      </c>
      <c r="L1130" s="1" t="s">
        <v>1325</v>
      </c>
      <c r="N1130" s="1" t="s">
        <v>6410</v>
      </c>
      <c r="P1130" s="1" t="s">
        <v>6411</v>
      </c>
      <c r="Q1130" s="3">
        <v>1</v>
      </c>
      <c r="R1130" s="22" t="s">
        <v>2721</v>
      </c>
      <c r="S1130" s="42" t="s">
        <v>6910</v>
      </c>
      <c r="T1130" s="3" t="s">
        <v>4868</v>
      </c>
      <c r="U1130" s="45">
        <v>35</v>
      </c>
      <c r="V1130" t="s">
        <v>6919</v>
      </c>
      <c r="W1130" s="1" t="str">
        <f>HYPERLINK("http://ictvonline.org/taxonomy/p/taxonomy-history?taxnode_id=201906989","ICTVonline=201906989")</f>
        <v>ICTVonline=201906989</v>
      </c>
    </row>
    <row r="1131" spans="1:23">
      <c r="A1131" s="3">
        <v>1130</v>
      </c>
      <c r="B1131" s="1" t="s">
        <v>6915</v>
      </c>
      <c r="D1131" s="1" t="s">
        <v>6916</v>
      </c>
      <c r="F1131" s="1" t="s">
        <v>6920</v>
      </c>
      <c r="H1131" s="1" t="s">
        <v>6921</v>
      </c>
      <c r="J1131" s="1" t="s">
        <v>1324</v>
      </c>
      <c r="L1131" s="1" t="s">
        <v>1325</v>
      </c>
      <c r="N1131" s="1" t="s">
        <v>4954</v>
      </c>
      <c r="P1131" s="1" t="s">
        <v>4955</v>
      </c>
      <c r="Q1131" s="3">
        <v>0</v>
      </c>
      <c r="R1131" s="22" t="s">
        <v>2721</v>
      </c>
      <c r="S1131" s="42" t="s">
        <v>6910</v>
      </c>
      <c r="T1131" s="3" t="s">
        <v>4868</v>
      </c>
      <c r="U1131" s="45">
        <v>35</v>
      </c>
      <c r="V1131" t="s">
        <v>6919</v>
      </c>
      <c r="W1131" s="1" t="str">
        <f>HYPERLINK("http://ictvonline.org/taxonomy/p/taxonomy-history?taxnode_id=201905485","ICTVonline=201905485")</f>
        <v>ICTVonline=201905485</v>
      </c>
    </row>
    <row r="1132" spans="1:23">
      <c r="A1132" s="3">
        <v>1131</v>
      </c>
      <c r="B1132" s="1" t="s">
        <v>6915</v>
      </c>
      <c r="D1132" s="1" t="s">
        <v>6916</v>
      </c>
      <c r="F1132" s="1" t="s">
        <v>6920</v>
      </c>
      <c r="H1132" s="1" t="s">
        <v>6921</v>
      </c>
      <c r="J1132" s="1" t="s">
        <v>1324</v>
      </c>
      <c r="L1132" s="1" t="s">
        <v>1325</v>
      </c>
      <c r="N1132" s="1" t="s">
        <v>4954</v>
      </c>
      <c r="P1132" s="1" t="s">
        <v>4956</v>
      </c>
      <c r="Q1132" s="3">
        <v>1</v>
      </c>
      <c r="R1132" s="22" t="s">
        <v>2721</v>
      </c>
      <c r="S1132" s="42" t="s">
        <v>6910</v>
      </c>
      <c r="T1132" s="3" t="s">
        <v>4868</v>
      </c>
      <c r="U1132" s="45">
        <v>35</v>
      </c>
      <c r="V1132" t="s">
        <v>6919</v>
      </c>
      <c r="W1132" s="1" t="str">
        <f>HYPERLINK("http://ictvonline.org/taxonomy/p/taxonomy-history?taxnode_id=201905486","ICTVonline=201905486")</f>
        <v>ICTVonline=201905486</v>
      </c>
    </row>
    <row r="1133" spans="1:23">
      <c r="A1133" s="3">
        <v>1132</v>
      </c>
      <c r="B1133" s="1" t="s">
        <v>6915</v>
      </c>
      <c r="D1133" s="1" t="s">
        <v>6916</v>
      </c>
      <c r="F1133" s="1" t="s">
        <v>6920</v>
      </c>
      <c r="H1133" s="1" t="s">
        <v>6921</v>
      </c>
      <c r="J1133" s="1" t="s">
        <v>1324</v>
      </c>
      <c r="L1133" s="1" t="s">
        <v>1325</v>
      </c>
      <c r="N1133" s="1" t="s">
        <v>6497</v>
      </c>
      <c r="P1133" s="1" t="s">
        <v>6498</v>
      </c>
      <c r="Q1133" s="3">
        <v>1</v>
      </c>
      <c r="R1133" s="22" t="s">
        <v>2721</v>
      </c>
      <c r="S1133" s="42" t="s">
        <v>6910</v>
      </c>
      <c r="T1133" s="3" t="s">
        <v>4868</v>
      </c>
      <c r="U1133" s="45">
        <v>35</v>
      </c>
      <c r="V1133" t="s">
        <v>7599</v>
      </c>
      <c r="W1133" s="1" t="str">
        <f>HYPERLINK("http://ictvonline.org/taxonomy/p/taxonomy-history?taxnode_id=201906888","ICTVonline=201906888")</f>
        <v>ICTVonline=201906888</v>
      </c>
    </row>
    <row r="1134" spans="1:23">
      <c r="A1134" s="3">
        <v>1133</v>
      </c>
      <c r="B1134" s="1" t="s">
        <v>6915</v>
      </c>
      <c r="D1134" s="1" t="s">
        <v>6916</v>
      </c>
      <c r="F1134" s="1" t="s">
        <v>6920</v>
      </c>
      <c r="H1134" s="1" t="s">
        <v>6921</v>
      </c>
      <c r="J1134" s="1" t="s">
        <v>1324</v>
      </c>
      <c r="L1134" s="1" t="s">
        <v>1325</v>
      </c>
      <c r="N1134" s="1" t="s">
        <v>7697</v>
      </c>
      <c r="P1134" s="1" t="s">
        <v>7698</v>
      </c>
      <c r="Q1134" s="3">
        <v>1</v>
      </c>
      <c r="R1134" s="22" t="s">
        <v>2721</v>
      </c>
      <c r="S1134" s="42" t="s">
        <v>6914</v>
      </c>
      <c r="T1134" s="3" t="s">
        <v>4866</v>
      </c>
      <c r="U1134" s="45">
        <v>35</v>
      </c>
      <c r="V1134" t="s">
        <v>7579</v>
      </c>
      <c r="W1134" s="1" t="str">
        <f>HYPERLINK("http://ictvonline.org/taxonomy/p/taxonomy-history?taxnode_id=201907762","ICTVonline=201907762")</f>
        <v>ICTVonline=201907762</v>
      </c>
    </row>
    <row r="1135" spans="1:23">
      <c r="A1135" s="3">
        <v>1134</v>
      </c>
      <c r="B1135" s="1" t="s">
        <v>6915</v>
      </c>
      <c r="D1135" s="1" t="s">
        <v>6916</v>
      </c>
      <c r="F1135" s="1" t="s">
        <v>6920</v>
      </c>
      <c r="H1135" s="1" t="s">
        <v>6921</v>
      </c>
      <c r="J1135" s="1" t="s">
        <v>1324</v>
      </c>
      <c r="L1135" s="1" t="s">
        <v>1325</v>
      </c>
      <c r="N1135" s="1" t="s">
        <v>7699</v>
      </c>
      <c r="P1135" s="1" t="s">
        <v>7700</v>
      </c>
      <c r="Q1135" s="3">
        <v>1</v>
      </c>
      <c r="R1135" s="22" t="s">
        <v>2721</v>
      </c>
      <c r="S1135" s="42" t="s">
        <v>6914</v>
      </c>
      <c r="T1135" s="3" t="s">
        <v>4866</v>
      </c>
      <c r="U1135" s="45">
        <v>35</v>
      </c>
      <c r="V1135" t="s">
        <v>7602</v>
      </c>
      <c r="W1135" s="1" t="str">
        <f>HYPERLINK("http://ictvonline.org/taxonomy/p/taxonomy-history?taxnode_id=201908046","ICTVonline=201908046")</f>
        <v>ICTVonline=201908046</v>
      </c>
    </row>
    <row r="1136" spans="1:23">
      <c r="A1136" s="3">
        <v>1135</v>
      </c>
      <c r="B1136" s="1" t="s">
        <v>6915</v>
      </c>
      <c r="D1136" s="1" t="s">
        <v>6916</v>
      </c>
      <c r="F1136" s="1" t="s">
        <v>6920</v>
      </c>
      <c r="H1136" s="1" t="s">
        <v>6921</v>
      </c>
      <c r="J1136" s="1" t="s">
        <v>1324</v>
      </c>
      <c r="L1136" s="1" t="s">
        <v>1325</v>
      </c>
      <c r="N1136" s="1" t="s">
        <v>7701</v>
      </c>
      <c r="P1136" s="1" t="s">
        <v>7702</v>
      </c>
      <c r="Q1136" s="3">
        <v>1</v>
      </c>
      <c r="R1136" s="22" t="s">
        <v>2721</v>
      </c>
      <c r="S1136" s="42" t="s">
        <v>6914</v>
      </c>
      <c r="T1136" s="3" t="s">
        <v>4866</v>
      </c>
      <c r="U1136" s="45">
        <v>35</v>
      </c>
      <c r="V1136" t="s">
        <v>7579</v>
      </c>
      <c r="W1136" s="1" t="str">
        <f>HYPERLINK("http://ictvonline.org/taxonomy/p/taxonomy-history?taxnode_id=201907770","ICTVonline=201907770")</f>
        <v>ICTVonline=201907770</v>
      </c>
    </row>
    <row r="1137" spans="1:23">
      <c r="A1137" s="3">
        <v>1136</v>
      </c>
      <c r="B1137" s="1" t="s">
        <v>6915</v>
      </c>
      <c r="D1137" s="1" t="s">
        <v>6916</v>
      </c>
      <c r="F1137" s="1" t="s">
        <v>6920</v>
      </c>
      <c r="H1137" s="1" t="s">
        <v>6921</v>
      </c>
      <c r="J1137" s="1" t="s">
        <v>1324</v>
      </c>
      <c r="L1137" s="1" t="s">
        <v>1325</v>
      </c>
      <c r="N1137" s="1" t="s">
        <v>6413</v>
      </c>
      <c r="P1137" s="1" t="s">
        <v>2920</v>
      </c>
      <c r="Q1137" s="3">
        <v>0</v>
      </c>
      <c r="R1137" s="22" t="s">
        <v>2721</v>
      </c>
      <c r="S1137" s="42" t="s">
        <v>6910</v>
      </c>
      <c r="T1137" s="3" t="s">
        <v>4868</v>
      </c>
      <c r="U1137" s="45">
        <v>35</v>
      </c>
      <c r="V1137" t="s">
        <v>6919</v>
      </c>
      <c r="W1137" s="1" t="str">
        <f>HYPERLINK("http://ictvonline.org/taxonomy/p/taxonomy-history?taxnode_id=201900510","ICTVonline=201900510")</f>
        <v>ICTVonline=201900510</v>
      </c>
    </row>
    <row r="1138" spans="1:23">
      <c r="A1138" s="3">
        <v>1137</v>
      </c>
      <c r="B1138" s="1" t="s">
        <v>6915</v>
      </c>
      <c r="D1138" s="1" t="s">
        <v>6916</v>
      </c>
      <c r="F1138" s="1" t="s">
        <v>6920</v>
      </c>
      <c r="H1138" s="1" t="s">
        <v>6921</v>
      </c>
      <c r="J1138" s="1" t="s">
        <v>1324</v>
      </c>
      <c r="L1138" s="1" t="s">
        <v>1325</v>
      </c>
      <c r="N1138" s="1" t="s">
        <v>6413</v>
      </c>
      <c r="P1138" s="1" t="s">
        <v>2921</v>
      </c>
      <c r="Q1138" s="3">
        <v>1</v>
      </c>
      <c r="R1138" s="22" t="s">
        <v>2721</v>
      </c>
      <c r="S1138" s="42" t="s">
        <v>6910</v>
      </c>
      <c r="T1138" s="3" t="s">
        <v>4868</v>
      </c>
      <c r="U1138" s="45">
        <v>35</v>
      </c>
      <c r="V1138" t="s">
        <v>6919</v>
      </c>
      <c r="W1138" s="1" t="str">
        <f>HYPERLINK("http://ictvonline.org/taxonomy/p/taxonomy-history?taxnode_id=201900511","ICTVonline=201900511")</f>
        <v>ICTVonline=201900511</v>
      </c>
    </row>
    <row r="1139" spans="1:23">
      <c r="A1139" s="3">
        <v>1138</v>
      </c>
      <c r="B1139" s="1" t="s">
        <v>6915</v>
      </c>
      <c r="D1139" s="1" t="s">
        <v>6916</v>
      </c>
      <c r="F1139" s="1" t="s">
        <v>6920</v>
      </c>
      <c r="H1139" s="1" t="s">
        <v>6921</v>
      </c>
      <c r="J1139" s="1" t="s">
        <v>1324</v>
      </c>
      <c r="L1139" s="1" t="s">
        <v>1325</v>
      </c>
      <c r="N1139" s="1" t="s">
        <v>7703</v>
      </c>
      <c r="P1139" s="1" t="s">
        <v>7704</v>
      </c>
      <c r="Q1139" s="3">
        <v>1</v>
      </c>
      <c r="R1139" s="22" t="s">
        <v>2721</v>
      </c>
      <c r="S1139" s="42" t="s">
        <v>6914</v>
      </c>
      <c r="T1139" s="3" t="s">
        <v>4866</v>
      </c>
      <c r="U1139" s="45">
        <v>35</v>
      </c>
      <c r="V1139" t="s">
        <v>7568</v>
      </c>
      <c r="W1139" s="1" t="str">
        <f>HYPERLINK("http://ictvonline.org/taxonomy/p/taxonomy-history?taxnode_id=201907809","ICTVonline=201907809")</f>
        <v>ICTVonline=201907809</v>
      </c>
    </row>
    <row r="1140" spans="1:23">
      <c r="A1140" s="3">
        <v>1139</v>
      </c>
      <c r="B1140" s="1" t="s">
        <v>6915</v>
      </c>
      <c r="D1140" s="1" t="s">
        <v>6916</v>
      </c>
      <c r="F1140" s="1" t="s">
        <v>6920</v>
      </c>
      <c r="H1140" s="1" t="s">
        <v>6921</v>
      </c>
      <c r="J1140" s="1" t="s">
        <v>1324</v>
      </c>
      <c r="L1140" s="1" t="s">
        <v>1325</v>
      </c>
      <c r="N1140" s="1" t="s">
        <v>7705</v>
      </c>
      <c r="P1140" s="1" t="s">
        <v>7706</v>
      </c>
      <c r="Q1140" s="3">
        <v>1</v>
      </c>
      <c r="R1140" s="22" t="s">
        <v>2721</v>
      </c>
      <c r="S1140" s="42" t="s">
        <v>6914</v>
      </c>
      <c r="T1140" s="3" t="s">
        <v>4866</v>
      </c>
      <c r="U1140" s="45">
        <v>35</v>
      </c>
      <c r="V1140" t="s">
        <v>7568</v>
      </c>
      <c r="W1140" s="1" t="str">
        <f>HYPERLINK("http://ictvonline.org/taxonomy/p/taxonomy-history?taxnode_id=201907807","ICTVonline=201907807")</f>
        <v>ICTVonline=201907807</v>
      </c>
    </row>
    <row r="1141" spans="1:23">
      <c r="A1141" s="3">
        <v>1140</v>
      </c>
      <c r="B1141" s="1" t="s">
        <v>6915</v>
      </c>
      <c r="D1141" s="1" t="s">
        <v>6916</v>
      </c>
      <c r="F1141" s="1" t="s">
        <v>6920</v>
      </c>
      <c r="H1141" s="1" t="s">
        <v>6921</v>
      </c>
      <c r="J1141" s="1" t="s">
        <v>1324</v>
      </c>
      <c r="L1141" s="1" t="s">
        <v>1325</v>
      </c>
      <c r="N1141" s="1" t="s">
        <v>6414</v>
      </c>
      <c r="P1141" s="1" t="s">
        <v>6415</v>
      </c>
      <c r="Q1141" s="3">
        <v>1</v>
      </c>
      <c r="R1141" s="22" t="s">
        <v>2721</v>
      </c>
      <c r="S1141" s="42" t="s">
        <v>6910</v>
      </c>
      <c r="T1141" s="3" t="s">
        <v>4868</v>
      </c>
      <c r="U1141" s="45">
        <v>35</v>
      </c>
      <c r="V1141" t="s">
        <v>6919</v>
      </c>
      <c r="W1141" s="1" t="str">
        <f>HYPERLINK("http://ictvonline.org/taxonomy/p/taxonomy-history?taxnode_id=201906890","ICTVonline=201906890")</f>
        <v>ICTVonline=201906890</v>
      </c>
    </row>
    <row r="1142" spans="1:23">
      <c r="A1142" s="3">
        <v>1141</v>
      </c>
      <c r="B1142" s="1" t="s">
        <v>6915</v>
      </c>
      <c r="D1142" s="1" t="s">
        <v>6916</v>
      </c>
      <c r="F1142" s="1" t="s">
        <v>6920</v>
      </c>
      <c r="H1142" s="1" t="s">
        <v>6921</v>
      </c>
      <c r="J1142" s="1" t="s">
        <v>1324</v>
      </c>
      <c r="L1142" s="1" t="s">
        <v>1325</v>
      </c>
      <c r="N1142" s="1" t="s">
        <v>6416</v>
      </c>
      <c r="P1142" s="1" t="s">
        <v>6417</v>
      </c>
      <c r="Q1142" s="3">
        <v>1</v>
      </c>
      <c r="R1142" s="22" t="s">
        <v>2721</v>
      </c>
      <c r="S1142" s="42" t="s">
        <v>6910</v>
      </c>
      <c r="T1142" s="3" t="s">
        <v>4868</v>
      </c>
      <c r="U1142" s="45">
        <v>35</v>
      </c>
      <c r="V1142" t="s">
        <v>6919</v>
      </c>
      <c r="W1142" s="1" t="str">
        <f>HYPERLINK("http://ictvonline.org/taxonomy/p/taxonomy-history?taxnode_id=201906892","ICTVonline=201906892")</f>
        <v>ICTVonline=201906892</v>
      </c>
    </row>
    <row r="1143" spans="1:23">
      <c r="A1143" s="3">
        <v>1142</v>
      </c>
      <c r="B1143" s="1" t="s">
        <v>6915</v>
      </c>
      <c r="D1143" s="1" t="s">
        <v>6916</v>
      </c>
      <c r="F1143" s="1" t="s">
        <v>6920</v>
      </c>
      <c r="H1143" s="1" t="s">
        <v>6921</v>
      </c>
      <c r="J1143" s="1" t="s">
        <v>1324</v>
      </c>
      <c r="L1143" s="1" t="s">
        <v>1325</v>
      </c>
      <c r="N1143" s="1" t="s">
        <v>6416</v>
      </c>
      <c r="P1143" s="1" t="s">
        <v>6418</v>
      </c>
      <c r="Q1143" s="3">
        <v>0</v>
      </c>
      <c r="R1143" s="22" t="s">
        <v>2721</v>
      </c>
      <c r="S1143" s="42" t="s">
        <v>6910</v>
      </c>
      <c r="T1143" s="3" t="s">
        <v>4868</v>
      </c>
      <c r="U1143" s="45">
        <v>35</v>
      </c>
      <c r="V1143" t="s">
        <v>6919</v>
      </c>
      <c r="W1143" s="1" t="str">
        <f>HYPERLINK("http://ictvonline.org/taxonomy/p/taxonomy-history?taxnode_id=201906893","ICTVonline=201906893")</f>
        <v>ICTVonline=201906893</v>
      </c>
    </row>
    <row r="1144" spans="1:23">
      <c r="A1144" s="3">
        <v>1143</v>
      </c>
      <c r="B1144" s="1" t="s">
        <v>6915</v>
      </c>
      <c r="D1144" s="1" t="s">
        <v>6916</v>
      </c>
      <c r="F1144" s="1" t="s">
        <v>6920</v>
      </c>
      <c r="H1144" s="1" t="s">
        <v>6921</v>
      </c>
      <c r="J1144" s="1" t="s">
        <v>1324</v>
      </c>
      <c r="L1144" s="1" t="s">
        <v>1325</v>
      </c>
      <c r="N1144" s="1" t="s">
        <v>6419</v>
      </c>
      <c r="P1144" s="1" t="s">
        <v>6420</v>
      </c>
      <c r="Q1144" s="3">
        <v>1</v>
      </c>
      <c r="R1144" s="22" t="s">
        <v>2721</v>
      </c>
      <c r="S1144" s="42" t="s">
        <v>6910</v>
      </c>
      <c r="T1144" s="3" t="s">
        <v>4868</v>
      </c>
      <c r="U1144" s="45">
        <v>35</v>
      </c>
      <c r="V1144" t="s">
        <v>6919</v>
      </c>
      <c r="W1144" s="1" t="str">
        <f>HYPERLINK("http://ictvonline.org/taxonomy/p/taxonomy-history?taxnode_id=201906787","ICTVonline=201906787")</f>
        <v>ICTVonline=201906787</v>
      </c>
    </row>
    <row r="1145" spans="1:23">
      <c r="A1145" s="3">
        <v>1144</v>
      </c>
      <c r="B1145" s="1" t="s">
        <v>6915</v>
      </c>
      <c r="D1145" s="1" t="s">
        <v>6916</v>
      </c>
      <c r="F1145" s="1" t="s">
        <v>6920</v>
      </c>
      <c r="H1145" s="1" t="s">
        <v>6921</v>
      </c>
      <c r="J1145" s="1" t="s">
        <v>1324</v>
      </c>
      <c r="L1145" s="1" t="s">
        <v>1325</v>
      </c>
      <c r="N1145" s="1" t="s">
        <v>7707</v>
      </c>
      <c r="P1145" s="1" t="s">
        <v>7708</v>
      </c>
      <c r="Q1145" s="3">
        <v>1</v>
      </c>
      <c r="R1145" s="22" t="s">
        <v>2721</v>
      </c>
      <c r="S1145" s="42" t="s">
        <v>6914</v>
      </c>
      <c r="T1145" s="3" t="s">
        <v>4866</v>
      </c>
      <c r="U1145" s="45">
        <v>35</v>
      </c>
      <c r="V1145" t="s">
        <v>7602</v>
      </c>
      <c r="W1145" s="1" t="str">
        <f>HYPERLINK("http://ictvonline.org/taxonomy/p/taxonomy-history?taxnode_id=201908050","ICTVonline=201908050")</f>
        <v>ICTVonline=201908050</v>
      </c>
    </row>
    <row r="1146" spans="1:23">
      <c r="A1146" s="3">
        <v>1145</v>
      </c>
      <c r="B1146" s="1" t="s">
        <v>6915</v>
      </c>
      <c r="D1146" s="1" t="s">
        <v>6916</v>
      </c>
      <c r="F1146" s="1" t="s">
        <v>6920</v>
      </c>
      <c r="H1146" s="1" t="s">
        <v>6921</v>
      </c>
      <c r="J1146" s="1" t="s">
        <v>1324</v>
      </c>
      <c r="L1146" s="1" t="s">
        <v>1325</v>
      </c>
      <c r="N1146" s="1" t="s">
        <v>6421</v>
      </c>
      <c r="P1146" s="1" t="s">
        <v>2915</v>
      </c>
      <c r="Q1146" s="3">
        <v>1</v>
      </c>
      <c r="R1146" s="22" t="s">
        <v>2721</v>
      </c>
      <c r="S1146" s="42" t="s">
        <v>6910</v>
      </c>
      <c r="T1146" s="3" t="s">
        <v>4868</v>
      </c>
      <c r="U1146" s="45">
        <v>35</v>
      </c>
      <c r="V1146" t="s">
        <v>6919</v>
      </c>
      <c r="W1146" s="1" t="str">
        <f>HYPERLINK("http://ictvonline.org/taxonomy/p/taxonomy-history?taxnode_id=201900498","ICTVonline=201900498")</f>
        <v>ICTVonline=201900498</v>
      </c>
    </row>
    <row r="1147" spans="1:23">
      <c r="A1147" s="3">
        <v>1146</v>
      </c>
      <c r="B1147" s="1" t="s">
        <v>6915</v>
      </c>
      <c r="D1147" s="1" t="s">
        <v>6916</v>
      </c>
      <c r="F1147" s="1" t="s">
        <v>6920</v>
      </c>
      <c r="H1147" s="1" t="s">
        <v>6921</v>
      </c>
      <c r="J1147" s="1" t="s">
        <v>1324</v>
      </c>
      <c r="L1147" s="1" t="s">
        <v>1325</v>
      </c>
      <c r="N1147" s="1" t="s">
        <v>6421</v>
      </c>
      <c r="P1147" s="1" t="s">
        <v>2916</v>
      </c>
      <c r="Q1147" s="3">
        <v>0</v>
      </c>
      <c r="R1147" s="22" t="s">
        <v>2721</v>
      </c>
      <c r="S1147" s="42" t="s">
        <v>6910</v>
      </c>
      <c r="T1147" s="3" t="s">
        <v>4868</v>
      </c>
      <c r="U1147" s="45">
        <v>35</v>
      </c>
      <c r="V1147" t="s">
        <v>6919</v>
      </c>
      <c r="W1147" s="1" t="str">
        <f>HYPERLINK("http://ictvonline.org/taxonomy/p/taxonomy-history?taxnode_id=201900500","ICTVonline=201900500")</f>
        <v>ICTVonline=201900500</v>
      </c>
    </row>
    <row r="1148" spans="1:23">
      <c r="A1148" s="3">
        <v>1147</v>
      </c>
      <c r="B1148" s="1" t="s">
        <v>6915</v>
      </c>
      <c r="D1148" s="1" t="s">
        <v>6916</v>
      </c>
      <c r="F1148" s="1" t="s">
        <v>6920</v>
      </c>
      <c r="H1148" s="1" t="s">
        <v>6921</v>
      </c>
      <c r="J1148" s="1" t="s">
        <v>1324</v>
      </c>
      <c r="L1148" s="1" t="s">
        <v>1325</v>
      </c>
      <c r="N1148" s="1" t="s">
        <v>6421</v>
      </c>
      <c r="P1148" s="1" t="s">
        <v>2917</v>
      </c>
      <c r="Q1148" s="3">
        <v>0</v>
      </c>
      <c r="R1148" s="22" t="s">
        <v>2721</v>
      </c>
      <c r="S1148" s="42" t="s">
        <v>6910</v>
      </c>
      <c r="T1148" s="3" t="s">
        <v>4868</v>
      </c>
      <c r="U1148" s="45">
        <v>35</v>
      </c>
      <c r="V1148" t="s">
        <v>6919</v>
      </c>
      <c r="W1148" s="1" t="str">
        <f>HYPERLINK("http://ictvonline.org/taxonomy/p/taxonomy-history?taxnode_id=201900501","ICTVonline=201900501")</f>
        <v>ICTVonline=201900501</v>
      </c>
    </row>
    <row r="1149" spans="1:23">
      <c r="A1149" s="3">
        <v>1148</v>
      </c>
      <c r="B1149" s="1" t="s">
        <v>6915</v>
      </c>
      <c r="D1149" s="1" t="s">
        <v>6916</v>
      </c>
      <c r="F1149" s="1" t="s">
        <v>6920</v>
      </c>
      <c r="H1149" s="1" t="s">
        <v>6921</v>
      </c>
      <c r="J1149" s="1" t="s">
        <v>1324</v>
      </c>
      <c r="L1149" s="1" t="s">
        <v>1325</v>
      </c>
      <c r="N1149" s="1" t="s">
        <v>6421</v>
      </c>
      <c r="P1149" s="1" t="s">
        <v>2918</v>
      </c>
      <c r="Q1149" s="3">
        <v>0</v>
      </c>
      <c r="R1149" s="22" t="s">
        <v>2721</v>
      </c>
      <c r="S1149" s="42" t="s">
        <v>6910</v>
      </c>
      <c r="T1149" s="3" t="s">
        <v>4868</v>
      </c>
      <c r="U1149" s="45">
        <v>35</v>
      </c>
      <c r="V1149" t="s">
        <v>6919</v>
      </c>
      <c r="W1149" s="1" t="str">
        <f>HYPERLINK("http://ictvonline.org/taxonomy/p/taxonomy-history?taxnode_id=201900502","ICTVonline=201900502")</f>
        <v>ICTVonline=201900502</v>
      </c>
    </row>
    <row r="1150" spans="1:23">
      <c r="A1150" s="3">
        <v>1149</v>
      </c>
      <c r="B1150" s="1" t="s">
        <v>6915</v>
      </c>
      <c r="D1150" s="1" t="s">
        <v>6916</v>
      </c>
      <c r="F1150" s="1" t="s">
        <v>6920</v>
      </c>
      <c r="H1150" s="1" t="s">
        <v>6921</v>
      </c>
      <c r="J1150" s="1" t="s">
        <v>1324</v>
      </c>
      <c r="L1150" s="1" t="s">
        <v>1325</v>
      </c>
      <c r="N1150" s="1" t="s">
        <v>6421</v>
      </c>
      <c r="P1150" s="1" t="s">
        <v>6422</v>
      </c>
      <c r="Q1150" s="3">
        <v>0</v>
      </c>
      <c r="R1150" s="22" t="s">
        <v>2721</v>
      </c>
      <c r="S1150" s="42" t="s">
        <v>6910</v>
      </c>
      <c r="T1150" s="3" t="s">
        <v>4868</v>
      </c>
      <c r="U1150" s="45">
        <v>35</v>
      </c>
      <c r="V1150" t="s">
        <v>6919</v>
      </c>
      <c r="W1150" s="1" t="str">
        <f>HYPERLINK("http://ictvonline.org/taxonomy/p/taxonomy-history?taxnode_id=201907033","ICTVonline=201907033")</f>
        <v>ICTVonline=201907033</v>
      </c>
    </row>
    <row r="1151" spans="1:23">
      <c r="A1151" s="3">
        <v>1150</v>
      </c>
      <c r="B1151" s="1" t="s">
        <v>6915</v>
      </c>
      <c r="D1151" s="1" t="s">
        <v>6916</v>
      </c>
      <c r="F1151" s="1" t="s">
        <v>6920</v>
      </c>
      <c r="H1151" s="1" t="s">
        <v>6921</v>
      </c>
      <c r="J1151" s="1" t="s">
        <v>1324</v>
      </c>
      <c r="L1151" s="1" t="s">
        <v>1325</v>
      </c>
      <c r="N1151" s="1" t="s">
        <v>6421</v>
      </c>
      <c r="P1151" s="1" t="s">
        <v>2919</v>
      </c>
      <c r="Q1151" s="3">
        <v>0</v>
      </c>
      <c r="R1151" s="22" t="s">
        <v>2721</v>
      </c>
      <c r="S1151" s="42" t="s">
        <v>6910</v>
      </c>
      <c r="T1151" s="3" t="s">
        <v>4868</v>
      </c>
      <c r="U1151" s="45">
        <v>35</v>
      </c>
      <c r="V1151" t="s">
        <v>6919</v>
      </c>
      <c r="W1151" s="1" t="str">
        <f>HYPERLINK("http://ictvonline.org/taxonomy/p/taxonomy-history?taxnode_id=201900503","ICTVonline=201900503")</f>
        <v>ICTVonline=201900503</v>
      </c>
    </row>
    <row r="1152" spans="1:23">
      <c r="A1152" s="3">
        <v>1151</v>
      </c>
      <c r="B1152" s="1" t="s">
        <v>6915</v>
      </c>
      <c r="D1152" s="1" t="s">
        <v>6916</v>
      </c>
      <c r="F1152" s="1" t="s">
        <v>6920</v>
      </c>
      <c r="H1152" s="1" t="s">
        <v>6921</v>
      </c>
      <c r="J1152" s="1" t="s">
        <v>1324</v>
      </c>
      <c r="L1152" s="1" t="s">
        <v>1325</v>
      </c>
      <c r="N1152" s="1" t="s">
        <v>7709</v>
      </c>
      <c r="P1152" s="1" t="s">
        <v>7710</v>
      </c>
      <c r="Q1152" s="3">
        <v>1</v>
      </c>
      <c r="R1152" s="22" t="s">
        <v>2721</v>
      </c>
      <c r="S1152" s="42" t="s">
        <v>6914</v>
      </c>
      <c r="T1152" s="3" t="s">
        <v>4866</v>
      </c>
      <c r="U1152" s="45">
        <v>35</v>
      </c>
      <c r="V1152" t="s">
        <v>7568</v>
      </c>
      <c r="W1152" s="1" t="str">
        <f>HYPERLINK("http://ictvonline.org/taxonomy/p/taxonomy-history?taxnode_id=201907818","ICTVonline=201907818")</f>
        <v>ICTVonline=201907818</v>
      </c>
    </row>
    <row r="1153" spans="1:23">
      <c r="A1153" s="3">
        <v>1152</v>
      </c>
      <c r="B1153" s="1" t="s">
        <v>6915</v>
      </c>
      <c r="D1153" s="1" t="s">
        <v>6916</v>
      </c>
      <c r="F1153" s="1" t="s">
        <v>6920</v>
      </c>
      <c r="H1153" s="1" t="s">
        <v>6921</v>
      </c>
      <c r="J1153" s="1" t="s">
        <v>1324</v>
      </c>
      <c r="L1153" s="1" t="s">
        <v>1325</v>
      </c>
      <c r="N1153" s="1" t="s">
        <v>7709</v>
      </c>
      <c r="P1153" s="1" t="s">
        <v>7711</v>
      </c>
      <c r="Q1153" s="3">
        <v>0</v>
      </c>
      <c r="R1153" s="22" t="s">
        <v>2721</v>
      </c>
      <c r="S1153" s="42" t="s">
        <v>6914</v>
      </c>
      <c r="T1153" s="3" t="s">
        <v>4866</v>
      </c>
      <c r="U1153" s="45">
        <v>35</v>
      </c>
      <c r="V1153" t="s">
        <v>7568</v>
      </c>
      <c r="W1153" s="1" t="str">
        <f>HYPERLINK("http://ictvonline.org/taxonomy/p/taxonomy-history?taxnode_id=201907819","ICTVonline=201907819")</f>
        <v>ICTVonline=201907819</v>
      </c>
    </row>
    <row r="1154" spans="1:23">
      <c r="A1154" s="3">
        <v>1153</v>
      </c>
      <c r="B1154" s="1" t="s">
        <v>6915</v>
      </c>
      <c r="D1154" s="1" t="s">
        <v>6916</v>
      </c>
      <c r="F1154" s="1" t="s">
        <v>6920</v>
      </c>
      <c r="H1154" s="1" t="s">
        <v>6921</v>
      </c>
      <c r="J1154" s="1" t="s">
        <v>1324</v>
      </c>
      <c r="L1154" s="1" t="s">
        <v>1325</v>
      </c>
      <c r="N1154" s="1" t="s">
        <v>2925</v>
      </c>
      <c r="P1154" s="1" t="s">
        <v>2926</v>
      </c>
      <c r="Q1154" s="3">
        <v>0</v>
      </c>
      <c r="R1154" s="22" t="s">
        <v>2721</v>
      </c>
      <c r="S1154" s="42" t="s">
        <v>6910</v>
      </c>
      <c r="T1154" s="3" t="s">
        <v>4868</v>
      </c>
      <c r="U1154" s="45">
        <v>35</v>
      </c>
      <c r="V1154" t="s">
        <v>6919</v>
      </c>
      <c r="W1154" s="1" t="str">
        <f>HYPERLINK("http://ictvonline.org/taxonomy/p/taxonomy-history?taxnode_id=201900517","ICTVonline=201900517")</f>
        <v>ICTVonline=201900517</v>
      </c>
    </row>
    <row r="1155" spans="1:23">
      <c r="A1155" s="3">
        <v>1154</v>
      </c>
      <c r="B1155" s="1" t="s">
        <v>6915</v>
      </c>
      <c r="D1155" s="1" t="s">
        <v>6916</v>
      </c>
      <c r="F1155" s="1" t="s">
        <v>6920</v>
      </c>
      <c r="H1155" s="1" t="s">
        <v>6921</v>
      </c>
      <c r="J1155" s="1" t="s">
        <v>1324</v>
      </c>
      <c r="L1155" s="1" t="s">
        <v>1325</v>
      </c>
      <c r="N1155" s="1" t="s">
        <v>2925</v>
      </c>
      <c r="P1155" s="1" t="s">
        <v>2927</v>
      </c>
      <c r="Q1155" s="3">
        <v>1</v>
      </c>
      <c r="R1155" s="22" t="s">
        <v>2721</v>
      </c>
      <c r="S1155" s="42" t="s">
        <v>6910</v>
      </c>
      <c r="T1155" s="3" t="s">
        <v>4868</v>
      </c>
      <c r="U1155" s="45">
        <v>35</v>
      </c>
      <c r="V1155" t="s">
        <v>6919</v>
      </c>
      <c r="W1155" s="1" t="str">
        <f>HYPERLINK("http://ictvonline.org/taxonomy/p/taxonomy-history?taxnode_id=201900518","ICTVonline=201900518")</f>
        <v>ICTVonline=201900518</v>
      </c>
    </row>
    <row r="1156" spans="1:23">
      <c r="A1156" s="3">
        <v>1155</v>
      </c>
      <c r="B1156" s="1" t="s">
        <v>6915</v>
      </c>
      <c r="D1156" s="1" t="s">
        <v>6916</v>
      </c>
      <c r="F1156" s="1" t="s">
        <v>6920</v>
      </c>
      <c r="H1156" s="1" t="s">
        <v>6921</v>
      </c>
      <c r="J1156" s="1" t="s">
        <v>1324</v>
      </c>
      <c r="L1156" s="1" t="s">
        <v>1325</v>
      </c>
      <c r="N1156" s="1" t="s">
        <v>2925</v>
      </c>
      <c r="P1156" s="1" t="s">
        <v>2928</v>
      </c>
      <c r="Q1156" s="3">
        <v>0</v>
      </c>
      <c r="R1156" s="22" t="s">
        <v>2721</v>
      </c>
      <c r="S1156" s="42" t="s">
        <v>6910</v>
      </c>
      <c r="T1156" s="3" t="s">
        <v>4868</v>
      </c>
      <c r="U1156" s="45">
        <v>35</v>
      </c>
      <c r="V1156" t="s">
        <v>6919</v>
      </c>
      <c r="W1156" s="1" t="str">
        <f>HYPERLINK("http://ictvonline.org/taxonomy/p/taxonomy-history?taxnode_id=201900519","ICTVonline=201900519")</f>
        <v>ICTVonline=201900519</v>
      </c>
    </row>
    <row r="1157" spans="1:23">
      <c r="A1157" s="3">
        <v>1156</v>
      </c>
      <c r="B1157" s="1" t="s">
        <v>6915</v>
      </c>
      <c r="D1157" s="1" t="s">
        <v>6916</v>
      </c>
      <c r="F1157" s="1" t="s">
        <v>6920</v>
      </c>
      <c r="H1157" s="1" t="s">
        <v>6921</v>
      </c>
      <c r="J1157" s="1" t="s">
        <v>1324</v>
      </c>
      <c r="L1157" s="1" t="s">
        <v>1325</v>
      </c>
      <c r="N1157" s="1" t="s">
        <v>6423</v>
      </c>
      <c r="P1157" s="1" t="s">
        <v>2931</v>
      </c>
      <c r="Q1157" s="3">
        <v>0</v>
      </c>
      <c r="R1157" s="22" t="s">
        <v>2721</v>
      </c>
      <c r="S1157" s="42" t="s">
        <v>6910</v>
      </c>
      <c r="T1157" s="3" t="s">
        <v>4868</v>
      </c>
      <c r="U1157" s="45">
        <v>35</v>
      </c>
      <c r="V1157" t="s">
        <v>6919</v>
      </c>
      <c r="W1157" s="1" t="str">
        <f>HYPERLINK("http://ictvonline.org/taxonomy/p/taxonomy-history?taxnode_id=201900523","ICTVonline=201900523")</f>
        <v>ICTVonline=201900523</v>
      </c>
    </row>
    <row r="1158" spans="1:23">
      <c r="A1158" s="3">
        <v>1157</v>
      </c>
      <c r="B1158" s="1" t="s">
        <v>6915</v>
      </c>
      <c r="D1158" s="1" t="s">
        <v>6916</v>
      </c>
      <c r="F1158" s="1" t="s">
        <v>6920</v>
      </c>
      <c r="H1158" s="1" t="s">
        <v>6921</v>
      </c>
      <c r="J1158" s="1" t="s">
        <v>1324</v>
      </c>
      <c r="L1158" s="1" t="s">
        <v>1325</v>
      </c>
      <c r="N1158" s="1" t="s">
        <v>6423</v>
      </c>
      <c r="P1158" s="1" t="s">
        <v>2934</v>
      </c>
      <c r="Q1158" s="3">
        <v>0</v>
      </c>
      <c r="R1158" s="22" t="s">
        <v>2721</v>
      </c>
      <c r="S1158" s="42" t="s">
        <v>6910</v>
      </c>
      <c r="T1158" s="3" t="s">
        <v>4868</v>
      </c>
      <c r="U1158" s="45">
        <v>35</v>
      </c>
      <c r="V1158" t="s">
        <v>6919</v>
      </c>
      <c r="W1158" s="1" t="str">
        <f>HYPERLINK("http://ictvonline.org/taxonomy/p/taxonomy-history?taxnode_id=201900526","ICTVonline=201900526")</f>
        <v>ICTVonline=201900526</v>
      </c>
    </row>
    <row r="1159" spans="1:23">
      <c r="A1159" s="3">
        <v>1158</v>
      </c>
      <c r="B1159" s="1" t="s">
        <v>6915</v>
      </c>
      <c r="D1159" s="1" t="s">
        <v>6916</v>
      </c>
      <c r="F1159" s="1" t="s">
        <v>6920</v>
      </c>
      <c r="H1159" s="1" t="s">
        <v>6921</v>
      </c>
      <c r="J1159" s="1" t="s">
        <v>1324</v>
      </c>
      <c r="L1159" s="1" t="s">
        <v>1325</v>
      </c>
      <c r="N1159" s="1" t="s">
        <v>6423</v>
      </c>
      <c r="P1159" s="1" t="s">
        <v>2935</v>
      </c>
      <c r="Q1159" s="3">
        <v>0</v>
      </c>
      <c r="R1159" s="22" t="s">
        <v>2721</v>
      </c>
      <c r="S1159" s="42" t="s">
        <v>6910</v>
      </c>
      <c r="T1159" s="3" t="s">
        <v>4868</v>
      </c>
      <c r="U1159" s="45">
        <v>35</v>
      </c>
      <c r="V1159" t="s">
        <v>6919</v>
      </c>
      <c r="W1159" s="1" t="str">
        <f>HYPERLINK("http://ictvonline.org/taxonomy/p/taxonomy-history?taxnode_id=201900527","ICTVonline=201900527")</f>
        <v>ICTVonline=201900527</v>
      </c>
    </row>
    <row r="1160" spans="1:23">
      <c r="A1160" s="3">
        <v>1159</v>
      </c>
      <c r="B1160" s="1" t="s">
        <v>6915</v>
      </c>
      <c r="D1160" s="1" t="s">
        <v>6916</v>
      </c>
      <c r="F1160" s="1" t="s">
        <v>6920</v>
      </c>
      <c r="H1160" s="1" t="s">
        <v>6921</v>
      </c>
      <c r="J1160" s="1" t="s">
        <v>1324</v>
      </c>
      <c r="L1160" s="1" t="s">
        <v>1325</v>
      </c>
      <c r="N1160" s="1" t="s">
        <v>6423</v>
      </c>
      <c r="P1160" s="1" t="s">
        <v>2938</v>
      </c>
      <c r="Q1160" s="3">
        <v>0</v>
      </c>
      <c r="R1160" s="22" t="s">
        <v>2721</v>
      </c>
      <c r="S1160" s="42" t="s">
        <v>6910</v>
      </c>
      <c r="T1160" s="3" t="s">
        <v>4868</v>
      </c>
      <c r="U1160" s="45">
        <v>35</v>
      </c>
      <c r="V1160" t="s">
        <v>6919</v>
      </c>
      <c r="W1160" s="1" t="str">
        <f>HYPERLINK("http://ictvonline.org/taxonomy/p/taxonomy-history?taxnode_id=201900530","ICTVonline=201900530")</f>
        <v>ICTVonline=201900530</v>
      </c>
    </row>
    <row r="1161" spans="1:23">
      <c r="A1161" s="3">
        <v>1160</v>
      </c>
      <c r="B1161" s="1" t="s">
        <v>6915</v>
      </c>
      <c r="D1161" s="1" t="s">
        <v>6916</v>
      </c>
      <c r="F1161" s="1" t="s">
        <v>6920</v>
      </c>
      <c r="H1161" s="1" t="s">
        <v>6921</v>
      </c>
      <c r="J1161" s="1" t="s">
        <v>1324</v>
      </c>
      <c r="L1161" s="1" t="s">
        <v>1325</v>
      </c>
      <c r="N1161" s="1" t="s">
        <v>6423</v>
      </c>
      <c r="P1161" s="1" t="s">
        <v>2940</v>
      </c>
      <c r="Q1161" s="3">
        <v>0</v>
      </c>
      <c r="R1161" s="22" t="s">
        <v>2721</v>
      </c>
      <c r="S1161" s="42" t="s">
        <v>6910</v>
      </c>
      <c r="T1161" s="3" t="s">
        <v>4868</v>
      </c>
      <c r="U1161" s="45">
        <v>35</v>
      </c>
      <c r="V1161" t="s">
        <v>6919</v>
      </c>
      <c r="W1161" s="1" t="str">
        <f>HYPERLINK("http://ictvonline.org/taxonomy/p/taxonomy-history?taxnode_id=201900532","ICTVonline=201900532")</f>
        <v>ICTVonline=201900532</v>
      </c>
    </row>
    <row r="1162" spans="1:23">
      <c r="A1162" s="3">
        <v>1161</v>
      </c>
      <c r="B1162" s="1" t="s">
        <v>6915</v>
      </c>
      <c r="D1162" s="1" t="s">
        <v>6916</v>
      </c>
      <c r="F1162" s="1" t="s">
        <v>6920</v>
      </c>
      <c r="H1162" s="1" t="s">
        <v>6921</v>
      </c>
      <c r="J1162" s="1" t="s">
        <v>1324</v>
      </c>
      <c r="L1162" s="1" t="s">
        <v>1325</v>
      </c>
      <c r="N1162" s="1" t="s">
        <v>6423</v>
      </c>
      <c r="P1162" s="1" t="s">
        <v>2941</v>
      </c>
      <c r="Q1162" s="3">
        <v>1</v>
      </c>
      <c r="R1162" s="22" t="s">
        <v>2721</v>
      </c>
      <c r="S1162" s="42" t="s">
        <v>6910</v>
      </c>
      <c r="T1162" s="3" t="s">
        <v>4868</v>
      </c>
      <c r="U1162" s="45">
        <v>35</v>
      </c>
      <c r="V1162" t="s">
        <v>6919</v>
      </c>
      <c r="W1162" s="1" t="str">
        <f>HYPERLINK("http://ictvonline.org/taxonomy/p/taxonomy-history?taxnode_id=201900533","ICTVonline=201900533")</f>
        <v>ICTVonline=201900533</v>
      </c>
    </row>
    <row r="1163" spans="1:23">
      <c r="A1163" s="3">
        <v>1162</v>
      </c>
      <c r="B1163" s="1" t="s">
        <v>6915</v>
      </c>
      <c r="D1163" s="1" t="s">
        <v>6916</v>
      </c>
      <c r="F1163" s="1" t="s">
        <v>6920</v>
      </c>
      <c r="H1163" s="1" t="s">
        <v>6921</v>
      </c>
      <c r="J1163" s="1" t="s">
        <v>1324</v>
      </c>
      <c r="L1163" s="1" t="s">
        <v>1325</v>
      </c>
      <c r="N1163" s="1" t="s">
        <v>7712</v>
      </c>
      <c r="P1163" s="1" t="s">
        <v>7713</v>
      </c>
      <c r="Q1163" s="3">
        <v>1</v>
      </c>
      <c r="R1163" s="22" t="s">
        <v>2721</v>
      </c>
      <c r="S1163" s="42" t="s">
        <v>6914</v>
      </c>
      <c r="T1163" s="3" t="s">
        <v>4866</v>
      </c>
      <c r="U1163" s="45">
        <v>35</v>
      </c>
      <c r="V1163" t="s">
        <v>7714</v>
      </c>
      <c r="W1163" s="1" t="str">
        <f>HYPERLINK("http://ictvonline.org/taxonomy/p/taxonomy-history?taxnode_id=201908072","ICTVonline=201908072")</f>
        <v>ICTVonline=201908072</v>
      </c>
    </row>
    <row r="1164" spans="1:23">
      <c r="A1164" s="3">
        <v>1163</v>
      </c>
      <c r="B1164" s="1" t="s">
        <v>6915</v>
      </c>
      <c r="D1164" s="1" t="s">
        <v>6916</v>
      </c>
      <c r="F1164" s="1" t="s">
        <v>6920</v>
      </c>
      <c r="H1164" s="1" t="s">
        <v>6921</v>
      </c>
      <c r="J1164" s="1" t="s">
        <v>1324</v>
      </c>
      <c r="L1164" s="1" t="s">
        <v>1325</v>
      </c>
      <c r="N1164" s="1" t="s">
        <v>7715</v>
      </c>
      <c r="P1164" s="1" t="s">
        <v>7716</v>
      </c>
      <c r="Q1164" s="3">
        <v>0</v>
      </c>
      <c r="R1164" s="22" t="s">
        <v>2721</v>
      </c>
      <c r="S1164" s="42" t="s">
        <v>6914</v>
      </c>
      <c r="T1164" s="3" t="s">
        <v>4866</v>
      </c>
      <c r="U1164" s="45">
        <v>35</v>
      </c>
      <c r="V1164" t="s">
        <v>7717</v>
      </c>
      <c r="W1164" s="1" t="str">
        <f>HYPERLINK("http://ictvonline.org/taxonomy/p/taxonomy-history?taxnode_id=201908076","ICTVonline=201908076")</f>
        <v>ICTVonline=201908076</v>
      </c>
    </row>
    <row r="1165" spans="1:23">
      <c r="A1165" s="3">
        <v>1164</v>
      </c>
      <c r="B1165" s="1" t="s">
        <v>6915</v>
      </c>
      <c r="D1165" s="1" t="s">
        <v>6916</v>
      </c>
      <c r="F1165" s="1" t="s">
        <v>6920</v>
      </c>
      <c r="H1165" s="1" t="s">
        <v>6921</v>
      </c>
      <c r="J1165" s="1" t="s">
        <v>1324</v>
      </c>
      <c r="L1165" s="1" t="s">
        <v>1325</v>
      </c>
      <c r="N1165" s="1" t="s">
        <v>7715</v>
      </c>
      <c r="P1165" s="1" t="s">
        <v>7718</v>
      </c>
      <c r="Q1165" s="3">
        <v>0</v>
      </c>
      <c r="R1165" s="22" t="s">
        <v>2721</v>
      </c>
      <c r="S1165" s="42" t="s">
        <v>6914</v>
      </c>
      <c r="T1165" s="3" t="s">
        <v>4866</v>
      </c>
      <c r="U1165" s="45">
        <v>35</v>
      </c>
      <c r="V1165" t="s">
        <v>7717</v>
      </c>
      <c r="W1165" s="1" t="str">
        <f>HYPERLINK("http://ictvonline.org/taxonomy/p/taxonomy-history?taxnode_id=201908075","ICTVonline=201908075")</f>
        <v>ICTVonline=201908075</v>
      </c>
    </row>
    <row r="1166" spans="1:23">
      <c r="A1166" s="3">
        <v>1165</v>
      </c>
      <c r="B1166" s="1" t="s">
        <v>6915</v>
      </c>
      <c r="D1166" s="1" t="s">
        <v>6916</v>
      </c>
      <c r="F1166" s="1" t="s">
        <v>6920</v>
      </c>
      <c r="H1166" s="1" t="s">
        <v>6921</v>
      </c>
      <c r="J1166" s="1" t="s">
        <v>1324</v>
      </c>
      <c r="L1166" s="1" t="s">
        <v>1325</v>
      </c>
      <c r="N1166" s="1" t="s">
        <v>7715</v>
      </c>
      <c r="P1166" s="1" t="s">
        <v>7719</v>
      </c>
      <c r="Q1166" s="3">
        <v>1</v>
      </c>
      <c r="R1166" s="22" t="s">
        <v>2721</v>
      </c>
      <c r="S1166" s="42" t="s">
        <v>6914</v>
      </c>
      <c r="T1166" s="3" t="s">
        <v>4866</v>
      </c>
      <c r="U1166" s="45">
        <v>35</v>
      </c>
      <c r="V1166" t="s">
        <v>7717</v>
      </c>
      <c r="W1166" s="1" t="str">
        <f>HYPERLINK("http://ictvonline.org/taxonomy/p/taxonomy-history?taxnode_id=201908074","ICTVonline=201908074")</f>
        <v>ICTVonline=201908074</v>
      </c>
    </row>
    <row r="1167" spans="1:23">
      <c r="A1167" s="3">
        <v>1166</v>
      </c>
      <c r="B1167" s="1" t="s">
        <v>6915</v>
      </c>
      <c r="D1167" s="1" t="s">
        <v>6916</v>
      </c>
      <c r="F1167" s="1" t="s">
        <v>6920</v>
      </c>
      <c r="H1167" s="1" t="s">
        <v>6921</v>
      </c>
      <c r="J1167" s="1" t="s">
        <v>1324</v>
      </c>
      <c r="L1167" s="1" t="s">
        <v>1325</v>
      </c>
      <c r="N1167" s="1" t="s">
        <v>7715</v>
      </c>
      <c r="P1167" s="1" t="s">
        <v>7720</v>
      </c>
      <c r="Q1167" s="3">
        <v>0</v>
      </c>
      <c r="R1167" s="22" t="s">
        <v>2721</v>
      </c>
      <c r="S1167" s="42" t="s">
        <v>6914</v>
      </c>
      <c r="T1167" s="3" t="s">
        <v>4866</v>
      </c>
      <c r="U1167" s="45">
        <v>35</v>
      </c>
      <c r="V1167" t="s">
        <v>7717</v>
      </c>
      <c r="W1167" s="1" t="str">
        <f>HYPERLINK("http://ictvonline.org/taxonomy/p/taxonomy-history?taxnode_id=201908077","ICTVonline=201908077")</f>
        <v>ICTVonline=201908077</v>
      </c>
    </row>
    <row r="1168" spans="1:23">
      <c r="A1168" s="3">
        <v>1167</v>
      </c>
      <c r="B1168" s="1" t="s">
        <v>6915</v>
      </c>
      <c r="D1168" s="1" t="s">
        <v>6916</v>
      </c>
      <c r="F1168" s="1" t="s">
        <v>6920</v>
      </c>
      <c r="H1168" s="1" t="s">
        <v>6921</v>
      </c>
      <c r="J1168" s="1" t="s">
        <v>1324</v>
      </c>
      <c r="L1168" s="1" t="s">
        <v>1325</v>
      </c>
      <c r="N1168" s="1" t="s">
        <v>6424</v>
      </c>
      <c r="P1168" s="1" t="s">
        <v>6425</v>
      </c>
      <c r="Q1168" s="3">
        <v>1</v>
      </c>
      <c r="R1168" s="22" t="s">
        <v>2721</v>
      </c>
      <c r="S1168" s="42" t="s">
        <v>6910</v>
      </c>
      <c r="T1168" s="3" t="s">
        <v>4868</v>
      </c>
      <c r="U1168" s="45">
        <v>35</v>
      </c>
      <c r="V1168" t="s">
        <v>6919</v>
      </c>
      <c r="W1168" s="1" t="str">
        <f>HYPERLINK("http://ictvonline.org/taxonomy/p/taxonomy-history?taxnode_id=201906871","ICTVonline=201906871")</f>
        <v>ICTVonline=201906871</v>
      </c>
    </row>
    <row r="1169" spans="1:23">
      <c r="A1169" s="3">
        <v>1168</v>
      </c>
      <c r="B1169" s="1" t="s">
        <v>6915</v>
      </c>
      <c r="D1169" s="1" t="s">
        <v>6916</v>
      </c>
      <c r="F1169" s="1" t="s">
        <v>6920</v>
      </c>
      <c r="H1169" s="1" t="s">
        <v>6921</v>
      </c>
      <c r="J1169" s="1" t="s">
        <v>1324</v>
      </c>
      <c r="L1169" s="1" t="s">
        <v>1325</v>
      </c>
      <c r="N1169" s="1" t="s">
        <v>6426</v>
      </c>
      <c r="P1169" s="1" t="s">
        <v>4192</v>
      </c>
      <c r="Q1169" s="3">
        <v>1</v>
      </c>
      <c r="R1169" s="22" t="s">
        <v>2721</v>
      </c>
      <c r="S1169" s="42" t="s">
        <v>6910</v>
      </c>
      <c r="T1169" s="3" t="s">
        <v>4868</v>
      </c>
      <c r="U1169" s="45">
        <v>35</v>
      </c>
      <c r="V1169" t="s">
        <v>6919</v>
      </c>
      <c r="W1169" s="1" t="str">
        <f>HYPERLINK("http://ictvonline.org/taxonomy/p/taxonomy-history?taxnode_id=201900453","ICTVonline=201900453")</f>
        <v>ICTVonline=201900453</v>
      </c>
    </row>
    <row r="1170" spans="1:23">
      <c r="A1170" s="3">
        <v>1169</v>
      </c>
      <c r="B1170" s="1" t="s">
        <v>6915</v>
      </c>
      <c r="D1170" s="1" t="s">
        <v>6916</v>
      </c>
      <c r="F1170" s="1" t="s">
        <v>6920</v>
      </c>
      <c r="H1170" s="1" t="s">
        <v>6921</v>
      </c>
      <c r="J1170" s="1" t="s">
        <v>1324</v>
      </c>
      <c r="L1170" s="1" t="s">
        <v>1325</v>
      </c>
      <c r="N1170" s="1" t="s">
        <v>6426</v>
      </c>
      <c r="P1170" s="1" t="s">
        <v>4193</v>
      </c>
      <c r="Q1170" s="3">
        <v>0</v>
      </c>
      <c r="R1170" s="22" t="s">
        <v>2721</v>
      </c>
      <c r="S1170" s="42" t="s">
        <v>6910</v>
      </c>
      <c r="T1170" s="3" t="s">
        <v>4868</v>
      </c>
      <c r="U1170" s="45">
        <v>35</v>
      </c>
      <c r="V1170" t="s">
        <v>6919</v>
      </c>
      <c r="W1170" s="1" t="str">
        <f>HYPERLINK("http://ictvonline.org/taxonomy/p/taxonomy-history?taxnode_id=201900454","ICTVonline=201900454")</f>
        <v>ICTVonline=201900454</v>
      </c>
    </row>
    <row r="1171" spans="1:23">
      <c r="A1171" s="3">
        <v>1170</v>
      </c>
      <c r="B1171" s="1" t="s">
        <v>6915</v>
      </c>
      <c r="D1171" s="1" t="s">
        <v>6916</v>
      </c>
      <c r="F1171" s="1" t="s">
        <v>6920</v>
      </c>
      <c r="H1171" s="1" t="s">
        <v>6921</v>
      </c>
      <c r="J1171" s="1" t="s">
        <v>1324</v>
      </c>
      <c r="L1171" s="1" t="s">
        <v>1325</v>
      </c>
      <c r="N1171" s="1" t="s">
        <v>7721</v>
      </c>
      <c r="P1171" s="1" t="s">
        <v>7722</v>
      </c>
      <c r="Q1171" s="3">
        <v>1</v>
      </c>
      <c r="R1171" s="22" t="s">
        <v>2721</v>
      </c>
      <c r="S1171" s="42" t="s">
        <v>6914</v>
      </c>
      <c r="T1171" s="3" t="s">
        <v>4866</v>
      </c>
      <c r="U1171" s="45">
        <v>35</v>
      </c>
      <c r="V1171" t="s">
        <v>7573</v>
      </c>
      <c r="W1171" s="1" t="str">
        <f>HYPERLINK("http://ictvonline.org/taxonomy/p/taxonomy-history?taxnode_id=201907918","ICTVonline=201907918")</f>
        <v>ICTVonline=201907918</v>
      </c>
    </row>
    <row r="1172" spans="1:23">
      <c r="A1172" s="3">
        <v>1171</v>
      </c>
      <c r="B1172" s="1" t="s">
        <v>6915</v>
      </c>
      <c r="D1172" s="1" t="s">
        <v>6916</v>
      </c>
      <c r="F1172" s="1" t="s">
        <v>6920</v>
      </c>
      <c r="H1172" s="1" t="s">
        <v>6921</v>
      </c>
      <c r="J1172" s="1" t="s">
        <v>1324</v>
      </c>
      <c r="L1172" s="1" t="s">
        <v>1325</v>
      </c>
      <c r="P1172" s="1" t="s">
        <v>2922</v>
      </c>
      <c r="Q1172" s="3">
        <v>0</v>
      </c>
      <c r="R1172" s="22" t="s">
        <v>2721</v>
      </c>
      <c r="S1172" s="42" t="s">
        <v>6910</v>
      </c>
      <c r="T1172" s="3" t="s">
        <v>4868</v>
      </c>
      <c r="U1172" s="45">
        <v>35</v>
      </c>
      <c r="V1172" t="s">
        <v>6919</v>
      </c>
      <c r="W1172" s="1" t="str">
        <f>HYPERLINK("http://ictvonline.org/taxonomy/p/taxonomy-history?taxnode_id=201900513","ICTVonline=201900513")</f>
        <v>ICTVonline=201900513</v>
      </c>
    </row>
    <row r="1173" spans="1:23">
      <c r="A1173" s="3">
        <v>1172</v>
      </c>
      <c r="B1173" s="1" t="s">
        <v>6915</v>
      </c>
      <c r="D1173" s="1" t="s">
        <v>6916</v>
      </c>
      <c r="F1173" s="1" t="s">
        <v>6920</v>
      </c>
      <c r="H1173" s="1" t="s">
        <v>6921</v>
      </c>
      <c r="J1173" s="1" t="s">
        <v>1324</v>
      </c>
      <c r="L1173" s="1" t="s">
        <v>1325</v>
      </c>
      <c r="P1173" s="1" t="s">
        <v>2923</v>
      </c>
      <c r="Q1173" s="3">
        <v>0</v>
      </c>
      <c r="R1173" s="22" t="s">
        <v>2721</v>
      </c>
      <c r="S1173" s="42" t="s">
        <v>6910</v>
      </c>
      <c r="T1173" s="3" t="s">
        <v>4868</v>
      </c>
      <c r="U1173" s="45">
        <v>35</v>
      </c>
      <c r="V1173" t="s">
        <v>6919</v>
      </c>
      <c r="W1173" s="1" t="str">
        <f>HYPERLINK("http://ictvonline.org/taxonomy/p/taxonomy-history?taxnode_id=201900514","ICTVonline=201900514")</f>
        <v>ICTVonline=201900514</v>
      </c>
    </row>
    <row r="1174" spans="1:23">
      <c r="A1174" s="3">
        <v>1173</v>
      </c>
      <c r="B1174" s="1" t="s">
        <v>6915</v>
      </c>
      <c r="D1174" s="1" t="s">
        <v>6916</v>
      </c>
      <c r="F1174" s="1" t="s">
        <v>6920</v>
      </c>
      <c r="H1174" s="1" t="s">
        <v>6921</v>
      </c>
      <c r="J1174" s="1" t="s">
        <v>1324</v>
      </c>
      <c r="L1174" s="1" t="s">
        <v>1325</v>
      </c>
      <c r="P1174" s="1" t="s">
        <v>2924</v>
      </c>
      <c r="Q1174" s="3">
        <v>0</v>
      </c>
      <c r="R1174" s="22" t="s">
        <v>2721</v>
      </c>
      <c r="S1174" s="42" t="s">
        <v>6910</v>
      </c>
      <c r="T1174" s="3" t="s">
        <v>4868</v>
      </c>
      <c r="U1174" s="45">
        <v>35</v>
      </c>
      <c r="V1174" t="s">
        <v>6919</v>
      </c>
      <c r="W1174" s="1" t="str">
        <f>HYPERLINK("http://ictvonline.org/taxonomy/p/taxonomy-history?taxnode_id=201900515","ICTVonline=201900515")</f>
        <v>ICTVonline=201900515</v>
      </c>
    </row>
    <row r="1175" spans="1:23">
      <c r="A1175" s="3">
        <v>1174</v>
      </c>
      <c r="B1175" s="1" t="s">
        <v>6915</v>
      </c>
      <c r="D1175" s="1" t="s">
        <v>6916</v>
      </c>
      <c r="F1175" s="1" t="s">
        <v>6920</v>
      </c>
      <c r="H1175" s="1" t="s">
        <v>6921</v>
      </c>
      <c r="J1175" s="1" t="s">
        <v>1324</v>
      </c>
      <c r="L1175" s="1" t="s">
        <v>894</v>
      </c>
      <c r="M1175" s="1" t="s">
        <v>659</v>
      </c>
      <c r="N1175" s="1" t="s">
        <v>6452</v>
      </c>
      <c r="P1175" s="1" t="s">
        <v>2971</v>
      </c>
      <c r="Q1175" s="3">
        <v>1</v>
      </c>
      <c r="R1175" s="22" t="s">
        <v>2721</v>
      </c>
      <c r="S1175" s="42" t="s">
        <v>6910</v>
      </c>
      <c r="T1175" s="3" t="s">
        <v>4868</v>
      </c>
      <c r="U1175" s="45">
        <v>35</v>
      </c>
      <c r="V1175" t="s">
        <v>6919</v>
      </c>
      <c r="W1175" s="1" t="str">
        <f>HYPERLINK("http://ictvonline.org/taxonomy/p/taxonomy-history?taxnode_id=201900592","ICTVonline=201900592")</f>
        <v>ICTVonline=201900592</v>
      </c>
    </row>
    <row r="1176" spans="1:23">
      <c r="A1176" s="3">
        <v>1175</v>
      </c>
      <c r="B1176" s="1" t="s">
        <v>6915</v>
      </c>
      <c r="D1176" s="1" t="s">
        <v>6916</v>
      </c>
      <c r="F1176" s="1" t="s">
        <v>6920</v>
      </c>
      <c r="H1176" s="1" t="s">
        <v>6921</v>
      </c>
      <c r="J1176" s="1" t="s">
        <v>1324</v>
      </c>
      <c r="L1176" s="1" t="s">
        <v>894</v>
      </c>
      <c r="M1176" s="1" t="s">
        <v>659</v>
      </c>
      <c r="N1176" s="1" t="s">
        <v>6452</v>
      </c>
      <c r="P1176" s="1" t="s">
        <v>4226</v>
      </c>
      <c r="Q1176" s="3">
        <v>0</v>
      </c>
      <c r="R1176" s="22" t="s">
        <v>2721</v>
      </c>
      <c r="S1176" s="42" t="s">
        <v>6910</v>
      </c>
      <c r="T1176" s="3" t="s">
        <v>4868</v>
      </c>
      <c r="U1176" s="45">
        <v>35</v>
      </c>
      <c r="V1176" t="s">
        <v>6919</v>
      </c>
      <c r="W1176" s="1" t="str">
        <f>HYPERLINK("http://ictvonline.org/taxonomy/p/taxonomy-history?taxnode_id=201900593","ICTVonline=201900593")</f>
        <v>ICTVonline=201900593</v>
      </c>
    </row>
    <row r="1177" spans="1:23">
      <c r="A1177" s="3">
        <v>1176</v>
      </c>
      <c r="B1177" s="1" t="s">
        <v>6915</v>
      </c>
      <c r="D1177" s="1" t="s">
        <v>6916</v>
      </c>
      <c r="F1177" s="1" t="s">
        <v>6920</v>
      </c>
      <c r="H1177" s="1" t="s">
        <v>6921</v>
      </c>
      <c r="J1177" s="1" t="s">
        <v>1324</v>
      </c>
      <c r="L1177" s="1" t="s">
        <v>894</v>
      </c>
      <c r="M1177" s="1" t="s">
        <v>659</v>
      </c>
      <c r="N1177" s="1" t="s">
        <v>6453</v>
      </c>
      <c r="P1177" s="1" t="s">
        <v>6454</v>
      </c>
      <c r="Q1177" s="3">
        <v>1</v>
      </c>
      <c r="R1177" s="22" t="s">
        <v>2721</v>
      </c>
      <c r="S1177" s="42" t="s">
        <v>6910</v>
      </c>
      <c r="T1177" s="3" t="s">
        <v>4868</v>
      </c>
      <c r="U1177" s="45">
        <v>35</v>
      </c>
      <c r="V1177" t="s">
        <v>6919</v>
      </c>
      <c r="W1177" s="1" t="str">
        <f>HYPERLINK("http://ictvonline.org/taxonomy/p/taxonomy-history?taxnode_id=201906293","ICTVonline=201906293")</f>
        <v>ICTVonline=201906293</v>
      </c>
    </row>
    <row r="1178" spans="1:23">
      <c r="A1178" s="3">
        <v>1177</v>
      </c>
      <c r="B1178" s="1" t="s">
        <v>6915</v>
      </c>
      <c r="D1178" s="1" t="s">
        <v>6916</v>
      </c>
      <c r="F1178" s="1" t="s">
        <v>6920</v>
      </c>
      <c r="H1178" s="1" t="s">
        <v>6921</v>
      </c>
      <c r="J1178" s="1" t="s">
        <v>1324</v>
      </c>
      <c r="L1178" s="1" t="s">
        <v>894</v>
      </c>
      <c r="M1178" s="1" t="s">
        <v>659</v>
      </c>
      <c r="N1178" s="1" t="s">
        <v>6456</v>
      </c>
      <c r="P1178" s="1" t="s">
        <v>2965</v>
      </c>
      <c r="Q1178" s="3">
        <v>0</v>
      </c>
      <c r="R1178" s="22" t="s">
        <v>2721</v>
      </c>
      <c r="S1178" s="42" t="s">
        <v>6910</v>
      </c>
      <c r="T1178" s="3" t="s">
        <v>4868</v>
      </c>
      <c r="U1178" s="45">
        <v>35</v>
      </c>
      <c r="V1178" t="s">
        <v>6919</v>
      </c>
      <c r="W1178" s="1" t="str">
        <f>HYPERLINK("http://ictvonline.org/taxonomy/p/taxonomy-history?taxnode_id=201900598","ICTVonline=201900598")</f>
        <v>ICTVonline=201900598</v>
      </c>
    </row>
    <row r="1179" spans="1:23">
      <c r="A1179" s="3">
        <v>1178</v>
      </c>
      <c r="B1179" s="1" t="s">
        <v>6915</v>
      </c>
      <c r="D1179" s="1" t="s">
        <v>6916</v>
      </c>
      <c r="F1179" s="1" t="s">
        <v>6920</v>
      </c>
      <c r="H1179" s="1" t="s">
        <v>6921</v>
      </c>
      <c r="J1179" s="1" t="s">
        <v>1324</v>
      </c>
      <c r="L1179" s="1" t="s">
        <v>894</v>
      </c>
      <c r="M1179" s="1" t="s">
        <v>659</v>
      </c>
      <c r="N1179" s="1" t="s">
        <v>6456</v>
      </c>
      <c r="P1179" s="1" t="s">
        <v>2966</v>
      </c>
      <c r="Q1179" s="3">
        <v>0</v>
      </c>
      <c r="R1179" s="22" t="s">
        <v>2721</v>
      </c>
      <c r="S1179" s="42" t="s">
        <v>6910</v>
      </c>
      <c r="T1179" s="3" t="s">
        <v>4868</v>
      </c>
      <c r="U1179" s="45">
        <v>35</v>
      </c>
      <c r="V1179" t="s">
        <v>6919</v>
      </c>
      <c r="W1179" s="1" t="str">
        <f>HYPERLINK("http://ictvonline.org/taxonomy/p/taxonomy-history?taxnode_id=201900599","ICTVonline=201900599")</f>
        <v>ICTVonline=201900599</v>
      </c>
    </row>
    <row r="1180" spans="1:23">
      <c r="A1180" s="3">
        <v>1179</v>
      </c>
      <c r="B1180" s="1" t="s">
        <v>6915</v>
      </c>
      <c r="D1180" s="1" t="s">
        <v>6916</v>
      </c>
      <c r="F1180" s="1" t="s">
        <v>6920</v>
      </c>
      <c r="H1180" s="1" t="s">
        <v>6921</v>
      </c>
      <c r="J1180" s="1" t="s">
        <v>1324</v>
      </c>
      <c r="L1180" s="1" t="s">
        <v>894</v>
      </c>
      <c r="M1180" s="1" t="s">
        <v>659</v>
      </c>
      <c r="N1180" s="1" t="s">
        <v>6456</v>
      </c>
      <c r="P1180" s="1" t="s">
        <v>2967</v>
      </c>
      <c r="Q1180" s="3">
        <v>1</v>
      </c>
      <c r="R1180" s="22" t="s">
        <v>2721</v>
      </c>
      <c r="S1180" s="42" t="s">
        <v>6910</v>
      </c>
      <c r="T1180" s="3" t="s">
        <v>4868</v>
      </c>
      <c r="U1180" s="45">
        <v>35</v>
      </c>
      <c r="V1180" t="s">
        <v>6919</v>
      </c>
      <c r="W1180" s="1" t="str">
        <f>HYPERLINK("http://ictvonline.org/taxonomy/p/taxonomy-history?taxnode_id=201900600","ICTVonline=201900600")</f>
        <v>ICTVonline=201900600</v>
      </c>
    </row>
    <row r="1181" spans="1:23">
      <c r="A1181" s="3">
        <v>1180</v>
      </c>
      <c r="B1181" s="1" t="s">
        <v>6915</v>
      </c>
      <c r="D1181" s="1" t="s">
        <v>6916</v>
      </c>
      <c r="F1181" s="1" t="s">
        <v>6920</v>
      </c>
      <c r="H1181" s="1" t="s">
        <v>6921</v>
      </c>
      <c r="J1181" s="1" t="s">
        <v>1324</v>
      </c>
      <c r="L1181" s="1" t="s">
        <v>894</v>
      </c>
      <c r="M1181" s="1" t="s">
        <v>659</v>
      </c>
      <c r="N1181" s="1" t="s">
        <v>6456</v>
      </c>
      <c r="P1181" s="1" t="s">
        <v>2968</v>
      </c>
      <c r="Q1181" s="3">
        <v>0</v>
      </c>
      <c r="R1181" s="22" t="s">
        <v>2721</v>
      </c>
      <c r="S1181" s="42" t="s">
        <v>6910</v>
      </c>
      <c r="T1181" s="3" t="s">
        <v>4868</v>
      </c>
      <c r="U1181" s="45">
        <v>35</v>
      </c>
      <c r="V1181" t="s">
        <v>6919</v>
      </c>
      <c r="W1181" s="1" t="str">
        <f>HYPERLINK("http://ictvonline.org/taxonomy/p/taxonomy-history?taxnode_id=201900601","ICTVonline=201900601")</f>
        <v>ICTVonline=201900601</v>
      </c>
    </row>
    <row r="1182" spans="1:23">
      <c r="A1182" s="3">
        <v>1181</v>
      </c>
      <c r="B1182" s="1" t="s">
        <v>6915</v>
      </c>
      <c r="D1182" s="1" t="s">
        <v>6916</v>
      </c>
      <c r="F1182" s="1" t="s">
        <v>6920</v>
      </c>
      <c r="H1182" s="1" t="s">
        <v>6921</v>
      </c>
      <c r="J1182" s="1" t="s">
        <v>1324</v>
      </c>
      <c r="L1182" s="1" t="s">
        <v>894</v>
      </c>
      <c r="M1182" s="1" t="s">
        <v>659</v>
      </c>
      <c r="P1182" s="1" t="s">
        <v>2969</v>
      </c>
      <c r="Q1182" s="3">
        <v>0</v>
      </c>
      <c r="R1182" s="22" t="s">
        <v>2721</v>
      </c>
      <c r="S1182" s="42" t="s">
        <v>6910</v>
      </c>
      <c r="T1182" s="3" t="s">
        <v>4868</v>
      </c>
      <c r="U1182" s="45">
        <v>35</v>
      </c>
      <c r="V1182" t="s">
        <v>6919</v>
      </c>
      <c r="W1182" s="1" t="str">
        <f>HYPERLINK("http://ictvonline.org/taxonomy/p/taxonomy-history?taxnode_id=201900603","ICTVonline=201900603")</f>
        <v>ICTVonline=201900603</v>
      </c>
    </row>
    <row r="1183" spans="1:23">
      <c r="A1183" s="3">
        <v>1182</v>
      </c>
      <c r="B1183" s="1" t="s">
        <v>6915</v>
      </c>
      <c r="D1183" s="1" t="s">
        <v>6916</v>
      </c>
      <c r="F1183" s="1" t="s">
        <v>6920</v>
      </c>
      <c r="H1183" s="1" t="s">
        <v>6921</v>
      </c>
      <c r="J1183" s="1" t="s">
        <v>1324</v>
      </c>
      <c r="L1183" s="1" t="s">
        <v>894</v>
      </c>
      <c r="M1183" s="1" t="s">
        <v>659</v>
      </c>
      <c r="P1183" s="1" t="s">
        <v>2970</v>
      </c>
      <c r="Q1183" s="3">
        <v>0</v>
      </c>
      <c r="R1183" s="22" t="s">
        <v>2721</v>
      </c>
      <c r="S1183" s="42" t="s">
        <v>6910</v>
      </c>
      <c r="T1183" s="3" t="s">
        <v>4868</v>
      </c>
      <c r="U1183" s="45">
        <v>35</v>
      </c>
      <c r="V1183" t="s">
        <v>6919</v>
      </c>
      <c r="W1183" s="1" t="str">
        <f>HYPERLINK("http://ictvonline.org/taxonomy/p/taxonomy-history?taxnode_id=201900604","ICTVonline=201900604")</f>
        <v>ICTVonline=201900604</v>
      </c>
    </row>
    <row r="1184" spans="1:23">
      <c r="A1184" s="3">
        <v>1183</v>
      </c>
      <c r="B1184" s="1" t="s">
        <v>6915</v>
      </c>
      <c r="D1184" s="1" t="s">
        <v>6916</v>
      </c>
      <c r="F1184" s="1" t="s">
        <v>6920</v>
      </c>
      <c r="H1184" s="1" t="s">
        <v>6921</v>
      </c>
      <c r="J1184" s="1" t="s">
        <v>1324</v>
      </c>
      <c r="L1184" s="1" t="s">
        <v>894</v>
      </c>
      <c r="M1184" s="1" t="s">
        <v>7723</v>
      </c>
      <c r="N1184" s="1" t="s">
        <v>7724</v>
      </c>
      <c r="P1184" s="1" t="s">
        <v>7725</v>
      </c>
      <c r="Q1184" s="3">
        <v>1</v>
      </c>
      <c r="R1184" s="22" t="s">
        <v>2721</v>
      </c>
      <c r="S1184" s="42" t="s">
        <v>6910</v>
      </c>
      <c r="T1184" s="3" t="s">
        <v>4866</v>
      </c>
      <c r="U1184" s="45">
        <v>35</v>
      </c>
      <c r="V1184" t="s">
        <v>7726</v>
      </c>
      <c r="W1184" s="1" t="str">
        <f>HYPERLINK("http://ictvonline.org/taxonomy/p/taxonomy-history?taxnode_id=201908003","ICTVonline=201908003")</f>
        <v>ICTVonline=201908003</v>
      </c>
    </row>
    <row r="1185" spans="1:23">
      <c r="A1185" s="3">
        <v>1184</v>
      </c>
      <c r="B1185" s="1" t="s">
        <v>6915</v>
      </c>
      <c r="D1185" s="1" t="s">
        <v>6916</v>
      </c>
      <c r="F1185" s="1" t="s">
        <v>6920</v>
      </c>
      <c r="H1185" s="1" t="s">
        <v>6921</v>
      </c>
      <c r="J1185" s="1" t="s">
        <v>1324</v>
      </c>
      <c r="L1185" s="1" t="s">
        <v>894</v>
      </c>
      <c r="M1185" s="1" t="s">
        <v>7723</v>
      </c>
      <c r="N1185" s="1" t="s">
        <v>7724</v>
      </c>
      <c r="P1185" s="1" t="s">
        <v>7727</v>
      </c>
      <c r="Q1185" s="3">
        <v>0</v>
      </c>
      <c r="R1185" s="22" t="s">
        <v>2721</v>
      </c>
      <c r="S1185" s="42" t="s">
        <v>6910</v>
      </c>
      <c r="T1185" s="3" t="s">
        <v>4866</v>
      </c>
      <c r="U1185" s="45">
        <v>35</v>
      </c>
      <c r="V1185" t="s">
        <v>7726</v>
      </c>
      <c r="W1185" s="1" t="str">
        <f>HYPERLINK("http://ictvonline.org/taxonomy/p/taxonomy-history?taxnode_id=201908004","ICTVonline=201908004")</f>
        <v>ICTVonline=201908004</v>
      </c>
    </row>
    <row r="1186" spans="1:23">
      <c r="A1186" s="3">
        <v>1185</v>
      </c>
      <c r="B1186" s="1" t="s">
        <v>6915</v>
      </c>
      <c r="D1186" s="1" t="s">
        <v>6916</v>
      </c>
      <c r="F1186" s="1" t="s">
        <v>6920</v>
      </c>
      <c r="H1186" s="1" t="s">
        <v>6921</v>
      </c>
      <c r="J1186" s="1" t="s">
        <v>1324</v>
      </c>
      <c r="L1186" s="1" t="s">
        <v>894</v>
      </c>
      <c r="M1186" s="1" t="s">
        <v>7723</v>
      </c>
      <c r="N1186" s="1" t="s">
        <v>6455</v>
      </c>
      <c r="P1186" s="1" t="s">
        <v>7728</v>
      </c>
      <c r="Q1186" s="3">
        <v>0</v>
      </c>
      <c r="R1186" s="22" t="s">
        <v>2721</v>
      </c>
      <c r="S1186" s="42" t="s">
        <v>6914</v>
      </c>
      <c r="T1186" s="3" t="s">
        <v>4866</v>
      </c>
      <c r="U1186" s="45">
        <v>35</v>
      </c>
      <c r="V1186" t="s">
        <v>7726</v>
      </c>
      <c r="W1186" s="1" t="str">
        <f>HYPERLINK("http://ictvonline.org/taxonomy/p/taxonomy-history?taxnode_id=201908006","ICTVonline=201908006")</f>
        <v>ICTVonline=201908006</v>
      </c>
    </row>
    <row r="1187" spans="1:23">
      <c r="A1187" s="3">
        <v>1186</v>
      </c>
      <c r="B1187" s="1" t="s">
        <v>6915</v>
      </c>
      <c r="D1187" s="1" t="s">
        <v>6916</v>
      </c>
      <c r="F1187" s="1" t="s">
        <v>6920</v>
      </c>
      <c r="H1187" s="1" t="s">
        <v>6921</v>
      </c>
      <c r="J1187" s="1" t="s">
        <v>1324</v>
      </c>
      <c r="L1187" s="1" t="s">
        <v>894</v>
      </c>
      <c r="M1187" s="1" t="s">
        <v>7723</v>
      </c>
      <c r="N1187" s="1" t="s">
        <v>6455</v>
      </c>
      <c r="P1187" s="1" t="s">
        <v>2963</v>
      </c>
      <c r="Q1187" s="3">
        <v>1</v>
      </c>
      <c r="R1187" s="22" t="s">
        <v>2721</v>
      </c>
      <c r="S1187" s="42" t="s">
        <v>6910</v>
      </c>
      <c r="T1187" s="3" t="s">
        <v>4868</v>
      </c>
      <c r="U1187" s="45">
        <v>35</v>
      </c>
      <c r="V1187" t="s">
        <v>7726</v>
      </c>
      <c r="W1187" s="1" t="str">
        <f>HYPERLINK("http://ictvonline.org/taxonomy/p/taxonomy-history?taxnode_id=201900595","ICTVonline=201900595")</f>
        <v>ICTVonline=201900595</v>
      </c>
    </row>
    <row r="1188" spans="1:23">
      <c r="A1188" s="3">
        <v>1187</v>
      </c>
      <c r="B1188" s="1" t="s">
        <v>6915</v>
      </c>
      <c r="D1188" s="1" t="s">
        <v>6916</v>
      </c>
      <c r="F1188" s="1" t="s">
        <v>6920</v>
      </c>
      <c r="H1188" s="1" t="s">
        <v>6921</v>
      </c>
      <c r="J1188" s="1" t="s">
        <v>1324</v>
      </c>
      <c r="L1188" s="1" t="s">
        <v>894</v>
      </c>
      <c r="M1188" s="1" t="s">
        <v>7723</v>
      </c>
      <c r="N1188" s="1" t="s">
        <v>6455</v>
      </c>
      <c r="P1188" s="1" t="s">
        <v>7729</v>
      </c>
      <c r="Q1188" s="3">
        <v>0</v>
      </c>
      <c r="R1188" s="22" t="s">
        <v>2721</v>
      </c>
      <c r="S1188" s="42" t="s">
        <v>6914</v>
      </c>
      <c r="T1188" s="3" t="s">
        <v>4866</v>
      </c>
      <c r="U1188" s="45">
        <v>35</v>
      </c>
      <c r="V1188" t="s">
        <v>7726</v>
      </c>
      <c r="W1188" s="1" t="str">
        <f>HYPERLINK("http://ictvonline.org/taxonomy/p/taxonomy-history?taxnode_id=201908009","ICTVonline=201908009")</f>
        <v>ICTVonline=201908009</v>
      </c>
    </row>
    <row r="1189" spans="1:23">
      <c r="A1189" s="3">
        <v>1188</v>
      </c>
      <c r="B1189" s="1" t="s">
        <v>6915</v>
      </c>
      <c r="D1189" s="1" t="s">
        <v>6916</v>
      </c>
      <c r="F1189" s="1" t="s">
        <v>6920</v>
      </c>
      <c r="H1189" s="1" t="s">
        <v>6921</v>
      </c>
      <c r="J1189" s="1" t="s">
        <v>1324</v>
      </c>
      <c r="L1189" s="1" t="s">
        <v>894</v>
      </c>
      <c r="M1189" s="1" t="s">
        <v>7723</v>
      </c>
      <c r="N1189" s="1" t="s">
        <v>6455</v>
      </c>
      <c r="P1189" s="1" t="s">
        <v>7730</v>
      </c>
      <c r="Q1189" s="3">
        <v>0</v>
      </c>
      <c r="R1189" s="22" t="s">
        <v>2721</v>
      </c>
      <c r="S1189" s="42" t="s">
        <v>6914</v>
      </c>
      <c r="T1189" s="3" t="s">
        <v>4866</v>
      </c>
      <c r="U1189" s="45">
        <v>35</v>
      </c>
      <c r="V1189" t="s">
        <v>7726</v>
      </c>
      <c r="W1189" s="1" t="str">
        <f>HYPERLINK("http://ictvonline.org/taxonomy/p/taxonomy-history?taxnode_id=201908015","ICTVonline=201908015")</f>
        <v>ICTVonline=201908015</v>
      </c>
    </row>
    <row r="1190" spans="1:23">
      <c r="A1190" s="3">
        <v>1189</v>
      </c>
      <c r="B1190" s="1" t="s">
        <v>6915</v>
      </c>
      <c r="D1190" s="1" t="s">
        <v>6916</v>
      </c>
      <c r="F1190" s="1" t="s">
        <v>6920</v>
      </c>
      <c r="H1190" s="1" t="s">
        <v>6921</v>
      </c>
      <c r="J1190" s="1" t="s">
        <v>1324</v>
      </c>
      <c r="L1190" s="1" t="s">
        <v>894</v>
      </c>
      <c r="M1190" s="1" t="s">
        <v>7723</v>
      </c>
      <c r="N1190" s="1" t="s">
        <v>6455</v>
      </c>
      <c r="P1190" s="1" t="s">
        <v>7731</v>
      </c>
      <c r="Q1190" s="3">
        <v>0</v>
      </c>
      <c r="R1190" s="22" t="s">
        <v>2721</v>
      </c>
      <c r="S1190" s="42" t="s">
        <v>6914</v>
      </c>
      <c r="T1190" s="3" t="s">
        <v>4866</v>
      </c>
      <c r="U1190" s="45">
        <v>35</v>
      </c>
      <c r="V1190" t="s">
        <v>7726</v>
      </c>
      <c r="W1190" s="1" t="str">
        <f>HYPERLINK("http://ictvonline.org/taxonomy/p/taxonomy-history?taxnode_id=201908008","ICTVonline=201908008")</f>
        <v>ICTVonline=201908008</v>
      </c>
    </row>
    <row r="1191" spans="1:23">
      <c r="A1191" s="3">
        <v>1190</v>
      </c>
      <c r="B1191" s="1" t="s">
        <v>6915</v>
      </c>
      <c r="D1191" s="1" t="s">
        <v>6916</v>
      </c>
      <c r="F1191" s="1" t="s">
        <v>6920</v>
      </c>
      <c r="H1191" s="1" t="s">
        <v>6921</v>
      </c>
      <c r="J1191" s="1" t="s">
        <v>1324</v>
      </c>
      <c r="L1191" s="1" t="s">
        <v>894</v>
      </c>
      <c r="M1191" s="1" t="s">
        <v>7723</v>
      </c>
      <c r="N1191" s="1" t="s">
        <v>6455</v>
      </c>
      <c r="P1191" s="1" t="s">
        <v>7732</v>
      </c>
      <c r="Q1191" s="3">
        <v>0</v>
      </c>
      <c r="R1191" s="22" t="s">
        <v>2721</v>
      </c>
      <c r="S1191" s="42" t="s">
        <v>6914</v>
      </c>
      <c r="T1191" s="3" t="s">
        <v>4866</v>
      </c>
      <c r="U1191" s="45">
        <v>35</v>
      </c>
      <c r="V1191" t="s">
        <v>7726</v>
      </c>
      <c r="W1191" s="1" t="str">
        <f>HYPERLINK("http://ictvonline.org/taxonomy/p/taxonomy-history?taxnode_id=201908005","ICTVonline=201908005")</f>
        <v>ICTVonline=201908005</v>
      </c>
    </row>
    <row r="1192" spans="1:23">
      <c r="A1192" s="3">
        <v>1191</v>
      </c>
      <c r="B1192" s="1" t="s">
        <v>6915</v>
      </c>
      <c r="D1192" s="1" t="s">
        <v>6916</v>
      </c>
      <c r="F1192" s="1" t="s">
        <v>6920</v>
      </c>
      <c r="H1192" s="1" t="s">
        <v>6921</v>
      </c>
      <c r="J1192" s="1" t="s">
        <v>1324</v>
      </c>
      <c r="L1192" s="1" t="s">
        <v>894</v>
      </c>
      <c r="M1192" s="1" t="s">
        <v>7723</v>
      </c>
      <c r="N1192" s="1" t="s">
        <v>6455</v>
      </c>
      <c r="P1192" s="1" t="s">
        <v>7733</v>
      </c>
      <c r="Q1192" s="3">
        <v>0</v>
      </c>
      <c r="R1192" s="22" t="s">
        <v>2721</v>
      </c>
      <c r="S1192" s="42" t="s">
        <v>6914</v>
      </c>
      <c r="T1192" s="3" t="s">
        <v>4866</v>
      </c>
      <c r="U1192" s="45">
        <v>35</v>
      </c>
      <c r="V1192" t="s">
        <v>7726</v>
      </c>
      <c r="W1192" s="1" t="str">
        <f>HYPERLINK("http://ictvonline.org/taxonomy/p/taxonomy-history?taxnode_id=201908011","ICTVonline=201908011")</f>
        <v>ICTVonline=201908011</v>
      </c>
    </row>
    <row r="1193" spans="1:23">
      <c r="A1193" s="3">
        <v>1192</v>
      </c>
      <c r="B1193" s="1" t="s">
        <v>6915</v>
      </c>
      <c r="D1193" s="1" t="s">
        <v>6916</v>
      </c>
      <c r="F1193" s="1" t="s">
        <v>6920</v>
      </c>
      <c r="H1193" s="1" t="s">
        <v>6921</v>
      </c>
      <c r="J1193" s="1" t="s">
        <v>1324</v>
      </c>
      <c r="L1193" s="1" t="s">
        <v>894</v>
      </c>
      <c r="M1193" s="1" t="s">
        <v>7723</v>
      </c>
      <c r="N1193" s="1" t="s">
        <v>6455</v>
      </c>
      <c r="P1193" s="1" t="s">
        <v>7734</v>
      </c>
      <c r="Q1193" s="3">
        <v>0</v>
      </c>
      <c r="R1193" s="22" t="s">
        <v>2721</v>
      </c>
      <c r="S1193" s="42" t="s">
        <v>6914</v>
      </c>
      <c r="T1193" s="3" t="s">
        <v>4866</v>
      </c>
      <c r="U1193" s="45">
        <v>35</v>
      </c>
      <c r="V1193" t="s">
        <v>7726</v>
      </c>
      <c r="W1193" s="1" t="str">
        <f>HYPERLINK("http://ictvonline.org/taxonomy/p/taxonomy-history?taxnode_id=201908013","ICTVonline=201908013")</f>
        <v>ICTVonline=201908013</v>
      </c>
    </row>
    <row r="1194" spans="1:23">
      <c r="A1194" s="3">
        <v>1193</v>
      </c>
      <c r="B1194" s="1" t="s">
        <v>6915</v>
      </c>
      <c r="D1194" s="1" t="s">
        <v>6916</v>
      </c>
      <c r="F1194" s="1" t="s">
        <v>6920</v>
      </c>
      <c r="H1194" s="1" t="s">
        <v>6921</v>
      </c>
      <c r="J1194" s="1" t="s">
        <v>1324</v>
      </c>
      <c r="L1194" s="1" t="s">
        <v>894</v>
      </c>
      <c r="M1194" s="1" t="s">
        <v>7723</v>
      </c>
      <c r="N1194" s="1" t="s">
        <v>6455</v>
      </c>
      <c r="P1194" s="1" t="s">
        <v>7735</v>
      </c>
      <c r="Q1194" s="3">
        <v>0</v>
      </c>
      <c r="R1194" s="22" t="s">
        <v>2721</v>
      </c>
      <c r="S1194" s="42" t="s">
        <v>6914</v>
      </c>
      <c r="T1194" s="3" t="s">
        <v>4866</v>
      </c>
      <c r="U1194" s="45">
        <v>35</v>
      </c>
      <c r="V1194" t="s">
        <v>7726</v>
      </c>
      <c r="W1194" s="1" t="str">
        <f>HYPERLINK("http://ictvonline.org/taxonomy/p/taxonomy-history?taxnode_id=201908007","ICTVonline=201908007")</f>
        <v>ICTVonline=201908007</v>
      </c>
    </row>
    <row r="1195" spans="1:23">
      <c r="A1195" s="3">
        <v>1194</v>
      </c>
      <c r="B1195" s="1" t="s">
        <v>6915</v>
      </c>
      <c r="D1195" s="1" t="s">
        <v>6916</v>
      </c>
      <c r="F1195" s="1" t="s">
        <v>6920</v>
      </c>
      <c r="H1195" s="1" t="s">
        <v>6921</v>
      </c>
      <c r="J1195" s="1" t="s">
        <v>1324</v>
      </c>
      <c r="L1195" s="1" t="s">
        <v>894</v>
      </c>
      <c r="M1195" s="1" t="s">
        <v>7723</v>
      </c>
      <c r="N1195" s="1" t="s">
        <v>6455</v>
      </c>
      <c r="P1195" s="1" t="s">
        <v>7736</v>
      </c>
      <c r="Q1195" s="3">
        <v>0</v>
      </c>
      <c r="R1195" s="22" t="s">
        <v>2721</v>
      </c>
      <c r="S1195" s="42" t="s">
        <v>6914</v>
      </c>
      <c r="T1195" s="3" t="s">
        <v>4866</v>
      </c>
      <c r="U1195" s="45">
        <v>35</v>
      </c>
      <c r="V1195" t="s">
        <v>7726</v>
      </c>
      <c r="W1195" s="1" t="str">
        <f>HYPERLINK("http://ictvonline.org/taxonomy/p/taxonomy-history?taxnode_id=201908012","ICTVonline=201908012")</f>
        <v>ICTVonline=201908012</v>
      </c>
    </row>
    <row r="1196" spans="1:23">
      <c r="A1196" s="3">
        <v>1195</v>
      </c>
      <c r="B1196" s="1" t="s">
        <v>6915</v>
      </c>
      <c r="D1196" s="1" t="s">
        <v>6916</v>
      </c>
      <c r="F1196" s="1" t="s">
        <v>6920</v>
      </c>
      <c r="H1196" s="1" t="s">
        <v>6921</v>
      </c>
      <c r="J1196" s="1" t="s">
        <v>1324</v>
      </c>
      <c r="L1196" s="1" t="s">
        <v>894</v>
      </c>
      <c r="M1196" s="1" t="s">
        <v>7723</v>
      </c>
      <c r="N1196" s="1" t="s">
        <v>6455</v>
      </c>
      <c r="P1196" s="1" t="s">
        <v>7737</v>
      </c>
      <c r="Q1196" s="3">
        <v>0</v>
      </c>
      <c r="R1196" s="22" t="s">
        <v>2721</v>
      </c>
      <c r="S1196" s="42" t="s">
        <v>6914</v>
      </c>
      <c r="T1196" s="3" t="s">
        <v>4866</v>
      </c>
      <c r="U1196" s="45">
        <v>35</v>
      </c>
      <c r="V1196" t="s">
        <v>7726</v>
      </c>
      <c r="W1196" s="1" t="str">
        <f>HYPERLINK("http://ictvonline.org/taxonomy/p/taxonomy-history?taxnode_id=201908010","ICTVonline=201908010")</f>
        <v>ICTVonline=201908010</v>
      </c>
    </row>
    <row r="1197" spans="1:23">
      <c r="A1197" s="3">
        <v>1196</v>
      </c>
      <c r="B1197" s="1" t="s">
        <v>6915</v>
      </c>
      <c r="D1197" s="1" t="s">
        <v>6916</v>
      </c>
      <c r="F1197" s="1" t="s">
        <v>6920</v>
      </c>
      <c r="H1197" s="1" t="s">
        <v>6921</v>
      </c>
      <c r="J1197" s="1" t="s">
        <v>1324</v>
      </c>
      <c r="L1197" s="1" t="s">
        <v>894</v>
      </c>
      <c r="M1197" s="1" t="s">
        <v>7723</v>
      </c>
      <c r="N1197" s="1" t="s">
        <v>6455</v>
      </c>
      <c r="P1197" s="1" t="s">
        <v>7738</v>
      </c>
      <c r="Q1197" s="3">
        <v>0</v>
      </c>
      <c r="R1197" s="22" t="s">
        <v>2721</v>
      </c>
      <c r="S1197" s="42" t="s">
        <v>6914</v>
      </c>
      <c r="T1197" s="3" t="s">
        <v>4866</v>
      </c>
      <c r="U1197" s="45">
        <v>35</v>
      </c>
      <c r="V1197" t="s">
        <v>7726</v>
      </c>
      <c r="W1197" s="1" t="str">
        <f>HYPERLINK("http://ictvonline.org/taxonomy/p/taxonomy-history?taxnode_id=201908014","ICTVonline=201908014")</f>
        <v>ICTVonline=201908014</v>
      </c>
    </row>
    <row r="1198" spans="1:23">
      <c r="A1198" s="3">
        <v>1197</v>
      </c>
      <c r="B1198" s="1" t="s">
        <v>6915</v>
      </c>
      <c r="D1198" s="1" t="s">
        <v>6916</v>
      </c>
      <c r="F1198" s="1" t="s">
        <v>6920</v>
      </c>
      <c r="H1198" s="1" t="s">
        <v>6921</v>
      </c>
      <c r="J1198" s="1" t="s">
        <v>1324</v>
      </c>
      <c r="L1198" s="1" t="s">
        <v>894</v>
      </c>
      <c r="M1198" s="1" t="s">
        <v>4227</v>
      </c>
      <c r="N1198" s="1" t="s">
        <v>6457</v>
      </c>
      <c r="P1198" s="1" t="s">
        <v>4233</v>
      </c>
      <c r="Q1198" s="3">
        <v>0</v>
      </c>
      <c r="R1198" s="22" t="s">
        <v>2721</v>
      </c>
      <c r="S1198" s="42" t="s">
        <v>6910</v>
      </c>
      <c r="T1198" s="3" t="s">
        <v>4868</v>
      </c>
      <c r="U1198" s="45">
        <v>35</v>
      </c>
      <c r="V1198" t="s">
        <v>6919</v>
      </c>
      <c r="W1198" s="1" t="str">
        <f>HYPERLINK("http://ictvonline.org/taxonomy/p/taxonomy-history?taxnode_id=201900613","ICTVonline=201900613")</f>
        <v>ICTVonline=201900613</v>
      </c>
    </row>
    <row r="1199" spans="1:23">
      <c r="A1199" s="3">
        <v>1198</v>
      </c>
      <c r="B1199" s="1" t="s">
        <v>6915</v>
      </c>
      <c r="D1199" s="1" t="s">
        <v>6916</v>
      </c>
      <c r="F1199" s="1" t="s">
        <v>6920</v>
      </c>
      <c r="H1199" s="1" t="s">
        <v>6921</v>
      </c>
      <c r="J1199" s="1" t="s">
        <v>1324</v>
      </c>
      <c r="L1199" s="1" t="s">
        <v>894</v>
      </c>
      <c r="M1199" s="1" t="s">
        <v>4227</v>
      </c>
      <c r="N1199" s="1" t="s">
        <v>6457</v>
      </c>
      <c r="P1199" s="1" t="s">
        <v>4234</v>
      </c>
      <c r="Q1199" s="3">
        <v>1</v>
      </c>
      <c r="R1199" s="22" t="s">
        <v>2721</v>
      </c>
      <c r="S1199" s="42" t="s">
        <v>6910</v>
      </c>
      <c r="T1199" s="3" t="s">
        <v>4868</v>
      </c>
      <c r="U1199" s="45">
        <v>35</v>
      </c>
      <c r="V1199" t="s">
        <v>6919</v>
      </c>
      <c r="W1199" s="1" t="str">
        <f>HYPERLINK("http://ictvonline.org/taxonomy/p/taxonomy-history?taxnode_id=201900614","ICTVonline=201900614")</f>
        <v>ICTVonline=201900614</v>
      </c>
    </row>
    <row r="1200" spans="1:23">
      <c r="A1200" s="3">
        <v>1199</v>
      </c>
      <c r="B1200" s="1" t="s">
        <v>6915</v>
      </c>
      <c r="D1200" s="1" t="s">
        <v>6916</v>
      </c>
      <c r="F1200" s="1" t="s">
        <v>6920</v>
      </c>
      <c r="H1200" s="1" t="s">
        <v>6921</v>
      </c>
      <c r="J1200" s="1" t="s">
        <v>1324</v>
      </c>
      <c r="L1200" s="1" t="s">
        <v>894</v>
      </c>
      <c r="M1200" s="1" t="s">
        <v>4227</v>
      </c>
      <c r="N1200" s="1" t="s">
        <v>6458</v>
      </c>
      <c r="P1200" s="1" t="s">
        <v>4235</v>
      </c>
      <c r="Q1200" s="3">
        <v>0</v>
      </c>
      <c r="R1200" s="22" t="s">
        <v>2721</v>
      </c>
      <c r="S1200" s="42" t="s">
        <v>6910</v>
      </c>
      <c r="T1200" s="3" t="s">
        <v>4868</v>
      </c>
      <c r="U1200" s="45">
        <v>35</v>
      </c>
      <c r="V1200" t="s">
        <v>6919</v>
      </c>
      <c r="W1200" s="1" t="str">
        <f>HYPERLINK("http://ictvonline.org/taxonomy/p/taxonomy-history?taxnode_id=201900616","ICTVonline=201900616")</f>
        <v>ICTVonline=201900616</v>
      </c>
    </row>
    <row r="1201" spans="1:23">
      <c r="A1201" s="3">
        <v>1200</v>
      </c>
      <c r="B1201" s="1" t="s">
        <v>6915</v>
      </c>
      <c r="D1201" s="1" t="s">
        <v>6916</v>
      </c>
      <c r="F1201" s="1" t="s">
        <v>6920</v>
      </c>
      <c r="H1201" s="1" t="s">
        <v>6921</v>
      </c>
      <c r="J1201" s="1" t="s">
        <v>1324</v>
      </c>
      <c r="L1201" s="1" t="s">
        <v>894</v>
      </c>
      <c r="M1201" s="1" t="s">
        <v>4227</v>
      </c>
      <c r="N1201" s="1" t="s">
        <v>6458</v>
      </c>
      <c r="P1201" s="1" t="s">
        <v>4236</v>
      </c>
      <c r="Q1201" s="3">
        <v>0</v>
      </c>
      <c r="R1201" s="22" t="s">
        <v>2721</v>
      </c>
      <c r="S1201" s="42" t="s">
        <v>6910</v>
      </c>
      <c r="T1201" s="3" t="s">
        <v>4868</v>
      </c>
      <c r="U1201" s="45">
        <v>35</v>
      </c>
      <c r="V1201" t="s">
        <v>6919</v>
      </c>
      <c r="W1201" s="1" t="str">
        <f>HYPERLINK("http://ictvonline.org/taxonomy/p/taxonomy-history?taxnode_id=201900617","ICTVonline=201900617")</f>
        <v>ICTVonline=201900617</v>
      </c>
    </row>
    <row r="1202" spans="1:23">
      <c r="A1202" s="3">
        <v>1201</v>
      </c>
      <c r="B1202" s="1" t="s">
        <v>6915</v>
      </c>
      <c r="D1202" s="1" t="s">
        <v>6916</v>
      </c>
      <c r="F1202" s="1" t="s">
        <v>6920</v>
      </c>
      <c r="H1202" s="1" t="s">
        <v>6921</v>
      </c>
      <c r="J1202" s="1" t="s">
        <v>1324</v>
      </c>
      <c r="L1202" s="1" t="s">
        <v>894</v>
      </c>
      <c r="M1202" s="1" t="s">
        <v>4227</v>
      </c>
      <c r="N1202" s="1" t="s">
        <v>6458</v>
      </c>
      <c r="P1202" s="1" t="s">
        <v>4237</v>
      </c>
      <c r="Q1202" s="3">
        <v>1</v>
      </c>
      <c r="R1202" s="22" t="s">
        <v>2721</v>
      </c>
      <c r="S1202" s="42" t="s">
        <v>6910</v>
      </c>
      <c r="T1202" s="3" t="s">
        <v>4868</v>
      </c>
      <c r="U1202" s="45">
        <v>35</v>
      </c>
      <c r="V1202" t="s">
        <v>6919</v>
      </c>
      <c r="W1202" s="1" t="str">
        <f>HYPERLINK("http://ictvonline.org/taxonomy/p/taxonomy-history?taxnode_id=201900618","ICTVonline=201900618")</f>
        <v>ICTVonline=201900618</v>
      </c>
    </row>
    <row r="1203" spans="1:23">
      <c r="A1203" s="3">
        <v>1202</v>
      </c>
      <c r="B1203" s="1" t="s">
        <v>6915</v>
      </c>
      <c r="D1203" s="1" t="s">
        <v>6916</v>
      </c>
      <c r="F1203" s="1" t="s">
        <v>6920</v>
      </c>
      <c r="H1203" s="1" t="s">
        <v>6921</v>
      </c>
      <c r="J1203" s="1" t="s">
        <v>1324</v>
      </c>
      <c r="L1203" s="1" t="s">
        <v>894</v>
      </c>
      <c r="M1203" s="1" t="s">
        <v>4227</v>
      </c>
      <c r="N1203" s="1" t="s">
        <v>6458</v>
      </c>
      <c r="P1203" s="1" t="s">
        <v>4238</v>
      </c>
      <c r="Q1203" s="3">
        <v>0</v>
      </c>
      <c r="R1203" s="22" t="s">
        <v>2721</v>
      </c>
      <c r="S1203" s="42" t="s">
        <v>6910</v>
      </c>
      <c r="T1203" s="3" t="s">
        <v>4868</v>
      </c>
      <c r="U1203" s="45">
        <v>35</v>
      </c>
      <c r="V1203" t="s">
        <v>6919</v>
      </c>
      <c r="W1203" s="1" t="str">
        <f>HYPERLINK("http://ictvonline.org/taxonomy/p/taxonomy-history?taxnode_id=201900619","ICTVonline=201900619")</f>
        <v>ICTVonline=201900619</v>
      </c>
    </row>
    <row r="1204" spans="1:23">
      <c r="A1204" s="3">
        <v>1203</v>
      </c>
      <c r="B1204" s="1" t="s">
        <v>6915</v>
      </c>
      <c r="D1204" s="1" t="s">
        <v>6916</v>
      </c>
      <c r="F1204" s="1" t="s">
        <v>6920</v>
      </c>
      <c r="H1204" s="1" t="s">
        <v>6921</v>
      </c>
      <c r="J1204" s="1" t="s">
        <v>1324</v>
      </c>
      <c r="L1204" s="1" t="s">
        <v>894</v>
      </c>
      <c r="M1204" s="1" t="s">
        <v>4227</v>
      </c>
      <c r="N1204" s="1" t="s">
        <v>6459</v>
      </c>
      <c r="P1204" s="1" t="s">
        <v>4228</v>
      </c>
      <c r="Q1204" s="3">
        <v>0</v>
      </c>
      <c r="R1204" s="22" t="s">
        <v>2721</v>
      </c>
      <c r="S1204" s="42" t="s">
        <v>6910</v>
      </c>
      <c r="T1204" s="3" t="s">
        <v>4868</v>
      </c>
      <c r="U1204" s="45">
        <v>35</v>
      </c>
      <c r="V1204" t="s">
        <v>6919</v>
      </c>
      <c r="W1204" s="1" t="str">
        <f>HYPERLINK("http://ictvonline.org/taxonomy/p/taxonomy-history?taxnode_id=201900607","ICTVonline=201900607")</f>
        <v>ICTVonline=201900607</v>
      </c>
    </row>
    <row r="1205" spans="1:23">
      <c r="A1205" s="3">
        <v>1204</v>
      </c>
      <c r="B1205" s="1" t="s">
        <v>6915</v>
      </c>
      <c r="D1205" s="1" t="s">
        <v>6916</v>
      </c>
      <c r="F1205" s="1" t="s">
        <v>6920</v>
      </c>
      <c r="H1205" s="1" t="s">
        <v>6921</v>
      </c>
      <c r="J1205" s="1" t="s">
        <v>1324</v>
      </c>
      <c r="L1205" s="1" t="s">
        <v>894</v>
      </c>
      <c r="M1205" s="1" t="s">
        <v>4227</v>
      </c>
      <c r="N1205" s="1" t="s">
        <v>6459</v>
      </c>
      <c r="P1205" s="1" t="s">
        <v>4229</v>
      </c>
      <c r="Q1205" s="3">
        <v>1</v>
      </c>
      <c r="R1205" s="22" t="s">
        <v>2721</v>
      </c>
      <c r="S1205" s="42" t="s">
        <v>6910</v>
      </c>
      <c r="T1205" s="3" t="s">
        <v>4868</v>
      </c>
      <c r="U1205" s="45">
        <v>35</v>
      </c>
      <c r="V1205" t="s">
        <v>6919</v>
      </c>
      <c r="W1205" s="1" t="str">
        <f>HYPERLINK("http://ictvonline.org/taxonomy/p/taxonomy-history?taxnode_id=201900608","ICTVonline=201900608")</f>
        <v>ICTVonline=201900608</v>
      </c>
    </row>
    <row r="1206" spans="1:23">
      <c r="A1206" s="3">
        <v>1205</v>
      </c>
      <c r="B1206" s="1" t="s">
        <v>6915</v>
      </c>
      <c r="D1206" s="1" t="s">
        <v>6916</v>
      </c>
      <c r="F1206" s="1" t="s">
        <v>6920</v>
      </c>
      <c r="H1206" s="1" t="s">
        <v>6921</v>
      </c>
      <c r="J1206" s="1" t="s">
        <v>1324</v>
      </c>
      <c r="L1206" s="1" t="s">
        <v>894</v>
      </c>
      <c r="M1206" s="1" t="s">
        <v>4227</v>
      </c>
      <c r="N1206" s="1" t="s">
        <v>6459</v>
      </c>
      <c r="P1206" s="1" t="s">
        <v>4230</v>
      </c>
      <c r="Q1206" s="3">
        <v>0</v>
      </c>
      <c r="R1206" s="22" t="s">
        <v>2721</v>
      </c>
      <c r="S1206" s="42" t="s">
        <v>6910</v>
      </c>
      <c r="T1206" s="3" t="s">
        <v>4868</v>
      </c>
      <c r="U1206" s="45">
        <v>35</v>
      </c>
      <c r="V1206" t="s">
        <v>6919</v>
      </c>
      <c r="W1206" s="1" t="str">
        <f>HYPERLINK("http://ictvonline.org/taxonomy/p/taxonomy-history?taxnode_id=201900609","ICTVonline=201900609")</f>
        <v>ICTVonline=201900609</v>
      </c>
    </row>
    <row r="1207" spans="1:23">
      <c r="A1207" s="3">
        <v>1206</v>
      </c>
      <c r="B1207" s="1" t="s">
        <v>6915</v>
      </c>
      <c r="D1207" s="1" t="s">
        <v>6916</v>
      </c>
      <c r="F1207" s="1" t="s">
        <v>6920</v>
      </c>
      <c r="H1207" s="1" t="s">
        <v>6921</v>
      </c>
      <c r="J1207" s="1" t="s">
        <v>1324</v>
      </c>
      <c r="L1207" s="1" t="s">
        <v>894</v>
      </c>
      <c r="M1207" s="1" t="s">
        <v>4227</v>
      </c>
      <c r="N1207" s="1" t="s">
        <v>6459</v>
      </c>
      <c r="P1207" s="1" t="s">
        <v>4231</v>
      </c>
      <c r="Q1207" s="3">
        <v>0</v>
      </c>
      <c r="R1207" s="22" t="s">
        <v>2721</v>
      </c>
      <c r="S1207" s="42" t="s">
        <v>6910</v>
      </c>
      <c r="T1207" s="3" t="s">
        <v>4868</v>
      </c>
      <c r="U1207" s="45">
        <v>35</v>
      </c>
      <c r="V1207" t="s">
        <v>6919</v>
      </c>
      <c r="W1207" s="1" t="str">
        <f>HYPERLINK("http://ictvonline.org/taxonomy/p/taxonomy-history?taxnode_id=201900610","ICTVonline=201900610")</f>
        <v>ICTVonline=201900610</v>
      </c>
    </row>
    <row r="1208" spans="1:23">
      <c r="A1208" s="3">
        <v>1207</v>
      </c>
      <c r="B1208" s="1" t="s">
        <v>6915</v>
      </c>
      <c r="D1208" s="1" t="s">
        <v>6916</v>
      </c>
      <c r="F1208" s="1" t="s">
        <v>6920</v>
      </c>
      <c r="H1208" s="1" t="s">
        <v>6921</v>
      </c>
      <c r="J1208" s="1" t="s">
        <v>1324</v>
      </c>
      <c r="L1208" s="1" t="s">
        <v>894</v>
      </c>
      <c r="M1208" s="1" t="s">
        <v>4227</v>
      </c>
      <c r="N1208" s="1" t="s">
        <v>6459</v>
      </c>
      <c r="P1208" s="1" t="s">
        <v>4232</v>
      </c>
      <c r="Q1208" s="3">
        <v>0</v>
      </c>
      <c r="R1208" s="22" t="s">
        <v>2721</v>
      </c>
      <c r="S1208" s="42" t="s">
        <v>6910</v>
      </c>
      <c r="T1208" s="3" t="s">
        <v>4868</v>
      </c>
      <c r="U1208" s="45">
        <v>35</v>
      </c>
      <c r="V1208" t="s">
        <v>6919</v>
      </c>
      <c r="W1208" s="1" t="str">
        <f>HYPERLINK("http://ictvonline.org/taxonomy/p/taxonomy-history?taxnode_id=201900611","ICTVonline=201900611")</f>
        <v>ICTVonline=201900611</v>
      </c>
    </row>
    <row r="1209" spans="1:23">
      <c r="A1209" s="3">
        <v>1208</v>
      </c>
      <c r="B1209" s="1" t="s">
        <v>6915</v>
      </c>
      <c r="D1209" s="1" t="s">
        <v>6916</v>
      </c>
      <c r="F1209" s="1" t="s">
        <v>6920</v>
      </c>
      <c r="H1209" s="1" t="s">
        <v>6921</v>
      </c>
      <c r="J1209" s="1" t="s">
        <v>1324</v>
      </c>
      <c r="L1209" s="1" t="s">
        <v>894</v>
      </c>
      <c r="N1209" s="1" t="s">
        <v>6462</v>
      </c>
      <c r="P1209" s="1" t="s">
        <v>4957</v>
      </c>
      <c r="Q1209" s="3">
        <v>1</v>
      </c>
      <c r="R1209" s="22" t="s">
        <v>2721</v>
      </c>
      <c r="S1209" s="42" t="s">
        <v>6910</v>
      </c>
      <c r="T1209" s="3" t="s">
        <v>4868</v>
      </c>
      <c r="U1209" s="45">
        <v>35</v>
      </c>
      <c r="V1209" t="s">
        <v>6919</v>
      </c>
      <c r="W1209" s="1" t="str">
        <f>HYPERLINK("http://ictvonline.org/taxonomy/p/taxonomy-history?taxnode_id=201905488","ICTVonline=201905488")</f>
        <v>ICTVonline=201905488</v>
      </c>
    </row>
    <row r="1210" spans="1:23">
      <c r="A1210" s="3">
        <v>1209</v>
      </c>
      <c r="B1210" s="1" t="s">
        <v>6915</v>
      </c>
      <c r="D1210" s="1" t="s">
        <v>6916</v>
      </c>
      <c r="F1210" s="1" t="s">
        <v>6920</v>
      </c>
      <c r="H1210" s="1" t="s">
        <v>6921</v>
      </c>
      <c r="J1210" s="1" t="s">
        <v>1324</v>
      </c>
      <c r="L1210" s="1" t="s">
        <v>894</v>
      </c>
      <c r="N1210" s="1" t="s">
        <v>6466</v>
      </c>
      <c r="P1210" s="1" t="s">
        <v>6467</v>
      </c>
      <c r="Q1210" s="3">
        <v>1</v>
      </c>
      <c r="R1210" s="22" t="s">
        <v>2721</v>
      </c>
      <c r="S1210" s="42" t="s">
        <v>6910</v>
      </c>
      <c r="T1210" s="3" t="s">
        <v>4868</v>
      </c>
      <c r="U1210" s="45">
        <v>35</v>
      </c>
      <c r="V1210" t="s">
        <v>6919</v>
      </c>
      <c r="W1210" s="1" t="str">
        <f>HYPERLINK("http://ictvonline.org/taxonomy/p/taxonomy-history?taxnode_id=201906806","ICTVonline=201906806")</f>
        <v>ICTVonline=201906806</v>
      </c>
    </row>
    <row r="1211" spans="1:23">
      <c r="A1211" s="3">
        <v>1210</v>
      </c>
      <c r="B1211" s="1" t="s">
        <v>6915</v>
      </c>
      <c r="D1211" s="1" t="s">
        <v>6916</v>
      </c>
      <c r="F1211" s="1" t="s">
        <v>6920</v>
      </c>
      <c r="H1211" s="1" t="s">
        <v>6921</v>
      </c>
      <c r="J1211" s="1" t="s">
        <v>1324</v>
      </c>
      <c r="L1211" s="1" t="s">
        <v>894</v>
      </c>
      <c r="N1211" s="1" t="s">
        <v>6468</v>
      </c>
      <c r="P1211" s="1" t="s">
        <v>2997</v>
      </c>
      <c r="Q1211" s="3">
        <v>0</v>
      </c>
      <c r="R1211" s="22" t="s">
        <v>2721</v>
      </c>
      <c r="S1211" s="42" t="s">
        <v>6910</v>
      </c>
      <c r="T1211" s="3" t="s">
        <v>4868</v>
      </c>
      <c r="U1211" s="45">
        <v>35</v>
      </c>
      <c r="V1211" t="s">
        <v>6919</v>
      </c>
      <c r="W1211" s="1" t="str">
        <f>HYPERLINK("http://ictvonline.org/taxonomy/p/taxonomy-history?taxnode_id=201900661","ICTVonline=201900661")</f>
        <v>ICTVonline=201900661</v>
      </c>
    </row>
    <row r="1212" spans="1:23">
      <c r="A1212" s="3">
        <v>1211</v>
      </c>
      <c r="B1212" s="1" t="s">
        <v>6915</v>
      </c>
      <c r="D1212" s="1" t="s">
        <v>6916</v>
      </c>
      <c r="F1212" s="1" t="s">
        <v>6920</v>
      </c>
      <c r="H1212" s="1" t="s">
        <v>6921</v>
      </c>
      <c r="J1212" s="1" t="s">
        <v>1324</v>
      </c>
      <c r="L1212" s="1" t="s">
        <v>894</v>
      </c>
      <c r="N1212" s="1" t="s">
        <v>6468</v>
      </c>
      <c r="P1212" s="1" t="s">
        <v>2998</v>
      </c>
      <c r="Q1212" s="3">
        <v>0</v>
      </c>
      <c r="R1212" s="22" t="s">
        <v>2721</v>
      </c>
      <c r="S1212" s="42" t="s">
        <v>6910</v>
      </c>
      <c r="T1212" s="3" t="s">
        <v>4868</v>
      </c>
      <c r="U1212" s="45">
        <v>35</v>
      </c>
      <c r="V1212" t="s">
        <v>6919</v>
      </c>
      <c r="W1212" s="1" t="str">
        <f>HYPERLINK("http://ictvonline.org/taxonomy/p/taxonomy-history?taxnode_id=201900662","ICTVonline=201900662")</f>
        <v>ICTVonline=201900662</v>
      </c>
    </row>
    <row r="1213" spans="1:23">
      <c r="A1213" s="3">
        <v>1212</v>
      </c>
      <c r="B1213" s="1" t="s">
        <v>6915</v>
      </c>
      <c r="D1213" s="1" t="s">
        <v>6916</v>
      </c>
      <c r="F1213" s="1" t="s">
        <v>6920</v>
      </c>
      <c r="H1213" s="1" t="s">
        <v>6921</v>
      </c>
      <c r="J1213" s="1" t="s">
        <v>1324</v>
      </c>
      <c r="L1213" s="1" t="s">
        <v>894</v>
      </c>
      <c r="N1213" s="1" t="s">
        <v>6468</v>
      </c>
      <c r="P1213" s="1" t="s">
        <v>2999</v>
      </c>
      <c r="Q1213" s="3">
        <v>1</v>
      </c>
      <c r="R1213" s="22" t="s">
        <v>2721</v>
      </c>
      <c r="S1213" s="42" t="s">
        <v>6910</v>
      </c>
      <c r="T1213" s="3" t="s">
        <v>4868</v>
      </c>
      <c r="U1213" s="45">
        <v>35</v>
      </c>
      <c r="V1213" t="s">
        <v>6919</v>
      </c>
      <c r="W1213" s="1" t="str">
        <f>HYPERLINK("http://ictvonline.org/taxonomy/p/taxonomy-history?taxnode_id=201900663","ICTVonline=201900663")</f>
        <v>ICTVonline=201900663</v>
      </c>
    </row>
    <row r="1214" spans="1:23">
      <c r="A1214" s="3">
        <v>1213</v>
      </c>
      <c r="B1214" s="1" t="s">
        <v>6915</v>
      </c>
      <c r="D1214" s="1" t="s">
        <v>6916</v>
      </c>
      <c r="F1214" s="1" t="s">
        <v>6920</v>
      </c>
      <c r="H1214" s="1" t="s">
        <v>6921</v>
      </c>
      <c r="J1214" s="1" t="s">
        <v>1324</v>
      </c>
      <c r="L1214" s="1" t="s">
        <v>894</v>
      </c>
      <c r="N1214" s="1" t="s">
        <v>6468</v>
      </c>
      <c r="P1214" s="1" t="s">
        <v>3000</v>
      </c>
      <c r="Q1214" s="3">
        <v>0</v>
      </c>
      <c r="R1214" s="22" t="s">
        <v>2721</v>
      </c>
      <c r="S1214" s="42" t="s">
        <v>6910</v>
      </c>
      <c r="T1214" s="3" t="s">
        <v>4868</v>
      </c>
      <c r="U1214" s="45">
        <v>35</v>
      </c>
      <c r="V1214" t="s">
        <v>6919</v>
      </c>
      <c r="W1214" s="1" t="str">
        <f>HYPERLINK("http://ictvonline.org/taxonomy/p/taxonomy-history?taxnode_id=201900664","ICTVonline=201900664")</f>
        <v>ICTVonline=201900664</v>
      </c>
    </row>
    <row r="1215" spans="1:23">
      <c r="A1215" s="3">
        <v>1214</v>
      </c>
      <c r="B1215" s="1" t="s">
        <v>6915</v>
      </c>
      <c r="D1215" s="1" t="s">
        <v>6916</v>
      </c>
      <c r="F1215" s="1" t="s">
        <v>6920</v>
      </c>
      <c r="H1215" s="1" t="s">
        <v>6921</v>
      </c>
      <c r="J1215" s="1" t="s">
        <v>1324</v>
      </c>
      <c r="L1215" s="1" t="s">
        <v>894</v>
      </c>
      <c r="N1215" s="1" t="s">
        <v>6468</v>
      </c>
      <c r="P1215" s="1" t="s">
        <v>3001</v>
      </c>
      <c r="Q1215" s="3">
        <v>0</v>
      </c>
      <c r="R1215" s="22" t="s">
        <v>2721</v>
      </c>
      <c r="S1215" s="42" t="s">
        <v>6910</v>
      </c>
      <c r="T1215" s="3" t="s">
        <v>4868</v>
      </c>
      <c r="U1215" s="45">
        <v>35</v>
      </c>
      <c r="V1215" t="s">
        <v>6919</v>
      </c>
      <c r="W1215" s="1" t="str">
        <f>HYPERLINK("http://ictvonline.org/taxonomy/p/taxonomy-history?taxnode_id=201900665","ICTVonline=201900665")</f>
        <v>ICTVonline=201900665</v>
      </c>
    </row>
    <row r="1216" spans="1:23">
      <c r="A1216" s="3">
        <v>1215</v>
      </c>
      <c r="B1216" s="1" t="s">
        <v>6915</v>
      </c>
      <c r="D1216" s="1" t="s">
        <v>6916</v>
      </c>
      <c r="F1216" s="1" t="s">
        <v>6920</v>
      </c>
      <c r="H1216" s="1" t="s">
        <v>6921</v>
      </c>
      <c r="J1216" s="1" t="s">
        <v>1324</v>
      </c>
      <c r="L1216" s="1" t="s">
        <v>894</v>
      </c>
      <c r="N1216" s="1" t="s">
        <v>6468</v>
      </c>
      <c r="P1216" s="1" t="s">
        <v>3002</v>
      </c>
      <c r="Q1216" s="3">
        <v>0</v>
      </c>
      <c r="R1216" s="22" t="s">
        <v>2721</v>
      </c>
      <c r="S1216" s="42" t="s">
        <v>6910</v>
      </c>
      <c r="T1216" s="3" t="s">
        <v>4868</v>
      </c>
      <c r="U1216" s="45">
        <v>35</v>
      </c>
      <c r="V1216" t="s">
        <v>6919</v>
      </c>
      <c r="W1216" s="1" t="str">
        <f>HYPERLINK("http://ictvonline.org/taxonomy/p/taxonomy-history?taxnode_id=201900666","ICTVonline=201900666")</f>
        <v>ICTVonline=201900666</v>
      </c>
    </row>
    <row r="1217" spans="1:23">
      <c r="A1217" s="3">
        <v>1216</v>
      </c>
      <c r="B1217" s="1" t="s">
        <v>6915</v>
      </c>
      <c r="D1217" s="1" t="s">
        <v>6916</v>
      </c>
      <c r="F1217" s="1" t="s">
        <v>6920</v>
      </c>
      <c r="H1217" s="1" t="s">
        <v>6921</v>
      </c>
      <c r="J1217" s="1" t="s">
        <v>1324</v>
      </c>
      <c r="L1217" s="1" t="s">
        <v>894</v>
      </c>
      <c r="N1217" s="1" t="s">
        <v>6468</v>
      </c>
      <c r="P1217" s="1" t="s">
        <v>3003</v>
      </c>
      <c r="Q1217" s="3">
        <v>0</v>
      </c>
      <c r="R1217" s="22" t="s">
        <v>2721</v>
      </c>
      <c r="S1217" s="42" t="s">
        <v>6910</v>
      </c>
      <c r="T1217" s="3" t="s">
        <v>4868</v>
      </c>
      <c r="U1217" s="45">
        <v>35</v>
      </c>
      <c r="V1217" t="s">
        <v>6919</v>
      </c>
      <c r="W1217" s="1" t="str">
        <f>HYPERLINK("http://ictvonline.org/taxonomy/p/taxonomy-history?taxnode_id=201900667","ICTVonline=201900667")</f>
        <v>ICTVonline=201900667</v>
      </c>
    </row>
    <row r="1218" spans="1:23">
      <c r="A1218" s="3">
        <v>1217</v>
      </c>
      <c r="B1218" s="1" t="s">
        <v>6915</v>
      </c>
      <c r="D1218" s="1" t="s">
        <v>6916</v>
      </c>
      <c r="F1218" s="1" t="s">
        <v>6920</v>
      </c>
      <c r="H1218" s="1" t="s">
        <v>6921</v>
      </c>
      <c r="J1218" s="1" t="s">
        <v>1324</v>
      </c>
      <c r="L1218" s="1" t="s">
        <v>894</v>
      </c>
      <c r="N1218" s="1" t="s">
        <v>6469</v>
      </c>
      <c r="P1218" s="1" t="s">
        <v>3029</v>
      </c>
      <c r="Q1218" s="3">
        <v>0</v>
      </c>
      <c r="R1218" s="22" t="s">
        <v>2721</v>
      </c>
      <c r="S1218" s="42" t="s">
        <v>6910</v>
      </c>
      <c r="T1218" s="3" t="s">
        <v>4868</v>
      </c>
      <c r="U1218" s="45">
        <v>35</v>
      </c>
      <c r="V1218" t="s">
        <v>6919</v>
      </c>
      <c r="W1218" s="1" t="str">
        <f>HYPERLINK("http://ictvonline.org/taxonomy/p/taxonomy-history?taxnode_id=201900710","ICTVonline=201900710")</f>
        <v>ICTVonline=201900710</v>
      </c>
    </row>
    <row r="1219" spans="1:23">
      <c r="A1219" s="3">
        <v>1218</v>
      </c>
      <c r="B1219" s="1" t="s">
        <v>6915</v>
      </c>
      <c r="D1219" s="1" t="s">
        <v>6916</v>
      </c>
      <c r="F1219" s="1" t="s">
        <v>6920</v>
      </c>
      <c r="H1219" s="1" t="s">
        <v>6921</v>
      </c>
      <c r="J1219" s="1" t="s">
        <v>1324</v>
      </c>
      <c r="L1219" s="1" t="s">
        <v>894</v>
      </c>
      <c r="N1219" s="1" t="s">
        <v>6469</v>
      </c>
      <c r="P1219" s="1" t="s">
        <v>3030</v>
      </c>
      <c r="Q1219" s="3">
        <v>0</v>
      </c>
      <c r="R1219" s="22" t="s">
        <v>2721</v>
      </c>
      <c r="S1219" s="42" t="s">
        <v>6910</v>
      </c>
      <c r="T1219" s="3" t="s">
        <v>4868</v>
      </c>
      <c r="U1219" s="45">
        <v>35</v>
      </c>
      <c r="V1219" t="s">
        <v>6919</v>
      </c>
      <c r="W1219" s="1" t="str">
        <f>HYPERLINK("http://ictvonline.org/taxonomy/p/taxonomy-history?taxnode_id=201900711","ICTVonline=201900711")</f>
        <v>ICTVonline=201900711</v>
      </c>
    </row>
    <row r="1220" spans="1:23">
      <c r="A1220" s="3">
        <v>1219</v>
      </c>
      <c r="B1220" s="1" t="s">
        <v>6915</v>
      </c>
      <c r="D1220" s="1" t="s">
        <v>6916</v>
      </c>
      <c r="F1220" s="1" t="s">
        <v>6920</v>
      </c>
      <c r="H1220" s="1" t="s">
        <v>6921</v>
      </c>
      <c r="J1220" s="1" t="s">
        <v>1324</v>
      </c>
      <c r="L1220" s="1" t="s">
        <v>894</v>
      </c>
      <c r="N1220" s="1" t="s">
        <v>6469</v>
      </c>
      <c r="P1220" s="1" t="s">
        <v>3031</v>
      </c>
      <c r="Q1220" s="3">
        <v>1</v>
      </c>
      <c r="R1220" s="22" t="s">
        <v>2721</v>
      </c>
      <c r="S1220" s="42" t="s">
        <v>6910</v>
      </c>
      <c r="T1220" s="3" t="s">
        <v>4868</v>
      </c>
      <c r="U1220" s="45">
        <v>35</v>
      </c>
      <c r="V1220" t="s">
        <v>6919</v>
      </c>
      <c r="W1220" s="1" t="str">
        <f>HYPERLINK("http://ictvonline.org/taxonomy/p/taxonomy-history?taxnode_id=201900712","ICTVonline=201900712")</f>
        <v>ICTVonline=201900712</v>
      </c>
    </row>
    <row r="1221" spans="1:23">
      <c r="A1221" s="3">
        <v>1220</v>
      </c>
      <c r="B1221" s="1" t="s">
        <v>6915</v>
      </c>
      <c r="D1221" s="1" t="s">
        <v>6916</v>
      </c>
      <c r="F1221" s="1" t="s">
        <v>6920</v>
      </c>
      <c r="H1221" s="1" t="s">
        <v>6921</v>
      </c>
      <c r="J1221" s="1" t="s">
        <v>1324</v>
      </c>
      <c r="L1221" s="1" t="s">
        <v>894</v>
      </c>
      <c r="N1221" s="1" t="s">
        <v>6470</v>
      </c>
      <c r="P1221" s="1" t="s">
        <v>3004</v>
      </c>
      <c r="Q1221" s="3">
        <v>1</v>
      </c>
      <c r="R1221" s="22" t="s">
        <v>2721</v>
      </c>
      <c r="S1221" s="42" t="s">
        <v>6910</v>
      </c>
      <c r="T1221" s="3" t="s">
        <v>4868</v>
      </c>
      <c r="U1221" s="45">
        <v>35</v>
      </c>
      <c r="V1221" t="s">
        <v>6919</v>
      </c>
      <c r="W1221" s="1" t="str">
        <f>HYPERLINK("http://ictvonline.org/taxonomy/p/taxonomy-history?taxnode_id=201900672","ICTVonline=201900672")</f>
        <v>ICTVonline=201900672</v>
      </c>
    </row>
    <row r="1222" spans="1:23">
      <c r="A1222" s="3">
        <v>1221</v>
      </c>
      <c r="B1222" s="1" t="s">
        <v>6915</v>
      </c>
      <c r="D1222" s="1" t="s">
        <v>6916</v>
      </c>
      <c r="F1222" s="1" t="s">
        <v>6920</v>
      </c>
      <c r="H1222" s="1" t="s">
        <v>6921</v>
      </c>
      <c r="J1222" s="1" t="s">
        <v>1324</v>
      </c>
      <c r="L1222" s="1" t="s">
        <v>894</v>
      </c>
      <c r="N1222" s="1" t="s">
        <v>6471</v>
      </c>
      <c r="P1222" s="1" t="s">
        <v>6472</v>
      </c>
      <c r="Q1222" s="3">
        <v>1</v>
      </c>
      <c r="R1222" s="22" t="s">
        <v>2721</v>
      </c>
      <c r="S1222" s="42" t="s">
        <v>6910</v>
      </c>
      <c r="T1222" s="3" t="s">
        <v>4868</v>
      </c>
      <c r="U1222" s="45">
        <v>35</v>
      </c>
      <c r="V1222" t="s">
        <v>6919</v>
      </c>
      <c r="W1222" s="1" t="str">
        <f>HYPERLINK("http://ictvonline.org/taxonomy/p/taxonomy-history?taxnode_id=201906952","ICTVonline=201906952")</f>
        <v>ICTVonline=201906952</v>
      </c>
    </row>
    <row r="1223" spans="1:23">
      <c r="A1223" s="3">
        <v>1222</v>
      </c>
      <c r="B1223" s="1" t="s">
        <v>6915</v>
      </c>
      <c r="D1223" s="1" t="s">
        <v>6916</v>
      </c>
      <c r="F1223" s="1" t="s">
        <v>6920</v>
      </c>
      <c r="H1223" s="1" t="s">
        <v>6921</v>
      </c>
      <c r="J1223" s="1" t="s">
        <v>1324</v>
      </c>
      <c r="L1223" s="1" t="s">
        <v>894</v>
      </c>
      <c r="N1223" s="1" t="s">
        <v>6471</v>
      </c>
      <c r="P1223" s="1" t="s">
        <v>6473</v>
      </c>
      <c r="Q1223" s="3">
        <v>0</v>
      </c>
      <c r="R1223" s="22" t="s">
        <v>2721</v>
      </c>
      <c r="S1223" s="42" t="s">
        <v>6910</v>
      </c>
      <c r="T1223" s="3" t="s">
        <v>4868</v>
      </c>
      <c r="U1223" s="45">
        <v>35</v>
      </c>
      <c r="V1223" t="s">
        <v>6919</v>
      </c>
      <c r="W1223" s="1" t="str">
        <f>HYPERLINK("http://ictvonline.org/taxonomy/p/taxonomy-history?taxnode_id=201906953","ICTVonline=201906953")</f>
        <v>ICTVonline=201906953</v>
      </c>
    </row>
    <row r="1224" spans="1:23">
      <c r="A1224" s="3">
        <v>1223</v>
      </c>
      <c r="B1224" s="1" t="s">
        <v>6915</v>
      </c>
      <c r="D1224" s="1" t="s">
        <v>6916</v>
      </c>
      <c r="F1224" s="1" t="s">
        <v>6920</v>
      </c>
      <c r="H1224" s="1" t="s">
        <v>6921</v>
      </c>
      <c r="J1224" s="1" t="s">
        <v>1324</v>
      </c>
      <c r="L1224" s="1" t="s">
        <v>894</v>
      </c>
      <c r="N1224" s="1" t="s">
        <v>7739</v>
      </c>
      <c r="P1224" s="1" t="s">
        <v>2964</v>
      </c>
      <c r="Q1224" s="3">
        <v>1</v>
      </c>
      <c r="R1224" s="22" t="s">
        <v>2721</v>
      </c>
      <c r="S1224" s="42" t="s">
        <v>6914</v>
      </c>
      <c r="T1224" s="3" t="s">
        <v>4871</v>
      </c>
      <c r="U1224" s="45">
        <v>35</v>
      </c>
      <c r="V1224" t="s">
        <v>7726</v>
      </c>
      <c r="W1224" s="1" t="str">
        <f>HYPERLINK("http://ictvonline.org/taxonomy/p/taxonomy-history?taxnode_id=201900596","ICTVonline=201900596")</f>
        <v>ICTVonline=201900596</v>
      </c>
    </row>
    <row r="1225" spans="1:23">
      <c r="A1225" s="3">
        <v>1224</v>
      </c>
      <c r="B1225" s="1" t="s">
        <v>6915</v>
      </c>
      <c r="D1225" s="1" t="s">
        <v>6916</v>
      </c>
      <c r="F1225" s="1" t="s">
        <v>6920</v>
      </c>
      <c r="H1225" s="1" t="s">
        <v>6921</v>
      </c>
      <c r="J1225" s="1" t="s">
        <v>1324</v>
      </c>
      <c r="L1225" s="1" t="s">
        <v>894</v>
      </c>
      <c r="N1225" s="1" t="s">
        <v>6474</v>
      </c>
      <c r="P1225" s="1" t="s">
        <v>2986</v>
      </c>
      <c r="Q1225" s="3">
        <v>0</v>
      </c>
      <c r="R1225" s="22" t="s">
        <v>2721</v>
      </c>
      <c r="S1225" s="42" t="s">
        <v>6910</v>
      </c>
      <c r="T1225" s="3" t="s">
        <v>4868</v>
      </c>
      <c r="U1225" s="45">
        <v>35</v>
      </c>
      <c r="V1225" t="s">
        <v>6919</v>
      </c>
      <c r="W1225" s="1" t="str">
        <f>HYPERLINK("http://ictvonline.org/taxonomy/p/taxonomy-history?taxnode_id=201900643","ICTVonline=201900643")</f>
        <v>ICTVonline=201900643</v>
      </c>
    </row>
    <row r="1226" spans="1:23">
      <c r="A1226" s="3">
        <v>1225</v>
      </c>
      <c r="B1226" s="1" t="s">
        <v>6915</v>
      </c>
      <c r="D1226" s="1" t="s">
        <v>6916</v>
      </c>
      <c r="F1226" s="1" t="s">
        <v>6920</v>
      </c>
      <c r="H1226" s="1" t="s">
        <v>6921</v>
      </c>
      <c r="J1226" s="1" t="s">
        <v>1324</v>
      </c>
      <c r="L1226" s="1" t="s">
        <v>894</v>
      </c>
      <c r="N1226" s="1" t="s">
        <v>6474</v>
      </c>
      <c r="P1226" s="1" t="s">
        <v>2987</v>
      </c>
      <c r="Q1226" s="3">
        <v>0</v>
      </c>
      <c r="R1226" s="22" t="s">
        <v>2721</v>
      </c>
      <c r="S1226" s="42" t="s">
        <v>6910</v>
      </c>
      <c r="T1226" s="3" t="s">
        <v>4868</v>
      </c>
      <c r="U1226" s="45">
        <v>35</v>
      </c>
      <c r="V1226" t="s">
        <v>6919</v>
      </c>
      <c r="W1226" s="1" t="str">
        <f>HYPERLINK("http://ictvonline.org/taxonomy/p/taxonomy-history?taxnode_id=201900644","ICTVonline=201900644")</f>
        <v>ICTVonline=201900644</v>
      </c>
    </row>
    <row r="1227" spans="1:23">
      <c r="A1227" s="3">
        <v>1226</v>
      </c>
      <c r="B1227" s="1" t="s">
        <v>6915</v>
      </c>
      <c r="D1227" s="1" t="s">
        <v>6916</v>
      </c>
      <c r="F1227" s="1" t="s">
        <v>6920</v>
      </c>
      <c r="H1227" s="1" t="s">
        <v>6921</v>
      </c>
      <c r="J1227" s="1" t="s">
        <v>1324</v>
      </c>
      <c r="L1227" s="1" t="s">
        <v>894</v>
      </c>
      <c r="N1227" s="1" t="s">
        <v>6474</v>
      </c>
      <c r="P1227" s="1" t="s">
        <v>2988</v>
      </c>
      <c r="Q1227" s="3">
        <v>0</v>
      </c>
      <c r="R1227" s="22" t="s">
        <v>2721</v>
      </c>
      <c r="S1227" s="42" t="s">
        <v>6910</v>
      </c>
      <c r="T1227" s="3" t="s">
        <v>4868</v>
      </c>
      <c r="U1227" s="45">
        <v>35</v>
      </c>
      <c r="V1227" t="s">
        <v>6919</v>
      </c>
      <c r="W1227" s="1" t="str">
        <f>HYPERLINK("http://ictvonline.org/taxonomy/p/taxonomy-history?taxnode_id=201900645","ICTVonline=201900645")</f>
        <v>ICTVonline=201900645</v>
      </c>
    </row>
    <row r="1228" spans="1:23">
      <c r="A1228" s="3">
        <v>1227</v>
      </c>
      <c r="B1228" s="1" t="s">
        <v>6915</v>
      </c>
      <c r="D1228" s="1" t="s">
        <v>6916</v>
      </c>
      <c r="F1228" s="1" t="s">
        <v>6920</v>
      </c>
      <c r="H1228" s="1" t="s">
        <v>6921</v>
      </c>
      <c r="J1228" s="1" t="s">
        <v>1324</v>
      </c>
      <c r="L1228" s="1" t="s">
        <v>894</v>
      </c>
      <c r="N1228" s="1" t="s">
        <v>6474</v>
      </c>
      <c r="P1228" s="1" t="s">
        <v>2989</v>
      </c>
      <c r="Q1228" s="3">
        <v>0</v>
      </c>
      <c r="R1228" s="22" t="s">
        <v>2721</v>
      </c>
      <c r="S1228" s="42" t="s">
        <v>6910</v>
      </c>
      <c r="T1228" s="3" t="s">
        <v>4868</v>
      </c>
      <c r="U1228" s="45">
        <v>35</v>
      </c>
      <c r="V1228" t="s">
        <v>6919</v>
      </c>
      <c r="W1228" s="1" t="str">
        <f>HYPERLINK("http://ictvonline.org/taxonomy/p/taxonomy-history?taxnode_id=201900646","ICTVonline=201900646")</f>
        <v>ICTVonline=201900646</v>
      </c>
    </row>
    <row r="1229" spans="1:23">
      <c r="A1229" s="3">
        <v>1228</v>
      </c>
      <c r="B1229" s="1" t="s">
        <v>6915</v>
      </c>
      <c r="D1229" s="1" t="s">
        <v>6916</v>
      </c>
      <c r="F1229" s="1" t="s">
        <v>6920</v>
      </c>
      <c r="H1229" s="1" t="s">
        <v>6921</v>
      </c>
      <c r="J1229" s="1" t="s">
        <v>1324</v>
      </c>
      <c r="L1229" s="1" t="s">
        <v>894</v>
      </c>
      <c r="N1229" s="1" t="s">
        <v>6474</v>
      </c>
      <c r="P1229" s="1" t="s">
        <v>2990</v>
      </c>
      <c r="Q1229" s="3">
        <v>0</v>
      </c>
      <c r="R1229" s="22" t="s">
        <v>2721</v>
      </c>
      <c r="S1229" s="42" t="s">
        <v>6910</v>
      </c>
      <c r="T1229" s="3" t="s">
        <v>4868</v>
      </c>
      <c r="U1229" s="45">
        <v>35</v>
      </c>
      <c r="V1229" t="s">
        <v>6919</v>
      </c>
      <c r="W1229" s="1" t="str">
        <f>HYPERLINK("http://ictvonline.org/taxonomy/p/taxonomy-history?taxnode_id=201900647","ICTVonline=201900647")</f>
        <v>ICTVonline=201900647</v>
      </c>
    </row>
    <row r="1230" spans="1:23">
      <c r="A1230" s="3">
        <v>1229</v>
      </c>
      <c r="B1230" s="1" t="s">
        <v>6915</v>
      </c>
      <c r="D1230" s="1" t="s">
        <v>6916</v>
      </c>
      <c r="F1230" s="1" t="s">
        <v>6920</v>
      </c>
      <c r="H1230" s="1" t="s">
        <v>6921</v>
      </c>
      <c r="J1230" s="1" t="s">
        <v>1324</v>
      </c>
      <c r="L1230" s="1" t="s">
        <v>894</v>
      </c>
      <c r="N1230" s="1" t="s">
        <v>6474</v>
      </c>
      <c r="P1230" s="1" t="s">
        <v>2991</v>
      </c>
      <c r="Q1230" s="3">
        <v>1</v>
      </c>
      <c r="R1230" s="22" t="s">
        <v>2721</v>
      </c>
      <c r="S1230" s="42" t="s">
        <v>6910</v>
      </c>
      <c r="T1230" s="3" t="s">
        <v>4868</v>
      </c>
      <c r="U1230" s="45">
        <v>35</v>
      </c>
      <c r="V1230" t="s">
        <v>6919</v>
      </c>
      <c r="W1230" s="1" t="str">
        <f>HYPERLINK("http://ictvonline.org/taxonomy/p/taxonomy-history?taxnode_id=201900648","ICTVonline=201900648")</f>
        <v>ICTVonline=201900648</v>
      </c>
    </row>
    <row r="1231" spans="1:23">
      <c r="A1231" s="3">
        <v>1230</v>
      </c>
      <c r="B1231" s="1" t="s">
        <v>6915</v>
      </c>
      <c r="D1231" s="1" t="s">
        <v>6916</v>
      </c>
      <c r="F1231" s="1" t="s">
        <v>6920</v>
      </c>
      <c r="H1231" s="1" t="s">
        <v>6921</v>
      </c>
      <c r="J1231" s="1" t="s">
        <v>1324</v>
      </c>
      <c r="L1231" s="1" t="s">
        <v>894</v>
      </c>
      <c r="N1231" s="1" t="s">
        <v>6474</v>
      </c>
      <c r="P1231" s="1" t="s">
        <v>2992</v>
      </c>
      <c r="Q1231" s="3">
        <v>0</v>
      </c>
      <c r="R1231" s="22" t="s">
        <v>2721</v>
      </c>
      <c r="S1231" s="42" t="s">
        <v>6910</v>
      </c>
      <c r="T1231" s="3" t="s">
        <v>4868</v>
      </c>
      <c r="U1231" s="45">
        <v>35</v>
      </c>
      <c r="V1231" t="s">
        <v>6919</v>
      </c>
      <c r="W1231" s="1" t="str">
        <f>HYPERLINK("http://ictvonline.org/taxonomy/p/taxonomy-history?taxnode_id=201900649","ICTVonline=201900649")</f>
        <v>ICTVonline=201900649</v>
      </c>
    </row>
    <row r="1232" spans="1:23">
      <c r="A1232" s="3">
        <v>1231</v>
      </c>
      <c r="B1232" s="1" t="s">
        <v>6915</v>
      </c>
      <c r="D1232" s="1" t="s">
        <v>6916</v>
      </c>
      <c r="F1232" s="1" t="s">
        <v>6920</v>
      </c>
      <c r="H1232" s="1" t="s">
        <v>6921</v>
      </c>
      <c r="J1232" s="1" t="s">
        <v>1324</v>
      </c>
      <c r="L1232" s="1" t="s">
        <v>894</v>
      </c>
      <c r="N1232" s="1" t="s">
        <v>6474</v>
      </c>
      <c r="P1232" s="1" t="s">
        <v>2993</v>
      </c>
      <c r="Q1232" s="3">
        <v>0</v>
      </c>
      <c r="R1232" s="22" t="s">
        <v>2721</v>
      </c>
      <c r="S1232" s="42" t="s">
        <v>6910</v>
      </c>
      <c r="T1232" s="3" t="s">
        <v>4868</v>
      </c>
      <c r="U1232" s="45">
        <v>35</v>
      </c>
      <c r="V1232" t="s">
        <v>6919</v>
      </c>
      <c r="W1232" s="1" t="str">
        <f>HYPERLINK("http://ictvonline.org/taxonomy/p/taxonomy-history?taxnode_id=201900650","ICTVonline=201900650")</f>
        <v>ICTVonline=201900650</v>
      </c>
    </row>
    <row r="1233" spans="1:23">
      <c r="A1233" s="3">
        <v>1232</v>
      </c>
      <c r="B1233" s="1" t="s">
        <v>6915</v>
      </c>
      <c r="D1233" s="1" t="s">
        <v>6916</v>
      </c>
      <c r="F1233" s="1" t="s">
        <v>6920</v>
      </c>
      <c r="H1233" s="1" t="s">
        <v>6921</v>
      </c>
      <c r="J1233" s="1" t="s">
        <v>1324</v>
      </c>
      <c r="L1233" s="1" t="s">
        <v>894</v>
      </c>
      <c r="N1233" s="1" t="s">
        <v>7740</v>
      </c>
      <c r="P1233" s="1" t="s">
        <v>7741</v>
      </c>
      <c r="Q1233" s="3">
        <v>1</v>
      </c>
      <c r="R1233" s="22" t="s">
        <v>2721</v>
      </c>
      <c r="S1233" s="42" t="s">
        <v>6914</v>
      </c>
      <c r="T1233" s="3" t="s">
        <v>4866</v>
      </c>
      <c r="U1233" s="45">
        <v>35</v>
      </c>
      <c r="V1233" t="s">
        <v>7742</v>
      </c>
      <c r="W1233" s="1" t="str">
        <f>HYPERLINK("http://ictvonline.org/taxonomy/p/taxonomy-history?taxnode_id=201907995","ICTVonline=201907995")</f>
        <v>ICTVonline=201907995</v>
      </c>
    </row>
    <row r="1234" spans="1:23">
      <c r="A1234" s="3">
        <v>1233</v>
      </c>
      <c r="B1234" s="1" t="s">
        <v>6915</v>
      </c>
      <c r="D1234" s="1" t="s">
        <v>6916</v>
      </c>
      <c r="F1234" s="1" t="s">
        <v>6920</v>
      </c>
      <c r="H1234" s="1" t="s">
        <v>6921</v>
      </c>
      <c r="J1234" s="1" t="s">
        <v>1324</v>
      </c>
      <c r="L1234" s="1" t="s">
        <v>894</v>
      </c>
      <c r="N1234" s="1" t="s">
        <v>6475</v>
      </c>
      <c r="P1234" s="1" t="s">
        <v>2982</v>
      </c>
      <c r="Q1234" s="3">
        <v>1</v>
      </c>
      <c r="R1234" s="22" t="s">
        <v>2721</v>
      </c>
      <c r="S1234" s="42" t="s">
        <v>6910</v>
      </c>
      <c r="T1234" s="3" t="s">
        <v>4868</v>
      </c>
      <c r="U1234" s="45">
        <v>35</v>
      </c>
      <c r="V1234" t="s">
        <v>6919</v>
      </c>
      <c r="W1234" s="1" t="str">
        <f>HYPERLINK("http://ictvonline.org/taxonomy/p/taxonomy-history?taxnode_id=201900640","ICTVonline=201900640")</f>
        <v>ICTVonline=201900640</v>
      </c>
    </row>
    <row r="1235" spans="1:23">
      <c r="A1235" s="3">
        <v>1234</v>
      </c>
      <c r="B1235" s="1" t="s">
        <v>6915</v>
      </c>
      <c r="D1235" s="1" t="s">
        <v>6916</v>
      </c>
      <c r="F1235" s="1" t="s">
        <v>6920</v>
      </c>
      <c r="H1235" s="1" t="s">
        <v>6921</v>
      </c>
      <c r="J1235" s="1" t="s">
        <v>1324</v>
      </c>
      <c r="L1235" s="1" t="s">
        <v>894</v>
      </c>
      <c r="N1235" s="1" t="s">
        <v>6475</v>
      </c>
      <c r="P1235" s="1" t="s">
        <v>2983</v>
      </c>
      <c r="Q1235" s="3">
        <v>0</v>
      </c>
      <c r="R1235" s="22" t="s">
        <v>2721</v>
      </c>
      <c r="S1235" s="42" t="s">
        <v>6910</v>
      </c>
      <c r="T1235" s="3" t="s">
        <v>4868</v>
      </c>
      <c r="U1235" s="45">
        <v>35</v>
      </c>
      <c r="V1235" t="s">
        <v>6919</v>
      </c>
      <c r="W1235" s="1" t="str">
        <f>HYPERLINK("http://ictvonline.org/taxonomy/p/taxonomy-history?taxnode_id=201900641","ICTVonline=201900641")</f>
        <v>ICTVonline=201900641</v>
      </c>
    </row>
    <row r="1236" spans="1:23">
      <c r="A1236" s="3">
        <v>1235</v>
      </c>
      <c r="B1236" s="1" t="s">
        <v>6915</v>
      </c>
      <c r="D1236" s="1" t="s">
        <v>6916</v>
      </c>
      <c r="F1236" s="1" t="s">
        <v>6920</v>
      </c>
      <c r="H1236" s="1" t="s">
        <v>6921</v>
      </c>
      <c r="J1236" s="1" t="s">
        <v>1324</v>
      </c>
      <c r="L1236" s="1" t="s">
        <v>894</v>
      </c>
      <c r="N1236" s="1" t="s">
        <v>6476</v>
      </c>
      <c r="P1236" s="1" t="s">
        <v>4962</v>
      </c>
      <c r="Q1236" s="3">
        <v>0</v>
      </c>
      <c r="R1236" s="22" t="s">
        <v>2721</v>
      </c>
      <c r="S1236" s="42" t="s">
        <v>6910</v>
      </c>
      <c r="T1236" s="3" t="s">
        <v>4868</v>
      </c>
      <c r="U1236" s="45">
        <v>35</v>
      </c>
      <c r="V1236" t="s">
        <v>6919</v>
      </c>
      <c r="W1236" s="1" t="str">
        <f>HYPERLINK("http://ictvonline.org/taxonomy/p/taxonomy-history?taxnode_id=201905494","ICTVonline=201905494")</f>
        <v>ICTVonline=201905494</v>
      </c>
    </row>
    <row r="1237" spans="1:23">
      <c r="A1237" s="3">
        <v>1236</v>
      </c>
      <c r="B1237" s="1" t="s">
        <v>6915</v>
      </c>
      <c r="D1237" s="1" t="s">
        <v>6916</v>
      </c>
      <c r="F1237" s="1" t="s">
        <v>6920</v>
      </c>
      <c r="H1237" s="1" t="s">
        <v>6921</v>
      </c>
      <c r="J1237" s="1" t="s">
        <v>1324</v>
      </c>
      <c r="L1237" s="1" t="s">
        <v>894</v>
      </c>
      <c r="N1237" s="1" t="s">
        <v>6476</v>
      </c>
      <c r="P1237" s="1" t="s">
        <v>4963</v>
      </c>
      <c r="Q1237" s="3">
        <v>1</v>
      </c>
      <c r="R1237" s="22" t="s">
        <v>2721</v>
      </c>
      <c r="S1237" s="42" t="s">
        <v>6910</v>
      </c>
      <c r="T1237" s="3" t="s">
        <v>4868</v>
      </c>
      <c r="U1237" s="45">
        <v>35</v>
      </c>
      <c r="V1237" t="s">
        <v>6919</v>
      </c>
      <c r="W1237" s="1" t="str">
        <f>HYPERLINK("http://ictvonline.org/taxonomy/p/taxonomy-history?taxnode_id=201905495","ICTVonline=201905495")</f>
        <v>ICTVonline=201905495</v>
      </c>
    </row>
    <row r="1238" spans="1:23">
      <c r="A1238" s="3">
        <v>1237</v>
      </c>
      <c r="B1238" s="1" t="s">
        <v>6915</v>
      </c>
      <c r="D1238" s="1" t="s">
        <v>6916</v>
      </c>
      <c r="F1238" s="1" t="s">
        <v>6920</v>
      </c>
      <c r="H1238" s="1" t="s">
        <v>6921</v>
      </c>
      <c r="J1238" s="1" t="s">
        <v>1324</v>
      </c>
      <c r="L1238" s="1" t="s">
        <v>894</v>
      </c>
      <c r="N1238" s="1" t="s">
        <v>6476</v>
      </c>
      <c r="P1238" s="1" t="s">
        <v>4964</v>
      </c>
      <c r="Q1238" s="3">
        <v>0</v>
      </c>
      <c r="R1238" s="22" t="s">
        <v>2721</v>
      </c>
      <c r="S1238" s="42" t="s">
        <v>6910</v>
      </c>
      <c r="T1238" s="3" t="s">
        <v>4868</v>
      </c>
      <c r="U1238" s="45">
        <v>35</v>
      </c>
      <c r="V1238" t="s">
        <v>6919</v>
      </c>
      <c r="W1238" s="1" t="str">
        <f>HYPERLINK("http://ictvonline.org/taxonomy/p/taxonomy-history?taxnode_id=201905496","ICTVonline=201905496")</f>
        <v>ICTVonline=201905496</v>
      </c>
    </row>
    <row r="1239" spans="1:23">
      <c r="A1239" s="3">
        <v>1238</v>
      </c>
      <c r="B1239" s="1" t="s">
        <v>6915</v>
      </c>
      <c r="D1239" s="1" t="s">
        <v>6916</v>
      </c>
      <c r="F1239" s="1" t="s">
        <v>6920</v>
      </c>
      <c r="H1239" s="1" t="s">
        <v>6921</v>
      </c>
      <c r="J1239" s="1" t="s">
        <v>1324</v>
      </c>
      <c r="L1239" s="1" t="s">
        <v>894</v>
      </c>
      <c r="N1239" s="1" t="s">
        <v>6477</v>
      </c>
      <c r="P1239" s="1" t="s">
        <v>6478</v>
      </c>
      <c r="Q1239" s="3">
        <v>0</v>
      </c>
      <c r="R1239" s="22" t="s">
        <v>2721</v>
      </c>
      <c r="S1239" s="42" t="s">
        <v>6910</v>
      </c>
      <c r="T1239" s="3" t="s">
        <v>4868</v>
      </c>
      <c r="U1239" s="45">
        <v>35</v>
      </c>
      <c r="V1239" t="s">
        <v>6919</v>
      </c>
      <c r="W1239" s="1" t="str">
        <f>HYPERLINK("http://ictvonline.org/taxonomy/p/taxonomy-history?taxnode_id=201906491","ICTVonline=201906491")</f>
        <v>ICTVonline=201906491</v>
      </c>
    </row>
    <row r="1240" spans="1:23">
      <c r="A1240" s="3">
        <v>1239</v>
      </c>
      <c r="B1240" s="1" t="s">
        <v>6915</v>
      </c>
      <c r="D1240" s="1" t="s">
        <v>6916</v>
      </c>
      <c r="F1240" s="1" t="s">
        <v>6920</v>
      </c>
      <c r="H1240" s="1" t="s">
        <v>6921</v>
      </c>
      <c r="J1240" s="1" t="s">
        <v>1324</v>
      </c>
      <c r="L1240" s="1" t="s">
        <v>894</v>
      </c>
      <c r="N1240" s="1" t="s">
        <v>6477</v>
      </c>
      <c r="P1240" s="1" t="s">
        <v>6479</v>
      </c>
      <c r="Q1240" s="3">
        <v>1</v>
      </c>
      <c r="R1240" s="22" t="s">
        <v>2721</v>
      </c>
      <c r="S1240" s="42" t="s">
        <v>6910</v>
      </c>
      <c r="T1240" s="3" t="s">
        <v>4868</v>
      </c>
      <c r="U1240" s="45">
        <v>35</v>
      </c>
      <c r="V1240" t="s">
        <v>6919</v>
      </c>
      <c r="W1240" s="1" t="str">
        <f>HYPERLINK("http://ictvonline.org/taxonomy/p/taxonomy-history?taxnode_id=201906490","ICTVonline=201906490")</f>
        <v>ICTVonline=201906490</v>
      </c>
    </row>
    <row r="1241" spans="1:23">
      <c r="A1241" s="3">
        <v>1240</v>
      </c>
      <c r="B1241" s="1" t="s">
        <v>6915</v>
      </c>
      <c r="D1241" s="1" t="s">
        <v>6916</v>
      </c>
      <c r="F1241" s="1" t="s">
        <v>6920</v>
      </c>
      <c r="H1241" s="1" t="s">
        <v>6921</v>
      </c>
      <c r="J1241" s="1" t="s">
        <v>1324</v>
      </c>
      <c r="L1241" s="1" t="s">
        <v>894</v>
      </c>
      <c r="N1241" s="1" t="s">
        <v>6480</v>
      </c>
      <c r="P1241" s="1" t="s">
        <v>4239</v>
      </c>
      <c r="Q1241" s="3">
        <v>1</v>
      </c>
      <c r="R1241" s="22" t="s">
        <v>2721</v>
      </c>
      <c r="S1241" s="42" t="s">
        <v>6910</v>
      </c>
      <c r="T1241" s="3" t="s">
        <v>4868</v>
      </c>
      <c r="U1241" s="45">
        <v>35</v>
      </c>
      <c r="V1241" t="s">
        <v>6919</v>
      </c>
      <c r="W1241" s="1" t="str">
        <f>HYPERLINK("http://ictvonline.org/taxonomy/p/taxonomy-history?taxnode_id=201900633","ICTVonline=201900633")</f>
        <v>ICTVonline=201900633</v>
      </c>
    </row>
    <row r="1242" spans="1:23">
      <c r="A1242" s="3">
        <v>1241</v>
      </c>
      <c r="B1242" s="1" t="s">
        <v>6915</v>
      </c>
      <c r="D1242" s="1" t="s">
        <v>6916</v>
      </c>
      <c r="F1242" s="1" t="s">
        <v>6920</v>
      </c>
      <c r="H1242" s="1" t="s">
        <v>6921</v>
      </c>
      <c r="J1242" s="1" t="s">
        <v>1324</v>
      </c>
      <c r="L1242" s="1" t="s">
        <v>894</v>
      </c>
      <c r="N1242" s="1" t="s">
        <v>6480</v>
      </c>
      <c r="P1242" s="4" t="s">
        <v>4240</v>
      </c>
      <c r="Q1242" s="3">
        <v>0</v>
      </c>
      <c r="R1242" s="22" t="s">
        <v>2721</v>
      </c>
      <c r="S1242" s="42" t="s">
        <v>6910</v>
      </c>
      <c r="T1242" s="3" t="s">
        <v>4868</v>
      </c>
      <c r="U1242" s="45">
        <v>35</v>
      </c>
      <c r="V1242" t="s">
        <v>6919</v>
      </c>
      <c r="W1242" s="1" t="str">
        <f>HYPERLINK("http://ictvonline.org/taxonomy/p/taxonomy-history?taxnode_id=201900634","ICTVonline=201900634")</f>
        <v>ICTVonline=201900634</v>
      </c>
    </row>
    <row r="1243" spans="1:23">
      <c r="A1243" s="3">
        <v>1242</v>
      </c>
      <c r="B1243" s="1" t="s">
        <v>6915</v>
      </c>
      <c r="D1243" s="1" t="s">
        <v>6916</v>
      </c>
      <c r="F1243" s="1" t="s">
        <v>6920</v>
      </c>
      <c r="H1243" s="1" t="s">
        <v>6921</v>
      </c>
      <c r="J1243" s="1" t="s">
        <v>1324</v>
      </c>
      <c r="L1243" s="1" t="s">
        <v>894</v>
      </c>
      <c r="N1243" s="1" t="s">
        <v>4958</v>
      </c>
      <c r="P1243" s="1" t="s">
        <v>4959</v>
      </c>
      <c r="Q1243" s="3">
        <v>0</v>
      </c>
      <c r="R1243" s="22" t="s">
        <v>2721</v>
      </c>
      <c r="S1243" s="42" t="s">
        <v>6910</v>
      </c>
      <c r="T1243" s="3" t="s">
        <v>4868</v>
      </c>
      <c r="U1243" s="45">
        <v>35</v>
      </c>
      <c r="V1243" t="s">
        <v>6919</v>
      </c>
      <c r="W1243" s="1" t="str">
        <f>HYPERLINK("http://ictvonline.org/taxonomy/p/taxonomy-history?taxnode_id=201905490","ICTVonline=201905490")</f>
        <v>ICTVonline=201905490</v>
      </c>
    </row>
    <row r="1244" spans="1:23">
      <c r="A1244" s="3">
        <v>1243</v>
      </c>
      <c r="B1244" s="1" t="s">
        <v>6915</v>
      </c>
      <c r="D1244" s="1" t="s">
        <v>6916</v>
      </c>
      <c r="F1244" s="1" t="s">
        <v>6920</v>
      </c>
      <c r="H1244" s="1" t="s">
        <v>6921</v>
      </c>
      <c r="J1244" s="1" t="s">
        <v>1324</v>
      </c>
      <c r="L1244" s="1" t="s">
        <v>894</v>
      </c>
      <c r="N1244" s="1" t="s">
        <v>4958</v>
      </c>
      <c r="P1244" s="1" t="s">
        <v>4960</v>
      </c>
      <c r="Q1244" s="3">
        <v>1</v>
      </c>
      <c r="R1244" s="22" t="s">
        <v>2721</v>
      </c>
      <c r="S1244" s="42" t="s">
        <v>6910</v>
      </c>
      <c r="T1244" s="3" t="s">
        <v>4868</v>
      </c>
      <c r="U1244" s="45">
        <v>35</v>
      </c>
      <c r="V1244" t="s">
        <v>6919</v>
      </c>
      <c r="W1244" s="1" t="str">
        <f>HYPERLINK("http://ictvonline.org/taxonomy/p/taxonomy-history?taxnode_id=201905491","ICTVonline=201905491")</f>
        <v>ICTVonline=201905491</v>
      </c>
    </row>
    <row r="1245" spans="1:23">
      <c r="A1245" s="3">
        <v>1244</v>
      </c>
      <c r="B1245" s="1" t="s">
        <v>6915</v>
      </c>
      <c r="D1245" s="1" t="s">
        <v>6916</v>
      </c>
      <c r="F1245" s="1" t="s">
        <v>6920</v>
      </c>
      <c r="H1245" s="1" t="s">
        <v>6921</v>
      </c>
      <c r="J1245" s="1" t="s">
        <v>1324</v>
      </c>
      <c r="L1245" s="1" t="s">
        <v>894</v>
      </c>
      <c r="N1245" s="1" t="s">
        <v>6481</v>
      </c>
      <c r="P1245" s="1" t="s">
        <v>4242</v>
      </c>
      <c r="Q1245" s="3">
        <v>1</v>
      </c>
      <c r="R1245" s="22" t="s">
        <v>2721</v>
      </c>
      <c r="S1245" s="42" t="s">
        <v>6910</v>
      </c>
      <c r="T1245" s="3" t="s">
        <v>4868</v>
      </c>
      <c r="U1245" s="45">
        <v>35</v>
      </c>
      <c r="V1245" t="s">
        <v>6919</v>
      </c>
      <c r="W1245" s="1" t="str">
        <f>HYPERLINK("http://ictvonline.org/taxonomy/p/taxonomy-history?taxnode_id=201900652","ICTVonline=201900652")</f>
        <v>ICTVonline=201900652</v>
      </c>
    </row>
    <row r="1246" spans="1:23">
      <c r="A1246" s="3">
        <v>1245</v>
      </c>
      <c r="B1246" s="1" t="s">
        <v>6915</v>
      </c>
      <c r="D1246" s="1" t="s">
        <v>6916</v>
      </c>
      <c r="F1246" s="1" t="s">
        <v>6920</v>
      </c>
      <c r="H1246" s="1" t="s">
        <v>6921</v>
      </c>
      <c r="J1246" s="1" t="s">
        <v>1324</v>
      </c>
      <c r="L1246" s="1" t="s">
        <v>894</v>
      </c>
      <c r="N1246" s="1" t="s">
        <v>7743</v>
      </c>
      <c r="P1246" s="1" t="s">
        <v>7744</v>
      </c>
      <c r="Q1246" s="3">
        <v>1</v>
      </c>
      <c r="R1246" s="22" t="s">
        <v>2721</v>
      </c>
      <c r="S1246" s="42" t="s">
        <v>6914</v>
      </c>
      <c r="T1246" s="3" t="s">
        <v>4866</v>
      </c>
      <c r="U1246" s="45">
        <v>35</v>
      </c>
      <c r="V1246" t="s">
        <v>7745</v>
      </c>
      <c r="W1246" s="1" t="str">
        <f>HYPERLINK("http://ictvonline.org/taxonomy/p/taxonomy-history?taxnode_id=201908022","ICTVonline=201908022")</f>
        <v>ICTVonline=201908022</v>
      </c>
    </row>
    <row r="1247" spans="1:23">
      <c r="A1247" s="3">
        <v>1246</v>
      </c>
      <c r="B1247" s="1" t="s">
        <v>6915</v>
      </c>
      <c r="D1247" s="1" t="s">
        <v>6916</v>
      </c>
      <c r="F1247" s="1" t="s">
        <v>6920</v>
      </c>
      <c r="H1247" s="1" t="s">
        <v>6921</v>
      </c>
      <c r="J1247" s="1" t="s">
        <v>1324</v>
      </c>
      <c r="L1247" s="1" t="s">
        <v>894</v>
      </c>
      <c r="N1247" s="1" t="s">
        <v>6482</v>
      </c>
      <c r="P1247" s="1" t="s">
        <v>4243</v>
      </c>
      <c r="Q1247" s="3">
        <v>1</v>
      </c>
      <c r="R1247" s="22" t="s">
        <v>2721</v>
      </c>
      <c r="S1247" s="42" t="s">
        <v>6910</v>
      </c>
      <c r="T1247" s="3" t="s">
        <v>4868</v>
      </c>
      <c r="U1247" s="45">
        <v>35</v>
      </c>
      <c r="V1247" t="s">
        <v>6919</v>
      </c>
      <c r="W1247" s="1" t="str">
        <f>HYPERLINK("http://ictvonline.org/taxonomy/p/taxonomy-history?taxnode_id=201900654","ICTVonline=201900654")</f>
        <v>ICTVonline=201900654</v>
      </c>
    </row>
    <row r="1248" spans="1:23">
      <c r="A1248" s="3">
        <v>1247</v>
      </c>
      <c r="B1248" s="1" t="s">
        <v>6915</v>
      </c>
      <c r="D1248" s="1" t="s">
        <v>6916</v>
      </c>
      <c r="F1248" s="1" t="s">
        <v>6920</v>
      </c>
      <c r="H1248" s="1" t="s">
        <v>6921</v>
      </c>
      <c r="J1248" s="1" t="s">
        <v>1324</v>
      </c>
      <c r="L1248" s="1" t="s">
        <v>894</v>
      </c>
      <c r="N1248" s="1" t="s">
        <v>6482</v>
      </c>
      <c r="P1248" s="1" t="s">
        <v>4244</v>
      </c>
      <c r="Q1248" s="3">
        <v>0</v>
      </c>
      <c r="R1248" s="22" t="s">
        <v>2721</v>
      </c>
      <c r="S1248" s="42" t="s">
        <v>6910</v>
      </c>
      <c r="T1248" s="3" t="s">
        <v>4868</v>
      </c>
      <c r="U1248" s="45">
        <v>35</v>
      </c>
      <c r="V1248" t="s">
        <v>6919</v>
      </c>
      <c r="W1248" s="1" t="str">
        <f>HYPERLINK("http://ictvonline.org/taxonomy/p/taxonomy-history?taxnode_id=201900655","ICTVonline=201900655")</f>
        <v>ICTVonline=201900655</v>
      </c>
    </row>
    <row r="1249" spans="1:23">
      <c r="A1249" s="3">
        <v>1248</v>
      </c>
      <c r="B1249" s="1" t="s">
        <v>6915</v>
      </c>
      <c r="D1249" s="1" t="s">
        <v>6916</v>
      </c>
      <c r="F1249" s="1" t="s">
        <v>6920</v>
      </c>
      <c r="H1249" s="1" t="s">
        <v>6921</v>
      </c>
      <c r="J1249" s="1" t="s">
        <v>1324</v>
      </c>
      <c r="L1249" s="1" t="s">
        <v>894</v>
      </c>
      <c r="N1249" s="1" t="s">
        <v>6483</v>
      </c>
      <c r="P1249" s="1" t="s">
        <v>6484</v>
      </c>
      <c r="Q1249" s="3">
        <v>1</v>
      </c>
      <c r="R1249" s="22" t="s">
        <v>2721</v>
      </c>
      <c r="S1249" s="42" t="s">
        <v>6910</v>
      </c>
      <c r="T1249" s="3" t="s">
        <v>4868</v>
      </c>
      <c r="U1249" s="45">
        <v>35</v>
      </c>
      <c r="V1249" t="s">
        <v>6919</v>
      </c>
      <c r="W1249" s="1" t="str">
        <f>HYPERLINK("http://ictvonline.org/taxonomy/p/taxonomy-history?taxnode_id=201906843","ICTVonline=201906843")</f>
        <v>ICTVonline=201906843</v>
      </c>
    </row>
    <row r="1250" spans="1:23">
      <c r="A1250" s="3">
        <v>1249</v>
      </c>
      <c r="B1250" s="1" t="s">
        <v>6915</v>
      </c>
      <c r="D1250" s="1" t="s">
        <v>6916</v>
      </c>
      <c r="F1250" s="1" t="s">
        <v>6920</v>
      </c>
      <c r="H1250" s="1" t="s">
        <v>6921</v>
      </c>
      <c r="J1250" s="1" t="s">
        <v>1324</v>
      </c>
      <c r="L1250" s="1" t="s">
        <v>894</v>
      </c>
      <c r="N1250" s="1" t="s">
        <v>6485</v>
      </c>
      <c r="P1250" s="1" t="s">
        <v>4247</v>
      </c>
      <c r="Q1250" s="3">
        <v>0</v>
      </c>
      <c r="R1250" s="22" t="s">
        <v>2721</v>
      </c>
      <c r="S1250" s="42" t="s">
        <v>6910</v>
      </c>
      <c r="T1250" s="3" t="s">
        <v>4868</v>
      </c>
      <c r="U1250" s="45">
        <v>35</v>
      </c>
      <c r="V1250" t="s">
        <v>6919</v>
      </c>
      <c r="W1250" s="1" t="str">
        <f>HYPERLINK("http://ictvonline.org/taxonomy/p/taxonomy-history?taxnode_id=201900688","ICTVonline=201900688")</f>
        <v>ICTVonline=201900688</v>
      </c>
    </row>
    <row r="1251" spans="1:23">
      <c r="A1251" s="3">
        <v>1250</v>
      </c>
      <c r="B1251" s="1" t="s">
        <v>6915</v>
      </c>
      <c r="D1251" s="1" t="s">
        <v>6916</v>
      </c>
      <c r="F1251" s="1" t="s">
        <v>6920</v>
      </c>
      <c r="H1251" s="1" t="s">
        <v>6921</v>
      </c>
      <c r="J1251" s="1" t="s">
        <v>1324</v>
      </c>
      <c r="L1251" s="1" t="s">
        <v>894</v>
      </c>
      <c r="N1251" s="1" t="s">
        <v>6485</v>
      </c>
      <c r="P1251" s="1" t="s">
        <v>3017</v>
      </c>
      <c r="Q1251" s="3">
        <v>0</v>
      </c>
      <c r="R1251" s="22" t="s">
        <v>2721</v>
      </c>
      <c r="S1251" s="42" t="s">
        <v>6910</v>
      </c>
      <c r="T1251" s="3" t="s">
        <v>4868</v>
      </c>
      <c r="U1251" s="45">
        <v>35</v>
      </c>
      <c r="V1251" t="s">
        <v>6919</v>
      </c>
      <c r="W1251" s="1" t="str">
        <f>HYPERLINK("http://ictvonline.org/taxonomy/p/taxonomy-history?taxnode_id=201900689","ICTVonline=201900689")</f>
        <v>ICTVonline=201900689</v>
      </c>
    </row>
    <row r="1252" spans="1:23">
      <c r="A1252" s="3">
        <v>1251</v>
      </c>
      <c r="B1252" s="1" t="s">
        <v>6915</v>
      </c>
      <c r="D1252" s="1" t="s">
        <v>6916</v>
      </c>
      <c r="F1252" s="1" t="s">
        <v>6920</v>
      </c>
      <c r="H1252" s="1" t="s">
        <v>6921</v>
      </c>
      <c r="J1252" s="1" t="s">
        <v>1324</v>
      </c>
      <c r="L1252" s="1" t="s">
        <v>894</v>
      </c>
      <c r="N1252" s="1" t="s">
        <v>6485</v>
      </c>
      <c r="P1252" s="1" t="s">
        <v>3018</v>
      </c>
      <c r="Q1252" s="3">
        <v>0</v>
      </c>
      <c r="R1252" s="22" t="s">
        <v>2721</v>
      </c>
      <c r="S1252" s="42" t="s">
        <v>6910</v>
      </c>
      <c r="T1252" s="3" t="s">
        <v>4868</v>
      </c>
      <c r="U1252" s="45">
        <v>35</v>
      </c>
      <c r="V1252" t="s">
        <v>6919</v>
      </c>
      <c r="W1252" s="1" t="str">
        <f>HYPERLINK("http://ictvonline.org/taxonomy/p/taxonomy-history?taxnode_id=201900690","ICTVonline=201900690")</f>
        <v>ICTVonline=201900690</v>
      </c>
    </row>
    <row r="1253" spans="1:23">
      <c r="A1253" s="3">
        <v>1252</v>
      </c>
      <c r="B1253" s="1" t="s">
        <v>6915</v>
      </c>
      <c r="D1253" s="1" t="s">
        <v>6916</v>
      </c>
      <c r="F1253" s="1" t="s">
        <v>6920</v>
      </c>
      <c r="H1253" s="1" t="s">
        <v>6921</v>
      </c>
      <c r="J1253" s="1" t="s">
        <v>1324</v>
      </c>
      <c r="L1253" s="1" t="s">
        <v>894</v>
      </c>
      <c r="N1253" s="1" t="s">
        <v>6485</v>
      </c>
      <c r="P1253" s="1" t="s">
        <v>3019</v>
      </c>
      <c r="Q1253" s="3">
        <v>1</v>
      </c>
      <c r="R1253" s="22" t="s">
        <v>2721</v>
      </c>
      <c r="S1253" s="42" t="s">
        <v>6910</v>
      </c>
      <c r="T1253" s="3" t="s">
        <v>4868</v>
      </c>
      <c r="U1253" s="45">
        <v>35</v>
      </c>
      <c r="V1253" t="s">
        <v>6919</v>
      </c>
      <c r="W1253" s="1" t="str">
        <f>HYPERLINK("http://ictvonline.org/taxonomy/p/taxonomy-history?taxnode_id=201900691","ICTVonline=201900691")</f>
        <v>ICTVonline=201900691</v>
      </c>
    </row>
    <row r="1254" spans="1:23">
      <c r="A1254" s="3">
        <v>1253</v>
      </c>
      <c r="B1254" s="1" t="s">
        <v>6915</v>
      </c>
      <c r="D1254" s="1" t="s">
        <v>6916</v>
      </c>
      <c r="F1254" s="1" t="s">
        <v>6920</v>
      </c>
      <c r="H1254" s="1" t="s">
        <v>6921</v>
      </c>
      <c r="J1254" s="1" t="s">
        <v>1324</v>
      </c>
      <c r="L1254" s="1" t="s">
        <v>894</v>
      </c>
      <c r="N1254" s="1" t="s">
        <v>6485</v>
      </c>
      <c r="P1254" s="1" t="s">
        <v>3020</v>
      </c>
      <c r="Q1254" s="3">
        <v>0</v>
      </c>
      <c r="R1254" s="22" t="s">
        <v>2721</v>
      </c>
      <c r="S1254" s="42" t="s">
        <v>6910</v>
      </c>
      <c r="T1254" s="3" t="s">
        <v>4868</v>
      </c>
      <c r="U1254" s="45">
        <v>35</v>
      </c>
      <c r="V1254" t="s">
        <v>6919</v>
      </c>
      <c r="W1254" s="1" t="str">
        <f>HYPERLINK("http://ictvonline.org/taxonomy/p/taxonomy-history?taxnode_id=201900692","ICTVonline=201900692")</f>
        <v>ICTVonline=201900692</v>
      </c>
    </row>
    <row r="1255" spans="1:23">
      <c r="A1255" s="3">
        <v>1254</v>
      </c>
      <c r="B1255" s="1" t="s">
        <v>6915</v>
      </c>
      <c r="D1255" s="1" t="s">
        <v>6916</v>
      </c>
      <c r="F1255" s="1" t="s">
        <v>6920</v>
      </c>
      <c r="H1255" s="1" t="s">
        <v>6921</v>
      </c>
      <c r="J1255" s="1" t="s">
        <v>1324</v>
      </c>
      <c r="L1255" s="1" t="s">
        <v>894</v>
      </c>
      <c r="N1255" s="1" t="s">
        <v>6485</v>
      </c>
      <c r="P1255" s="1" t="s">
        <v>3021</v>
      </c>
      <c r="Q1255" s="3">
        <v>0</v>
      </c>
      <c r="R1255" s="22" t="s">
        <v>2721</v>
      </c>
      <c r="S1255" s="42" t="s">
        <v>6910</v>
      </c>
      <c r="T1255" s="3" t="s">
        <v>4868</v>
      </c>
      <c r="U1255" s="45">
        <v>35</v>
      </c>
      <c r="V1255" t="s">
        <v>6919</v>
      </c>
      <c r="W1255" s="1" t="str">
        <f>HYPERLINK("http://ictvonline.org/taxonomy/p/taxonomy-history?taxnode_id=201900693","ICTVonline=201900693")</f>
        <v>ICTVonline=201900693</v>
      </c>
    </row>
    <row r="1256" spans="1:23">
      <c r="A1256" s="3">
        <v>1255</v>
      </c>
      <c r="B1256" s="1" t="s">
        <v>6915</v>
      </c>
      <c r="D1256" s="1" t="s">
        <v>6916</v>
      </c>
      <c r="F1256" s="1" t="s">
        <v>6920</v>
      </c>
      <c r="H1256" s="1" t="s">
        <v>6921</v>
      </c>
      <c r="J1256" s="1" t="s">
        <v>1324</v>
      </c>
      <c r="L1256" s="1" t="s">
        <v>894</v>
      </c>
      <c r="N1256" s="1" t="s">
        <v>6486</v>
      </c>
      <c r="P1256" s="1" t="s">
        <v>7746</v>
      </c>
      <c r="Q1256" s="3">
        <v>0</v>
      </c>
      <c r="R1256" s="22" t="s">
        <v>2721</v>
      </c>
      <c r="S1256" s="42" t="s">
        <v>6914</v>
      </c>
      <c r="T1256" s="3" t="s">
        <v>4867</v>
      </c>
      <c r="U1256" s="45">
        <v>35</v>
      </c>
      <c r="V1256" t="s">
        <v>7599</v>
      </c>
      <c r="W1256" s="1" t="str">
        <f>HYPERLINK("http://ictvonline.org/taxonomy/p/taxonomy-history?taxnode_id=201900677","ICTVonline=201900677")</f>
        <v>ICTVonline=201900677</v>
      </c>
    </row>
    <row r="1257" spans="1:23">
      <c r="A1257" s="3">
        <v>1256</v>
      </c>
      <c r="B1257" s="1" t="s">
        <v>6915</v>
      </c>
      <c r="D1257" s="1" t="s">
        <v>6916</v>
      </c>
      <c r="F1257" s="1" t="s">
        <v>6920</v>
      </c>
      <c r="H1257" s="1" t="s">
        <v>6921</v>
      </c>
      <c r="J1257" s="1" t="s">
        <v>1324</v>
      </c>
      <c r="L1257" s="1" t="s">
        <v>894</v>
      </c>
      <c r="N1257" s="1" t="s">
        <v>6486</v>
      </c>
      <c r="P1257" s="1" t="s">
        <v>4961</v>
      </c>
      <c r="Q1257" s="3">
        <v>0</v>
      </c>
      <c r="R1257" s="22" t="s">
        <v>2721</v>
      </c>
      <c r="S1257" s="42" t="s">
        <v>6910</v>
      </c>
      <c r="T1257" s="3" t="s">
        <v>4868</v>
      </c>
      <c r="U1257" s="45">
        <v>35</v>
      </c>
      <c r="V1257" t="s">
        <v>6919</v>
      </c>
      <c r="W1257" s="1" t="str">
        <f>HYPERLINK("http://ictvonline.org/taxonomy/p/taxonomy-history?taxnode_id=201905493","ICTVonline=201905493")</f>
        <v>ICTVonline=201905493</v>
      </c>
    </row>
    <row r="1258" spans="1:23">
      <c r="A1258" s="3">
        <v>1257</v>
      </c>
      <c r="B1258" s="1" t="s">
        <v>6915</v>
      </c>
      <c r="D1258" s="1" t="s">
        <v>6916</v>
      </c>
      <c r="F1258" s="1" t="s">
        <v>6920</v>
      </c>
      <c r="H1258" s="1" t="s">
        <v>6921</v>
      </c>
      <c r="J1258" s="1" t="s">
        <v>1324</v>
      </c>
      <c r="L1258" s="1" t="s">
        <v>894</v>
      </c>
      <c r="N1258" s="1" t="s">
        <v>6486</v>
      </c>
      <c r="P1258" s="1" t="s">
        <v>3008</v>
      </c>
      <c r="Q1258" s="3">
        <v>1</v>
      </c>
      <c r="R1258" s="22" t="s">
        <v>2721</v>
      </c>
      <c r="S1258" s="42" t="s">
        <v>6910</v>
      </c>
      <c r="T1258" s="3" t="s">
        <v>4868</v>
      </c>
      <c r="U1258" s="45">
        <v>35</v>
      </c>
      <c r="V1258" t="s">
        <v>6919</v>
      </c>
      <c r="W1258" s="1" t="str">
        <f>HYPERLINK("http://ictvonline.org/taxonomy/p/taxonomy-history?taxnode_id=201900678","ICTVonline=201900678")</f>
        <v>ICTVonline=201900678</v>
      </c>
    </row>
    <row r="1259" spans="1:23">
      <c r="A1259" s="3">
        <v>1258</v>
      </c>
      <c r="B1259" s="1" t="s">
        <v>6915</v>
      </c>
      <c r="D1259" s="1" t="s">
        <v>6916</v>
      </c>
      <c r="F1259" s="1" t="s">
        <v>6920</v>
      </c>
      <c r="H1259" s="1" t="s">
        <v>6921</v>
      </c>
      <c r="J1259" s="1" t="s">
        <v>1324</v>
      </c>
      <c r="L1259" s="1" t="s">
        <v>894</v>
      </c>
      <c r="N1259" s="1" t="s">
        <v>6486</v>
      </c>
      <c r="P1259" s="1" t="s">
        <v>6487</v>
      </c>
      <c r="Q1259" s="3">
        <v>0</v>
      </c>
      <c r="R1259" s="22" t="s">
        <v>2721</v>
      </c>
      <c r="S1259" s="42" t="s">
        <v>6910</v>
      </c>
      <c r="T1259" s="3" t="s">
        <v>4868</v>
      </c>
      <c r="U1259" s="45">
        <v>35</v>
      </c>
      <c r="V1259" t="s">
        <v>6919</v>
      </c>
      <c r="W1259" s="1" t="str">
        <f>HYPERLINK("http://ictvonline.org/taxonomy/p/taxonomy-history?taxnode_id=201907078","ICTVonline=201907078")</f>
        <v>ICTVonline=201907078</v>
      </c>
    </row>
    <row r="1260" spans="1:23">
      <c r="A1260" s="3">
        <v>1259</v>
      </c>
      <c r="B1260" s="1" t="s">
        <v>6915</v>
      </c>
      <c r="D1260" s="1" t="s">
        <v>6916</v>
      </c>
      <c r="F1260" s="1" t="s">
        <v>6920</v>
      </c>
      <c r="H1260" s="1" t="s">
        <v>6921</v>
      </c>
      <c r="J1260" s="1" t="s">
        <v>1324</v>
      </c>
      <c r="L1260" s="1" t="s">
        <v>894</v>
      </c>
      <c r="N1260" s="1" t="s">
        <v>6486</v>
      </c>
      <c r="P1260" s="1" t="s">
        <v>3009</v>
      </c>
      <c r="Q1260" s="3">
        <v>0</v>
      </c>
      <c r="R1260" s="22" t="s">
        <v>2721</v>
      </c>
      <c r="S1260" s="42" t="s">
        <v>6910</v>
      </c>
      <c r="T1260" s="3" t="s">
        <v>4868</v>
      </c>
      <c r="U1260" s="45">
        <v>35</v>
      </c>
      <c r="V1260" t="s">
        <v>6919</v>
      </c>
      <c r="W1260" s="1" t="str">
        <f>HYPERLINK("http://ictvonline.org/taxonomy/p/taxonomy-history?taxnode_id=201900679","ICTVonline=201900679")</f>
        <v>ICTVonline=201900679</v>
      </c>
    </row>
    <row r="1261" spans="1:23">
      <c r="A1261" s="3">
        <v>1260</v>
      </c>
      <c r="B1261" s="1" t="s">
        <v>6915</v>
      </c>
      <c r="D1261" s="1" t="s">
        <v>6916</v>
      </c>
      <c r="F1261" s="1" t="s">
        <v>6920</v>
      </c>
      <c r="H1261" s="1" t="s">
        <v>6921</v>
      </c>
      <c r="J1261" s="1" t="s">
        <v>1324</v>
      </c>
      <c r="L1261" s="1" t="s">
        <v>894</v>
      </c>
      <c r="N1261" s="1" t="s">
        <v>6486</v>
      </c>
      <c r="P1261" s="1" t="s">
        <v>3010</v>
      </c>
      <c r="Q1261" s="3">
        <v>0</v>
      </c>
      <c r="R1261" s="22" t="s">
        <v>2721</v>
      </c>
      <c r="S1261" s="42" t="s">
        <v>6910</v>
      </c>
      <c r="T1261" s="3" t="s">
        <v>4868</v>
      </c>
      <c r="U1261" s="45">
        <v>35</v>
      </c>
      <c r="V1261" t="s">
        <v>6919</v>
      </c>
      <c r="W1261" s="1" t="str">
        <f>HYPERLINK("http://ictvonline.org/taxonomy/p/taxonomy-history?taxnode_id=201900680","ICTVonline=201900680")</f>
        <v>ICTVonline=201900680</v>
      </c>
    </row>
    <row r="1262" spans="1:23">
      <c r="A1262" s="3">
        <v>1261</v>
      </c>
      <c r="B1262" s="1" t="s">
        <v>6915</v>
      </c>
      <c r="D1262" s="1" t="s">
        <v>6916</v>
      </c>
      <c r="F1262" s="1" t="s">
        <v>6920</v>
      </c>
      <c r="H1262" s="1" t="s">
        <v>6921</v>
      </c>
      <c r="J1262" s="1" t="s">
        <v>1324</v>
      </c>
      <c r="L1262" s="1" t="s">
        <v>894</v>
      </c>
      <c r="N1262" s="1" t="s">
        <v>6488</v>
      </c>
      <c r="P1262" s="1" t="s">
        <v>2972</v>
      </c>
      <c r="Q1262" s="3">
        <v>1</v>
      </c>
      <c r="R1262" s="22" t="s">
        <v>2721</v>
      </c>
      <c r="S1262" s="42" t="s">
        <v>6910</v>
      </c>
      <c r="T1262" s="3" t="s">
        <v>4868</v>
      </c>
      <c r="U1262" s="45">
        <v>35</v>
      </c>
      <c r="V1262" t="s">
        <v>6919</v>
      </c>
      <c r="W1262" s="1" t="str">
        <f>HYPERLINK("http://ictvonline.org/taxonomy/p/taxonomy-history?taxnode_id=201900622","ICTVonline=201900622")</f>
        <v>ICTVonline=201900622</v>
      </c>
    </row>
    <row r="1263" spans="1:23">
      <c r="A1263" s="3">
        <v>1262</v>
      </c>
      <c r="B1263" s="1" t="s">
        <v>6915</v>
      </c>
      <c r="D1263" s="1" t="s">
        <v>6916</v>
      </c>
      <c r="F1263" s="1" t="s">
        <v>6920</v>
      </c>
      <c r="H1263" s="1" t="s">
        <v>6921</v>
      </c>
      <c r="J1263" s="1" t="s">
        <v>1324</v>
      </c>
      <c r="L1263" s="1" t="s">
        <v>894</v>
      </c>
      <c r="N1263" s="1" t="s">
        <v>6488</v>
      </c>
      <c r="P1263" s="1" t="s">
        <v>2973</v>
      </c>
      <c r="Q1263" s="3">
        <v>0</v>
      </c>
      <c r="R1263" s="22" t="s">
        <v>2721</v>
      </c>
      <c r="S1263" s="42" t="s">
        <v>6910</v>
      </c>
      <c r="T1263" s="3" t="s">
        <v>4868</v>
      </c>
      <c r="U1263" s="45">
        <v>35</v>
      </c>
      <c r="V1263" t="s">
        <v>6919</v>
      </c>
      <c r="W1263" s="1" t="str">
        <f>HYPERLINK("http://ictvonline.org/taxonomy/p/taxonomy-history?taxnode_id=201900623","ICTVonline=201900623")</f>
        <v>ICTVonline=201900623</v>
      </c>
    </row>
    <row r="1264" spans="1:23">
      <c r="A1264" s="3">
        <v>1263</v>
      </c>
      <c r="B1264" s="1" t="s">
        <v>6915</v>
      </c>
      <c r="D1264" s="1" t="s">
        <v>6916</v>
      </c>
      <c r="F1264" s="1" t="s">
        <v>6920</v>
      </c>
      <c r="H1264" s="1" t="s">
        <v>6921</v>
      </c>
      <c r="J1264" s="1" t="s">
        <v>1324</v>
      </c>
      <c r="L1264" s="1" t="s">
        <v>894</v>
      </c>
      <c r="N1264" s="1" t="s">
        <v>6488</v>
      </c>
      <c r="P1264" s="1" t="s">
        <v>2974</v>
      </c>
      <c r="Q1264" s="3">
        <v>0</v>
      </c>
      <c r="R1264" s="22" t="s">
        <v>2721</v>
      </c>
      <c r="S1264" s="42" t="s">
        <v>6910</v>
      </c>
      <c r="T1264" s="3" t="s">
        <v>4868</v>
      </c>
      <c r="U1264" s="45">
        <v>35</v>
      </c>
      <c r="V1264" t="s">
        <v>6919</v>
      </c>
      <c r="W1264" s="1" t="str">
        <f>HYPERLINK("http://ictvonline.org/taxonomy/p/taxonomy-history?taxnode_id=201900624","ICTVonline=201900624")</f>
        <v>ICTVonline=201900624</v>
      </c>
    </row>
    <row r="1265" spans="1:23">
      <c r="A1265" s="3">
        <v>1264</v>
      </c>
      <c r="B1265" s="1" t="s">
        <v>6915</v>
      </c>
      <c r="D1265" s="1" t="s">
        <v>6916</v>
      </c>
      <c r="F1265" s="1" t="s">
        <v>6920</v>
      </c>
      <c r="H1265" s="1" t="s">
        <v>6921</v>
      </c>
      <c r="J1265" s="1" t="s">
        <v>1324</v>
      </c>
      <c r="L1265" s="1" t="s">
        <v>894</v>
      </c>
      <c r="N1265" s="1" t="s">
        <v>6488</v>
      </c>
      <c r="P1265" s="1" t="s">
        <v>2975</v>
      </c>
      <c r="Q1265" s="3">
        <v>0</v>
      </c>
      <c r="R1265" s="22" t="s">
        <v>2721</v>
      </c>
      <c r="S1265" s="42" t="s">
        <v>6910</v>
      </c>
      <c r="T1265" s="3" t="s">
        <v>4868</v>
      </c>
      <c r="U1265" s="45">
        <v>35</v>
      </c>
      <c r="V1265" t="s">
        <v>6919</v>
      </c>
      <c r="W1265" s="1" t="str">
        <f>HYPERLINK("http://ictvonline.org/taxonomy/p/taxonomy-history?taxnode_id=201900625","ICTVonline=201900625")</f>
        <v>ICTVonline=201900625</v>
      </c>
    </row>
    <row r="1266" spans="1:23">
      <c r="A1266" s="3">
        <v>1265</v>
      </c>
      <c r="B1266" s="1" t="s">
        <v>6915</v>
      </c>
      <c r="D1266" s="1" t="s">
        <v>6916</v>
      </c>
      <c r="F1266" s="1" t="s">
        <v>6920</v>
      </c>
      <c r="H1266" s="1" t="s">
        <v>6921</v>
      </c>
      <c r="J1266" s="1" t="s">
        <v>1324</v>
      </c>
      <c r="L1266" s="1" t="s">
        <v>894</v>
      </c>
      <c r="N1266" s="1" t="s">
        <v>6489</v>
      </c>
      <c r="P1266" s="1" t="s">
        <v>2978</v>
      </c>
      <c r="Q1266" s="3">
        <v>1</v>
      </c>
      <c r="R1266" s="22" t="s">
        <v>2721</v>
      </c>
      <c r="S1266" s="42" t="s">
        <v>6910</v>
      </c>
      <c r="T1266" s="3" t="s">
        <v>4868</v>
      </c>
      <c r="U1266" s="45">
        <v>35</v>
      </c>
      <c r="V1266" t="s">
        <v>6919</v>
      </c>
      <c r="W1266" s="1" t="str">
        <f>HYPERLINK("http://ictvonline.org/taxonomy/p/taxonomy-history?taxnode_id=201900630","ICTVonline=201900630")</f>
        <v>ICTVonline=201900630</v>
      </c>
    </row>
    <row r="1267" spans="1:23">
      <c r="A1267" s="3">
        <v>1266</v>
      </c>
      <c r="B1267" s="1" t="s">
        <v>6915</v>
      </c>
      <c r="D1267" s="1" t="s">
        <v>6916</v>
      </c>
      <c r="F1267" s="1" t="s">
        <v>6920</v>
      </c>
      <c r="H1267" s="1" t="s">
        <v>6921</v>
      </c>
      <c r="J1267" s="1" t="s">
        <v>1324</v>
      </c>
      <c r="L1267" s="1" t="s">
        <v>894</v>
      </c>
      <c r="N1267" s="1" t="s">
        <v>6489</v>
      </c>
      <c r="P1267" s="1" t="s">
        <v>2979</v>
      </c>
      <c r="Q1267" s="3">
        <v>0</v>
      </c>
      <c r="R1267" s="22" t="s">
        <v>2721</v>
      </c>
      <c r="S1267" s="42" t="s">
        <v>6910</v>
      </c>
      <c r="T1267" s="3" t="s">
        <v>4868</v>
      </c>
      <c r="U1267" s="45">
        <v>35</v>
      </c>
      <c r="V1267" t="s">
        <v>6919</v>
      </c>
      <c r="W1267" s="1" t="str">
        <f>HYPERLINK("http://ictvonline.org/taxonomy/p/taxonomy-history?taxnode_id=201900631","ICTVonline=201900631")</f>
        <v>ICTVonline=201900631</v>
      </c>
    </row>
    <row r="1268" spans="1:23">
      <c r="A1268" s="3">
        <v>1267</v>
      </c>
      <c r="B1268" s="1" t="s">
        <v>6915</v>
      </c>
      <c r="D1268" s="1" t="s">
        <v>6916</v>
      </c>
      <c r="F1268" s="1" t="s">
        <v>6920</v>
      </c>
      <c r="H1268" s="1" t="s">
        <v>6921</v>
      </c>
      <c r="J1268" s="1" t="s">
        <v>1324</v>
      </c>
      <c r="L1268" s="1" t="s">
        <v>894</v>
      </c>
      <c r="N1268" s="1" t="s">
        <v>6490</v>
      </c>
      <c r="P1268" s="1" t="s">
        <v>2994</v>
      </c>
      <c r="Q1268" s="3">
        <v>0</v>
      </c>
      <c r="R1268" s="22" t="s">
        <v>2721</v>
      </c>
      <c r="S1268" s="42" t="s">
        <v>6910</v>
      </c>
      <c r="T1268" s="3" t="s">
        <v>4868</v>
      </c>
      <c r="U1268" s="45">
        <v>35</v>
      </c>
      <c r="V1268" t="s">
        <v>6919</v>
      </c>
      <c r="W1268" s="1" t="str">
        <f>HYPERLINK("http://ictvonline.org/taxonomy/p/taxonomy-history?taxnode_id=201900657","ICTVonline=201900657")</f>
        <v>ICTVonline=201900657</v>
      </c>
    </row>
    <row r="1269" spans="1:23">
      <c r="A1269" s="3">
        <v>1268</v>
      </c>
      <c r="B1269" s="1" t="s">
        <v>6915</v>
      </c>
      <c r="D1269" s="1" t="s">
        <v>6916</v>
      </c>
      <c r="F1269" s="1" t="s">
        <v>6920</v>
      </c>
      <c r="H1269" s="1" t="s">
        <v>6921</v>
      </c>
      <c r="J1269" s="1" t="s">
        <v>1324</v>
      </c>
      <c r="L1269" s="1" t="s">
        <v>894</v>
      </c>
      <c r="N1269" s="1" t="s">
        <v>6490</v>
      </c>
      <c r="P1269" s="1" t="s">
        <v>2995</v>
      </c>
      <c r="Q1269" s="3">
        <v>1</v>
      </c>
      <c r="R1269" s="22" t="s">
        <v>2721</v>
      </c>
      <c r="S1269" s="42" t="s">
        <v>6910</v>
      </c>
      <c r="T1269" s="3" t="s">
        <v>4868</v>
      </c>
      <c r="U1269" s="45">
        <v>35</v>
      </c>
      <c r="V1269" t="s">
        <v>6919</v>
      </c>
      <c r="W1269" s="1" t="str">
        <f>HYPERLINK("http://ictvonline.org/taxonomy/p/taxonomy-history?taxnode_id=201900658","ICTVonline=201900658")</f>
        <v>ICTVonline=201900658</v>
      </c>
    </row>
    <row r="1270" spans="1:23">
      <c r="A1270" s="3">
        <v>1269</v>
      </c>
      <c r="B1270" s="1" t="s">
        <v>6915</v>
      </c>
      <c r="D1270" s="1" t="s">
        <v>6916</v>
      </c>
      <c r="F1270" s="1" t="s">
        <v>6920</v>
      </c>
      <c r="H1270" s="1" t="s">
        <v>6921</v>
      </c>
      <c r="J1270" s="1" t="s">
        <v>1324</v>
      </c>
      <c r="L1270" s="1" t="s">
        <v>894</v>
      </c>
      <c r="N1270" s="1" t="s">
        <v>6490</v>
      </c>
      <c r="P1270" s="1" t="s">
        <v>2996</v>
      </c>
      <c r="Q1270" s="3">
        <v>0</v>
      </c>
      <c r="R1270" s="22" t="s">
        <v>2721</v>
      </c>
      <c r="S1270" s="42" t="s">
        <v>6910</v>
      </c>
      <c r="T1270" s="3" t="s">
        <v>4868</v>
      </c>
      <c r="U1270" s="45">
        <v>35</v>
      </c>
      <c r="V1270" t="s">
        <v>6919</v>
      </c>
      <c r="W1270" s="1" t="str">
        <f>HYPERLINK("http://ictvonline.org/taxonomy/p/taxonomy-history?taxnode_id=201900659","ICTVonline=201900659")</f>
        <v>ICTVonline=201900659</v>
      </c>
    </row>
    <row r="1271" spans="1:23">
      <c r="A1271" s="3">
        <v>1270</v>
      </c>
      <c r="B1271" s="1" t="s">
        <v>6915</v>
      </c>
      <c r="D1271" s="1" t="s">
        <v>6916</v>
      </c>
      <c r="F1271" s="1" t="s">
        <v>6920</v>
      </c>
      <c r="H1271" s="1" t="s">
        <v>6921</v>
      </c>
      <c r="J1271" s="1" t="s">
        <v>1324</v>
      </c>
      <c r="L1271" s="1" t="s">
        <v>894</v>
      </c>
      <c r="N1271" s="1" t="s">
        <v>6491</v>
      </c>
      <c r="P1271" s="1" t="s">
        <v>4245</v>
      </c>
      <c r="Q1271" s="3">
        <v>0</v>
      </c>
      <c r="R1271" s="22" t="s">
        <v>2721</v>
      </c>
      <c r="S1271" s="42" t="s">
        <v>6910</v>
      </c>
      <c r="T1271" s="3" t="s">
        <v>4868</v>
      </c>
      <c r="U1271" s="45">
        <v>35</v>
      </c>
      <c r="V1271" t="s">
        <v>6919</v>
      </c>
      <c r="W1271" s="1" t="str">
        <f>HYPERLINK("http://ictvonline.org/taxonomy/p/taxonomy-history?taxnode_id=201900669","ICTVonline=201900669")</f>
        <v>ICTVonline=201900669</v>
      </c>
    </row>
    <row r="1272" spans="1:23">
      <c r="A1272" s="3">
        <v>1271</v>
      </c>
      <c r="B1272" s="1" t="s">
        <v>6915</v>
      </c>
      <c r="D1272" s="1" t="s">
        <v>6916</v>
      </c>
      <c r="F1272" s="1" t="s">
        <v>6920</v>
      </c>
      <c r="H1272" s="1" t="s">
        <v>6921</v>
      </c>
      <c r="J1272" s="1" t="s">
        <v>1324</v>
      </c>
      <c r="L1272" s="1" t="s">
        <v>894</v>
      </c>
      <c r="N1272" s="1" t="s">
        <v>6491</v>
      </c>
      <c r="P1272" s="1" t="s">
        <v>4246</v>
      </c>
      <c r="Q1272" s="3">
        <v>1</v>
      </c>
      <c r="R1272" s="22" t="s">
        <v>2721</v>
      </c>
      <c r="S1272" s="42" t="s">
        <v>6910</v>
      </c>
      <c r="T1272" s="3" t="s">
        <v>4868</v>
      </c>
      <c r="U1272" s="45">
        <v>35</v>
      </c>
      <c r="V1272" t="s">
        <v>6919</v>
      </c>
      <c r="W1272" s="1" t="str">
        <f>HYPERLINK("http://ictvonline.org/taxonomy/p/taxonomy-history?taxnode_id=201900670","ICTVonline=201900670")</f>
        <v>ICTVonline=201900670</v>
      </c>
    </row>
    <row r="1273" spans="1:23">
      <c r="A1273" s="3">
        <v>1272</v>
      </c>
      <c r="B1273" s="1" t="s">
        <v>6915</v>
      </c>
      <c r="D1273" s="1" t="s">
        <v>6916</v>
      </c>
      <c r="F1273" s="1" t="s">
        <v>6920</v>
      </c>
      <c r="H1273" s="1" t="s">
        <v>6921</v>
      </c>
      <c r="J1273" s="1" t="s">
        <v>1324</v>
      </c>
      <c r="L1273" s="1" t="s">
        <v>894</v>
      </c>
      <c r="N1273" s="1" t="s">
        <v>7747</v>
      </c>
      <c r="P1273" s="1" t="s">
        <v>7748</v>
      </c>
      <c r="Q1273" s="3">
        <v>1</v>
      </c>
      <c r="R1273" s="22" t="s">
        <v>2721</v>
      </c>
      <c r="S1273" s="42" t="s">
        <v>6914</v>
      </c>
      <c r="T1273" s="3" t="s">
        <v>4866</v>
      </c>
      <c r="U1273" s="45">
        <v>35</v>
      </c>
      <c r="V1273" t="s">
        <v>7749</v>
      </c>
      <c r="W1273" s="1" t="str">
        <f>HYPERLINK("http://ictvonline.org/taxonomy/p/taxonomy-history?taxnode_id=201907900","ICTVonline=201907900")</f>
        <v>ICTVonline=201907900</v>
      </c>
    </row>
    <row r="1274" spans="1:23">
      <c r="A1274" s="3">
        <v>1273</v>
      </c>
      <c r="B1274" s="1" t="s">
        <v>6915</v>
      </c>
      <c r="D1274" s="1" t="s">
        <v>6916</v>
      </c>
      <c r="F1274" s="1" t="s">
        <v>6920</v>
      </c>
      <c r="H1274" s="1" t="s">
        <v>6921</v>
      </c>
      <c r="J1274" s="1" t="s">
        <v>1324</v>
      </c>
      <c r="L1274" s="1" t="s">
        <v>894</v>
      </c>
      <c r="N1274" s="1" t="s">
        <v>7747</v>
      </c>
      <c r="P1274" s="1" t="s">
        <v>7750</v>
      </c>
      <c r="Q1274" s="3">
        <v>0</v>
      </c>
      <c r="R1274" s="22" t="s">
        <v>2721</v>
      </c>
      <c r="S1274" s="42" t="s">
        <v>6914</v>
      </c>
      <c r="T1274" s="3" t="s">
        <v>4866</v>
      </c>
      <c r="U1274" s="45">
        <v>35</v>
      </c>
      <c r="V1274" t="s">
        <v>7749</v>
      </c>
      <c r="W1274" s="1" t="str">
        <f>HYPERLINK("http://ictvonline.org/taxonomy/p/taxonomy-history?taxnode_id=201907903","ICTVonline=201907903")</f>
        <v>ICTVonline=201907903</v>
      </c>
    </row>
    <row r="1275" spans="1:23">
      <c r="A1275" s="3">
        <v>1274</v>
      </c>
      <c r="B1275" s="1" t="s">
        <v>6915</v>
      </c>
      <c r="D1275" s="1" t="s">
        <v>6916</v>
      </c>
      <c r="F1275" s="1" t="s">
        <v>6920</v>
      </c>
      <c r="H1275" s="1" t="s">
        <v>6921</v>
      </c>
      <c r="J1275" s="1" t="s">
        <v>1324</v>
      </c>
      <c r="L1275" s="1" t="s">
        <v>894</v>
      </c>
      <c r="N1275" s="1" t="s">
        <v>7747</v>
      </c>
      <c r="P1275" s="1" t="s">
        <v>7751</v>
      </c>
      <c r="Q1275" s="3">
        <v>0</v>
      </c>
      <c r="R1275" s="22" t="s">
        <v>2721</v>
      </c>
      <c r="S1275" s="42" t="s">
        <v>6914</v>
      </c>
      <c r="T1275" s="3" t="s">
        <v>4866</v>
      </c>
      <c r="U1275" s="45">
        <v>35</v>
      </c>
      <c r="V1275" t="s">
        <v>7749</v>
      </c>
      <c r="W1275" s="1" t="str">
        <f>HYPERLINK("http://ictvonline.org/taxonomy/p/taxonomy-history?taxnode_id=201907901","ICTVonline=201907901")</f>
        <v>ICTVonline=201907901</v>
      </c>
    </row>
    <row r="1276" spans="1:23">
      <c r="A1276" s="3">
        <v>1275</v>
      </c>
      <c r="B1276" s="1" t="s">
        <v>6915</v>
      </c>
      <c r="D1276" s="1" t="s">
        <v>6916</v>
      </c>
      <c r="F1276" s="1" t="s">
        <v>6920</v>
      </c>
      <c r="H1276" s="1" t="s">
        <v>6921</v>
      </c>
      <c r="J1276" s="1" t="s">
        <v>1324</v>
      </c>
      <c r="L1276" s="1" t="s">
        <v>894</v>
      </c>
      <c r="N1276" s="1" t="s">
        <v>7747</v>
      </c>
      <c r="P1276" s="1" t="s">
        <v>7752</v>
      </c>
      <c r="Q1276" s="3">
        <v>0</v>
      </c>
      <c r="R1276" s="22" t="s">
        <v>2721</v>
      </c>
      <c r="S1276" s="42" t="s">
        <v>6914</v>
      </c>
      <c r="T1276" s="3" t="s">
        <v>4866</v>
      </c>
      <c r="U1276" s="45">
        <v>35</v>
      </c>
      <c r="V1276" t="s">
        <v>7749</v>
      </c>
      <c r="W1276" s="1" t="str">
        <f>HYPERLINK("http://ictvonline.org/taxonomy/p/taxonomy-history?taxnode_id=201907902","ICTVonline=201907902")</f>
        <v>ICTVonline=201907902</v>
      </c>
    </row>
    <row r="1277" spans="1:23">
      <c r="A1277" s="3">
        <v>1276</v>
      </c>
      <c r="B1277" s="1" t="s">
        <v>6915</v>
      </c>
      <c r="D1277" s="1" t="s">
        <v>6916</v>
      </c>
      <c r="F1277" s="1" t="s">
        <v>6920</v>
      </c>
      <c r="H1277" s="1" t="s">
        <v>6921</v>
      </c>
      <c r="J1277" s="1" t="s">
        <v>1324</v>
      </c>
      <c r="L1277" s="1" t="s">
        <v>894</v>
      </c>
      <c r="N1277" s="1" t="s">
        <v>6492</v>
      </c>
      <c r="P1277" s="1" t="s">
        <v>6493</v>
      </c>
      <c r="Q1277" s="3">
        <v>1</v>
      </c>
      <c r="R1277" s="22" t="s">
        <v>2721</v>
      </c>
      <c r="S1277" s="42" t="s">
        <v>6910</v>
      </c>
      <c r="T1277" s="3" t="s">
        <v>4868</v>
      </c>
      <c r="U1277" s="45">
        <v>35</v>
      </c>
      <c r="V1277" t="s">
        <v>6919</v>
      </c>
      <c r="W1277" s="1" t="str">
        <f>HYPERLINK("http://ictvonline.org/taxonomy/p/taxonomy-history?taxnode_id=201906850","ICTVonline=201906850")</f>
        <v>ICTVonline=201906850</v>
      </c>
    </row>
    <row r="1278" spans="1:23">
      <c r="A1278" s="3">
        <v>1277</v>
      </c>
      <c r="B1278" s="1" t="s">
        <v>6915</v>
      </c>
      <c r="D1278" s="1" t="s">
        <v>6916</v>
      </c>
      <c r="F1278" s="1" t="s">
        <v>6920</v>
      </c>
      <c r="H1278" s="1" t="s">
        <v>6921</v>
      </c>
      <c r="J1278" s="1" t="s">
        <v>1324</v>
      </c>
      <c r="L1278" s="1" t="s">
        <v>894</v>
      </c>
      <c r="N1278" s="1" t="s">
        <v>3011</v>
      </c>
      <c r="P1278" s="1" t="s">
        <v>3012</v>
      </c>
      <c r="Q1278" s="3">
        <v>1</v>
      </c>
      <c r="R1278" s="22" t="s">
        <v>2721</v>
      </c>
      <c r="S1278" s="42" t="s">
        <v>6910</v>
      </c>
      <c r="T1278" s="3" t="s">
        <v>4868</v>
      </c>
      <c r="U1278" s="45">
        <v>35</v>
      </c>
      <c r="V1278" t="s">
        <v>6919</v>
      </c>
      <c r="W1278" s="1" t="str">
        <f>HYPERLINK("http://ictvonline.org/taxonomy/p/taxonomy-history?taxnode_id=201900682","ICTVonline=201900682")</f>
        <v>ICTVonline=201900682</v>
      </c>
    </row>
    <row r="1279" spans="1:23">
      <c r="A1279" s="3">
        <v>1278</v>
      </c>
      <c r="B1279" s="1" t="s">
        <v>6915</v>
      </c>
      <c r="D1279" s="1" t="s">
        <v>6916</v>
      </c>
      <c r="F1279" s="1" t="s">
        <v>6920</v>
      </c>
      <c r="H1279" s="1" t="s">
        <v>6921</v>
      </c>
      <c r="J1279" s="1" t="s">
        <v>1324</v>
      </c>
      <c r="L1279" s="1" t="s">
        <v>894</v>
      </c>
      <c r="N1279" s="1" t="s">
        <v>3011</v>
      </c>
      <c r="P1279" s="1" t="s">
        <v>3013</v>
      </c>
      <c r="Q1279" s="3">
        <v>0</v>
      </c>
      <c r="R1279" s="22" t="s">
        <v>2721</v>
      </c>
      <c r="S1279" s="42" t="s">
        <v>6910</v>
      </c>
      <c r="T1279" s="3" t="s">
        <v>4868</v>
      </c>
      <c r="U1279" s="45">
        <v>35</v>
      </c>
      <c r="V1279" t="s">
        <v>6919</v>
      </c>
      <c r="W1279" s="1" t="str">
        <f>HYPERLINK("http://ictvonline.org/taxonomy/p/taxonomy-history?taxnode_id=201900683","ICTVonline=201900683")</f>
        <v>ICTVonline=201900683</v>
      </c>
    </row>
    <row r="1280" spans="1:23">
      <c r="A1280" s="3">
        <v>1279</v>
      </c>
      <c r="B1280" s="1" t="s">
        <v>6915</v>
      </c>
      <c r="D1280" s="1" t="s">
        <v>6916</v>
      </c>
      <c r="F1280" s="1" t="s">
        <v>6920</v>
      </c>
      <c r="H1280" s="1" t="s">
        <v>6921</v>
      </c>
      <c r="J1280" s="1" t="s">
        <v>1324</v>
      </c>
      <c r="L1280" s="1" t="s">
        <v>894</v>
      </c>
      <c r="N1280" s="1" t="s">
        <v>3011</v>
      </c>
      <c r="P1280" s="1" t="s">
        <v>3014</v>
      </c>
      <c r="Q1280" s="3">
        <v>0</v>
      </c>
      <c r="R1280" s="22" t="s">
        <v>2721</v>
      </c>
      <c r="S1280" s="42" t="s">
        <v>6910</v>
      </c>
      <c r="T1280" s="3" t="s">
        <v>4868</v>
      </c>
      <c r="U1280" s="45">
        <v>35</v>
      </c>
      <c r="V1280" t="s">
        <v>6919</v>
      </c>
      <c r="W1280" s="1" t="str">
        <f>HYPERLINK("http://ictvonline.org/taxonomy/p/taxonomy-history?taxnode_id=201900684","ICTVonline=201900684")</f>
        <v>ICTVonline=201900684</v>
      </c>
    </row>
    <row r="1281" spans="1:23">
      <c r="A1281" s="3">
        <v>1280</v>
      </c>
      <c r="B1281" s="1" t="s">
        <v>6915</v>
      </c>
      <c r="D1281" s="1" t="s">
        <v>6916</v>
      </c>
      <c r="F1281" s="1" t="s">
        <v>6920</v>
      </c>
      <c r="H1281" s="1" t="s">
        <v>6921</v>
      </c>
      <c r="J1281" s="1" t="s">
        <v>1324</v>
      </c>
      <c r="L1281" s="1" t="s">
        <v>894</v>
      </c>
      <c r="N1281" s="1" t="s">
        <v>3011</v>
      </c>
      <c r="P1281" s="1" t="s">
        <v>3015</v>
      </c>
      <c r="Q1281" s="3">
        <v>0</v>
      </c>
      <c r="R1281" s="22" t="s">
        <v>2721</v>
      </c>
      <c r="S1281" s="42" t="s">
        <v>6910</v>
      </c>
      <c r="T1281" s="3" t="s">
        <v>4868</v>
      </c>
      <c r="U1281" s="45">
        <v>35</v>
      </c>
      <c r="V1281" t="s">
        <v>6919</v>
      </c>
      <c r="W1281" s="1" t="str">
        <f>HYPERLINK("http://ictvonline.org/taxonomy/p/taxonomy-history?taxnode_id=201900685","ICTVonline=201900685")</f>
        <v>ICTVonline=201900685</v>
      </c>
    </row>
    <row r="1282" spans="1:23">
      <c r="A1282" s="3">
        <v>1281</v>
      </c>
      <c r="B1282" s="1" t="s">
        <v>6915</v>
      </c>
      <c r="D1282" s="1" t="s">
        <v>6916</v>
      </c>
      <c r="F1282" s="1" t="s">
        <v>6920</v>
      </c>
      <c r="H1282" s="1" t="s">
        <v>6921</v>
      </c>
      <c r="J1282" s="1" t="s">
        <v>1324</v>
      </c>
      <c r="L1282" s="1" t="s">
        <v>894</v>
      </c>
      <c r="N1282" s="1" t="s">
        <v>3011</v>
      </c>
      <c r="P1282" s="1" t="s">
        <v>3016</v>
      </c>
      <c r="Q1282" s="3">
        <v>0</v>
      </c>
      <c r="R1282" s="22" t="s">
        <v>2721</v>
      </c>
      <c r="S1282" s="42" t="s">
        <v>6910</v>
      </c>
      <c r="T1282" s="3" t="s">
        <v>4868</v>
      </c>
      <c r="U1282" s="45">
        <v>35</v>
      </c>
      <c r="V1282" t="s">
        <v>6919</v>
      </c>
      <c r="W1282" s="1" t="str">
        <f>HYPERLINK("http://ictvonline.org/taxonomy/p/taxonomy-history?taxnode_id=201900686","ICTVonline=201900686")</f>
        <v>ICTVonline=201900686</v>
      </c>
    </row>
    <row r="1283" spans="1:23">
      <c r="A1283" s="3">
        <v>1282</v>
      </c>
      <c r="B1283" s="1" t="s">
        <v>6915</v>
      </c>
      <c r="D1283" s="1" t="s">
        <v>6916</v>
      </c>
      <c r="F1283" s="1" t="s">
        <v>6920</v>
      </c>
      <c r="H1283" s="1" t="s">
        <v>6921</v>
      </c>
      <c r="J1283" s="1" t="s">
        <v>1324</v>
      </c>
      <c r="L1283" s="1" t="s">
        <v>894</v>
      </c>
      <c r="N1283" s="1" t="s">
        <v>6494</v>
      </c>
      <c r="P1283" s="1" t="s">
        <v>4248</v>
      </c>
      <c r="Q1283" s="3">
        <v>1</v>
      </c>
      <c r="R1283" s="22" t="s">
        <v>2721</v>
      </c>
      <c r="S1283" s="42" t="s">
        <v>6910</v>
      </c>
      <c r="T1283" s="3" t="s">
        <v>4868</v>
      </c>
      <c r="U1283" s="45">
        <v>35</v>
      </c>
      <c r="V1283" t="s">
        <v>6919</v>
      </c>
      <c r="W1283" s="1" t="str">
        <f>HYPERLINK("http://ictvonline.org/taxonomy/p/taxonomy-history?taxnode_id=201900695","ICTVonline=201900695")</f>
        <v>ICTVonline=201900695</v>
      </c>
    </row>
    <row r="1284" spans="1:23">
      <c r="A1284" s="3">
        <v>1283</v>
      </c>
      <c r="B1284" s="1" t="s">
        <v>6915</v>
      </c>
      <c r="D1284" s="1" t="s">
        <v>6916</v>
      </c>
      <c r="F1284" s="1" t="s">
        <v>6920</v>
      </c>
      <c r="H1284" s="1" t="s">
        <v>6921</v>
      </c>
      <c r="J1284" s="1" t="s">
        <v>1324</v>
      </c>
      <c r="L1284" s="1" t="s">
        <v>894</v>
      </c>
      <c r="N1284" s="1" t="s">
        <v>6494</v>
      </c>
      <c r="P1284" s="1" t="s">
        <v>4249</v>
      </c>
      <c r="Q1284" s="3">
        <v>0</v>
      </c>
      <c r="R1284" s="22" t="s">
        <v>2721</v>
      </c>
      <c r="S1284" s="42" t="s">
        <v>6910</v>
      </c>
      <c r="T1284" s="3" t="s">
        <v>4868</v>
      </c>
      <c r="U1284" s="45">
        <v>35</v>
      </c>
      <c r="V1284" t="s">
        <v>6919</v>
      </c>
      <c r="W1284" s="1" t="str">
        <f>HYPERLINK("http://ictvonline.org/taxonomy/p/taxonomy-history?taxnode_id=201900696","ICTVonline=201900696")</f>
        <v>ICTVonline=201900696</v>
      </c>
    </row>
    <row r="1285" spans="1:23">
      <c r="A1285" s="3">
        <v>1284</v>
      </c>
      <c r="B1285" s="1" t="s">
        <v>6915</v>
      </c>
      <c r="D1285" s="1" t="s">
        <v>6916</v>
      </c>
      <c r="F1285" s="1" t="s">
        <v>6920</v>
      </c>
      <c r="H1285" s="1" t="s">
        <v>6921</v>
      </c>
      <c r="J1285" s="1" t="s">
        <v>1324</v>
      </c>
      <c r="L1285" s="1" t="s">
        <v>894</v>
      </c>
      <c r="N1285" s="1" t="s">
        <v>6495</v>
      </c>
      <c r="P1285" s="1" t="s">
        <v>2976</v>
      </c>
      <c r="Q1285" s="3">
        <v>1</v>
      </c>
      <c r="R1285" s="22" t="s">
        <v>2721</v>
      </c>
      <c r="S1285" s="42" t="s">
        <v>6910</v>
      </c>
      <c r="T1285" s="3" t="s">
        <v>4868</v>
      </c>
      <c r="U1285" s="45">
        <v>35</v>
      </c>
      <c r="V1285" t="s">
        <v>6919</v>
      </c>
      <c r="W1285" s="1" t="str">
        <f>HYPERLINK("http://ictvonline.org/taxonomy/p/taxonomy-history?taxnode_id=201900627","ICTVonline=201900627")</f>
        <v>ICTVonline=201900627</v>
      </c>
    </row>
    <row r="1286" spans="1:23">
      <c r="A1286" s="3">
        <v>1285</v>
      </c>
      <c r="B1286" s="1" t="s">
        <v>6915</v>
      </c>
      <c r="D1286" s="1" t="s">
        <v>6916</v>
      </c>
      <c r="F1286" s="1" t="s">
        <v>6920</v>
      </c>
      <c r="H1286" s="1" t="s">
        <v>6921</v>
      </c>
      <c r="J1286" s="1" t="s">
        <v>1324</v>
      </c>
      <c r="L1286" s="1" t="s">
        <v>894</v>
      </c>
      <c r="N1286" s="1" t="s">
        <v>7753</v>
      </c>
      <c r="P1286" s="1" t="s">
        <v>2977</v>
      </c>
      <c r="Q1286" s="3">
        <v>1</v>
      </c>
      <c r="R1286" s="22" t="s">
        <v>2721</v>
      </c>
      <c r="S1286" s="42" t="s">
        <v>6914</v>
      </c>
      <c r="T1286" s="3" t="s">
        <v>4871</v>
      </c>
      <c r="U1286" s="45">
        <v>35</v>
      </c>
      <c r="V1286" t="s">
        <v>7745</v>
      </c>
      <c r="W1286" s="1" t="str">
        <f>HYPERLINK("http://ictvonline.org/taxonomy/p/taxonomy-history?taxnode_id=201900628","ICTVonline=201900628")</f>
        <v>ICTVonline=201900628</v>
      </c>
    </row>
    <row r="1287" spans="1:23">
      <c r="A1287" s="3">
        <v>1286</v>
      </c>
      <c r="B1287" s="1" t="s">
        <v>6915</v>
      </c>
      <c r="D1287" s="1" t="s">
        <v>6916</v>
      </c>
      <c r="F1287" s="1" t="s">
        <v>6920</v>
      </c>
      <c r="H1287" s="1" t="s">
        <v>6921</v>
      </c>
      <c r="J1287" s="1" t="s">
        <v>1324</v>
      </c>
      <c r="L1287" s="1" t="s">
        <v>894</v>
      </c>
      <c r="N1287" s="1" t="s">
        <v>6496</v>
      </c>
      <c r="P1287" s="1" t="s">
        <v>4250</v>
      </c>
      <c r="Q1287" s="3">
        <v>1</v>
      </c>
      <c r="R1287" s="22" t="s">
        <v>2721</v>
      </c>
      <c r="S1287" s="42" t="s">
        <v>6910</v>
      </c>
      <c r="T1287" s="3" t="s">
        <v>4868</v>
      </c>
      <c r="U1287" s="45">
        <v>35</v>
      </c>
      <c r="V1287" t="s">
        <v>6919</v>
      </c>
      <c r="W1287" s="1" t="str">
        <f>HYPERLINK("http://ictvonline.org/taxonomy/p/taxonomy-history?taxnode_id=201900698","ICTVonline=201900698")</f>
        <v>ICTVonline=201900698</v>
      </c>
    </row>
    <row r="1288" spans="1:23">
      <c r="A1288" s="3">
        <v>1287</v>
      </c>
      <c r="B1288" s="1" t="s">
        <v>6915</v>
      </c>
      <c r="D1288" s="1" t="s">
        <v>6916</v>
      </c>
      <c r="F1288" s="1" t="s">
        <v>6920</v>
      </c>
      <c r="H1288" s="1" t="s">
        <v>6921</v>
      </c>
      <c r="J1288" s="1" t="s">
        <v>1324</v>
      </c>
      <c r="L1288" s="1" t="s">
        <v>894</v>
      </c>
      <c r="N1288" s="1" t="s">
        <v>6496</v>
      </c>
      <c r="P1288" s="1" t="s">
        <v>4251</v>
      </c>
      <c r="Q1288" s="3">
        <v>0</v>
      </c>
      <c r="R1288" s="22" t="s">
        <v>2721</v>
      </c>
      <c r="S1288" s="42" t="s">
        <v>6910</v>
      </c>
      <c r="T1288" s="3" t="s">
        <v>4868</v>
      </c>
      <c r="U1288" s="45">
        <v>35</v>
      </c>
      <c r="V1288" t="s">
        <v>6919</v>
      </c>
      <c r="W1288" s="1" t="str">
        <f>HYPERLINK("http://ictvonline.org/taxonomy/p/taxonomy-history?taxnode_id=201900699","ICTVonline=201900699")</f>
        <v>ICTVonline=201900699</v>
      </c>
    </row>
    <row r="1289" spans="1:23">
      <c r="A1289" s="3">
        <v>1288</v>
      </c>
      <c r="B1289" s="1" t="s">
        <v>6915</v>
      </c>
      <c r="D1289" s="1" t="s">
        <v>6916</v>
      </c>
      <c r="F1289" s="1" t="s">
        <v>6920</v>
      </c>
      <c r="H1289" s="1" t="s">
        <v>6921</v>
      </c>
      <c r="J1289" s="1" t="s">
        <v>1324</v>
      </c>
      <c r="L1289" s="1" t="s">
        <v>894</v>
      </c>
      <c r="N1289" s="1" t="s">
        <v>6496</v>
      </c>
      <c r="P1289" s="1" t="s">
        <v>4252</v>
      </c>
      <c r="Q1289" s="3">
        <v>0</v>
      </c>
      <c r="R1289" s="22" t="s">
        <v>2721</v>
      </c>
      <c r="S1289" s="42" t="s">
        <v>6910</v>
      </c>
      <c r="T1289" s="3" t="s">
        <v>4868</v>
      </c>
      <c r="U1289" s="45">
        <v>35</v>
      </c>
      <c r="V1289" t="s">
        <v>6919</v>
      </c>
      <c r="W1289" s="1" t="str">
        <f>HYPERLINK("http://ictvonline.org/taxonomy/p/taxonomy-history?taxnode_id=201900700","ICTVonline=201900700")</f>
        <v>ICTVonline=201900700</v>
      </c>
    </row>
    <row r="1290" spans="1:23">
      <c r="A1290" s="3">
        <v>1289</v>
      </c>
      <c r="B1290" s="1" t="s">
        <v>6915</v>
      </c>
      <c r="D1290" s="1" t="s">
        <v>6916</v>
      </c>
      <c r="F1290" s="1" t="s">
        <v>6920</v>
      </c>
      <c r="H1290" s="1" t="s">
        <v>6921</v>
      </c>
      <c r="J1290" s="1" t="s">
        <v>1324</v>
      </c>
      <c r="L1290" s="1" t="s">
        <v>894</v>
      </c>
      <c r="N1290" s="1" t="s">
        <v>7754</v>
      </c>
      <c r="P1290" s="1" t="s">
        <v>7755</v>
      </c>
      <c r="Q1290" s="3">
        <v>1</v>
      </c>
      <c r="R1290" s="22" t="s">
        <v>2721</v>
      </c>
      <c r="S1290" s="42" t="s">
        <v>6914</v>
      </c>
      <c r="T1290" s="3" t="s">
        <v>4866</v>
      </c>
      <c r="U1290" s="45">
        <v>35</v>
      </c>
      <c r="V1290" t="s">
        <v>7756</v>
      </c>
      <c r="W1290" s="1" t="str">
        <f>HYPERLINK("http://ictvonline.org/taxonomy/p/taxonomy-history?taxnode_id=201907691","ICTVonline=201907691")</f>
        <v>ICTVonline=201907691</v>
      </c>
    </row>
    <row r="1291" spans="1:23">
      <c r="A1291" s="3">
        <v>1290</v>
      </c>
      <c r="B1291" s="1" t="s">
        <v>6915</v>
      </c>
      <c r="D1291" s="1" t="s">
        <v>6916</v>
      </c>
      <c r="F1291" s="1" t="s">
        <v>6920</v>
      </c>
      <c r="H1291" s="1" t="s">
        <v>6921</v>
      </c>
      <c r="J1291" s="1" t="s">
        <v>1324</v>
      </c>
      <c r="L1291" s="1" t="s">
        <v>894</v>
      </c>
      <c r="N1291" s="1" t="s">
        <v>7757</v>
      </c>
      <c r="P1291" s="1" t="s">
        <v>7758</v>
      </c>
      <c r="Q1291" s="3">
        <v>1</v>
      </c>
      <c r="R1291" s="22" t="s">
        <v>2721</v>
      </c>
      <c r="S1291" s="42" t="s">
        <v>6914</v>
      </c>
      <c r="T1291" s="3" t="s">
        <v>4866</v>
      </c>
      <c r="U1291" s="45">
        <v>35</v>
      </c>
      <c r="V1291" t="s">
        <v>7742</v>
      </c>
      <c r="W1291" s="1" t="str">
        <f>HYPERLINK("http://ictvonline.org/taxonomy/p/taxonomy-history?taxnode_id=201907993","ICTVonline=201907993")</f>
        <v>ICTVonline=201907993</v>
      </c>
    </row>
    <row r="1292" spans="1:23">
      <c r="A1292" s="3">
        <v>1291</v>
      </c>
      <c r="B1292" s="1" t="s">
        <v>6915</v>
      </c>
      <c r="D1292" s="1" t="s">
        <v>6916</v>
      </c>
      <c r="F1292" s="1" t="s">
        <v>6920</v>
      </c>
      <c r="H1292" s="1" t="s">
        <v>6921</v>
      </c>
      <c r="J1292" s="1" t="s">
        <v>1324</v>
      </c>
      <c r="L1292" s="1" t="s">
        <v>894</v>
      </c>
      <c r="N1292" s="1" t="s">
        <v>7759</v>
      </c>
      <c r="P1292" s="1" t="s">
        <v>7760</v>
      </c>
      <c r="Q1292" s="3">
        <v>1</v>
      </c>
      <c r="R1292" s="22" t="s">
        <v>2721</v>
      </c>
      <c r="S1292" s="42" t="s">
        <v>6914</v>
      </c>
      <c r="T1292" s="3" t="s">
        <v>4866</v>
      </c>
      <c r="U1292" s="45">
        <v>35</v>
      </c>
      <c r="V1292" t="s">
        <v>7742</v>
      </c>
      <c r="W1292" s="1" t="str">
        <f>HYPERLINK("http://ictvonline.org/taxonomy/p/taxonomy-history?taxnode_id=201907997","ICTVonline=201907997")</f>
        <v>ICTVonline=201907997</v>
      </c>
    </row>
    <row r="1293" spans="1:23">
      <c r="A1293" s="3">
        <v>1292</v>
      </c>
      <c r="B1293" s="1" t="s">
        <v>6915</v>
      </c>
      <c r="D1293" s="1" t="s">
        <v>6916</v>
      </c>
      <c r="F1293" s="1" t="s">
        <v>6920</v>
      </c>
      <c r="H1293" s="1" t="s">
        <v>6921</v>
      </c>
      <c r="J1293" s="1" t="s">
        <v>1324</v>
      </c>
      <c r="L1293" s="1" t="s">
        <v>894</v>
      </c>
      <c r="N1293" s="1" t="s">
        <v>7759</v>
      </c>
      <c r="P1293" s="1" t="s">
        <v>7761</v>
      </c>
      <c r="Q1293" s="3">
        <v>0</v>
      </c>
      <c r="R1293" s="22" t="s">
        <v>2721</v>
      </c>
      <c r="S1293" s="42" t="s">
        <v>6914</v>
      </c>
      <c r="T1293" s="3" t="s">
        <v>4866</v>
      </c>
      <c r="U1293" s="45">
        <v>35</v>
      </c>
      <c r="V1293" t="s">
        <v>7742</v>
      </c>
      <c r="W1293" s="1" t="str">
        <f>HYPERLINK("http://ictvonline.org/taxonomy/p/taxonomy-history?taxnode_id=201907998","ICTVonline=201907998")</f>
        <v>ICTVonline=201907998</v>
      </c>
    </row>
    <row r="1294" spans="1:23">
      <c r="A1294" s="3">
        <v>1293</v>
      </c>
      <c r="B1294" s="1" t="s">
        <v>6915</v>
      </c>
      <c r="D1294" s="1" t="s">
        <v>6916</v>
      </c>
      <c r="F1294" s="1" t="s">
        <v>6920</v>
      </c>
      <c r="H1294" s="1" t="s">
        <v>6921</v>
      </c>
      <c r="J1294" s="1" t="s">
        <v>1324</v>
      </c>
      <c r="L1294" s="1" t="s">
        <v>894</v>
      </c>
      <c r="N1294" s="1" t="s">
        <v>6499</v>
      </c>
      <c r="P1294" s="1" t="s">
        <v>2980</v>
      </c>
      <c r="Q1294" s="3">
        <v>0</v>
      </c>
      <c r="R1294" s="22" t="s">
        <v>2721</v>
      </c>
      <c r="S1294" s="42" t="s">
        <v>6910</v>
      </c>
      <c r="T1294" s="3" t="s">
        <v>4868</v>
      </c>
      <c r="U1294" s="45">
        <v>35</v>
      </c>
      <c r="V1294" t="s">
        <v>6919</v>
      </c>
      <c r="W1294" s="1" t="str">
        <f>HYPERLINK("http://ictvonline.org/taxonomy/p/taxonomy-history?taxnode_id=201900636","ICTVonline=201900636")</f>
        <v>ICTVonline=201900636</v>
      </c>
    </row>
    <row r="1295" spans="1:23">
      <c r="A1295" s="3">
        <v>1294</v>
      </c>
      <c r="B1295" s="1" t="s">
        <v>6915</v>
      </c>
      <c r="D1295" s="1" t="s">
        <v>6916</v>
      </c>
      <c r="F1295" s="1" t="s">
        <v>6920</v>
      </c>
      <c r="H1295" s="1" t="s">
        <v>6921</v>
      </c>
      <c r="J1295" s="1" t="s">
        <v>1324</v>
      </c>
      <c r="L1295" s="1" t="s">
        <v>894</v>
      </c>
      <c r="N1295" s="1" t="s">
        <v>6499</v>
      </c>
      <c r="P1295" s="1" t="s">
        <v>2981</v>
      </c>
      <c r="Q1295" s="3">
        <v>1</v>
      </c>
      <c r="R1295" s="22" t="s">
        <v>2721</v>
      </c>
      <c r="S1295" s="42" t="s">
        <v>6910</v>
      </c>
      <c r="T1295" s="3" t="s">
        <v>4868</v>
      </c>
      <c r="U1295" s="45">
        <v>35</v>
      </c>
      <c r="V1295" t="s">
        <v>6919</v>
      </c>
      <c r="W1295" s="1" t="str">
        <f>HYPERLINK("http://ictvonline.org/taxonomy/p/taxonomy-history?taxnode_id=201900637","ICTVonline=201900637")</f>
        <v>ICTVonline=201900637</v>
      </c>
    </row>
    <row r="1296" spans="1:23">
      <c r="A1296" s="3">
        <v>1295</v>
      </c>
      <c r="B1296" s="1" t="s">
        <v>6915</v>
      </c>
      <c r="D1296" s="1" t="s">
        <v>6916</v>
      </c>
      <c r="F1296" s="1" t="s">
        <v>6920</v>
      </c>
      <c r="H1296" s="1" t="s">
        <v>6921</v>
      </c>
      <c r="J1296" s="1" t="s">
        <v>1324</v>
      </c>
      <c r="L1296" s="1" t="s">
        <v>894</v>
      </c>
      <c r="N1296" s="1" t="s">
        <v>6499</v>
      </c>
      <c r="P1296" s="1" t="s">
        <v>4241</v>
      </c>
      <c r="Q1296" s="3">
        <v>0</v>
      </c>
      <c r="R1296" s="22" t="s">
        <v>2721</v>
      </c>
      <c r="S1296" s="42" t="s">
        <v>6910</v>
      </c>
      <c r="T1296" s="3" t="s">
        <v>4868</v>
      </c>
      <c r="U1296" s="45">
        <v>35</v>
      </c>
      <c r="V1296" t="s">
        <v>6919</v>
      </c>
      <c r="W1296" s="1" t="str">
        <f>HYPERLINK("http://ictvonline.org/taxonomy/p/taxonomy-history?taxnode_id=201900638","ICTVonline=201900638")</f>
        <v>ICTVonline=201900638</v>
      </c>
    </row>
    <row r="1297" spans="1:23">
      <c r="A1297" s="3">
        <v>1296</v>
      </c>
      <c r="B1297" s="1" t="s">
        <v>6915</v>
      </c>
      <c r="D1297" s="1" t="s">
        <v>6916</v>
      </c>
      <c r="F1297" s="1" t="s">
        <v>6920</v>
      </c>
      <c r="H1297" s="1" t="s">
        <v>6921</v>
      </c>
      <c r="J1297" s="1" t="s">
        <v>1324</v>
      </c>
      <c r="L1297" s="1" t="s">
        <v>894</v>
      </c>
      <c r="N1297" s="1" t="s">
        <v>6500</v>
      </c>
      <c r="P1297" s="1" t="s">
        <v>6501</v>
      </c>
      <c r="Q1297" s="3">
        <v>0</v>
      </c>
      <c r="R1297" s="22" t="s">
        <v>2721</v>
      </c>
      <c r="S1297" s="42" t="s">
        <v>6910</v>
      </c>
      <c r="T1297" s="3" t="s">
        <v>4868</v>
      </c>
      <c r="U1297" s="45">
        <v>35</v>
      </c>
      <c r="V1297" t="s">
        <v>6919</v>
      </c>
      <c r="W1297" s="1" t="str">
        <f>HYPERLINK("http://ictvonline.org/taxonomy/p/taxonomy-history?taxnode_id=201906898","ICTVonline=201906898")</f>
        <v>ICTVonline=201906898</v>
      </c>
    </row>
    <row r="1298" spans="1:23">
      <c r="A1298" s="3">
        <v>1297</v>
      </c>
      <c r="B1298" s="1" t="s">
        <v>6915</v>
      </c>
      <c r="D1298" s="1" t="s">
        <v>6916</v>
      </c>
      <c r="F1298" s="1" t="s">
        <v>6920</v>
      </c>
      <c r="H1298" s="1" t="s">
        <v>6921</v>
      </c>
      <c r="J1298" s="1" t="s">
        <v>1324</v>
      </c>
      <c r="L1298" s="1" t="s">
        <v>894</v>
      </c>
      <c r="N1298" s="1" t="s">
        <v>6500</v>
      </c>
      <c r="P1298" s="1" t="s">
        <v>6502</v>
      </c>
      <c r="Q1298" s="3">
        <v>1</v>
      </c>
      <c r="R1298" s="22" t="s">
        <v>2721</v>
      </c>
      <c r="S1298" s="42" t="s">
        <v>6910</v>
      </c>
      <c r="T1298" s="3" t="s">
        <v>4868</v>
      </c>
      <c r="U1298" s="45">
        <v>35</v>
      </c>
      <c r="V1298" t="s">
        <v>6919</v>
      </c>
      <c r="W1298" s="1" t="str">
        <f>HYPERLINK("http://ictvonline.org/taxonomy/p/taxonomy-history?taxnode_id=201906897","ICTVonline=201906897")</f>
        <v>ICTVonline=201906897</v>
      </c>
    </row>
    <row r="1299" spans="1:23">
      <c r="A1299" s="3">
        <v>1298</v>
      </c>
      <c r="B1299" s="1" t="s">
        <v>6915</v>
      </c>
      <c r="D1299" s="1" t="s">
        <v>6916</v>
      </c>
      <c r="F1299" s="1" t="s">
        <v>6920</v>
      </c>
      <c r="H1299" s="1" t="s">
        <v>6921</v>
      </c>
      <c r="J1299" s="1" t="s">
        <v>1324</v>
      </c>
      <c r="L1299" s="1" t="s">
        <v>894</v>
      </c>
      <c r="N1299" s="1" t="s">
        <v>7762</v>
      </c>
      <c r="P1299" s="1" t="s">
        <v>7763</v>
      </c>
      <c r="Q1299" s="3">
        <v>1</v>
      </c>
      <c r="R1299" s="22" t="s">
        <v>2721</v>
      </c>
      <c r="S1299" s="42" t="s">
        <v>6914</v>
      </c>
      <c r="T1299" s="3" t="s">
        <v>4866</v>
      </c>
      <c r="U1299" s="45">
        <v>35</v>
      </c>
      <c r="V1299" t="s">
        <v>7764</v>
      </c>
      <c r="W1299" s="1" t="str">
        <f>HYPERLINK("http://ictvonline.org/taxonomy/p/taxonomy-history?taxnode_id=201907710","ICTVonline=201907710")</f>
        <v>ICTVonline=201907710</v>
      </c>
    </row>
    <row r="1300" spans="1:23">
      <c r="A1300" s="3">
        <v>1299</v>
      </c>
      <c r="B1300" s="1" t="s">
        <v>6915</v>
      </c>
      <c r="D1300" s="1" t="s">
        <v>6916</v>
      </c>
      <c r="F1300" s="1" t="s">
        <v>6920</v>
      </c>
      <c r="H1300" s="1" t="s">
        <v>6921</v>
      </c>
      <c r="J1300" s="1" t="s">
        <v>1324</v>
      </c>
      <c r="L1300" s="1" t="s">
        <v>894</v>
      </c>
      <c r="P1300" s="1" t="s">
        <v>3022</v>
      </c>
      <c r="Q1300" s="3">
        <v>0</v>
      </c>
      <c r="R1300" s="22" t="s">
        <v>2721</v>
      </c>
      <c r="S1300" s="42" t="s">
        <v>6910</v>
      </c>
      <c r="T1300" s="3" t="s">
        <v>4868</v>
      </c>
      <c r="U1300" s="45">
        <v>35</v>
      </c>
      <c r="V1300" t="s">
        <v>6919</v>
      </c>
      <c r="W1300" s="1" t="str">
        <f>HYPERLINK("http://ictvonline.org/taxonomy/p/taxonomy-history?taxnode_id=201900702","ICTVonline=201900702")</f>
        <v>ICTVonline=201900702</v>
      </c>
    </row>
    <row r="1301" spans="1:23">
      <c r="A1301" s="3">
        <v>1300</v>
      </c>
      <c r="B1301" s="1" t="s">
        <v>6915</v>
      </c>
      <c r="D1301" s="1" t="s">
        <v>6916</v>
      </c>
      <c r="F1301" s="1" t="s">
        <v>6920</v>
      </c>
      <c r="H1301" s="1" t="s">
        <v>6921</v>
      </c>
      <c r="J1301" s="1" t="s">
        <v>1324</v>
      </c>
      <c r="L1301" s="1" t="s">
        <v>894</v>
      </c>
      <c r="P1301" s="1" t="s">
        <v>3023</v>
      </c>
      <c r="Q1301" s="3">
        <v>0</v>
      </c>
      <c r="R1301" s="22" t="s">
        <v>2721</v>
      </c>
      <c r="S1301" s="42" t="s">
        <v>6910</v>
      </c>
      <c r="T1301" s="3" t="s">
        <v>4868</v>
      </c>
      <c r="U1301" s="45">
        <v>35</v>
      </c>
      <c r="V1301" t="s">
        <v>6919</v>
      </c>
      <c r="W1301" s="1" t="str">
        <f>HYPERLINK("http://ictvonline.org/taxonomy/p/taxonomy-history?taxnode_id=201900703","ICTVonline=201900703")</f>
        <v>ICTVonline=201900703</v>
      </c>
    </row>
    <row r="1302" spans="1:23">
      <c r="A1302" s="3">
        <v>1301</v>
      </c>
      <c r="B1302" s="1" t="s">
        <v>6915</v>
      </c>
      <c r="D1302" s="1" t="s">
        <v>6916</v>
      </c>
      <c r="F1302" s="1" t="s">
        <v>6920</v>
      </c>
      <c r="H1302" s="1" t="s">
        <v>6921</v>
      </c>
      <c r="J1302" s="1" t="s">
        <v>1324</v>
      </c>
      <c r="L1302" s="1" t="s">
        <v>894</v>
      </c>
      <c r="P1302" s="1" t="s">
        <v>3024</v>
      </c>
      <c r="Q1302" s="3">
        <v>0</v>
      </c>
      <c r="R1302" s="22" t="s">
        <v>2721</v>
      </c>
      <c r="S1302" s="42" t="s">
        <v>6910</v>
      </c>
      <c r="T1302" s="3" t="s">
        <v>4868</v>
      </c>
      <c r="U1302" s="45">
        <v>35</v>
      </c>
      <c r="V1302" t="s">
        <v>6919</v>
      </c>
      <c r="W1302" s="1" t="str">
        <f>HYPERLINK("http://ictvonline.org/taxonomy/p/taxonomy-history?taxnode_id=201900704","ICTVonline=201900704")</f>
        <v>ICTVonline=201900704</v>
      </c>
    </row>
    <row r="1303" spans="1:23">
      <c r="A1303" s="3">
        <v>1302</v>
      </c>
      <c r="B1303" s="1" t="s">
        <v>6915</v>
      </c>
      <c r="D1303" s="1" t="s">
        <v>6916</v>
      </c>
      <c r="F1303" s="1" t="s">
        <v>6920</v>
      </c>
      <c r="H1303" s="1" t="s">
        <v>6921</v>
      </c>
      <c r="J1303" s="1" t="s">
        <v>1324</v>
      </c>
      <c r="L1303" s="1" t="s">
        <v>894</v>
      </c>
      <c r="P1303" s="1" t="s">
        <v>3025</v>
      </c>
      <c r="Q1303" s="3">
        <v>0</v>
      </c>
      <c r="R1303" s="22" t="s">
        <v>2721</v>
      </c>
      <c r="S1303" s="42" t="s">
        <v>6910</v>
      </c>
      <c r="T1303" s="3" t="s">
        <v>4868</v>
      </c>
      <c r="U1303" s="45">
        <v>35</v>
      </c>
      <c r="V1303" t="s">
        <v>6919</v>
      </c>
      <c r="W1303" s="1" t="str">
        <f>HYPERLINK("http://ictvonline.org/taxonomy/p/taxonomy-history?taxnode_id=201900705","ICTVonline=201900705")</f>
        <v>ICTVonline=201900705</v>
      </c>
    </row>
    <row r="1304" spans="1:23">
      <c r="A1304" s="3">
        <v>1303</v>
      </c>
      <c r="B1304" s="1" t="s">
        <v>6915</v>
      </c>
      <c r="D1304" s="1" t="s">
        <v>6916</v>
      </c>
      <c r="F1304" s="1" t="s">
        <v>6920</v>
      </c>
      <c r="H1304" s="1" t="s">
        <v>6921</v>
      </c>
      <c r="J1304" s="1" t="s">
        <v>1324</v>
      </c>
      <c r="L1304" s="1" t="s">
        <v>894</v>
      </c>
      <c r="P1304" s="1" t="s">
        <v>3026</v>
      </c>
      <c r="Q1304" s="3">
        <v>0</v>
      </c>
      <c r="R1304" s="22" t="s">
        <v>2721</v>
      </c>
      <c r="S1304" s="42" t="s">
        <v>6910</v>
      </c>
      <c r="T1304" s="3" t="s">
        <v>4868</v>
      </c>
      <c r="U1304" s="45">
        <v>35</v>
      </c>
      <c r="V1304" t="s">
        <v>6919</v>
      </c>
      <c r="W1304" s="1" t="str">
        <f>HYPERLINK("http://ictvonline.org/taxonomy/p/taxonomy-history?taxnode_id=201900706","ICTVonline=201900706")</f>
        <v>ICTVonline=201900706</v>
      </c>
    </row>
    <row r="1305" spans="1:23">
      <c r="A1305" s="3">
        <v>1304</v>
      </c>
      <c r="B1305" s="1" t="s">
        <v>6915</v>
      </c>
      <c r="D1305" s="1" t="s">
        <v>6916</v>
      </c>
      <c r="F1305" s="1" t="s">
        <v>6920</v>
      </c>
      <c r="H1305" s="1" t="s">
        <v>6921</v>
      </c>
      <c r="J1305" s="1" t="s">
        <v>1324</v>
      </c>
      <c r="L1305" s="1" t="s">
        <v>894</v>
      </c>
      <c r="P1305" s="1" t="s">
        <v>3027</v>
      </c>
      <c r="Q1305" s="3">
        <v>0</v>
      </c>
      <c r="R1305" s="22" t="s">
        <v>2721</v>
      </c>
      <c r="S1305" s="42" t="s">
        <v>6910</v>
      </c>
      <c r="T1305" s="3" t="s">
        <v>4868</v>
      </c>
      <c r="U1305" s="45">
        <v>35</v>
      </c>
      <c r="V1305" t="s">
        <v>6919</v>
      </c>
      <c r="W1305" s="1" t="str">
        <f>HYPERLINK("http://ictvonline.org/taxonomy/p/taxonomy-history?taxnode_id=201900707","ICTVonline=201900707")</f>
        <v>ICTVonline=201900707</v>
      </c>
    </row>
    <row r="1306" spans="1:23">
      <c r="A1306" s="3">
        <v>1305</v>
      </c>
      <c r="B1306" s="1" t="s">
        <v>6915</v>
      </c>
      <c r="D1306" s="1" t="s">
        <v>6916</v>
      </c>
      <c r="F1306" s="1" t="s">
        <v>6920</v>
      </c>
      <c r="H1306" s="1" t="s">
        <v>6921</v>
      </c>
      <c r="J1306" s="1" t="s">
        <v>1324</v>
      </c>
      <c r="L1306" s="1" t="s">
        <v>894</v>
      </c>
      <c r="P1306" s="1" t="s">
        <v>3028</v>
      </c>
      <c r="Q1306" s="3">
        <v>0</v>
      </c>
      <c r="R1306" s="22" t="s">
        <v>2721</v>
      </c>
      <c r="S1306" s="42" t="s">
        <v>6910</v>
      </c>
      <c r="T1306" s="3" t="s">
        <v>4868</v>
      </c>
      <c r="U1306" s="45">
        <v>35</v>
      </c>
      <c r="V1306" t="s">
        <v>6919</v>
      </c>
      <c r="W1306" s="1" t="str">
        <f>HYPERLINK("http://ictvonline.org/taxonomy/p/taxonomy-history?taxnode_id=201900708","ICTVonline=201900708")</f>
        <v>ICTVonline=201900708</v>
      </c>
    </row>
    <row r="1307" spans="1:23">
      <c r="A1307" s="3">
        <v>1306</v>
      </c>
      <c r="B1307" s="1" t="s">
        <v>6915</v>
      </c>
      <c r="D1307" s="1" t="s">
        <v>6916</v>
      </c>
      <c r="F1307" s="1" t="s">
        <v>6920</v>
      </c>
      <c r="H1307" s="1" t="s">
        <v>6921</v>
      </c>
      <c r="J1307" s="1" t="s">
        <v>1324</v>
      </c>
      <c r="L1307" s="1" t="s">
        <v>895</v>
      </c>
      <c r="M1307" s="1" t="s">
        <v>4253</v>
      </c>
      <c r="N1307" s="1" t="s">
        <v>6503</v>
      </c>
      <c r="P1307" s="1" t="s">
        <v>4267</v>
      </c>
      <c r="Q1307" s="3">
        <v>0</v>
      </c>
      <c r="R1307" s="22" t="s">
        <v>2721</v>
      </c>
      <c r="S1307" s="42" t="s">
        <v>6910</v>
      </c>
      <c r="T1307" s="3" t="s">
        <v>4868</v>
      </c>
      <c r="U1307" s="45">
        <v>35</v>
      </c>
      <c r="V1307" t="s">
        <v>6919</v>
      </c>
      <c r="W1307" s="1" t="str">
        <f>HYPERLINK("http://ictvonline.org/taxonomy/p/taxonomy-history?taxnode_id=201900729","ICTVonline=201900729")</f>
        <v>ICTVonline=201900729</v>
      </c>
    </row>
    <row r="1308" spans="1:23">
      <c r="A1308" s="3">
        <v>1307</v>
      </c>
      <c r="B1308" s="1" t="s">
        <v>6915</v>
      </c>
      <c r="D1308" s="1" t="s">
        <v>6916</v>
      </c>
      <c r="F1308" s="1" t="s">
        <v>6920</v>
      </c>
      <c r="H1308" s="1" t="s">
        <v>6921</v>
      </c>
      <c r="J1308" s="1" t="s">
        <v>1324</v>
      </c>
      <c r="L1308" s="1" t="s">
        <v>895</v>
      </c>
      <c r="M1308" s="1" t="s">
        <v>4253</v>
      </c>
      <c r="N1308" s="1" t="s">
        <v>6503</v>
      </c>
      <c r="P1308" s="1" t="s">
        <v>4268</v>
      </c>
      <c r="Q1308" s="3">
        <v>1</v>
      </c>
      <c r="R1308" s="22" t="s">
        <v>2721</v>
      </c>
      <c r="S1308" s="42" t="s">
        <v>6910</v>
      </c>
      <c r="T1308" s="3" t="s">
        <v>4868</v>
      </c>
      <c r="U1308" s="45">
        <v>35</v>
      </c>
      <c r="V1308" t="s">
        <v>6919</v>
      </c>
      <c r="W1308" s="1" t="str">
        <f>HYPERLINK("http://ictvonline.org/taxonomy/p/taxonomy-history?taxnode_id=201900730","ICTVonline=201900730")</f>
        <v>ICTVonline=201900730</v>
      </c>
    </row>
    <row r="1309" spans="1:23">
      <c r="A1309" s="3">
        <v>1308</v>
      </c>
      <c r="B1309" s="1" t="s">
        <v>6915</v>
      </c>
      <c r="D1309" s="1" t="s">
        <v>6916</v>
      </c>
      <c r="F1309" s="1" t="s">
        <v>6920</v>
      </c>
      <c r="H1309" s="1" t="s">
        <v>6921</v>
      </c>
      <c r="J1309" s="1" t="s">
        <v>1324</v>
      </c>
      <c r="L1309" s="1" t="s">
        <v>895</v>
      </c>
      <c r="M1309" s="1" t="s">
        <v>4253</v>
      </c>
      <c r="N1309" s="1" t="s">
        <v>4254</v>
      </c>
      <c r="P1309" s="1" t="s">
        <v>4255</v>
      </c>
      <c r="Q1309" s="3">
        <v>0</v>
      </c>
      <c r="R1309" s="22" t="s">
        <v>2721</v>
      </c>
      <c r="S1309" s="42" t="s">
        <v>6910</v>
      </c>
      <c r="T1309" s="3" t="s">
        <v>4868</v>
      </c>
      <c r="U1309" s="45">
        <v>35</v>
      </c>
      <c r="V1309" t="s">
        <v>6919</v>
      </c>
      <c r="W1309" s="1" t="str">
        <f>HYPERLINK("http://ictvonline.org/taxonomy/p/taxonomy-history?taxnode_id=201900716","ICTVonline=201900716")</f>
        <v>ICTVonline=201900716</v>
      </c>
    </row>
    <row r="1310" spans="1:23">
      <c r="A1310" s="3">
        <v>1309</v>
      </c>
      <c r="B1310" s="1" t="s">
        <v>6915</v>
      </c>
      <c r="D1310" s="1" t="s">
        <v>6916</v>
      </c>
      <c r="F1310" s="1" t="s">
        <v>6920</v>
      </c>
      <c r="H1310" s="1" t="s">
        <v>6921</v>
      </c>
      <c r="J1310" s="1" t="s">
        <v>1324</v>
      </c>
      <c r="L1310" s="1" t="s">
        <v>895</v>
      </c>
      <c r="M1310" s="1" t="s">
        <v>4253</v>
      </c>
      <c r="N1310" s="1" t="s">
        <v>4254</v>
      </c>
      <c r="P1310" s="1" t="s">
        <v>4256</v>
      </c>
      <c r="Q1310" s="3">
        <v>1</v>
      </c>
      <c r="R1310" s="22" t="s">
        <v>2721</v>
      </c>
      <c r="S1310" s="42" t="s">
        <v>6910</v>
      </c>
      <c r="T1310" s="3" t="s">
        <v>4868</v>
      </c>
      <c r="U1310" s="45">
        <v>35</v>
      </c>
      <c r="V1310" t="s">
        <v>6919</v>
      </c>
      <c r="W1310" s="1" t="str">
        <f>HYPERLINK("http://ictvonline.org/taxonomy/p/taxonomy-history?taxnode_id=201900717","ICTVonline=201900717")</f>
        <v>ICTVonline=201900717</v>
      </c>
    </row>
    <row r="1311" spans="1:23">
      <c r="A1311" s="3">
        <v>1310</v>
      </c>
      <c r="B1311" s="1" t="s">
        <v>6915</v>
      </c>
      <c r="D1311" s="1" t="s">
        <v>6916</v>
      </c>
      <c r="F1311" s="1" t="s">
        <v>6920</v>
      </c>
      <c r="H1311" s="1" t="s">
        <v>6921</v>
      </c>
      <c r="J1311" s="1" t="s">
        <v>1324</v>
      </c>
      <c r="L1311" s="1" t="s">
        <v>895</v>
      </c>
      <c r="M1311" s="1" t="s">
        <v>4253</v>
      </c>
      <c r="N1311" s="1" t="s">
        <v>4257</v>
      </c>
      <c r="P1311" s="1" t="s">
        <v>4258</v>
      </c>
      <c r="Q1311" s="3">
        <v>0</v>
      </c>
      <c r="R1311" s="22" t="s">
        <v>2721</v>
      </c>
      <c r="S1311" s="42" t="s">
        <v>6910</v>
      </c>
      <c r="T1311" s="3" t="s">
        <v>4868</v>
      </c>
      <c r="U1311" s="45">
        <v>35</v>
      </c>
      <c r="V1311" t="s">
        <v>6919</v>
      </c>
      <c r="W1311" s="1" t="str">
        <f>HYPERLINK("http://ictvonline.org/taxonomy/p/taxonomy-history?taxnode_id=201900719","ICTVonline=201900719")</f>
        <v>ICTVonline=201900719</v>
      </c>
    </row>
    <row r="1312" spans="1:23">
      <c r="A1312" s="3">
        <v>1311</v>
      </c>
      <c r="B1312" s="1" t="s">
        <v>6915</v>
      </c>
      <c r="D1312" s="1" t="s">
        <v>6916</v>
      </c>
      <c r="F1312" s="1" t="s">
        <v>6920</v>
      </c>
      <c r="H1312" s="1" t="s">
        <v>6921</v>
      </c>
      <c r="J1312" s="1" t="s">
        <v>1324</v>
      </c>
      <c r="L1312" s="1" t="s">
        <v>895</v>
      </c>
      <c r="M1312" s="1" t="s">
        <v>4253</v>
      </c>
      <c r="N1312" s="1" t="s">
        <v>4257</v>
      </c>
      <c r="P1312" s="1" t="s">
        <v>4259</v>
      </c>
      <c r="Q1312" s="3">
        <v>0</v>
      </c>
      <c r="R1312" s="22" t="s">
        <v>2721</v>
      </c>
      <c r="S1312" s="42" t="s">
        <v>6910</v>
      </c>
      <c r="T1312" s="3" t="s">
        <v>4868</v>
      </c>
      <c r="U1312" s="45">
        <v>35</v>
      </c>
      <c r="V1312" t="s">
        <v>6919</v>
      </c>
      <c r="W1312" s="1" t="str">
        <f>HYPERLINK("http://ictvonline.org/taxonomy/p/taxonomy-history?taxnode_id=201900720","ICTVonline=201900720")</f>
        <v>ICTVonline=201900720</v>
      </c>
    </row>
    <row r="1313" spans="1:23">
      <c r="A1313" s="3">
        <v>1312</v>
      </c>
      <c r="B1313" s="1" t="s">
        <v>6915</v>
      </c>
      <c r="D1313" s="1" t="s">
        <v>6916</v>
      </c>
      <c r="F1313" s="1" t="s">
        <v>6920</v>
      </c>
      <c r="H1313" s="1" t="s">
        <v>6921</v>
      </c>
      <c r="J1313" s="1" t="s">
        <v>1324</v>
      </c>
      <c r="L1313" s="1" t="s">
        <v>895</v>
      </c>
      <c r="M1313" s="1" t="s">
        <v>4253</v>
      </c>
      <c r="N1313" s="1" t="s">
        <v>4257</v>
      </c>
      <c r="P1313" s="1" t="s">
        <v>4260</v>
      </c>
      <c r="Q1313" s="3">
        <v>0</v>
      </c>
      <c r="R1313" s="22" t="s">
        <v>2721</v>
      </c>
      <c r="S1313" s="42" t="s">
        <v>6910</v>
      </c>
      <c r="T1313" s="3" t="s">
        <v>4868</v>
      </c>
      <c r="U1313" s="45">
        <v>35</v>
      </c>
      <c r="V1313" t="s">
        <v>6919</v>
      </c>
      <c r="W1313" s="1" t="str">
        <f>HYPERLINK("http://ictvonline.org/taxonomy/p/taxonomy-history?taxnode_id=201900721","ICTVonline=201900721")</f>
        <v>ICTVonline=201900721</v>
      </c>
    </row>
    <row r="1314" spans="1:23">
      <c r="A1314" s="3">
        <v>1313</v>
      </c>
      <c r="B1314" s="1" t="s">
        <v>6915</v>
      </c>
      <c r="D1314" s="1" t="s">
        <v>6916</v>
      </c>
      <c r="F1314" s="1" t="s">
        <v>6920</v>
      </c>
      <c r="H1314" s="1" t="s">
        <v>6921</v>
      </c>
      <c r="J1314" s="1" t="s">
        <v>1324</v>
      </c>
      <c r="L1314" s="1" t="s">
        <v>895</v>
      </c>
      <c r="M1314" s="1" t="s">
        <v>4253</v>
      </c>
      <c r="N1314" s="1" t="s">
        <v>4257</v>
      </c>
      <c r="P1314" s="1" t="s">
        <v>4261</v>
      </c>
      <c r="Q1314" s="3">
        <v>0</v>
      </c>
      <c r="R1314" s="22" t="s">
        <v>2721</v>
      </c>
      <c r="S1314" s="42" t="s">
        <v>6910</v>
      </c>
      <c r="T1314" s="3" t="s">
        <v>4868</v>
      </c>
      <c r="U1314" s="45">
        <v>35</v>
      </c>
      <c r="V1314" t="s">
        <v>6919</v>
      </c>
      <c r="W1314" s="1" t="str">
        <f>HYPERLINK("http://ictvonline.org/taxonomy/p/taxonomy-history?taxnode_id=201900722","ICTVonline=201900722")</f>
        <v>ICTVonline=201900722</v>
      </c>
    </row>
    <row r="1315" spans="1:23">
      <c r="A1315" s="3">
        <v>1314</v>
      </c>
      <c r="B1315" s="1" t="s">
        <v>6915</v>
      </c>
      <c r="D1315" s="1" t="s">
        <v>6916</v>
      </c>
      <c r="F1315" s="1" t="s">
        <v>6920</v>
      </c>
      <c r="H1315" s="1" t="s">
        <v>6921</v>
      </c>
      <c r="J1315" s="1" t="s">
        <v>1324</v>
      </c>
      <c r="L1315" s="1" t="s">
        <v>895</v>
      </c>
      <c r="M1315" s="1" t="s">
        <v>4253</v>
      </c>
      <c r="N1315" s="1" t="s">
        <v>4257</v>
      </c>
      <c r="P1315" s="1" t="s">
        <v>4262</v>
      </c>
      <c r="Q1315" s="3">
        <v>0</v>
      </c>
      <c r="R1315" s="22" t="s">
        <v>2721</v>
      </c>
      <c r="S1315" s="42" t="s">
        <v>6910</v>
      </c>
      <c r="T1315" s="3" t="s">
        <v>4868</v>
      </c>
      <c r="U1315" s="45">
        <v>35</v>
      </c>
      <c r="V1315" t="s">
        <v>6919</v>
      </c>
      <c r="W1315" s="1" t="str">
        <f>HYPERLINK("http://ictvonline.org/taxonomy/p/taxonomy-history?taxnode_id=201900723","ICTVonline=201900723")</f>
        <v>ICTVonline=201900723</v>
      </c>
    </row>
    <row r="1316" spans="1:23">
      <c r="A1316" s="3">
        <v>1315</v>
      </c>
      <c r="B1316" s="1" t="s">
        <v>6915</v>
      </c>
      <c r="D1316" s="1" t="s">
        <v>6916</v>
      </c>
      <c r="F1316" s="1" t="s">
        <v>6920</v>
      </c>
      <c r="H1316" s="1" t="s">
        <v>6921</v>
      </c>
      <c r="J1316" s="1" t="s">
        <v>1324</v>
      </c>
      <c r="L1316" s="1" t="s">
        <v>895</v>
      </c>
      <c r="M1316" s="1" t="s">
        <v>4253</v>
      </c>
      <c r="N1316" s="1" t="s">
        <v>4257</v>
      </c>
      <c r="P1316" s="1" t="s">
        <v>4263</v>
      </c>
      <c r="Q1316" s="3">
        <v>0</v>
      </c>
      <c r="R1316" s="22" t="s">
        <v>2721</v>
      </c>
      <c r="S1316" s="42" t="s">
        <v>6910</v>
      </c>
      <c r="T1316" s="3" t="s">
        <v>4868</v>
      </c>
      <c r="U1316" s="45">
        <v>35</v>
      </c>
      <c r="V1316" t="s">
        <v>6919</v>
      </c>
      <c r="W1316" s="1" t="str">
        <f>HYPERLINK("http://ictvonline.org/taxonomy/p/taxonomy-history?taxnode_id=201900724","ICTVonline=201900724")</f>
        <v>ICTVonline=201900724</v>
      </c>
    </row>
    <row r="1317" spans="1:23">
      <c r="A1317" s="3">
        <v>1316</v>
      </c>
      <c r="B1317" s="1" t="s">
        <v>6915</v>
      </c>
      <c r="D1317" s="1" t="s">
        <v>6916</v>
      </c>
      <c r="F1317" s="1" t="s">
        <v>6920</v>
      </c>
      <c r="H1317" s="1" t="s">
        <v>6921</v>
      </c>
      <c r="J1317" s="1" t="s">
        <v>1324</v>
      </c>
      <c r="L1317" s="1" t="s">
        <v>895</v>
      </c>
      <c r="M1317" s="1" t="s">
        <v>4253</v>
      </c>
      <c r="N1317" s="1" t="s">
        <v>4257</v>
      </c>
      <c r="P1317" s="1" t="s">
        <v>4264</v>
      </c>
      <c r="Q1317" s="3">
        <v>1</v>
      </c>
      <c r="R1317" s="22" t="s">
        <v>2721</v>
      </c>
      <c r="S1317" s="42" t="s">
        <v>6910</v>
      </c>
      <c r="T1317" s="3" t="s">
        <v>4868</v>
      </c>
      <c r="U1317" s="45">
        <v>35</v>
      </c>
      <c r="V1317" t="s">
        <v>6919</v>
      </c>
      <c r="W1317" s="1" t="str">
        <f>HYPERLINK("http://ictvonline.org/taxonomy/p/taxonomy-history?taxnode_id=201900725","ICTVonline=201900725")</f>
        <v>ICTVonline=201900725</v>
      </c>
    </row>
    <row r="1318" spans="1:23">
      <c r="A1318" s="3">
        <v>1317</v>
      </c>
      <c r="B1318" s="1" t="s">
        <v>6915</v>
      </c>
      <c r="D1318" s="1" t="s">
        <v>6916</v>
      </c>
      <c r="F1318" s="1" t="s">
        <v>6920</v>
      </c>
      <c r="H1318" s="1" t="s">
        <v>6921</v>
      </c>
      <c r="J1318" s="1" t="s">
        <v>1324</v>
      </c>
      <c r="L1318" s="1" t="s">
        <v>895</v>
      </c>
      <c r="M1318" s="1" t="s">
        <v>4253</v>
      </c>
      <c r="N1318" s="1" t="s">
        <v>4257</v>
      </c>
      <c r="P1318" s="1" t="s">
        <v>4265</v>
      </c>
      <c r="Q1318" s="3">
        <v>0</v>
      </c>
      <c r="R1318" s="22" t="s">
        <v>2721</v>
      </c>
      <c r="S1318" s="42" t="s">
        <v>6910</v>
      </c>
      <c r="T1318" s="3" t="s">
        <v>4868</v>
      </c>
      <c r="U1318" s="45">
        <v>35</v>
      </c>
      <c r="V1318" t="s">
        <v>6919</v>
      </c>
      <c r="W1318" s="1" t="str">
        <f>HYPERLINK("http://ictvonline.org/taxonomy/p/taxonomy-history?taxnode_id=201900726","ICTVonline=201900726")</f>
        <v>ICTVonline=201900726</v>
      </c>
    </row>
    <row r="1319" spans="1:23">
      <c r="A1319" s="3">
        <v>1318</v>
      </c>
      <c r="B1319" s="1" t="s">
        <v>6915</v>
      </c>
      <c r="D1319" s="1" t="s">
        <v>6916</v>
      </c>
      <c r="F1319" s="1" t="s">
        <v>6920</v>
      </c>
      <c r="H1319" s="1" t="s">
        <v>6921</v>
      </c>
      <c r="J1319" s="1" t="s">
        <v>1324</v>
      </c>
      <c r="L1319" s="1" t="s">
        <v>895</v>
      </c>
      <c r="M1319" s="1" t="s">
        <v>4253</v>
      </c>
      <c r="N1319" s="1" t="s">
        <v>4257</v>
      </c>
      <c r="P1319" s="1" t="s">
        <v>4266</v>
      </c>
      <c r="Q1319" s="3">
        <v>0</v>
      </c>
      <c r="R1319" s="22" t="s">
        <v>2721</v>
      </c>
      <c r="S1319" s="42" t="s">
        <v>6910</v>
      </c>
      <c r="T1319" s="3" t="s">
        <v>4868</v>
      </c>
      <c r="U1319" s="45">
        <v>35</v>
      </c>
      <c r="V1319" t="s">
        <v>6919</v>
      </c>
      <c r="W1319" s="1" t="str">
        <f>HYPERLINK("http://ictvonline.org/taxonomy/p/taxonomy-history?taxnode_id=201900727","ICTVonline=201900727")</f>
        <v>ICTVonline=201900727</v>
      </c>
    </row>
    <row r="1320" spans="1:23">
      <c r="A1320" s="3">
        <v>1319</v>
      </c>
      <c r="B1320" s="1" t="s">
        <v>6915</v>
      </c>
      <c r="D1320" s="1" t="s">
        <v>6916</v>
      </c>
      <c r="F1320" s="1" t="s">
        <v>6920</v>
      </c>
      <c r="H1320" s="1" t="s">
        <v>6921</v>
      </c>
      <c r="J1320" s="1" t="s">
        <v>1324</v>
      </c>
      <c r="L1320" s="1" t="s">
        <v>895</v>
      </c>
      <c r="M1320" s="1" t="s">
        <v>4253</v>
      </c>
      <c r="P1320" s="1" t="s">
        <v>4269</v>
      </c>
      <c r="Q1320" s="3">
        <v>0</v>
      </c>
      <c r="R1320" s="22" t="s">
        <v>2721</v>
      </c>
      <c r="S1320" s="42" t="s">
        <v>6910</v>
      </c>
      <c r="T1320" s="3" t="s">
        <v>4868</v>
      </c>
      <c r="U1320" s="45">
        <v>35</v>
      </c>
      <c r="V1320" t="s">
        <v>6919</v>
      </c>
      <c r="W1320" s="1" t="str">
        <f>HYPERLINK("http://ictvonline.org/taxonomy/p/taxonomy-history?taxnode_id=201900732","ICTVonline=201900732")</f>
        <v>ICTVonline=201900732</v>
      </c>
    </row>
    <row r="1321" spans="1:23">
      <c r="A1321" s="3">
        <v>1320</v>
      </c>
      <c r="B1321" s="1" t="s">
        <v>6915</v>
      </c>
      <c r="D1321" s="1" t="s">
        <v>6916</v>
      </c>
      <c r="F1321" s="1" t="s">
        <v>6920</v>
      </c>
      <c r="H1321" s="1" t="s">
        <v>6921</v>
      </c>
      <c r="J1321" s="1" t="s">
        <v>1324</v>
      </c>
      <c r="L1321" s="1" t="s">
        <v>895</v>
      </c>
      <c r="M1321" s="1" t="s">
        <v>4062</v>
      </c>
      <c r="N1321" s="1" t="s">
        <v>4063</v>
      </c>
      <c r="P1321" s="1" t="s">
        <v>3265</v>
      </c>
      <c r="Q1321" s="3">
        <v>1</v>
      </c>
      <c r="R1321" s="22" t="s">
        <v>2721</v>
      </c>
      <c r="S1321" s="42" t="s">
        <v>6910</v>
      </c>
      <c r="T1321" s="3" t="s">
        <v>4868</v>
      </c>
      <c r="U1321" s="45">
        <v>35</v>
      </c>
      <c r="V1321" t="s">
        <v>6919</v>
      </c>
      <c r="W1321" s="1" t="str">
        <f>HYPERLINK("http://ictvonline.org/taxonomy/p/taxonomy-history?taxnode_id=201900735","ICTVonline=201900735")</f>
        <v>ICTVonline=201900735</v>
      </c>
    </row>
    <row r="1322" spans="1:23">
      <c r="A1322" s="3">
        <v>1321</v>
      </c>
      <c r="B1322" s="1" t="s">
        <v>6915</v>
      </c>
      <c r="D1322" s="1" t="s">
        <v>6916</v>
      </c>
      <c r="F1322" s="1" t="s">
        <v>6920</v>
      </c>
      <c r="H1322" s="1" t="s">
        <v>6921</v>
      </c>
      <c r="J1322" s="1" t="s">
        <v>1324</v>
      </c>
      <c r="L1322" s="1" t="s">
        <v>895</v>
      </c>
      <c r="M1322" s="1" t="s">
        <v>4062</v>
      </c>
      <c r="N1322" s="1" t="s">
        <v>4063</v>
      </c>
      <c r="P1322" s="1" t="s">
        <v>4270</v>
      </c>
      <c r="Q1322" s="3">
        <v>0</v>
      </c>
      <c r="R1322" s="22" t="s">
        <v>2721</v>
      </c>
      <c r="S1322" s="42" t="s">
        <v>6910</v>
      </c>
      <c r="T1322" s="3" t="s">
        <v>4868</v>
      </c>
      <c r="U1322" s="45">
        <v>35</v>
      </c>
      <c r="V1322" t="s">
        <v>6919</v>
      </c>
      <c r="W1322" s="1" t="str">
        <f>HYPERLINK("http://ictvonline.org/taxonomy/p/taxonomy-history?taxnode_id=201900736","ICTVonline=201900736")</f>
        <v>ICTVonline=201900736</v>
      </c>
    </row>
    <row r="1323" spans="1:23">
      <c r="A1323" s="3">
        <v>1322</v>
      </c>
      <c r="B1323" s="1" t="s">
        <v>6915</v>
      </c>
      <c r="D1323" s="1" t="s">
        <v>6916</v>
      </c>
      <c r="F1323" s="1" t="s">
        <v>6920</v>
      </c>
      <c r="H1323" s="1" t="s">
        <v>6921</v>
      </c>
      <c r="J1323" s="1" t="s">
        <v>1324</v>
      </c>
      <c r="L1323" s="1" t="s">
        <v>895</v>
      </c>
      <c r="M1323" s="1" t="s">
        <v>4062</v>
      </c>
      <c r="N1323" s="1" t="s">
        <v>4063</v>
      </c>
      <c r="P1323" s="1" t="s">
        <v>4271</v>
      </c>
      <c r="Q1323" s="3">
        <v>0</v>
      </c>
      <c r="R1323" s="22" t="s">
        <v>2721</v>
      </c>
      <c r="S1323" s="42" t="s">
        <v>6910</v>
      </c>
      <c r="T1323" s="3" t="s">
        <v>4868</v>
      </c>
      <c r="U1323" s="45">
        <v>35</v>
      </c>
      <c r="V1323" t="s">
        <v>6919</v>
      </c>
      <c r="W1323" s="1" t="str">
        <f>HYPERLINK("http://ictvonline.org/taxonomy/p/taxonomy-history?taxnode_id=201900737","ICTVonline=201900737")</f>
        <v>ICTVonline=201900737</v>
      </c>
    </row>
    <row r="1324" spans="1:23">
      <c r="A1324" s="3">
        <v>1323</v>
      </c>
      <c r="B1324" s="1" t="s">
        <v>6915</v>
      </c>
      <c r="D1324" s="1" t="s">
        <v>6916</v>
      </c>
      <c r="F1324" s="1" t="s">
        <v>6920</v>
      </c>
      <c r="H1324" s="1" t="s">
        <v>6921</v>
      </c>
      <c r="J1324" s="1" t="s">
        <v>1324</v>
      </c>
      <c r="L1324" s="1" t="s">
        <v>895</v>
      </c>
      <c r="M1324" s="1" t="s">
        <v>4062</v>
      </c>
      <c r="N1324" s="1" t="s">
        <v>4064</v>
      </c>
      <c r="P1324" s="1" t="s">
        <v>4272</v>
      </c>
      <c r="Q1324" s="3">
        <v>0</v>
      </c>
      <c r="R1324" s="22" t="s">
        <v>2721</v>
      </c>
      <c r="S1324" s="42" t="s">
        <v>6910</v>
      </c>
      <c r="T1324" s="3" t="s">
        <v>4868</v>
      </c>
      <c r="U1324" s="45">
        <v>35</v>
      </c>
      <c r="V1324" t="s">
        <v>6919</v>
      </c>
      <c r="W1324" s="1" t="str">
        <f>HYPERLINK("http://ictvonline.org/taxonomy/p/taxonomy-history?taxnode_id=201900739","ICTVonline=201900739")</f>
        <v>ICTVonline=201900739</v>
      </c>
    </row>
    <row r="1325" spans="1:23">
      <c r="A1325" s="3">
        <v>1324</v>
      </c>
      <c r="B1325" s="1" t="s">
        <v>6915</v>
      </c>
      <c r="D1325" s="1" t="s">
        <v>6916</v>
      </c>
      <c r="F1325" s="1" t="s">
        <v>6920</v>
      </c>
      <c r="H1325" s="1" t="s">
        <v>6921</v>
      </c>
      <c r="J1325" s="1" t="s">
        <v>1324</v>
      </c>
      <c r="L1325" s="1" t="s">
        <v>895</v>
      </c>
      <c r="M1325" s="1" t="s">
        <v>4062</v>
      </c>
      <c r="N1325" s="1" t="s">
        <v>4064</v>
      </c>
      <c r="P1325" s="1" t="s">
        <v>4273</v>
      </c>
      <c r="Q1325" s="3">
        <v>0</v>
      </c>
      <c r="R1325" s="22" t="s">
        <v>2721</v>
      </c>
      <c r="S1325" s="42" t="s">
        <v>6910</v>
      </c>
      <c r="T1325" s="3" t="s">
        <v>4868</v>
      </c>
      <c r="U1325" s="45">
        <v>35</v>
      </c>
      <c r="V1325" t="s">
        <v>6919</v>
      </c>
      <c r="W1325" s="1" t="str">
        <f>HYPERLINK("http://ictvonline.org/taxonomy/p/taxonomy-history?taxnode_id=201900740","ICTVonline=201900740")</f>
        <v>ICTVonline=201900740</v>
      </c>
    </row>
    <row r="1326" spans="1:23">
      <c r="A1326" s="3">
        <v>1325</v>
      </c>
      <c r="B1326" s="1" t="s">
        <v>6915</v>
      </c>
      <c r="D1326" s="1" t="s">
        <v>6916</v>
      </c>
      <c r="F1326" s="1" t="s">
        <v>6920</v>
      </c>
      <c r="H1326" s="1" t="s">
        <v>6921</v>
      </c>
      <c r="J1326" s="1" t="s">
        <v>1324</v>
      </c>
      <c r="L1326" s="1" t="s">
        <v>895</v>
      </c>
      <c r="M1326" s="1" t="s">
        <v>4062</v>
      </c>
      <c r="N1326" s="1" t="s">
        <v>4064</v>
      </c>
      <c r="P1326" s="1" t="s">
        <v>4274</v>
      </c>
      <c r="Q1326" s="3">
        <v>0</v>
      </c>
      <c r="R1326" s="22" t="s">
        <v>2721</v>
      </c>
      <c r="S1326" s="42" t="s">
        <v>6910</v>
      </c>
      <c r="T1326" s="3" t="s">
        <v>4868</v>
      </c>
      <c r="U1326" s="45">
        <v>35</v>
      </c>
      <c r="V1326" t="s">
        <v>6919</v>
      </c>
      <c r="W1326" s="1" t="str">
        <f>HYPERLINK("http://ictvonline.org/taxonomy/p/taxonomy-history?taxnode_id=201900741","ICTVonline=201900741")</f>
        <v>ICTVonline=201900741</v>
      </c>
    </row>
    <row r="1327" spans="1:23">
      <c r="A1327" s="3">
        <v>1326</v>
      </c>
      <c r="B1327" s="1" t="s">
        <v>6915</v>
      </c>
      <c r="D1327" s="1" t="s">
        <v>6916</v>
      </c>
      <c r="F1327" s="1" t="s">
        <v>6920</v>
      </c>
      <c r="H1327" s="1" t="s">
        <v>6921</v>
      </c>
      <c r="J1327" s="1" t="s">
        <v>1324</v>
      </c>
      <c r="L1327" s="1" t="s">
        <v>895</v>
      </c>
      <c r="M1327" s="1" t="s">
        <v>4062</v>
      </c>
      <c r="N1327" s="1" t="s">
        <v>4064</v>
      </c>
      <c r="P1327" s="1" t="s">
        <v>3267</v>
      </c>
      <c r="Q1327" s="3">
        <v>0</v>
      </c>
      <c r="R1327" s="22" t="s">
        <v>2721</v>
      </c>
      <c r="S1327" s="42" t="s">
        <v>6910</v>
      </c>
      <c r="T1327" s="3" t="s">
        <v>4868</v>
      </c>
      <c r="U1327" s="45">
        <v>35</v>
      </c>
      <c r="V1327" t="s">
        <v>6919</v>
      </c>
      <c r="W1327" s="1" t="str">
        <f>HYPERLINK("http://ictvonline.org/taxonomy/p/taxonomy-history?taxnode_id=201900742","ICTVonline=201900742")</f>
        <v>ICTVonline=201900742</v>
      </c>
    </row>
    <row r="1328" spans="1:23">
      <c r="A1328" s="3">
        <v>1327</v>
      </c>
      <c r="B1328" s="1" t="s">
        <v>6915</v>
      </c>
      <c r="D1328" s="1" t="s">
        <v>6916</v>
      </c>
      <c r="F1328" s="1" t="s">
        <v>6920</v>
      </c>
      <c r="H1328" s="1" t="s">
        <v>6921</v>
      </c>
      <c r="J1328" s="1" t="s">
        <v>1324</v>
      </c>
      <c r="L1328" s="1" t="s">
        <v>895</v>
      </c>
      <c r="M1328" s="1" t="s">
        <v>4062</v>
      </c>
      <c r="N1328" s="1" t="s">
        <v>4064</v>
      </c>
      <c r="P1328" s="1" t="s">
        <v>3268</v>
      </c>
      <c r="Q1328" s="3">
        <v>1</v>
      </c>
      <c r="R1328" s="22" t="s">
        <v>2721</v>
      </c>
      <c r="S1328" s="42" t="s">
        <v>6910</v>
      </c>
      <c r="T1328" s="3" t="s">
        <v>4868</v>
      </c>
      <c r="U1328" s="45">
        <v>35</v>
      </c>
      <c r="V1328" t="s">
        <v>6919</v>
      </c>
      <c r="W1328" s="1" t="str">
        <f>HYPERLINK("http://ictvonline.org/taxonomy/p/taxonomy-history?taxnode_id=201900743","ICTVonline=201900743")</f>
        <v>ICTVonline=201900743</v>
      </c>
    </row>
    <row r="1329" spans="1:23">
      <c r="A1329" s="3">
        <v>1328</v>
      </c>
      <c r="B1329" s="1" t="s">
        <v>6915</v>
      </c>
      <c r="D1329" s="1" t="s">
        <v>6916</v>
      </c>
      <c r="F1329" s="1" t="s">
        <v>6920</v>
      </c>
      <c r="H1329" s="1" t="s">
        <v>6921</v>
      </c>
      <c r="J1329" s="1" t="s">
        <v>1324</v>
      </c>
      <c r="L1329" s="1" t="s">
        <v>895</v>
      </c>
      <c r="M1329" s="1" t="s">
        <v>4062</v>
      </c>
      <c r="N1329" s="1" t="s">
        <v>4064</v>
      </c>
      <c r="P1329" s="1" t="s">
        <v>4275</v>
      </c>
      <c r="Q1329" s="3">
        <v>0</v>
      </c>
      <c r="R1329" s="22" t="s">
        <v>2721</v>
      </c>
      <c r="S1329" s="42" t="s">
        <v>6910</v>
      </c>
      <c r="T1329" s="3" t="s">
        <v>4868</v>
      </c>
      <c r="U1329" s="45">
        <v>35</v>
      </c>
      <c r="V1329" t="s">
        <v>6919</v>
      </c>
      <c r="W1329" s="1" t="str">
        <f>HYPERLINK("http://ictvonline.org/taxonomy/p/taxonomy-history?taxnode_id=201900744","ICTVonline=201900744")</f>
        <v>ICTVonline=201900744</v>
      </c>
    </row>
    <row r="1330" spans="1:23">
      <c r="A1330" s="3">
        <v>1329</v>
      </c>
      <c r="B1330" s="1" t="s">
        <v>6915</v>
      </c>
      <c r="D1330" s="1" t="s">
        <v>6916</v>
      </c>
      <c r="F1330" s="1" t="s">
        <v>6920</v>
      </c>
      <c r="H1330" s="1" t="s">
        <v>6921</v>
      </c>
      <c r="J1330" s="1" t="s">
        <v>1324</v>
      </c>
      <c r="L1330" s="1" t="s">
        <v>895</v>
      </c>
      <c r="M1330" s="1" t="s">
        <v>4062</v>
      </c>
      <c r="N1330" s="1" t="s">
        <v>4064</v>
      </c>
      <c r="P1330" s="1" t="s">
        <v>3270</v>
      </c>
      <c r="Q1330" s="3">
        <v>0</v>
      </c>
      <c r="R1330" s="22" t="s">
        <v>2721</v>
      </c>
      <c r="S1330" s="42" t="s">
        <v>6910</v>
      </c>
      <c r="T1330" s="3" t="s">
        <v>4868</v>
      </c>
      <c r="U1330" s="45">
        <v>35</v>
      </c>
      <c r="V1330" t="s">
        <v>6919</v>
      </c>
      <c r="W1330" s="1" t="str">
        <f>HYPERLINK("http://ictvonline.org/taxonomy/p/taxonomy-history?taxnode_id=201900745","ICTVonline=201900745")</f>
        <v>ICTVonline=201900745</v>
      </c>
    </row>
    <row r="1331" spans="1:23">
      <c r="A1331" s="3">
        <v>1330</v>
      </c>
      <c r="B1331" s="1" t="s">
        <v>6915</v>
      </c>
      <c r="D1331" s="1" t="s">
        <v>6916</v>
      </c>
      <c r="F1331" s="1" t="s">
        <v>6920</v>
      </c>
      <c r="H1331" s="1" t="s">
        <v>6921</v>
      </c>
      <c r="J1331" s="1" t="s">
        <v>1324</v>
      </c>
      <c r="L1331" s="1" t="s">
        <v>895</v>
      </c>
      <c r="M1331" s="1" t="s">
        <v>4062</v>
      </c>
      <c r="N1331" s="1" t="s">
        <v>4064</v>
      </c>
      <c r="P1331" s="1" t="s">
        <v>3275</v>
      </c>
      <c r="Q1331" s="3">
        <v>0</v>
      </c>
      <c r="R1331" s="22" t="s">
        <v>2721</v>
      </c>
      <c r="S1331" s="42" t="s">
        <v>6910</v>
      </c>
      <c r="T1331" s="3" t="s">
        <v>4868</v>
      </c>
      <c r="U1331" s="45">
        <v>35</v>
      </c>
      <c r="V1331" t="s">
        <v>6919</v>
      </c>
      <c r="W1331" s="1" t="str">
        <f>HYPERLINK("http://ictvonline.org/taxonomy/p/taxonomy-history?taxnode_id=201900746","ICTVonline=201900746")</f>
        <v>ICTVonline=201900746</v>
      </c>
    </row>
    <row r="1332" spans="1:23">
      <c r="A1332" s="3">
        <v>1331</v>
      </c>
      <c r="B1332" s="1" t="s">
        <v>6915</v>
      </c>
      <c r="D1332" s="1" t="s">
        <v>6916</v>
      </c>
      <c r="F1332" s="1" t="s">
        <v>6920</v>
      </c>
      <c r="H1332" s="1" t="s">
        <v>6921</v>
      </c>
      <c r="J1332" s="1" t="s">
        <v>1324</v>
      </c>
      <c r="L1332" s="1" t="s">
        <v>895</v>
      </c>
      <c r="M1332" s="1" t="s">
        <v>4062</v>
      </c>
      <c r="N1332" s="1" t="s">
        <v>4064</v>
      </c>
      <c r="P1332" s="1" t="s">
        <v>4276</v>
      </c>
      <c r="Q1332" s="3">
        <v>0</v>
      </c>
      <c r="R1332" s="22" t="s">
        <v>2721</v>
      </c>
      <c r="S1332" s="42" t="s">
        <v>6910</v>
      </c>
      <c r="T1332" s="3" t="s">
        <v>4868</v>
      </c>
      <c r="U1332" s="45">
        <v>35</v>
      </c>
      <c r="V1332" t="s">
        <v>6919</v>
      </c>
      <c r="W1332" s="1" t="str">
        <f>HYPERLINK("http://ictvonline.org/taxonomy/p/taxonomy-history?taxnode_id=201900747","ICTVonline=201900747")</f>
        <v>ICTVonline=201900747</v>
      </c>
    </row>
    <row r="1333" spans="1:23">
      <c r="A1333" s="3">
        <v>1332</v>
      </c>
      <c r="B1333" s="1" t="s">
        <v>6915</v>
      </c>
      <c r="D1333" s="1" t="s">
        <v>6916</v>
      </c>
      <c r="F1333" s="1" t="s">
        <v>6920</v>
      </c>
      <c r="H1333" s="1" t="s">
        <v>6921</v>
      </c>
      <c r="J1333" s="1" t="s">
        <v>1324</v>
      </c>
      <c r="L1333" s="1" t="s">
        <v>895</v>
      </c>
      <c r="M1333" s="1" t="s">
        <v>4062</v>
      </c>
      <c r="N1333" s="1" t="s">
        <v>4064</v>
      </c>
      <c r="P1333" s="1" t="s">
        <v>3276</v>
      </c>
      <c r="Q1333" s="3">
        <v>0</v>
      </c>
      <c r="R1333" s="22" t="s">
        <v>2721</v>
      </c>
      <c r="S1333" s="42" t="s">
        <v>6910</v>
      </c>
      <c r="T1333" s="3" t="s">
        <v>4868</v>
      </c>
      <c r="U1333" s="45">
        <v>35</v>
      </c>
      <c r="V1333" t="s">
        <v>6919</v>
      </c>
      <c r="W1333" s="1" t="str">
        <f>HYPERLINK("http://ictvonline.org/taxonomy/p/taxonomy-history?taxnode_id=201900748","ICTVonline=201900748")</f>
        <v>ICTVonline=201900748</v>
      </c>
    </row>
    <row r="1334" spans="1:23">
      <c r="A1334" s="3">
        <v>1333</v>
      </c>
      <c r="B1334" s="1" t="s">
        <v>6915</v>
      </c>
      <c r="D1334" s="1" t="s">
        <v>6916</v>
      </c>
      <c r="F1334" s="1" t="s">
        <v>6920</v>
      </c>
      <c r="H1334" s="1" t="s">
        <v>6921</v>
      </c>
      <c r="J1334" s="1" t="s">
        <v>1324</v>
      </c>
      <c r="L1334" s="1" t="s">
        <v>895</v>
      </c>
      <c r="M1334" s="1" t="s">
        <v>4062</v>
      </c>
      <c r="N1334" s="1" t="s">
        <v>6504</v>
      </c>
      <c r="P1334" s="1" t="s">
        <v>4277</v>
      </c>
      <c r="Q1334" s="3">
        <v>0</v>
      </c>
      <c r="R1334" s="22" t="s">
        <v>2721</v>
      </c>
      <c r="S1334" s="42" t="s">
        <v>6910</v>
      </c>
      <c r="T1334" s="3" t="s">
        <v>4868</v>
      </c>
      <c r="U1334" s="45">
        <v>35</v>
      </c>
      <c r="V1334" t="s">
        <v>6919</v>
      </c>
      <c r="W1334" s="1" t="str">
        <f>HYPERLINK("http://ictvonline.org/taxonomy/p/taxonomy-history?taxnode_id=201900750","ICTVonline=201900750")</f>
        <v>ICTVonline=201900750</v>
      </c>
    </row>
    <row r="1335" spans="1:23">
      <c r="A1335" s="3">
        <v>1334</v>
      </c>
      <c r="B1335" s="1" t="s">
        <v>6915</v>
      </c>
      <c r="D1335" s="1" t="s">
        <v>6916</v>
      </c>
      <c r="F1335" s="1" t="s">
        <v>6920</v>
      </c>
      <c r="H1335" s="1" t="s">
        <v>6921</v>
      </c>
      <c r="J1335" s="1" t="s">
        <v>1324</v>
      </c>
      <c r="L1335" s="1" t="s">
        <v>895</v>
      </c>
      <c r="M1335" s="1" t="s">
        <v>4062</v>
      </c>
      <c r="N1335" s="1" t="s">
        <v>6504</v>
      </c>
      <c r="P1335" s="1" t="s">
        <v>4278</v>
      </c>
      <c r="Q1335" s="3">
        <v>0</v>
      </c>
      <c r="R1335" s="22" t="s">
        <v>2721</v>
      </c>
      <c r="S1335" s="42" t="s">
        <v>6910</v>
      </c>
      <c r="T1335" s="3" t="s">
        <v>4868</v>
      </c>
      <c r="U1335" s="45">
        <v>35</v>
      </c>
      <c r="V1335" t="s">
        <v>6919</v>
      </c>
      <c r="W1335" s="1" t="str">
        <f>HYPERLINK("http://ictvonline.org/taxonomy/p/taxonomy-history?taxnode_id=201900751","ICTVonline=201900751")</f>
        <v>ICTVonline=201900751</v>
      </c>
    </row>
    <row r="1336" spans="1:23">
      <c r="A1336" s="3">
        <v>1335</v>
      </c>
      <c r="B1336" s="1" t="s">
        <v>6915</v>
      </c>
      <c r="D1336" s="1" t="s">
        <v>6916</v>
      </c>
      <c r="F1336" s="1" t="s">
        <v>6920</v>
      </c>
      <c r="H1336" s="1" t="s">
        <v>6921</v>
      </c>
      <c r="J1336" s="1" t="s">
        <v>1324</v>
      </c>
      <c r="L1336" s="1" t="s">
        <v>895</v>
      </c>
      <c r="M1336" s="1" t="s">
        <v>4062</v>
      </c>
      <c r="N1336" s="1" t="s">
        <v>6504</v>
      </c>
      <c r="P1336" s="1" t="s">
        <v>3271</v>
      </c>
      <c r="Q1336" s="3">
        <v>0</v>
      </c>
      <c r="R1336" s="22" t="s">
        <v>2721</v>
      </c>
      <c r="S1336" s="42" t="s">
        <v>6910</v>
      </c>
      <c r="T1336" s="3" t="s">
        <v>4868</v>
      </c>
      <c r="U1336" s="45">
        <v>35</v>
      </c>
      <c r="V1336" t="s">
        <v>6919</v>
      </c>
      <c r="W1336" s="1" t="str">
        <f>HYPERLINK("http://ictvonline.org/taxonomy/p/taxonomy-history?taxnode_id=201900752","ICTVonline=201900752")</f>
        <v>ICTVonline=201900752</v>
      </c>
    </row>
    <row r="1337" spans="1:23">
      <c r="A1337" s="3">
        <v>1336</v>
      </c>
      <c r="B1337" s="1" t="s">
        <v>6915</v>
      </c>
      <c r="D1337" s="1" t="s">
        <v>6916</v>
      </c>
      <c r="F1337" s="1" t="s">
        <v>6920</v>
      </c>
      <c r="H1337" s="1" t="s">
        <v>6921</v>
      </c>
      <c r="J1337" s="1" t="s">
        <v>1324</v>
      </c>
      <c r="L1337" s="1" t="s">
        <v>895</v>
      </c>
      <c r="M1337" s="1" t="s">
        <v>4062</v>
      </c>
      <c r="N1337" s="1" t="s">
        <v>6504</v>
      </c>
      <c r="P1337" s="1" t="s">
        <v>4279</v>
      </c>
      <c r="Q1337" s="3">
        <v>0</v>
      </c>
      <c r="R1337" s="22" t="s">
        <v>2721</v>
      </c>
      <c r="S1337" s="42" t="s">
        <v>6910</v>
      </c>
      <c r="T1337" s="3" t="s">
        <v>4868</v>
      </c>
      <c r="U1337" s="45">
        <v>35</v>
      </c>
      <c r="V1337" t="s">
        <v>6919</v>
      </c>
      <c r="W1337" s="1" t="str">
        <f>HYPERLINK("http://ictvonline.org/taxonomy/p/taxonomy-history?taxnode_id=201900753","ICTVonline=201900753")</f>
        <v>ICTVonline=201900753</v>
      </c>
    </row>
    <row r="1338" spans="1:23">
      <c r="A1338" s="3">
        <v>1337</v>
      </c>
      <c r="B1338" s="1" t="s">
        <v>6915</v>
      </c>
      <c r="D1338" s="1" t="s">
        <v>6916</v>
      </c>
      <c r="F1338" s="1" t="s">
        <v>6920</v>
      </c>
      <c r="H1338" s="1" t="s">
        <v>6921</v>
      </c>
      <c r="J1338" s="1" t="s">
        <v>1324</v>
      </c>
      <c r="L1338" s="1" t="s">
        <v>895</v>
      </c>
      <c r="M1338" s="1" t="s">
        <v>4062</v>
      </c>
      <c r="N1338" s="1" t="s">
        <v>6504</v>
      </c>
      <c r="P1338" s="1" t="s">
        <v>3272</v>
      </c>
      <c r="Q1338" s="3">
        <v>1</v>
      </c>
      <c r="R1338" s="22" t="s">
        <v>2721</v>
      </c>
      <c r="S1338" s="42" t="s">
        <v>6910</v>
      </c>
      <c r="T1338" s="3" t="s">
        <v>4868</v>
      </c>
      <c r="U1338" s="45">
        <v>35</v>
      </c>
      <c r="V1338" t="s">
        <v>6919</v>
      </c>
      <c r="W1338" s="1" t="str">
        <f>HYPERLINK("http://ictvonline.org/taxonomy/p/taxonomy-history?taxnode_id=201900754","ICTVonline=201900754")</f>
        <v>ICTVonline=201900754</v>
      </c>
    </row>
    <row r="1339" spans="1:23">
      <c r="A1339" s="3">
        <v>1338</v>
      </c>
      <c r="B1339" s="1" t="s">
        <v>6915</v>
      </c>
      <c r="D1339" s="1" t="s">
        <v>6916</v>
      </c>
      <c r="F1339" s="1" t="s">
        <v>6920</v>
      </c>
      <c r="H1339" s="1" t="s">
        <v>6921</v>
      </c>
      <c r="J1339" s="1" t="s">
        <v>1324</v>
      </c>
      <c r="L1339" s="1" t="s">
        <v>895</v>
      </c>
      <c r="M1339" s="1" t="s">
        <v>4062</v>
      </c>
      <c r="N1339" s="1" t="s">
        <v>6504</v>
      </c>
      <c r="P1339" s="1" t="s">
        <v>4280</v>
      </c>
      <c r="Q1339" s="3">
        <v>0</v>
      </c>
      <c r="R1339" s="22" t="s">
        <v>2721</v>
      </c>
      <c r="S1339" s="42" t="s">
        <v>6910</v>
      </c>
      <c r="T1339" s="3" t="s">
        <v>4868</v>
      </c>
      <c r="U1339" s="45">
        <v>35</v>
      </c>
      <c r="V1339" t="s">
        <v>6919</v>
      </c>
      <c r="W1339" s="1" t="str">
        <f>HYPERLINK("http://ictvonline.org/taxonomy/p/taxonomy-history?taxnode_id=201900755","ICTVonline=201900755")</f>
        <v>ICTVonline=201900755</v>
      </c>
    </row>
    <row r="1340" spans="1:23">
      <c r="A1340" s="3">
        <v>1339</v>
      </c>
      <c r="B1340" s="1" t="s">
        <v>6915</v>
      </c>
      <c r="D1340" s="1" t="s">
        <v>6916</v>
      </c>
      <c r="F1340" s="1" t="s">
        <v>6920</v>
      </c>
      <c r="H1340" s="1" t="s">
        <v>6921</v>
      </c>
      <c r="J1340" s="1" t="s">
        <v>1324</v>
      </c>
      <c r="L1340" s="1" t="s">
        <v>895</v>
      </c>
      <c r="M1340" s="1" t="s">
        <v>4062</v>
      </c>
      <c r="N1340" s="1" t="s">
        <v>6504</v>
      </c>
      <c r="P1340" s="1" t="s">
        <v>4281</v>
      </c>
      <c r="Q1340" s="3">
        <v>0</v>
      </c>
      <c r="R1340" s="22" t="s">
        <v>2721</v>
      </c>
      <c r="S1340" s="42" t="s">
        <v>6910</v>
      </c>
      <c r="T1340" s="3" t="s">
        <v>4868</v>
      </c>
      <c r="U1340" s="45">
        <v>35</v>
      </c>
      <c r="V1340" t="s">
        <v>6919</v>
      </c>
      <c r="W1340" s="1" t="str">
        <f>HYPERLINK("http://ictvonline.org/taxonomy/p/taxonomy-history?taxnode_id=201900756","ICTVonline=201900756")</f>
        <v>ICTVonline=201900756</v>
      </c>
    </row>
    <row r="1341" spans="1:23">
      <c r="A1341" s="3">
        <v>1340</v>
      </c>
      <c r="B1341" s="1" t="s">
        <v>6915</v>
      </c>
      <c r="D1341" s="1" t="s">
        <v>6916</v>
      </c>
      <c r="F1341" s="1" t="s">
        <v>6920</v>
      </c>
      <c r="H1341" s="1" t="s">
        <v>6921</v>
      </c>
      <c r="J1341" s="1" t="s">
        <v>1324</v>
      </c>
      <c r="L1341" s="1" t="s">
        <v>895</v>
      </c>
      <c r="M1341" s="1" t="s">
        <v>4062</v>
      </c>
      <c r="N1341" s="1" t="s">
        <v>4065</v>
      </c>
      <c r="P1341" s="1" t="s">
        <v>3266</v>
      </c>
      <c r="Q1341" s="3">
        <v>0</v>
      </c>
      <c r="R1341" s="22" t="s">
        <v>2721</v>
      </c>
      <c r="S1341" s="42" t="s">
        <v>6910</v>
      </c>
      <c r="T1341" s="3" t="s">
        <v>4868</v>
      </c>
      <c r="U1341" s="45">
        <v>35</v>
      </c>
      <c r="V1341" t="s">
        <v>6919</v>
      </c>
      <c r="W1341" s="1" t="str">
        <f>HYPERLINK("http://ictvonline.org/taxonomy/p/taxonomy-history?taxnode_id=201900758","ICTVonline=201900758")</f>
        <v>ICTVonline=201900758</v>
      </c>
    </row>
    <row r="1342" spans="1:23">
      <c r="A1342" s="3">
        <v>1341</v>
      </c>
      <c r="B1342" s="1" t="s">
        <v>6915</v>
      </c>
      <c r="D1342" s="1" t="s">
        <v>6916</v>
      </c>
      <c r="F1342" s="1" t="s">
        <v>6920</v>
      </c>
      <c r="H1342" s="1" t="s">
        <v>6921</v>
      </c>
      <c r="J1342" s="1" t="s">
        <v>1324</v>
      </c>
      <c r="L1342" s="1" t="s">
        <v>895</v>
      </c>
      <c r="M1342" s="1" t="s">
        <v>4062</v>
      </c>
      <c r="N1342" s="1" t="s">
        <v>4065</v>
      </c>
      <c r="P1342" s="1" t="s">
        <v>4282</v>
      </c>
      <c r="Q1342" s="3">
        <v>0</v>
      </c>
      <c r="R1342" s="22" t="s">
        <v>2721</v>
      </c>
      <c r="S1342" s="42" t="s">
        <v>6910</v>
      </c>
      <c r="T1342" s="3" t="s">
        <v>4868</v>
      </c>
      <c r="U1342" s="45">
        <v>35</v>
      </c>
      <c r="V1342" t="s">
        <v>6919</v>
      </c>
      <c r="W1342" s="1" t="str">
        <f>HYPERLINK("http://ictvonline.org/taxonomy/p/taxonomy-history?taxnode_id=201900759","ICTVonline=201900759")</f>
        <v>ICTVonline=201900759</v>
      </c>
    </row>
    <row r="1343" spans="1:23">
      <c r="A1343" s="3">
        <v>1342</v>
      </c>
      <c r="B1343" s="1" t="s">
        <v>6915</v>
      </c>
      <c r="D1343" s="1" t="s">
        <v>6916</v>
      </c>
      <c r="F1343" s="1" t="s">
        <v>6920</v>
      </c>
      <c r="H1343" s="1" t="s">
        <v>6921</v>
      </c>
      <c r="J1343" s="1" t="s">
        <v>1324</v>
      </c>
      <c r="L1343" s="1" t="s">
        <v>895</v>
      </c>
      <c r="M1343" s="2" t="s">
        <v>4062</v>
      </c>
      <c r="N1343" s="1" t="s">
        <v>4065</v>
      </c>
      <c r="P1343" s="1" t="s">
        <v>3269</v>
      </c>
      <c r="Q1343" s="3">
        <v>0</v>
      </c>
      <c r="R1343" s="22" t="s">
        <v>2721</v>
      </c>
      <c r="S1343" s="42" t="s">
        <v>6910</v>
      </c>
      <c r="T1343" s="3" t="s">
        <v>4868</v>
      </c>
      <c r="U1343" s="45">
        <v>35</v>
      </c>
      <c r="V1343" t="s">
        <v>6919</v>
      </c>
      <c r="W1343" s="1" t="str">
        <f>HYPERLINK("http://ictvonline.org/taxonomy/p/taxonomy-history?taxnode_id=201900760","ICTVonline=201900760")</f>
        <v>ICTVonline=201900760</v>
      </c>
    </row>
    <row r="1344" spans="1:23">
      <c r="A1344" s="3">
        <v>1343</v>
      </c>
      <c r="B1344" s="1" t="s">
        <v>6915</v>
      </c>
      <c r="D1344" s="1" t="s">
        <v>6916</v>
      </c>
      <c r="F1344" s="1" t="s">
        <v>6920</v>
      </c>
      <c r="H1344" s="1" t="s">
        <v>6921</v>
      </c>
      <c r="J1344" s="1" t="s">
        <v>1324</v>
      </c>
      <c r="L1344" s="1" t="s">
        <v>895</v>
      </c>
      <c r="M1344" s="1" t="s">
        <v>4062</v>
      </c>
      <c r="N1344" s="1" t="s">
        <v>4065</v>
      </c>
      <c r="P1344" s="1" t="s">
        <v>3273</v>
      </c>
      <c r="Q1344" s="3">
        <v>1</v>
      </c>
      <c r="R1344" s="22" t="s">
        <v>2721</v>
      </c>
      <c r="S1344" s="42" t="s">
        <v>6910</v>
      </c>
      <c r="T1344" s="3" t="s">
        <v>4868</v>
      </c>
      <c r="U1344" s="45">
        <v>35</v>
      </c>
      <c r="V1344" t="s">
        <v>6919</v>
      </c>
      <c r="W1344" s="1" t="str">
        <f>HYPERLINK("http://ictvonline.org/taxonomy/p/taxonomy-history?taxnode_id=201900761","ICTVonline=201900761")</f>
        <v>ICTVonline=201900761</v>
      </c>
    </row>
    <row r="1345" spans="1:23">
      <c r="A1345" s="3">
        <v>1344</v>
      </c>
      <c r="B1345" s="1" t="s">
        <v>6915</v>
      </c>
      <c r="D1345" s="1" t="s">
        <v>6916</v>
      </c>
      <c r="F1345" s="1" t="s">
        <v>6920</v>
      </c>
      <c r="H1345" s="1" t="s">
        <v>6921</v>
      </c>
      <c r="J1345" s="1" t="s">
        <v>1324</v>
      </c>
      <c r="L1345" s="1" t="s">
        <v>895</v>
      </c>
      <c r="M1345" s="1" t="s">
        <v>4062</v>
      </c>
      <c r="N1345" s="1" t="s">
        <v>4066</v>
      </c>
      <c r="P1345" s="1" t="s">
        <v>4283</v>
      </c>
      <c r="Q1345" s="3">
        <v>0</v>
      </c>
      <c r="R1345" s="22" t="s">
        <v>2721</v>
      </c>
      <c r="S1345" s="42" t="s">
        <v>6910</v>
      </c>
      <c r="T1345" s="3" t="s">
        <v>4868</v>
      </c>
      <c r="U1345" s="45">
        <v>35</v>
      </c>
      <c r="V1345" t="s">
        <v>6919</v>
      </c>
      <c r="W1345" s="1" t="str">
        <f>HYPERLINK("http://ictvonline.org/taxonomy/p/taxonomy-history?taxnode_id=201900763","ICTVonline=201900763")</f>
        <v>ICTVonline=201900763</v>
      </c>
    </row>
    <row r="1346" spans="1:23">
      <c r="A1346" s="3">
        <v>1345</v>
      </c>
      <c r="B1346" s="1" t="s">
        <v>6915</v>
      </c>
      <c r="D1346" s="1" t="s">
        <v>6916</v>
      </c>
      <c r="F1346" s="1" t="s">
        <v>6920</v>
      </c>
      <c r="H1346" s="1" t="s">
        <v>6921</v>
      </c>
      <c r="J1346" s="1" t="s">
        <v>1324</v>
      </c>
      <c r="L1346" s="1" t="s">
        <v>895</v>
      </c>
      <c r="M1346" s="1" t="s">
        <v>4062</v>
      </c>
      <c r="N1346" s="1" t="s">
        <v>4066</v>
      </c>
      <c r="P1346" s="1" t="s">
        <v>3274</v>
      </c>
      <c r="Q1346" s="3">
        <v>1</v>
      </c>
      <c r="R1346" s="22" t="s">
        <v>2721</v>
      </c>
      <c r="S1346" s="42" t="s">
        <v>6910</v>
      </c>
      <c r="T1346" s="3" t="s">
        <v>4868</v>
      </c>
      <c r="U1346" s="45">
        <v>35</v>
      </c>
      <c r="V1346" t="s">
        <v>6919</v>
      </c>
      <c r="W1346" s="1" t="str">
        <f>HYPERLINK("http://ictvonline.org/taxonomy/p/taxonomy-history?taxnode_id=201900764","ICTVonline=201900764")</f>
        <v>ICTVonline=201900764</v>
      </c>
    </row>
    <row r="1347" spans="1:23">
      <c r="A1347" s="3">
        <v>1346</v>
      </c>
      <c r="B1347" s="1" t="s">
        <v>6915</v>
      </c>
      <c r="D1347" s="1" t="s">
        <v>6916</v>
      </c>
      <c r="F1347" s="1" t="s">
        <v>6920</v>
      </c>
      <c r="H1347" s="1" t="s">
        <v>6921</v>
      </c>
      <c r="J1347" s="1" t="s">
        <v>1324</v>
      </c>
      <c r="L1347" s="1" t="s">
        <v>895</v>
      </c>
      <c r="M1347" s="1" t="s">
        <v>4062</v>
      </c>
      <c r="N1347" s="1" t="s">
        <v>4066</v>
      </c>
      <c r="P1347" s="1" t="s">
        <v>6505</v>
      </c>
      <c r="Q1347" s="3">
        <v>0</v>
      </c>
      <c r="R1347" s="22" t="s">
        <v>2721</v>
      </c>
      <c r="S1347" s="42" t="s">
        <v>6910</v>
      </c>
      <c r="T1347" s="3" t="s">
        <v>4868</v>
      </c>
      <c r="U1347" s="45">
        <v>35</v>
      </c>
      <c r="V1347" t="s">
        <v>6919</v>
      </c>
      <c r="W1347" s="1" t="str">
        <f>HYPERLINK("http://ictvonline.org/taxonomy/p/taxonomy-history?taxnode_id=201901060","ICTVonline=201901060")</f>
        <v>ICTVonline=201901060</v>
      </c>
    </row>
    <row r="1348" spans="1:23">
      <c r="A1348" s="3">
        <v>1347</v>
      </c>
      <c r="B1348" s="1" t="s">
        <v>6915</v>
      </c>
      <c r="D1348" s="1" t="s">
        <v>6916</v>
      </c>
      <c r="F1348" s="1" t="s">
        <v>6920</v>
      </c>
      <c r="H1348" s="1" t="s">
        <v>6921</v>
      </c>
      <c r="J1348" s="1" t="s">
        <v>1324</v>
      </c>
      <c r="L1348" s="1" t="s">
        <v>895</v>
      </c>
      <c r="M1348" s="1" t="s">
        <v>4965</v>
      </c>
      <c r="N1348" s="1" t="s">
        <v>4966</v>
      </c>
      <c r="P1348" s="1" t="s">
        <v>3137</v>
      </c>
      <c r="Q1348" s="3">
        <v>0</v>
      </c>
      <c r="R1348" s="22" t="s">
        <v>2721</v>
      </c>
      <c r="S1348" s="42" t="s">
        <v>6910</v>
      </c>
      <c r="T1348" s="3" t="s">
        <v>4868</v>
      </c>
      <c r="U1348" s="45">
        <v>35</v>
      </c>
      <c r="V1348" t="s">
        <v>6919</v>
      </c>
      <c r="W1348" s="1" t="str">
        <f>HYPERLINK("http://ictvonline.org/taxonomy/p/taxonomy-history?taxnode_id=201900920","ICTVonline=201900920")</f>
        <v>ICTVonline=201900920</v>
      </c>
    </row>
    <row r="1349" spans="1:23">
      <c r="A1349" s="3">
        <v>1348</v>
      </c>
      <c r="B1349" s="1" t="s">
        <v>6915</v>
      </c>
      <c r="D1349" s="1" t="s">
        <v>6916</v>
      </c>
      <c r="F1349" s="1" t="s">
        <v>6920</v>
      </c>
      <c r="H1349" s="1" t="s">
        <v>6921</v>
      </c>
      <c r="J1349" s="1" t="s">
        <v>1324</v>
      </c>
      <c r="L1349" s="1" t="s">
        <v>895</v>
      </c>
      <c r="M1349" s="1" t="s">
        <v>4965</v>
      </c>
      <c r="N1349" s="1" t="s">
        <v>4966</v>
      </c>
      <c r="P1349" s="1" t="s">
        <v>3138</v>
      </c>
      <c r="Q1349" s="3">
        <v>1</v>
      </c>
      <c r="R1349" s="22" t="s">
        <v>2721</v>
      </c>
      <c r="S1349" s="42" t="s">
        <v>6910</v>
      </c>
      <c r="T1349" s="3" t="s">
        <v>4868</v>
      </c>
      <c r="U1349" s="45">
        <v>35</v>
      </c>
      <c r="V1349" t="s">
        <v>6919</v>
      </c>
      <c r="W1349" s="1" t="str">
        <f>HYPERLINK("http://ictvonline.org/taxonomy/p/taxonomy-history?taxnode_id=201900921","ICTVonline=201900921")</f>
        <v>ICTVonline=201900921</v>
      </c>
    </row>
    <row r="1350" spans="1:23">
      <c r="A1350" s="3">
        <v>1349</v>
      </c>
      <c r="B1350" s="1" t="s">
        <v>6915</v>
      </c>
      <c r="D1350" s="1" t="s">
        <v>6916</v>
      </c>
      <c r="F1350" s="1" t="s">
        <v>6920</v>
      </c>
      <c r="H1350" s="1" t="s">
        <v>6921</v>
      </c>
      <c r="J1350" s="1" t="s">
        <v>1324</v>
      </c>
      <c r="L1350" s="1" t="s">
        <v>895</v>
      </c>
      <c r="M1350" s="1" t="s">
        <v>4968</v>
      </c>
      <c r="N1350" s="1" t="s">
        <v>4969</v>
      </c>
      <c r="P1350" s="1" t="s">
        <v>4970</v>
      </c>
      <c r="Q1350" s="3">
        <v>1</v>
      </c>
      <c r="R1350" s="22" t="s">
        <v>2721</v>
      </c>
      <c r="S1350" s="42" t="s">
        <v>6910</v>
      </c>
      <c r="T1350" s="3" t="s">
        <v>4868</v>
      </c>
      <c r="U1350" s="45">
        <v>35</v>
      </c>
      <c r="V1350" t="s">
        <v>6919</v>
      </c>
      <c r="W1350" s="1" t="str">
        <f>HYPERLINK("http://ictvonline.org/taxonomy/p/taxonomy-history?taxnode_id=201905508","ICTVonline=201905508")</f>
        <v>ICTVonline=201905508</v>
      </c>
    </row>
    <row r="1351" spans="1:23">
      <c r="A1351" s="3">
        <v>1350</v>
      </c>
      <c r="B1351" s="1" t="s">
        <v>6915</v>
      </c>
      <c r="D1351" s="1" t="s">
        <v>6916</v>
      </c>
      <c r="F1351" s="1" t="s">
        <v>6920</v>
      </c>
      <c r="H1351" s="1" t="s">
        <v>6921</v>
      </c>
      <c r="J1351" s="1" t="s">
        <v>1324</v>
      </c>
      <c r="L1351" s="1" t="s">
        <v>895</v>
      </c>
      <c r="M1351" s="1" t="s">
        <v>4968</v>
      </c>
      <c r="N1351" s="1" t="s">
        <v>4971</v>
      </c>
      <c r="P1351" s="1" t="s">
        <v>4972</v>
      </c>
      <c r="Q1351" s="3">
        <v>1</v>
      </c>
      <c r="R1351" s="22" t="s">
        <v>2721</v>
      </c>
      <c r="S1351" s="42" t="s">
        <v>6910</v>
      </c>
      <c r="T1351" s="3" t="s">
        <v>4868</v>
      </c>
      <c r="U1351" s="45">
        <v>35</v>
      </c>
      <c r="V1351" t="s">
        <v>6919</v>
      </c>
      <c r="W1351" s="1" t="str">
        <f>HYPERLINK("http://ictvonline.org/taxonomy/p/taxonomy-history?taxnode_id=201905510","ICTVonline=201905510")</f>
        <v>ICTVonline=201905510</v>
      </c>
    </row>
    <row r="1352" spans="1:23">
      <c r="A1352" s="3">
        <v>1351</v>
      </c>
      <c r="B1352" s="1" t="s">
        <v>6915</v>
      </c>
      <c r="D1352" s="1" t="s">
        <v>6916</v>
      </c>
      <c r="F1352" s="1" t="s">
        <v>6920</v>
      </c>
      <c r="H1352" s="1" t="s">
        <v>6921</v>
      </c>
      <c r="J1352" s="1" t="s">
        <v>1324</v>
      </c>
      <c r="L1352" s="1" t="s">
        <v>895</v>
      </c>
      <c r="M1352" s="1" t="s">
        <v>7765</v>
      </c>
      <c r="N1352" s="1" t="s">
        <v>7766</v>
      </c>
      <c r="P1352" s="1" t="s">
        <v>7767</v>
      </c>
      <c r="Q1352" s="3">
        <v>0</v>
      </c>
      <c r="R1352" s="22" t="s">
        <v>2721</v>
      </c>
      <c r="S1352" s="42" t="s">
        <v>6914</v>
      </c>
      <c r="T1352" s="3" t="s">
        <v>4866</v>
      </c>
      <c r="U1352" s="45">
        <v>35</v>
      </c>
      <c r="V1352" t="s">
        <v>7768</v>
      </c>
      <c r="W1352" s="1" t="str">
        <f>HYPERLINK("http://ictvonline.org/taxonomy/p/taxonomy-history?taxnode_id=201907721","ICTVonline=201907721")</f>
        <v>ICTVonline=201907721</v>
      </c>
    </row>
    <row r="1353" spans="1:23">
      <c r="A1353" s="3">
        <v>1352</v>
      </c>
      <c r="B1353" s="1" t="s">
        <v>6915</v>
      </c>
      <c r="D1353" s="1" t="s">
        <v>6916</v>
      </c>
      <c r="F1353" s="1" t="s">
        <v>6920</v>
      </c>
      <c r="H1353" s="1" t="s">
        <v>6921</v>
      </c>
      <c r="J1353" s="1" t="s">
        <v>1324</v>
      </c>
      <c r="L1353" s="1" t="s">
        <v>895</v>
      </c>
      <c r="M1353" s="1" t="s">
        <v>7765</v>
      </c>
      <c r="N1353" s="1" t="s">
        <v>7766</v>
      </c>
      <c r="P1353" s="1" t="s">
        <v>7769</v>
      </c>
      <c r="Q1353" s="3">
        <v>1</v>
      </c>
      <c r="R1353" s="22" t="s">
        <v>2721</v>
      </c>
      <c r="S1353" s="42" t="s">
        <v>6914</v>
      </c>
      <c r="T1353" s="3" t="s">
        <v>4866</v>
      </c>
      <c r="U1353" s="45">
        <v>35</v>
      </c>
      <c r="V1353" t="s">
        <v>7768</v>
      </c>
      <c r="W1353" s="1" t="str">
        <f>HYPERLINK("http://ictvonline.org/taxonomy/p/taxonomy-history?taxnode_id=201907720","ICTVonline=201907720")</f>
        <v>ICTVonline=201907720</v>
      </c>
    </row>
    <row r="1354" spans="1:23">
      <c r="A1354" s="3">
        <v>1353</v>
      </c>
      <c r="B1354" s="1" t="s">
        <v>6915</v>
      </c>
      <c r="D1354" s="1" t="s">
        <v>6916</v>
      </c>
      <c r="F1354" s="1" t="s">
        <v>6920</v>
      </c>
      <c r="H1354" s="1" t="s">
        <v>6921</v>
      </c>
      <c r="J1354" s="1" t="s">
        <v>1324</v>
      </c>
      <c r="L1354" s="1" t="s">
        <v>895</v>
      </c>
      <c r="M1354" s="1" t="s">
        <v>7765</v>
      </c>
      <c r="N1354" s="1" t="s">
        <v>7770</v>
      </c>
      <c r="P1354" s="1" t="s">
        <v>7771</v>
      </c>
      <c r="Q1354" s="3">
        <v>1</v>
      </c>
      <c r="R1354" s="22" t="s">
        <v>2721</v>
      </c>
      <c r="S1354" s="42" t="s">
        <v>6914</v>
      </c>
      <c r="T1354" s="3" t="s">
        <v>4866</v>
      </c>
      <c r="U1354" s="45">
        <v>35</v>
      </c>
      <c r="V1354" t="s">
        <v>7768</v>
      </c>
      <c r="W1354" s="1" t="str">
        <f>HYPERLINK("http://ictvonline.org/taxonomy/p/taxonomy-history?taxnode_id=201907717","ICTVonline=201907717")</f>
        <v>ICTVonline=201907717</v>
      </c>
    </row>
    <row r="1355" spans="1:23">
      <c r="A1355" s="3">
        <v>1354</v>
      </c>
      <c r="B1355" s="1" t="s">
        <v>6915</v>
      </c>
      <c r="D1355" s="1" t="s">
        <v>6916</v>
      </c>
      <c r="F1355" s="1" t="s">
        <v>6920</v>
      </c>
      <c r="H1355" s="1" t="s">
        <v>6921</v>
      </c>
      <c r="J1355" s="1" t="s">
        <v>1324</v>
      </c>
      <c r="L1355" s="1" t="s">
        <v>895</v>
      </c>
      <c r="M1355" s="1" t="s">
        <v>7765</v>
      </c>
      <c r="N1355" s="1" t="s">
        <v>7770</v>
      </c>
      <c r="P1355" s="1" t="s">
        <v>7772</v>
      </c>
      <c r="Q1355" s="3">
        <v>0</v>
      </c>
      <c r="R1355" s="22" t="s">
        <v>2721</v>
      </c>
      <c r="S1355" s="42" t="s">
        <v>6914</v>
      </c>
      <c r="T1355" s="3" t="s">
        <v>4866</v>
      </c>
      <c r="U1355" s="45">
        <v>35</v>
      </c>
      <c r="V1355" t="s">
        <v>7768</v>
      </c>
      <c r="W1355" s="1" t="str">
        <f>HYPERLINK("http://ictvonline.org/taxonomy/p/taxonomy-history?taxnode_id=201907718","ICTVonline=201907718")</f>
        <v>ICTVonline=201907718</v>
      </c>
    </row>
    <row r="1356" spans="1:23">
      <c r="A1356" s="3">
        <v>1355</v>
      </c>
      <c r="B1356" s="1" t="s">
        <v>6915</v>
      </c>
      <c r="D1356" s="1" t="s">
        <v>6916</v>
      </c>
      <c r="F1356" s="1" t="s">
        <v>6920</v>
      </c>
      <c r="H1356" s="1" t="s">
        <v>6921</v>
      </c>
      <c r="J1356" s="1" t="s">
        <v>1324</v>
      </c>
      <c r="L1356" s="1" t="s">
        <v>895</v>
      </c>
      <c r="M1356" s="1" t="s">
        <v>7765</v>
      </c>
      <c r="N1356" s="1" t="s">
        <v>7773</v>
      </c>
      <c r="P1356" s="1" t="s">
        <v>7774</v>
      </c>
      <c r="Q1356" s="3">
        <v>0</v>
      </c>
      <c r="R1356" s="22" t="s">
        <v>2721</v>
      </c>
      <c r="S1356" s="42" t="s">
        <v>6914</v>
      </c>
      <c r="T1356" s="3" t="s">
        <v>4866</v>
      </c>
      <c r="U1356" s="45">
        <v>35</v>
      </c>
      <c r="V1356" t="s">
        <v>7768</v>
      </c>
      <c r="W1356" s="1" t="str">
        <f>HYPERLINK("http://ictvonline.org/taxonomy/p/taxonomy-history?taxnode_id=201907715","ICTVonline=201907715")</f>
        <v>ICTVonline=201907715</v>
      </c>
    </row>
    <row r="1357" spans="1:23">
      <c r="A1357" s="3">
        <v>1356</v>
      </c>
      <c r="B1357" s="1" t="s">
        <v>6915</v>
      </c>
      <c r="D1357" s="1" t="s">
        <v>6916</v>
      </c>
      <c r="F1357" s="1" t="s">
        <v>6920</v>
      </c>
      <c r="H1357" s="1" t="s">
        <v>6921</v>
      </c>
      <c r="J1357" s="1" t="s">
        <v>1324</v>
      </c>
      <c r="L1357" s="1" t="s">
        <v>895</v>
      </c>
      <c r="M1357" s="1" t="s">
        <v>7765</v>
      </c>
      <c r="N1357" s="1" t="s">
        <v>7773</v>
      </c>
      <c r="P1357" s="1" t="s">
        <v>7775</v>
      </c>
      <c r="Q1357" s="3">
        <v>1</v>
      </c>
      <c r="R1357" s="22" t="s">
        <v>2721</v>
      </c>
      <c r="S1357" s="42" t="s">
        <v>6914</v>
      </c>
      <c r="T1357" s="3" t="s">
        <v>4872</v>
      </c>
      <c r="U1357" s="45">
        <v>35</v>
      </c>
      <c r="V1357" t="s">
        <v>7768</v>
      </c>
      <c r="W1357" s="1" t="str">
        <f>HYPERLINK("http://ictvonline.org/taxonomy/p/taxonomy-history?taxnode_id=201901192","ICTVonline=201901192")</f>
        <v>ICTVonline=201901192</v>
      </c>
    </row>
    <row r="1358" spans="1:23">
      <c r="A1358" s="3">
        <v>1357</v>
      </c>
      <c r="B1358" s="1" t="s">
        <v>6915</v>
      </c>
      <c r="D1358" s="1" t="s">
        <v>6916</v>
      </c>
      <c r="F1358" s="1" t="s">
        <v>6920</v>
      </c>
      <c r="H1358" s="1" t="s">
        <v>6921</v>
      </c>
      <c r="J1358" s="1" t="s">
        <v>1324</v>
      </c>
      <c r="L1358" s="1" t="s">
        <v>895</v>
      </c>
      <c r="M1358" s="1" t="s">
        <v>7765</v>
      </c>
      <c r="N1358" s="1" t="s">
        <v>7776</v>
      </c>
      <c r="P1358" s="1" t="s">
        <v>3280</v>
      </c>
      <c r="Q1358" s="3">
        <v>1</v>
      </c>
      <c r="R1358" s="22" t="s">
        <v>2721</v>
      </c>
      <c r="S1358" s="42" t="s">
        <v>6910</v>
      </c>
      <c r="T1358" s="3" t="s">
        <v>4868</v>
      </c>
      <c r="U1358" s="45">
        <v>35</v>
      </c>
      <c r="V1358" t="s">
        <v>7768</v>
      </c>
      <c r="W1358" s="1" t="str">
        <f>HYPERLINK("http://ictvonline.org/taxonomy/p/taxonomy-history?taxnode_id=201901191","ICTVonline=201901191")</f>
        <v>ICTVonline=201901191</v>
      </c>
    </row>
    <row r="1359" spans="1:23">
      <c r="A1359" s="3">
        <v>1358</v>
      </c>
      <c r="B1359" s="1" t="s">
        <v>6915</v>
      </c>
      <c r="D1359" s="1" t="s">
        <v>6916</v>
      </c>
      <c r="F1359" s="1" t="s">
        <v>6920</v>
      </c>
      <c r="H1359" s="1" t="s">
        <v>6921</v>
      </c>
      <c r="J1359" s="1" t="s">
        <v>1324</v>
      </c>
      <c r="L1359" s="1" t="s">
        <v>895</v>
      </c>
      <c r="M1359" s="1" t="s">
        <v>7765</v>
      </c>
      <c r="N1359" s="1" t="s">
        <v>7776</v>
      </c>
      <c r="P1359" s="1" t="s">
        <v>3281</v>
      </c>
      <c r="Q1359" s="3">
        <v>0</v>
      </c>
      <c r="R1359" s="22" t="s">
        <v>2721</v>
      </c>
      <c r="S1359" s="42" t="s">
        <v>6910</v>
      </c>
      <c r="T1359" s="3" t="s">
        <v>4868</v>
      </c>
      <c r="U1359" s="45">
        <v>35</v>
      </c>
      <c r="V1359" t="s">
        <v>7768</v>
      </c>
      <c r="W1359" s="1" t="str">
        <f>HYPERLINK("http://ictvonline.org/taxonomy/p/taxonomy-history?taxnode_id=201901193","ICTVonline=201901193")</f>
        <v>ICTVonline=201901193</v>
      </c>
    </row>
    <row r="1360" spans="1:23">
      <c r="A1360" s="3">
        <v>1359</v>
      </c>
      <c r="B1360" s="1" t="s">
        <v>6915</v>
      </c>
      <c r="D1360" s="1" t="s">
        <v>6916</v>
      </c>
      <c r="F1360" s="1" t="s">
        <v>6920</v>
      </c>
      <c r="H1360" s="1" t="s">
        <v>6921</v>
      </c>
      <c r="J1360" s="1" t="s">
        <v>1324</v>
      </c>
      <c r="L1360" s="1" t="s">
        <v>895</v>
      </c>
      <c r="M1360" s="1" t="s">
        <v>3032</v>
      </c>
      <c r="N1360" s="1" t="s">
        <v>6506</v>
      </c>
      <c r="P1360" s="1" t="s">
        <v>3048</v>
      </c>
      <c r="Q1360" s="3">
        <v>1</v>
      </c>
      <c r="R1360" s="22" t="s">
        <v>2721</v>
      </c>
      <c r="S1360" s="42" t="s">
        <v>6910</v>
      </c>
      <c r="T1360" s="3" t="s">
        <v>4868</v>
      </c>
      <c r="U1360" s="45">
        <v>35</v>
      </c>
      <c r="V1360" t="s">
        <v>6919</v>
      </c>
      <c r="W1360" s="1" t="str">
        <f>HYPERLINK("http://ictvonline.org/taxonomy/p/taxonomy-history?taxnode_id=201900786","ICTVonline=201900786")</f>
        <v>ICTVonline=201900786</v>
      </c>
    </row>
    <row r="1361" spans="1:23">
      <c r="A1361" s="3">
        <v>1360</v>
      </c>
      <c r="B1361" s="1" t="s">
        <v>6915</v>
      </c>
      <c r="D1361" s="1" t="s">
        <v>6916</v>
      </c>
      <c r="F1361" s="1" t="s">
        <v>6920</v>
      </c>
      <c r="H1361" s="1" t="s">
        <v>6921</v>
      </c>
      <c r="J1361" s="1" t="s">
        <v>1324</v>
      </c>
      <c r="L1361" s="1" t="s">
        <v>895</v>
      </c>
      <c r="M1361" s="1" t="s">
        <v>3032</v>
      </c>
      <c r="N1361" s="1" t="s">
        <v>3033</v>
      </c>
      <c r="P1361" s="1" t="s">
        <v>3034</v>
      </c>
      <c r="Q1361" s="3">
        <v>0</v>
      </c>
      <c r="R1361" s="22" t="s">
        <v>2721</v>
      </c>
      <c r="S1361" s="42" t="s">
        <v>6910</v>
      </c>
      <c r="T1361" s="3" t="s">
        <v>4868</v>
      </c>
      <c r="U1361" s="45">
        <v>35</v>
      </c>
      <c r="V1361" t="s">
        <v>6919</v>
      </c>
      <c r="W1361" s="1" t="str">
        <f>HYPERLINK("http://ictvonline.org/taxonomy/p/taxonomy-history?taxnode_id=201900767","ICTVonline=201900767")</f>
        <v>ICTVonline=201900767</v>
      </c>
    </row>
    <row r="1362" spans="1:23">
      <c r="A1362" s="3">
        <v>1361</v>
      </c>
      <c r="B1362" s="1" t="s">
        <v>6915</v>
      </c>
      <c r="D1362" s="1" t="s">
        <v>6916</v>
      </c>
      <c r="F1362" s="1" t="s">
        <v>6920</v>
      </c>
      <c r="H1362" s="1" t="s">
        <v>6921</v>
      </c>
      <c r="J1362" s="1" t="s">
        <v>1324</v>
      </c>
      <c r="L1362" s="1" t="s">
        <v>895</v>
      </c>
      <c r="M1362" s="1" t="s">
        <v>3032</v>
      </c>
      <c r="N1362" s="1" t="s">
        <v>3033</v>
      </c>
      <c r="P1362" s="1" t="s">
        <v>3035</v>
      </c>
      <c r="Q1362" s="3">
        <v>0</v>
      </c>
      <c r="R1362" s="22" t="s">
        <v>2721</v>
      </c>
      <c r="S1362" s="42" t="s">
        <v>6910</v>
      </c>
      <c r="T1362" s="3" t="s">
        <v>4868</v>
      </c>
      <c r="U1362" s="45">
        <v>35</v>
      </c>
      <c r="V1362" t="s">
        <v>6919</v>
      </c>
      <c r="W1362" s="1" t="str">
        <f>HYPERLINK("http://ictvonline.org/taxonomy/p/taxonomy-history?taxnode_id=201900768","ICTVonline=201900768")</f>
        <v>ICTVonline=201900768</v>
      </c>
    </row>
    <row r="1363" spans="1:23">
      <c r="A1363" s="3">
        <v>1362</v>
      </c>
      <c r="B1363" s="1" t="s">
        <v>6915</v>
      </c>
      <c r="D1363" s="1" t="s">
        <v>6916</v>
      </c>
      <c r="F1363" s="1" t="s">
        <v>6920</v>
      </c>
      <c r="H1363" s="1" t="s">
        <v>6921</v>
      </c>
      <c r="J1363" s="1" t="s">
        <v>1324</v>
      </c>
      <c r="L1363" s="1" t="s">
        <v>895</v>
      </c>
      <c r="M1363" s="1" t="s">
        <v>3032</v>
      </c>
      <c r="N1363" s="1" t="s">
        <v>3033</v>
      </c>
      <c r="P1363" s="1" t="s">
        <v>4067</v>
      </c>
      <c r="Q1363" s="3">
        <v>0</v>
      </c>
      <c r="R1363" s="22" t="s">
        <v>2721</v>
      </c>
      <c r="S1363" s="42" t="s">
        <v>6910</v>
      </c>
      <c r="T1363" s="3" t="s">
        <v>4868</v>
      </c>
      <c r="U1363" s="45">
        <v>35</v>
      </c>
      <c r="V1363" t="s">
        <v>6919</v>
      </c>
      <c r="W1363" s="1" t="str">
        <f>HYPERLINK("http://ictvonline.org/taxonomy/p/taxonomy-history?taxnode_id=201900769","ICTVonline=201900769")</f>
        <v>ICTVonline=201900769</v>
      </c>
    </row>
    <row r="1364" spans="1:23">
      <c r="A1364" s="3">
        <v>1363</v>
      </c>
      <c r="B1364" s="1" t="s">
        <v>6915</v>
      </c>
      <c r="D1364" s="1" t="s">
        <v>6916</v>
      </c>
      <c r="F1364" s="1" t="s">
        <v>6920</v>
      </c>
      <c r="H1364" s="1" t="s">
        <v>6921</v>
      </c>
      <c r="J1364" s="1" t="s">
        <v>1324</v>
      </c>
      <c r="L1364" s="1" t="s">
        <v>895</v>
      </c>
      <c r="M1364" s="1" t="s">
        <v>3032</v>
      </c>
      <c r="N1364" s="1" t="s">
        <v>3033</v>
      </c>
      <c r="P1364" s="1" t="s">
        <v>3036</v>
      </c>
      <c r="Q1364" s="3">
        <v>1</v>
      </c>
      <c r="R1364" s="22" t="s">
        <v>2721</v>
      </c>
      <c r="S1364" s="42" t="s">
        <v>6910</v>
      </c>
      <c r="T1364" s="3" t="s">
        <v>4868</v>
      </c>
      <c r="U1364" s="45">
        <v>35</v>
      </c>
      <c r="V1364" t="s">
        <v>6919</v>
      </c>
      <c r="W1364" s="1" t="str">
        <f>HYPERLINK("http://ictvonline.org/taxonomy/p/taxonomy-history?taxnode_id=201900770","ICTVonline=201900770")</f>
        <v>ICTVonline=201900770</v>
      </c>
    </row>
    <row r="1365" spans="1:23">
      <c r="A1365" s="3">
        <v>1364</v>
      </c>
      <c r="B1365" s="1" t="s">
        <v>6915</v>
      </c>
      <c r="D1365" s="1" t="s">
        <v>6916</v>
      </c>
      <c r="F1365" s="1" t="s">
        <v>6920</v>
      </c>
      <c r="H1365" s="1" t="s">
        <v>6921</v>
      </c>
      <c r="J1365" s="1" t="s">
        <v>1324</v>
      </c>
      <c r="L1365" s="1" t="s">
        <v>895</v>
      </c>
      <c r="M1365" s="1" t="s">
        <v>3032</v>
      </c>
      <c r="N1365" s="1" t="s">
        <v>3033</v>
      </c>
      <c r="P1365" s="1" t="s">
        <v>4877</v>
      </c>
      <c r="Q1365" s="3">
        <v>0</v>
      </c>
      <c r="R1365" s="22" t="s">
        <v>2721</v>
      </c>
      <c r="S1365" s="42" t="s">
        <v>6910</v>
      </c>
      <c r="T1365" s="3" t="s">
        <v>4868</v>
      </c>
      <c r="U1365" s="45">
        <v>35</v>
      </c>
      <c r="V1365" t="s">
        <v>6919</v>
      </c>
      <c r="W1365" s="1" t="str">
        <f>HYPERLINK("http://ictvonline.org/taxonomy/p/taxonomy-history?taxnode_id=201900771","ICTVonline=201900771")</f>
        <v>ICTVonline=201900771</v>
      </c>
    </row>
    <row r="1366" spans="1:23">
      <c r="A1366" s="3">
        <v>1365</v>
      </c>
      <c r="B1366" s="1" t="s">
        <v>6915</v>
      </c>
      <c r="D1366" s="1" t="s">
        <v>6916</v>
      </c>
      <c r="F1366" s="1" t="s">
        <v>6920</v>
      </c>
      <c r="H1366" s="1" t="s">
        <v>6921</v>
      </c>
      <c r="J1366" s="1" t="s">
        <v>1324</v>
      </c>
      <c r="L1366" s="1" t="s">
        <v>895</v>
      </c>
      <c r="M1366" s="1" t="s">
        <v>3032</v>
      </c>
      <c r="N1366" s="1" t="s">
        <v>3033</v>
      </c>
      <c r="P1366" s="1" t="s">
        <v>4878</v>
      </c>
      <c r="Q1366" s="3">
        <v>0</v>
      </c>
      <c r="R1366" s="22" t="s">
        <v>2721</v>
      </c>
      <c r="S1366" s="42" t="s">
        <v>6910</v>
      </c>
      <c r="T1366" s="3" t="s">
        <v>4868</v>
      </c>
      <c r="U1366" s="45">
        <v>35</v>
      </c>
      <c r="V1366" t="s">
        <v>6919</v>
      </c>
      <c r="W1366" s="1" t="str">
        <f>HYPERLINK("http://ictvonline.org/taxonomy/p/taxonomy-history?taxnode_id=201900772","ICTVonline=201900772")</f>
        <v>ICTVonline=201900772</v>
      </c>
    </row>
    <row r="1367" spans="1:23">
      <c r="A1367" s="3">
        <v>1366</v>
      </c>
      <c r="B1367" s="1" t="s">
        <v>6915</v>
      </c>
      <c r="D1367" s="1" t="s">
        <v>6916</v>
      </c>
      <c r="F1367" s="1" t="s">
        <v>6920</v>
      </c>
      <c r="H1367" s="1" t="s">
        <v>6921</v>
      </c>
      <c r="J1367" s="1" t="s">
        <v>1324</v>
      </c>
      <c r="L1367" s="1" t="s">
        <v>895</v>
      </c>
      <c r="M1367" s="1" t="s">
        <v>3032</v>
      </c>
      <c r="N1367" s="1" t="s">
        <v>3033</v>
      </c>
      <c r="P1367" s="1" t="s">
        <v>3037</v>
      </c>
      <c r="Q1367" s="3">
        <v>0</v>
      </c>
      <c r="R1367" s="22" t="s">
        <v>2721</v>
      </c>
      <c r="S1367" s="42" t="s">
        <v>6910</v>
      </c>
      <c r="T1367" s="3" t="s">
        <v>4868</v>
      </c>
      <c r="U1367" s="45">
        <v>35</v>
      </c>
      <c r="V1367" t="s">
        <v>6919</v>
      </c>
      <c r="W1367" s="1" t="str">
        <f>HYPERLINK("http://ictvonline.org/taxonomy/p/taxonomy-history?taxnode_id=201900773","ICTVonline=201900773")</f>
        <v>ICTVonline=201900773</v>
      </c>
    </row>
    <row r="1368" spans="1:23">
      <c r="A1368" s="3">
        <v>1367</v>
      </c>
      <c r="B1368" s="1" t="s">
        <v>6915</v>
      </c>
      <c r="D1368" s="1" t="s">
        <v>6916</v>
      </c>
      <c r="F1368" s="1" t="s">
        <v>6920</v>
      </c>
      <c r="H1368" s="1" t="s">
        <v>6921</v>
      </c>
      <c r="J1368" s="1" t="s">
        <v>1324</v>
      </c>
      <c r="L1368" s="1" t="s">
        <v>895</v>
      </c>
      <c r="M1368" s="1" t="s">
        <v>3032</v>
      </c>
      <c r="N1368" s="1" t="s">
        <v>3033</v>
      </c>
      <c r="P1368" s="1" t="s">
        <v>3038</v>
      </c>
      <c r="Q1368" s="3">
        <v>0</v>
      </c>
      <c r="R1368" s="22" t="s">
        <v>2721</v>
      </c>
      <c r="S1368" s="42" t="s">
        <v>6910</v>
      </c>
      <c r="T1368" s="3" t="s">
        <v>4868</v>
      </c>
      <c r="U1368" s="45">
        <v>35</v>
      </c>
      <c r="V1368" t="s">
        <v>6919</v>
      </c>
      <c r="W1368" s="1" t="str">
        <f>HYPERLINK("http://ictvonline.org/taxonomy/p/taxonomy-history?taxnode_id=201900774","ICTVonline=201900774")</f>
        <v>ICTVonline=201900774</v>
      </c>
    </row>
    <row r="1369" spans="1:23">
      <c r="A1369" s="3">
        <v>1368</v>
      </c>
      <c r="B1369" s="1" t="s">
        <v>6915</v>
      </c>
      <c r="D1369" s="1" t="s">
        <v>6916</v>
      </c>
      <c r="F1369" s="1" t="s">
        <v>6920</v>
      </c>
      <c r="H1369" s="1" t="s">
        <v>6921</v>
      </c>
      <c r="J1369" s="1" t="s">
        <v>1324</v>
      </c>
      <c r="L1369" s="1" t="s">
        <v>895</v>
      </c>
      <c r="M1369" s="1" t="s">
        <v>3032</v>
      </c>
      <c r="N1369" s="1" t="s">
        <v>3033</v>
      </c>
      <c r="P1369" s="1" t="s">
        <v>3039</v>
      </c>
      <c r="Q1369" s="3">
        <v>0</v>
      </c>
      <c r="R1369" s="22" t="s">
        <v>2721</v>
      </c>
      <c r="S1369" s="42" t="s">
        <v>6910</v>
      </c>
      <c r="T1369" s="3" t="s">
        <v>4868</v>
      </c>
      <c r="U1369" s="45">
        <v>35</v>
      </c>
      <c r="V1369" t="s">
        <v>6919</v>
      </c>
      <c r="W1369" s="1" t="str">
        <f>HYPERLINK("http://ictvonline.org/taxonomy/p/taxonomy-history?taxnode_id=201900775","ICTVonline=201900775")</f>
        <v>ICTVonline=201900775</v>
      </c>
    </row>
    <row r="1370" spans="1:23">
      <c r="A1370" s="3">
        <v>1369</v>
      </c>
      <c r="B1370" s="1" t="s">
        <v>6915</v>
      </c>
      <c r="D1370" s="1" t="s">
        <v>6916</v>
      </c>
      <c r="F1370" s="1" t="s">
        <v>6920</v>
      </c>
      <c r="H1370" s="1" t="s">
        <v>6921</v>
      </c>
      <c r="J1370" s="1" t="s">
        <v>1324</v>
      </c>
      <c r="L1370" s="1" t="s">
        <v>895</v>
      </c>
      <c r="M1370" s="1" t="s">
        <v>3032</v>
      </c>
      <c r="N1370" s="1" t="s">
        <v>3033</v>
      </c>
      <c r="P1370" s="1" t="s">
        <v>3040</v>
      </c>
      <c r="Q1370" s="3">
        <v>0</v>
      </c>
      <c r="R1370" s="22" t="s">
        <v>2721</v>
      </c>
      <c r="S1370" s="42" t="s">
        <v>6910</v>
      </c>
      <c r="T1370" s="3" t="s">
        <v>4868</v>
      </c>
      <c r="U1370" s="45">
        <v>35</v>
      </c>
      <c r="V1370" t="s">
        <v>6919</v>
      </c>
      <c r="W1370" s="1" t="str">
        <f>HYPERLINK("http://ictvonline.org/taxonomy/p/taxonomy-history?taxnode_id=201900776","ICTVonline=201900776")</f>
        <v>ICTVonline=201900776</v>
      </c>
    </row>
    <row r="1371" spans="1:23">
      <c r="A1371" s="3">
        <v>1370</v>
      </c>
      <c r="B1371" s="1" t="s">
        <v>6915</v>
      </c>
      <c r="D1371" s="1" t="s">
        <v>6916</v>
      </c>
      <c r="F1371" s="1" t="s">
        <v>6920</v>
      </c>
      <c r="H1371" s="1" t="s">
        <v>6921</v>
      </c>
      <c r="J1371" s="1" t="s">
        <v>1324</v>
      </c>
      <c r="L1371" s="1" t="s">
        <v>895</v>
      </c>
      <c r="M1371" s="1" t="s">
        <v>3032</v>
      </c>
      <c r="N1371" s="1" t="s">
        <v>3033</v>
      </c>
      <c r="P1371" s="1" t="s">
        <v>3041</v>
      </c>
      <c r="Q1371" s="3">
        <v>0</v>
      </c>
      <c r="R1371" s="22" t="s">
        <v>2721</v>
      </c>
      <c r="S1371" s="42" t="s">
        <v>6910</v>
      </c>
      <c r="T1371" s="3" t="s">
        <v>4868</v>
      </c>
      <c r="U1371" s="45">
        <v>35</v>
      </c>
      <c r="V1371" t="s">
        <v>6919</v>
      </c>
      <c r="W1371" s="1" t="str">
        <f>HYPERLINK("http://ictvonline.org/taxonomy/p/taxonomy-history?taxnode_id=201900777","ICTVonline=201900777")</f>
        <v>ICTVonline=201900777</v>
      </c>
    </row>
    <row r="1372" spans="1:23">
      <c r="A1372" s="3">
        <v>1371</v>
      </c>
      <c r="B1372" s="1" t="s">
        <v>6915</v>
      </c>
      <c r="D1372" s="1" t="s">
        <v>6916</v>
      </c>
      <c r="F1372" s="1" t="s">
        <v>6920</v>
      </c>
      <c r="H1372" s="1" t="s">
        <v>6921</v>
      </c>
      <c r="J1372" s="1" t="s">
        <v>1324</v>
      </c>
      <c r="L1372" s="1" t="s">
        <v>895</v>
      </c>
      <c r="M1372" s="1" t="s">
        <v>3032</v>
      </c>
      <c r="N1372" s="1" t="s">
        <v>3033</v>
      </c>
      <c r="P1372" s="1" t="s">
        <v>3042</v>
      </c>
      <c r="Q1372" s="3">
        <v>0</v>
      </c>
      <c r="R1372" s="22" t="s">
        <v>2721</v>
      </c>
      <c r="S1372" s="42" t="s">
        <v>6910</v>
      </c>
      <c r="T1372" s="3" t="s">
        <v>4868</v>
      </c>
      <c r="U1372" s="45">
        <v>35</v>
      </c>
      <c r="V1372" t="s">
        <v>6919</v>
      </c>
      <c r="W1372" s="1" t="str">
        <f>HYPERLINK("http://ictvonline.org/taxonomy/p/taxonomy-history?taxnode_id=201900778","ICTVonline=201900778")</f>
        <v>ICTVonline=201900778</v>
      </c>
    </row>
    <row r="1373" spans="1:23">
      <c r="A1373" s="3">
        <v>1372</v>
      </c>
      <c r="B1373" s="1" t="s">
        <v>6915</v>
      </c>
      <c r="D1373" s="1" t="s">
        <v>6916</v>
      </c>
      <c r="F1373" s="1" t="s">
        <v>6920</v>
      </c>
      <c r="H1373" s="1" t="s">
        <v>6921</v>
      </c>
      <c r="J1373" s="1" t="s">
        <v>1324</v>
      </c>
      <c r="L1373" s="1" t="s">
        <v>895</v>
      </c>
      <c r="M1373" s="1" t="s">
        <v>3032</v>
      </c>
      <c r="N1373" s="1" t="s">
        <v>3033</v>
      </c>
      <c r="P1373" s="1" t="s">
        <v>3043</v>
      </c>
      <c r="Q1373" s="3">
        <v>0</v>
      </c>
      <c r="R1373" s="22" t="s">
        <v>2721</v>
      </c>
      <c r="S1373" s="42" t="s">
        <v>6910</v>
      </c>
      <c r="T1373" s="3" t="s">
        <v>4868</v>
      </c>
      <c r="U1373" s="45">
        <v>35</v>
      </c>
      <c r="V1373" t="s">
        <v>6919</v>
      </c>
      <c r="W1373" s="1" t="str">
        <f>HYPERLINK("http://ictvonline.org/taxonomy/p/taxonomy-history?taxnode_id=201900779","ICTVonline=201900779")</f>
        <v>ICTVonline=201900779</v>
      </c>
    </row>
    <row r="1374" spans="1:23">
      <c r="A1374" s="3">
        <v>1373</v>
      </c>
      <c r="B1374" s="1" t="s">
        <v>6915</v>
      </c>
      <c r="D1374" s="1" t="s">
        <v>6916</v>
      </c>
      <c r="F1374" s="1" t="s">
        <v>6920</v>
      </c>
      <c r="H1374" s="1" t="s">
        <v>6921</v>
      </c>
      <c r="J1374" s="1" t="s">
        <v>1324</v>
      </c>
      <c r="L1374" s="1" t="s">
        <v>895</v>
      </c>
      <c r="M1374" s="1" t="s">
        <v>3032</v>
      </c>
      <c r="N1374" s="1" t="s">
        <v>6507</v>
      </c>
      <c r="P1374" s="1" t="s">
        <v>3044</v>
      </c>
      <c r="Q1374" s="3">
        <v>1</v>
      </c>
      <c r="R1374" s="22" t="s">
        <v>2721</v>
      </c>
      <c r="S1374" s="42" t="s">
        <v>6910</v>
      </c>
      <c r="T1374" s="3" t="s">
        <v>4868</v>
      </c>
      <c r="U1374" s="45">
        <v>35</v>
      </c>
      <c r="V1374" t="s">
        <v>6919</v>
      </c>
      <c r="W1374" s="1" t="str">
        <f>HYPERLINK("http://ictvonline.org/taxonomy/p/taxonomy-history?taxnode_id=201900781","ICTVonline=201900781")</f>
        <v>ICTVonline=201900781</v>
      </c>
    </row>
    <row r="1375" spans="1:23">
      <c r="A1375" s="3">
        <v>1374</v>
      </c>
      <c r="B1375" s="1" t="s">
        <v>6915</v>
      </c>
      <c r="D1375" s="1" t="s">
        <v>6916</v>
      </c>
      <c r="F1375" s="1" t="s">
        <v>6920</v>
      </c>
      <c r="H1375" s="1" t="s">
        <v>6921</v>
      </c>
      <c r="J1375" s="1" t="s">
        <v>1324</v>
      </c>
      <c r="L1375" s="1" t="s">
        <v>895</v>
      </c>
      <c r="M1375" s="1" t="s">
        <v>3032</v>
      </c>
      <c r="N1375" s="1" t="s">
        <v>6507</v>
      </c>
      <c r="P1375" s="1" t="s">
        <v>3045</v>
      </c>
      <c r="Q1375" s="3">
        <v>0</v>
      </c>
      <c r="R1375" s="22" t="s">
        <v>2721</v>
      </c>
      <c r="S1375" s="42" t="s">
        <v>6910</v>
      </c>
      <c r="T1375" s="3" t="s">
        <v>4868</v>
      </c>
      <c r="U1375" s="45">
        <v>35</v>
      </c>
      <c r="V1375" t="s">
        <v>6919</v>
      </c>
      <c r="W1375" s="1" t="str">
        <f>HYPERLINK("http://ictvonline.org/taxonomy/p/taxonomy-history?taxnode_id=201900782","ICTVonline=201900782")</f>
        <v>ICTVonline=201900782</v>
      </c>
    </row>
    <row r="1376" spans="1:23">
      <c r="A1376" s="3">
        <v>1375</v>
      </c>
      <c r="B1376" s="1" t="s">
        <v>6915</v>
      </c>
      <c r="D1376" s="1" t="s">
        <v>6916</v>
      </c>
      <c r="F1376" s="1" t="s">
        <v>6920</v>
      </c>
      <c r="H1376" s="1" t="s">
        <v>6921</v>
      </c>
      <c r="J1376" s="1" t="s">
        <v>1324</v>
      </c>
      <c r="L1376" s="1" t="s">
        <v>895</v>
      </c>
      <c r="M1376" s="1" t="s">
        <v>3032</v>
      </c>
      <c r="N1376" s="1" t="s">
        <v>6507</v>
      </c>
      <c r="P1376" s="1" t="s">
        <v>3046</v>
      </c>
      <c r="Q1376" s="3">
        <v>0</v>
      </c>
      <c r="R1376" s="22" t="s">
        <v>2721</v>
      </c>
      <c r="S1376" s="42" t="s">
        <v>6910</v>
      </c>
      <c r="T1376" s="3" t="s">
        <v>4868</v>
      </c>
      <c r="U1376" s="45">
        <v>35</v>
      </c>
      <c r="V1376" t="s">
        <v>6919</v>
      </c>
      <c r="W1376" s="1" t="str">
        <f>HYPERLINK("http://ictvonline.org/taxonomy/p/taxonomy-history?taxnode_id=201900783","ICTVonline=201900783")</f>
        <v>ICTVonline=201900783</v>
      </c>
    </row>
    <row r="1377" spans="1:23">
      <c r="A1377" s="3">
        <v>1376</v>
      </c>
      <c r="B1377" s="1" t="s">
        <v>6915</v>
      </c>
      <c r="D1377" s="1" t="s">
        <v>6916</v>
      </c>
      <c r="F1377" s="1" t="s">
        <v>6920</v>
      </c>
      <c r="H1377" s="1" t="s">
        <v>6921</v>
      </c>
      <c r="J1377" s="1" t="s">
        <v>1324</v>
      </c>
      <c r="L1377" s="1" t="s">
        <v>895</v>
      </c>
      <c r="M1377" s="1" t="s">
        <v>3032</v>
      </c>
      <c r="N1377" s="1" t="s">
        <v>6507</v>
      </c>
      <c r="P1377" s="1" t="s">
        <v>3047</v>
      </c>
      <c r="Q1377" s="3">
        <v>0</v>
      </c>
      <c r="R1377" s="22" t="s">
        <v>2721</v>
      </c>
      <c r="S1377" s="42" t="s">
        <v>6910</v>
      </c>
      <c r="T1377" s="3" t="s">
        <v>4868</v>
      </c>
      <c r="U1377" s="45">
        <v>35</v>
      </c>
      <c r="V1377" t="s">
        <v>6919</v>
      </c>
      <c r="W1377" s="1" t="str">
        <f>HYPERLINK("http://ictvonline.org/taxonomy/p/taxonomy-history?taxnode_id=201900784","ICTVonline=201900784")</f>
        <v>ICTVonline=201900784</v>
      </c>
    </row>
    <row r="1378" spans="1:23">
      <c r="A1378" s="3">
        <v>1377</v>
      </c>
      <c r="B1378" s="1" t="s">
        <v>6915</v>
      </c>
      <c r="D1378" s="1" t="s">
        <v>6916</v>
      </c>
      <c r="F1378" s="1" t="s">
        <v>6920</v>
      </c>
      <c r="H1378" s="1" t="s">
        <v>6921</v>
      </c>
      <c r="J1378" s="1" t="s">
        <v>1324</v>
      </c>
      <c r="L1378" s="1" t="s">
        <v>895</v>
      </c>
      <c r="M1378" s="1" t="s">
        <v>3032</v>
      </c>
      <c r="N1378" s="1" t="s">
        <v>6507</v>
      </c>
      <c r="P1378" s="1" t="s">
        <v>6508</v>
      </c>
      <c r="Q1378" s="3">
        <v>0</v>
      </c>
      <c r="R1378" s="22" t="s">
        <v>2721</v>
      </c>
      <c r="S1378" s="42" t="s">
        <v>6910</v>
      </c>
      <c r="T1378" s="3" t="s">
        <v>4868</v>
      </c>
      <c r="U1378" s="45">
        <v>35</v>
      </c>
      <c r="V1378" t="s">
        <v>6919</v>
      </c>
      <c r="W1378" s="1" t="str">
        <f>HYPERLINK("http://ictvonline.org/taxonomy/p/taxonomy-history?taxnode_id=201906957","ICTVonline=201906957")</f>
        <v>ICTVonline=201906957</v>
      </c>
    </row>
    <row r="1379" spans="1:23">
      <c r="A1379" s="3">
        <v>1378</v>
      </c>
      <c r="B1379" s="1" t="s">
        <v>6915</v>
      </c>
      <c r="D1379" s="1" t="s">
        <v>6916</v>
      </c>
      <c r="F1379" s="1" t="s">
        <v>6920</v>
      </c>
      <c r="H1379" s="1" t="s">
        <v>6921</v>
      </c>
      <c r="J1379" s="1" t="s">
        <v>1324</v>
      </c>
      <c r="L1379" s="1" t="s">
        <v>895</v>
      </c>
      <c r="M1379" s="1" t="s">
        <v>3032</v>
      </c>
      <c r="N1379" s="1" t="s">
        <v>6507</v>
      </c>
      <c r="P1379" s="1" t="s">
        <v>7777</v>
      </c>
      <c r="Q1379" s="3">
        <v>0</v>
      </c>
      <c r="R1379" s="22" t="s">
        <v>2721</v>
      </c>
      <c r="S1379" s="42" t="s">
        <v>6914</v>
      </c>
      <c r="T1379" s="3" t="s">
        <v>4866</v>
      </c>
      <c r="U1379" s="45">
        <v>35</v>
      </c>
      <c r="V1379" t="s">
        <v>7778</v>
      </c>
      <c r="W1379" s="1" t="str">
        <f>HYPERLINK("http://ictvonline.org/taxonomy/p/taxonomy-history?taxnode_id=201908019","ICTVonline=201908019")</f>
        <v>ICTVonline=201908019</v>
      </c>
    </row>
    <row r="1380" spans="1:23">
      <c r="A1380" s="3">
        <v>1379</v>
      </c>
      <c r="B1380" s="1" t="s">
        <v>6915</v>
      </c>
      <c r="D1380" s="1" t="s">
        <v>6916</v>
      </c>
      <c r="F1380" s="1" t="s">
        <v>6920</v>
      </c>
      <c r="H1380" s="1" t="s">
        <v>6921</v>
      </c>
      <c r="J1380" s="1" t="s">
        <v>1324</v>
      </c>
      <c r="L1380" s="1" t="s">
        <v>895</v>
      </c>
      <c r="M1380" s="1" t="s">
        <v>7779</v>
      </c>
      <c r="N1380" s="1" t="s">
        <v>7780</v>
      </c>
      <c r="P1380" s="1" t="s">
        <v>7781</v>
      </c>
      <c r="Q1380" s="3">
        <v>0</v>
      </c>
      <c r="R1380" s="22" t="s">
        <v>2721</v>
      </c>
      <c r="S1380" s="42" t="s">
        <v>6914</v>
      </c>
      <c r="T1380" s="3" t="s">
        <v>4866</v>
      </c>
      <c r="U1380" s="45">
        <v>35</v>
      </c>
      <c r="V1380" t="s">
        <v>7782</v>
      </c>
      <c r="W1380" s="1" t="str">
        <f>HYPERLINK("http://ictvonline.org/taxonomy/p/taxonomy-history?taxnode_id=201907882","ICTVonline=201907882")</f>
        <v>ICTVonline=201907882</v>
      </c>
    </row>
    <row r="1381" spans="1:23">
      <c r="A1381" s="3">
        <v>1380</v>
      </c>
      <c r="B1381" s="1" t="s">
        <v>6915</v>
      </c>
      <c r="D1381" s="1" t="s">
        <v>6916</v>
      </c>
      <c r="F1381" s="1" t="s">
        <v>6920</v>
      </c>
      <c r="H1381" s="1" t="s">
        <v>6921</v>
      </c>
      <c r="J1381" s="1" t="s">
        <v>1324</v>
      </c>
      <c r="L1381" s="1" t="s">
        <v>895</v>
      </c>
      <c r="M1381" s="1" t="s">
        <v>7779</v>
      </c>
      <c r="N1381" s="1" t="s">
        <v>7780</v>
      </c>
      <c r="P1381" s="1" t="s">
        <v>7783</v>
      </c>
      <c r="Q1381" s="3">
        <v>0</v>
      </c>
      <c r="R1381" s="22" t="s">
        <v>2721</v>
      </c>
      <c r="S1381" s="42" t="s">
        <v>6914</v>
      </c>
      <c r="T1381" s="3" t="s">
        <v>4866</v>
      </c>
      <c r="U1381" s="45">
        <v>35</v>
      </c>
      <c r="V1381" t="s">
        <v>7782</v>
      </c>
      <c r="W1381" s="1" t="str">
        <f>HYPERLINK("http://ictvonline.org/taxonomy/p/taxonomy-history?taxnode_id=201907884","ICTVonline=201907884")</f>
        <v>ICTVonline=201907884</v>
      </c>
    </row>
    <row r="1382" spans="1:23">
      <c r="A1382" s="3">
        <v>1381</v>
      </c>
      <c r="B1382" s="1" t="s">
        <v>6915</v>
      </c>
      <c r="D1382" s="1" t="s">
        <v>6916</v>
      </c>
      <c r="F1382" s="1" t="s">
        <v>6920</v>
      </c>
      <c r="H1382" s="1" t="s">
        <v>6921</v>
      </c>
      <c r="J1382" s="1" t="s">
        <v>1324</v>
      </c>
      <c r="L1382" s="1" t="s">
        <v>895</v>
      </c>
      <c r="M1382" s="1" t="s">
        <v>7779</v>
      </c>
      <c r="N1382" s="1" t="s">
        <v>7780</v>
      </c>
      <c r="P1382" s="1" t="s">
        <v>7784</v>
      </c>
      <c r="Q1382" s="3">
        <v>1</v>
      </c>
      <c r="R1382" s="22" t="s">
        <v>2721</v>
      </c>
      <c r="S1382" s="42" t="s">
        <v>6914</v>
      </c>
      <c r="T1382" s="3" t="s">
        <v>4866</v>
      </c>
      <c r="U1382" s="45">
        <v>35</v>
      </c>
      <c r="V1382" t="s">
        <v>7782</v>
      </c>
      <c r="W1382" s="1" t="str">
        <f>HYPERLINK("http://ictvonline.org/taxonomy/p/taxonomy-history?taxnode_id=201907881","ICTVonline=201907881")</f>
        <v>ICTVonline=201907881</v>
      </c>
    </row>
    <row r="1383" spans="1:23">
      <c r="A1383" s="3">
        <v>1382</v>
      </c>
      <c r="B1383" s="1" t="s">
        <v>6915</v>
      </c>
      <c r="D1383" s="1" t="s">
        <v>6916</v>
      </c>
      <c r="F1383" s="1" t="s">
        <v>6920</v>
      </c>
      <c r="H1383" s="1" t="s">
        <v>6921</v>
      </c>
      <c r="J1383" s="1" t="s">
        <v>1324</v>
      </c>
      <c r="L1383" s="1" t="s">
        <v>895</v>
      </c>
      <c r="M1383" s="1" t="s">
        <v>7779</v>
      </c>
      <c r="N1383" s="1" t="s">
        <v>7780</v>
      </c>
      <c r="P1383" s="1" t="s">
        <v>7785</v>
      </c>
      <c r="Q1383" s="3">
        <v>0</v>
      </c>
      <c r="R1383" s="22" t="s">
        <v>2721</v>
      </c>
      <c r="S1383" s="42" t="s">
        <v>6914</v>
      </c>
      <c r="T1383" s="3" t="s">
        <v>4866</v>
      </c>
      <c r="U1383" s="45">
        <v>35</v>
      </c>
      <c r="V1383" t="s">
        <v>7782</v>
      </c>
      <c r="W1383" s="1" t="str">
        <f>HYPERLINK("http://ictvonline.org/taxonomy/p/taxonomy-history?taxnode_id=201907883","ICTVonline=201907883")</f>
        <v>ICTVonline=201907883</v>
      </c>
    </row>
    <row r="1384" spans="1:23">
      <c r="A1384" s="3">
        <v>1383</v>
      </c>
      <c r="B1384" s="1" t="s">
        <v>6915</v>
      </c>
      <c r="D1384" s="1" t="s">
        <v>6916</v>
      </c>
      <c r="F1384" s="1" t="s">
        <v>6920</v>
      </c>
      <c r="H1384" s="1" t="s">
        <v>6921</v>
      </c>
      <c r="J1384" s="1" t="s">
        <v>1324</v>
      </c>
      <c r="L1384" s="1" t="s">
        <v>895</v>
      </c>
      <c r="M1384" s="1" t="s">
        <v>7779</v>
      </c>
      <c r="N1384" s="1" t="s">
        <v>7786</v>
      </c>
      <c r="P1384" s="1" t="s">
        <v>7787</v>
      </c>
      <c r="Q1384" s="3">
        <v>1</v>
      </c>
      <c r="R1384" s="22" t="s">
        <v>2721</v>
      </c>
      <c r="S1384" s="42" t="s">
        <v>6914</v>
      </c>
      <c r="T1384" s="3" t="s">
        <v>4866</v>
      </c>
      <c r="U1384" s="45">
        <v>35</v>
      </c>
      <c r="V1384" t="s">
        <v>7782</v>
      </c>
      <c r="W1384" s="1" t="str">
        <f>HYPERLINK("http://ictvonline.org/taxonomy/p/taxonomy-history?taxnode_id=201907886","ICTVonline=201907886")</f>
        <v>ICTVonline=201907886</v>
      </c>
    </row>
    <row r="1385" spans="1:23">
      <c r="A1385" s="3">
        <v>1384</v>
      </c>
      <c r="B1385" s="1" t="s">
        <v>6915</v>
      </c>
      <c r="D1385" s="1" t="s">
        <v>6916</v>
      </c>
      <c r="F1385" s="1" t="s">
        <v>6920</v>
      </c>
      <c r="H1385" s="1" t="s">
        <v>6921</v>
      </c>
      <c r="J1385" s="1" t="s">
        <v>1324</v>
      </c>
      <c r="L1385" s="1" t="s">
        <v>895</v>
      </c>
      <c r="M1385" s="1" t="s">
        <v>7779</v>
      </c>
      <c r="N1385" s="1" t="s">
        <v>7788</v>
      </c>
      <c r="P1385" s="1" t="s">
        <v>7789</v>
      </c>
      <c r="Q1385" s="3">
        <v>1</v>
      </c>
      <c r="R1385" s="22" t="s">
        <v>2721</v>
      </c>
      <c r="S1385" s="42" t="s">
        <v>6914</v>
      </c>
      <c r="T1385" s="3" t="s">
        <v>4866</v>
      </c>
      <c r="U1385" s="45">
        <v>35</v>
      </c>
      <c r="V1385" t="s">
        <v>7782</v>
      </c>
      <c r="W1385" s="1" t="str">
        <f>HYPERLINK("http://ictvonline.org/taxonomy/p/taxonomy-history?taxnode_id=201907888","ICTVonline=201907888")</f>
        <v>ICTVonline=201907888</v>
      </c>
    </row>
    <row r="1386" spans="1:23">
      <c r="A1386" s="3">
        <v>1385</v>
      </c>
      <c r="B1386" s="1" t="s">
        <v>6915</v>
      </c>
      <c r="D1386" s="1" t="s">
        <v>6916</v>
      </c>
      <c r="F1386" s="1" t="s">
        <v>6920</v>
      </c>
      <c r="H1386" s="1" t="s">
        <v>6921</v>
      </c>
      <c r="J1386" s="1" t="s">
        <v>1324</v>
      </c>
      <c r="L1386" s="1" t="s">
        <v>895</v>
      </c>
      <c r="M1386" s="1" t="s">
        <v>4973</v>
      </c>
      <c r="N1386" s="1" t="s">
        <v>6509</v>
      </c>
      <c r="P1386" s="1" t="s">
        <v>4974</v>
      </c>
      <c r="Q1386" s="3">
        <v>1</v>
      </c>
      <c r="R1386" s="22" t="s">
        <v>2721</v>
      </c>
      <c r="S1386" s="42" t="s">
        <v>6910</v>
      </c>
      <c r="T1386" s="3" t="s">
        <v>4868</v>
      </c>
      <c r="U1386" s="45">
        <v>35</v>
      </c>
      <c r="V1386" t="s">
        <v>6919</v>
      </c>
      <c r="W1386" s="1" t="str">
        <f>HYPERLINK("http://ictvonline.org/taxonomy/p/taxonomy-history?taxnode_id=201905513","ICTVonline=201905513")</f>
        <v>ICTVonline=201905513</v>
      </c>
    </row>
    <row r="1387" spans="1:23">
      <c r="A1387" s="3">
        <v>1386</v>
      </c>
      <c r="B1387" s="1" t="s">
        <v>6915</v>
      </c>
      <c r="D1387" s="1" t="s">
        <v>6916</v>
      </c>
      <c r="F1387" s="1" t="s">
        <v>6920</v>
      </c>
      <c r="H1387" s="1" t="s">
        <v>6921</v>
      </c>
      <c r="J1387" s="1" t="s">
        <v>1324</v>
      </c>
      <c r="L1387" s="1" t="s">
        <v>895</v>
      </c>
      <c r="M1387" s="1" t="s">
        <v>4973</v>
      </c>
      <c r="N1387" s="1" t="s">
        <v>6509</v>
      </c>
      <c r="P1387" s="1" t="s">
        <v>4975</v>
      </c>
      <c r="Q1387" s="3">
        <v>0</v>
      </c>
      <c r="R1387" s="22" t="s">
        <v>2721</v>
      </c>
      <c r="S1387" s="42" t="s">
        <v>6910</v>
      </c>
      <c r="T1387" s="3" t="s">
        <v>4868</v>
      </c>
      <c r="U1387" s="45">
        <v>35</v>
      </c>
      <c r="V1387" t="s">
        <v>6919</v>
      </c>
      <c r="W1387" s="1" t="str">
        <f>HYPERLINK("http://ictvonline.org/taxonomy/p/taxonomy-history?taxnode_id=201905514","ICTVonline=201905514")</f>
        <v>ICTVonline=201905514</v>
      </c>
    </row>
    <row r="1388" spans="1:23">
      <c r="A1388" s="3">
        <v>1387</v>
      </c>
      <c r="B1388" s="1" t="s">
        <v>6915</v>
      </c>
      <c r="D1388" s="1" t="s">
        <v>6916</v>
      </c>
      <c r="F1388" s="1" t="s">
        <v>6920</v>
      </c>
      <c r="H1388" s="1" t="s">
        <v>6921</v>
      </c>
      <c r="J1388" s="1" t="s">
        <v>1324</v>
      </c>
      <c r="L1388" s="1" t="s">
        <v>895</v>
      </c>
      <c r="M1388" s="1" t="s">
        <v>4973</v>
      </c>
      <c r="N1388" s="1" t="s">
        <v>6509</v>
      </c>
      <c r="P1388" s="1" t="s">
        <v>4976</v>
      </c>
      <c r="Q1388" s="3">
        <v>0</v>
      </c>
      <c r="R1388" s="22" t="s">
        <v>2721</v>
      </c>
      <c r="S1388" s="42" t="s">
        <v>6910</v>
      </c>
      <c r="T1388" s="3" t="s">
        <v>4868</v>
      </c>
      <c r="U1388" s="45">
        <v>35</v>
      </c>
      <c r="V1388" t="s">
        <v>6919</v>
      </c>
      <c r="W1388" s="1" t="str">
        <f>HYPERLINK("http://ictvonline.org/taxonomy/p/taxonomy-history?taxnode_id=201905515","ICTVonline=201905515")</f>
        <v>ICTVonline=201905515</v>
      </c>
    </row>
    <row r="1389" spans="1:23">
      <c r="A1389" s="3">
        <v>1388</v>
      </c>
      <c r="B1389" s="1" t="s">
        <v>6915</v>
      </c>
      <c r="D1389" s="1" t="s">
        <v>6916</v>
      </c>
      <c r="F1389" s="1" t="s">
        <v>6920</v>
      </c>
      <c r="H1389" s="1" t="s">
        <v>6921</v>
      </c>
      <c r="J1389" s="1" t="s">
        <v>1324</v>
      </c>
      <c r="L1389" s="1" t="s">
        <v>895</v>
      </c>
      <c r="M1389" s="1" t="s">
        <v>4973</v>
      </c>
      <c r="N1389" s="1" t="s">
        <v>6509</v>
      </c>
      <c r="P1389" s="1" t="s">
        <v>4977</v>
      </c>
      <c r="Q1389" s="3">
        <v>0</v>
      </c>
      <c r="R1389" s="22" t="s">
        <v>2721</v>
      </c>
      <c r="S1389" s="42" t="s">
        <v>6910</v>
      </c>
      <c r="T1389" s="3" t="s">
        <v>4868</v>
      </c>
      <c r="U1389" s="45">
        <v>35</v>
      </c>
      <c r="V1389" t="s">
        <v>6919</v>
      </c>
      <c r="W1389" s="1" t="str">
        <f>HYPERLINK("http://ictvonline.org/taxonomy/p/taxonomy-history?taxnode_id=201905516","ICTVonline=201905516")</f>
        <v>ICTVonline=201905516</v>
      </c>
    </row>
    <row r="1390" spans="1:23">
      <c r="A1390" s="3">
        <v>1389</v>
      </c>
      <c r="B1390" s="1" t="s">
        <v>6915</v>
      </c>
      <c r="D1390" s="1" t="s">
        <v>6916</v>
      </c>
      <c r="F1390" s="1" t="s">
        <v>6920</v>
      </c>
      <c r="H1390" s="1" t="s">
        <v>6921</v>
      </c>
      <c r="J1390" s="1" t="s">
        <v>1324</v>
      </c>
      <c r="L1390" s="1" t="s">
        <v>895</v>
      </c>
      <c r="M1390" s="1" t="s">
        <v>4973</v>
      </c>
      <c r="N1390" s="1" t="s">
        <v>6509</v>
      </c>
      <c r="P1390" s="1" t="s">
        <v>4978</v>
      </c>
      <c r="Q1390" s="3">
        <v>0</v>
      </c>
      <c r="R1390" s="22" t="s">
        <v>2721</v>
      </c>
      <c r="S1390" s="42" t="s">
        <v>6910</v>
      </c>
      <c r="T1390" s="3" t="s">
        <v>4868</v>
      </c>
      <c r="U1390" s="45">
        <v>35</v>
      </c>
      <c r="V1390" t="s">
        <v>6919</v>
      </c>
      <c r="W1390" s="1" t="str">
        <f>HYPERLINK("http://ictvonline.org/taxonomy/p/taxonomy-history?taxnode_id=201905517","ICTVonline=201905517")</f>
        <v>ICTVonline=201905517</v>
      </c>
    </row>
    <row r="1391" spans="1:23">
      <c r="A1391" s="3">
        <v>1390</v>
      </c>
      <c r="B1391" s="1" t="s">
        <v>6915</v>
      </c>
      <c r="D1391" s="1" t="s">
        <v>6916</v>
      </c>
      <c r="F1391" s="1" t="s">
        <v>6920</v>
      </c>
      <c r="H1391" s="1" t="s">
        <v>6921</v>
      </c>
      <c r="J1391" s="1" t="s">
        <v>1324</v>
      </c>
      <c r="L1391" s="1" t="s">
        <v>895</v>
      </c>
      <c r="M1391" s="1" t="s">
        <v>4973</v>
      </c>
      <c r="N1391" s="1" t="s">
        <v>6509</v>
      </c>
      <c r="P1391" s="1" t="s">
        <v>4979</v>
      </c>
      <c r="Q1391" s="3">
        <v>0</v>
      </c>
      <c r="R1391" s="22" t="s">
        <v>2721</v>
      </c>
      <c r="S1391" s="42" t="s">
        <v>6910</v>
      </c>
      <c r="T1391" s="3" t="s">
        <v>4868</v>
      </c>
      <c r="U1391" s="45">
        <v>35</v>
      </c>
      <c r="V1391" t="s">
        <v>6919</v>
      </c>
      <c r="W1391" s="1" t="str">
        <f>HYPERLINK("http://ictvonline.org/taxonomy/p/taxonomy-history?taxnode_id=201905518","ICTVonline=201905518")</f>
        <v>ICTVonline=201905518</v>
      </c>
    </row>
    <row r="1392" spans="1:23">
      <c r="A1392" s="3">
        <v>1391</v>
      </c>
      <c r="B1392" s="1" t="s">
        <v>6915</v>
      </c>
      <c r="D1392" s="1" t="s">
        <v>6916</v>
      </c>
      <c r="F1392" s="1" t="s">
        <v>6920</v>
      </c>
      <c r="H1392" s="1" t="s">
        <v>6921</v>
      </c>
      <c r="J1392" s="1" t="s">
        <v>1324</v>
      </c>
      <c r="L1392" s="1" t="s">
        <v>895</v>
      </c>
      <c r="M1392" s="1" t="s">
        <v>4973</v>
      </c>
      <c r="N1392" s="1" t="s">
        <v>6510</v>
      </c>
      <c r="P1392" s="1" t="s">
        <v>4980</v>
      </c>
      <c r="Q1392" s="3">
        <v>1</v>
      </c>
      <c r="R1392" s="22" t="s">
        <v>2721</v>
      </c>
      <c r="S1392" s="42" t="s">
        <v>6910</v>
      </c>
      <c r="T1392" s="3" t="s">
        <v>4868</v>
      </c>
      <c r="U1392" s="45">
        <v>35</v>
      </c>
      <c r="V1392" t="s">
        <v>6919</v>
      </c>
      <c r="W1392" s="1" t="str">
        <f>HYPERLINK("http://ictvonline.org/taxonomy/p/taxonomy-history?taxnode_id=201905520","ICTVonline=201905520")</f>
        <v>ICTVonline=201905520</v>
      </c>
    </row>
    <row r="1393" spans="1:23">
      <c r="A1393" s="3">
        <v>1392</v>
      </c>
      <c r="B1393" s="1" t="s">
        <v>6915</v>
      </c>
      <c r="D1393" s="1" t="s">
        <v>6916</v>
      </c>
      <c r="F1393" s="1" t="s">
        <v>6920</v>
      </c>
      <c r="H1393" s="1" t="s">
        <v>6921</v>
      </c>
      <c r="J1393" s="1" t="s">
        <v>1324</v>
      </c>
      <c r="L1393" s="1" t="s">
        <v>895</v>
      </c>
      <c r="M1393" s="1" t="s">
        <v>4973</v>
      </c>
      <c r="N1393" s="1" t="s">
        <v>6510</v>
      </c>
      <c r="P1393" s="1" t="s">
        <v>4981</v>
      </c>
      <c r="Q1393" s="3">
        <v>0</v>
      </c>
      <c r="R1393" s="22" t="s">
        <v>2721</v>
      </c>
      <c r="S1393" s="42" t="s">
        <v>6910</v>
      </c>
      <c r="T1393" s="3" t="s">
        <v>4868</v>
      </c>
      <c r="U1393" s="45">
        <v>35</v>
      </c>
      <c r="V1393" t="s">
        <v>6919</v>
      </c>
      <c r="W1393" s="1" t="str">
        <f>HYPERLINK("http://ictvonline.org/taxonomy/p/taxonomy-history?taxnode_id=201905523","ICTVonline=201905523")</f>
        <v>ICTVonline=201905523</v>
      </c>
    </row>
    <row r="1394" spans="1:23">
      <c r="A1394" s="3">
        <v>1393</v>
      </c>
      <c r="B1394" s="1" t="s">
        <v>6915</v>
      </c>
      <c r="D1394" s="1" t="s">
        <v>6916</v>
      </c>
      <c r="F1394" s="1" t="s">
        <v>6920</v>
      </c>
      <c r="H1394" s="1" t="s">
        <v>6921</v>
      </c>
      <c r="J1394" s="1" t="s">
        <v>1324</v>
      </c>
      <c r="L1394" s="1" t="s">
        <v>895</v>
      </c>
      <c r="M1394" s="1" t="s">
        <v>4973</v>
      </c>
      <c r="N1394" s="1" t="s">
        <v>6510</v>
      </c>
      <c r="P1394" s="1" t="s">
        <v>4982</v>
      </c>
      <c r="Q1394" s="3">
        <v>0</v>
      </c>
      <c r="R1394" s="22" t="s">
        <v>2721</v>
      </c>
      <c r="S1394" s="42" t="s">
        <v>6910</v>
      </c>
      <c r="T1394" s="3" t="s">
        <v>4868</v>
      </c>
      <c r="U1394" s="45">
        <v>35</v>
      </c>
      <c r="V1394" t="s">
        <v>6919</v>
      </c>
      <c r="W1394" s="1" t="str">
        <f>HYPERLINK("http://ictvonline.org/taxonomy/p/taxonomy-history?taxnode_id=201905524","ICTVonline=201905524")</f>
        <v>ICTVonline=201905524</v>
      </c>
    </row>
    <row r="1395" spans="1:23">
      <c r="A1395" s="3">
        <v>1394</v>
      </c>
      <c r="B1395" s="1" t="s">
        <v>6915</v>
      </c>
      <c r="D1395" s="1" t="s">
        <v>6916</v>
      </c>
      <c r="F1395" s="1" t="s">
        <v>6920</v>
      </c>
      <c r="H1395" s="1" t="s">
        <v>6921</v>
      </c>
      <c r="J1395" s="1" t="s">
        <v>1324</v>
      </c>
      <c r="L1395" s="1" t="s">
        <v>895</v>
      </c>
      <c r="M1395" s="1" t="s">
        <v>4973</v>
      </c>
      <c r="N1395" s="1" t="s">
        <v>6510</v>
      </c>
      <c r="P1395" s="1" t="s">
        <v>4983</v>
      </c>
      <c r="Q1395" s="3">
        <v>0</v>
      </c>
      <c r="R1395" s="22" t="s">
        <v>2721</v>
      </c>
      <c r="S1395" s="42" t="s">
        <v>6910</v>
      </c>
      <c r="T1395" s="3" t="s">
        <v>4868</v>
      </c>
      <c r="U1395" s="45">
        <v>35</v>
      </c>
      <c r="V1395" t="s">
        <v>6919</v>
      </c>
      <c r="W1395" s="1" t="str">
        <f>HYPERLINK("http://ictvonline.org/taxonomy/p/taxonomy-history?taxnode_id=201905521","ICTVonline=201905521")</f>
        <v>ICTVonline=201905521</v>
      </c>
    </row>
    <row r="1396" spans="1:23">
      <c r="A1396" s="3">
        <v>1395</v>
      </c>
      <c r="B1396" s="1" t="s">
        <v>6915</v>
      </c>
      <c r="D1396" s="1" t="s">
        <v>6916</v>
      </c>
      <c r="F1396" s="1" t="s">
        <v>6920</v>
      </c>
      <c r="H1396" s="1" t="s">
        <v>6921</v>
      </c>
      <c r="J1396" s="1" t="s">
        <v>1324</v>
      </c>
      <c r="L1396" s="1" t="s">
        <v>895</v>
      </c>
      <c r="M1396" s="1" t="s">
        <v>4973</v>
      </c>
      <c r="N1396" s="1" t="s">
        <v>6510</v>
      </c>
      <c r="P1396" s="1" t="s">
        <v>4984</v>
      </c>
      <c r="Q1396" s="3">
        <v>0</v>
      </c>
      <c r="R1396" s="22" t="s">
        <v>2721</v>
      </c>
      <c r="S1396" s="42" t="s">
        <v>6910</v>
      </c>
      <c r="T1396" s="3" t="s">
        <v>4868</v>
      </c>
      <c r="U1396" s="45">
        <v>35</v>
      </c>
      <c r="V1396" t="s">
        <v>6919</v>
      </c>
      <c r="W1396" s="1" t="str">
        <f>HYPERLINK("http://ictvonline.org/taxonomy/p/taxonomy-history?taxnode_id=201905522","ICTVonline=201905522")</f>
        <v>ICTVonline=201905522</v>
      </c>
    </row>
    <row r="1397" spans="1:23">
      <c r="A1397" s="3">
        <v>1396</v>
      </c>
      <c r="B1397" s="1" t="s">
        <v>6915</v>
      </c>
      <c r="D1397" s="1" t="s">
        <v>6916</v>
      </c>
      <c r="F1397" s="1" t="s">
        <v>6920</v>
      </c>
      <c r="H1397" s="1" t="s">
        <v>6921</v>
      </c>
      <c r="J1397" s="1" t="s">
        <v>1324</v>
      </c>
      <c r="L1397" s="1" t="s">
        <v>895</v>
      </c>
      <c r="M1397" s="1" t="s">
        <v>4973</v>
      </c>
      <c r="N1397" s="1" t="s">
        <v>6510</v>
      </c>
      <c r="P1397" s="1" t="s">
        <v>4985</v>
      </c>
      <c r="Q1397" s="3">
        <v>0</v>
      </c>
      <c r="R1397" s="22" t="s">
        <v>2721</v>
      </c>
      <c r="S1397" s="42" t="s">
        <v>6910</v>
      </c>
      <c r="T1397" s="3" t="s">
        <v>4868</v>
      </c>
      <c r="U1397" s="45">
        <v>35</v>
      </c>
      <c r="V1397" t="s">
        <v>6919</v>
      </c>
      <c r="W1397" s="1" t="str">
        <f>HYPERLINK("http://ictvonline.org/taxonomy/p/taxonomy-history?taxnode_id=201905525","ICTVonline=201905525")</f>
        <v>ICTVonline=201905525</v>
      </c>
    </row>
    <row r="1398" spans="1:23">
      <c r="A1398" s="3">
        <v>1397</v>
      </c>
      <c r="B1398" s="1" t="s">
        <v>6915</v>
      </c>
      <c r="D1398" s="1" t="s">
        <v>6916</v>
      </c>
      <c r="F1398" s="1" t="s">
        <v>6920</v>
      </c>
      <c r="H1398" s="1" t="s">
        <v>6921</v>
      </c>
      <c r="J1398" s="1" t="s">
        <v>1324</v>
      </c>
      <c r="L1398" s="1" t="s">
        <v>895</v>
      </c>
      <c r="M1398" s="1" t="s">
        <v>4068</v>
      </c>
      <c r="N1398" s="1" t="s">
        <v>4069</v>
      </c>
      <c r="P1398" s="1" t="s">
        <v>3326</v>
      </c>
      <c r="Q1398" s="3">
        <v>1</v>
      </c>
      <c r="R1398" s="22" t="s">
        <v>2721</v>
      </c>
      <c r="S1398" s="42" t="s">
        <v>6910</v>
      </c>
      <c r="T1398" s="3" t="s">
        <v>4868</v>
      </c>
      <c r="U1398" s="45">
        <v>35</v>
      </c>
      <c r="V1398" t="s">
        <v>6919</v>
      </c>
      <c r="W1398" s="1" t="str">
        <f>HYPERLINK("http://ictvonline.org/taxonomy/p/taxonomy-history?taxnode_id=201900789","ICTVonline=201900789")</f>
        <v>ICTVonline=201900789</v>
      </c>
    </row>
    <row r="1399" spans="1:23">
      <c r="A1399" s="3">
        <v>1398</v>
      </c>
      <c r="B1399" s="1" t="s">
        <v>6915</v>
      </c>
      <c r="D1399" s="1" t="s">
        <v>6916</v>
      </c>
      <c r="F1399" s="1" t="s">
        <v>6920</v>
      </c>
      <c r="H1399" s="1" t="s">
        <v>6921</v>
      </c>
      <c r="J1399" s="1" t="s">
        <v>1324</v>
      </c>
      <c r="L1399" s="1" t="s">
        <v>895</v>
      </c>
      <c r="M1399" s="1" t="s">
        <v>4068</v>
      </c>
      <c r="N1399" s="1" t="s">
        <v>3325</v>
      </c>
      <c r="P1399" s="1" t="s">
        <v>3327</v>
      </c>
      <c r="Q1399" s="3">
        <v>1</v>
      </c>
      <c r="R1399" s="22" t="s">
        <v>2721</v>
      </c>
      <c r="S1399" s="42" t="s">
        <v>6910</v>
      </c>
      <c r="T1399" s="3" t="s">
        <v>4868</v>
      </c>
      <c r="U1399" s="45">
        <v>35</v>
      </c>
      <c r="V1399" t="s">
        <v>6919</v>
      </c>
      <c r="W1399" s="1" t="str">
        <f>HYPERLINK("http://ictvonline.org/taxonomy/p/taxonomy-history?taxnode_id=201900791","ICTVonline=201900791")</f>
        <v>ICTVonline=201900791</v>
      </c>
    </row>
    <row r="1400" spans="1:23">
      <c r="A1400" s="3">
        <v>1399</v>
      </c>
      <c r="B1400" s="1" t="s">
        <v>6915</v>
      </c>
      <c r="D1400" s="1" t="s">
        <v>6916</v>
      </c>
      <c r="F1400" s="1" t="s">
        <v>6920</v>
      </c>
      <c r="H1400" s="1" t="s">
        <v>6921</v>
      </c>
      <c r="J1400" s="1" t="s">
        <v>1324</v>
      </c>
      <c r="L1400" s="1" t="s">
        <v>895</v>
      </c>
      <c r="M1400" s="1" t="s">
        <v>4986</v>
      </c>
      <c r="N1400" s="1" t="s">
        <v>4987</v>
      </c>
      <c r="P1400" s="1" t="s">
        <v>4988</v>
      </c>
      <c r="Q1400" s="3">
        <v>1</v>
      </c>
      <c r="R1400" s="22" t="s">
        <v>2721</v>
      </c>
      <c r="S1400" s="42" t="s">
        <v>6910</v>
      </c>
      <c r="T1400" s="3" t="s">
        <v>4868</v>
      </c>
      <c r="U1400" s="45">
        <v>35</v>
      </c>
      <c r="V1400" t="s">
        <v>6919</v>
      </c>
      <c r="W1400" s="1" t="str">
        <f>HYPERLINK("http://ictvonline.org/taxonomy/p/taxonomy-history?taxnode_id=201905528","ICTVonline=201905528")</f>
        <v>ICTVonline=201905528</v>
      </c>
    </row>
    <row r="1401" spans="1:23">
      <c r="A1401" s="3">
        <v>1400</v>
      </c>
      <c r="B1401" s="1" t="s">
        <v>6915</v>
      </c>
      <c r="D1401" s="1" t="s">
        <v>6916</v>
      </c>
      <c r="F1401" s="1" t="s">
        <v>6920</v>
      </c>
      <c r="H1401" s="1" t="s">
        <v>6921</v>
      </c>
      <c r="J1401" s="1" t="s">
        <v>1324</v>
      </c>
      <c r="L1401" s="1" t="s">
        <v>895</v>
      </c>
      <c r="M1401" s="1" t="s">
        <v>4986</v>
      </c>
      <c r="N1401" s="1" t="s">
        <v>4987</v>
      </c>
      <c r="P1401" s="1" t="s">
        <v>4989</v>
      </c>
      <c r="Q1401" s="3">
        <v>0</v>
      </c>
      <c r="R1401" s="22" t="s">
        <v>2721</v>
      </c>
      <c r="S1401" s="42" t="s">
        <v>6910</v>
      </c>
      <c r="T1401" s="3" t="s">
        <v>4868</v>
      </c>
      <c r="U1401" s="45">
        <v>35</v>
      </c>
      <c r="V1401" t="s">
        <v>6919</v>
      </c>
      <c r="W1401" s="1" t="str">
        <f>HYPERLINK("http://ictvonline.org/taxonomy/p/taxonomy-history?taxnode_id=201905529","ICTVonline=201905529")</f>
        <v>ICTVonline=201905529</v>
      </c>
    </row>
    <row r="1402" spans="1:23">
      <c r="A1402" s="3">
        <v>1401</v>
      </c>
      <c r="B1402" s="1" t="s">
        <v>6915</v>
      </c>
      <c r="D1402" s="1" t="s">
        <v>6916</v>
      </c>
      <c r="F1402" s="1" t="s">
        <v>6920</v>
      </c>
      <c r="H1402" s="1" t="s">
        <v>6921</v>
      </c>
      <c r="J1402" s="1" t="s">
        <v>1324</v>
      </c>
      <c r="L1402" s="1" t="s">
        <v>895</v>
      </c>
      <c r="M1402" s="1" t="s">
        <v>4986</v>
      </c>
      <c r="N1402" s="1" t="s">
        <v>3110</v>
      </c>
      <c r="P1402" s="1" t="s">
        <v>3111</v>
      </c>
      <c r="Q1402" s="3">
        <v>1</v>
      </c>
      <c r="R1402" s="22" t="s">
        <v>2721</v>
      </c>
      <c r="S1402" s="42" t="s">
        <v>6910</v>
      </c>
      <c r="T1402" s="3" t="s">
        <v>4868</v>
      </c>
      <c r="U1402" s="45">
        <v>35</v>
      </c>
      <c r="V1402" t="s">
        <v>6919</v>
      </c>
      <c r="W1402" s="1" t="str">
        <f>HYPERLINK("http://ictvonline.org/taxonomy/p/taxonomy-history?taxnode_id=201900888","ICTVonline=201900888")</f>
        <v>ICTVonline=201900888</v>
      </c>
    </row>
    <row r="1403" spans="1:23">
      <c r="A1403" s="3">
        <v>1402</v>
      </c>
      <c r="B1403" s="1" t="s">
        <v>6915</v>
      </c>
      <c r="D1403" s="1" t="s">
        <v>6916</v>
      </c>
      <c r="F1403" s="1" t="s">
        <v>6920</v>
      </c>
      <c r="H1403" s="1" t="s">
        <v>6921</v>
      </c>
      <c r="J1403" s="1" t="s">
        <v>1324</v>
      </c>
      <c r="L1403" s="1" t="s">
        <v>895</v>
      </c>
      <c r="M1403" s="1" t="s">
        <v>4986</v>
      </c>
      <c r="N1403" s="1" t="s">
        <v>3110</v>
      </c>
      <c r="P1403" s="1" t="s">
        <v>4990</v>
      </c>
      <c r="Q1403" s="3">
        <v>0</v>
      </c>
      <c r="R1403" s="22" t="s">
        <v>2721</v>
      </c>
      <c r="S1403" s="42" t="s">
        <v>6910</v>
      </c>
      <c r="T1403" s="3" t="s">
        <v>4868</v>
      </c>
      <c r="U1403" s="45">
        <v>35</v>
      </c>
      <c r="V1403" t="s">
        <v>6919</v>
      </c>
      <c r="W1403" s="1" t="str">
        <f>HYPERLINK("http://ictvonline.org/taxonomy/p/taxonomy-history?taxnode_id=201905531","ICTVonline=201905531")</f>
        <v>ICTVonline=201905531</v>
      </c>
    </row>
    <row r="1404" spans="1:23">
      <c r="A1404" s="3">
        <v>1403</v>
      </c>
      <c r="B1404" s="1" t="s">
        <v>6915</v>
      </c>
      <c r="D1404" s="1" t="s">
        <v>6916</v>
      </c>
      <c r="F1404" s="1" t="s">
        <v>6920</v>
      </c>
      <c r="H1404" s="1" t="s">
        <v>6921</v>
      </c>
      <c r="J1404" s="1" t="s">
        <v>1324</v>
      </c>
      <c r="L1404" s="1" t="s">
        <v>895</v>
      </c>
      <c r="M1404" s="1" t="s">
        <v>4986</v>
      </c>
      <c r="N1404" s="1" t="s">
        <v>3110</v>
      </c>
      <c r="P1404" s="1" t="s">
        <v>4991</v>
      </c>
      <c r="Q1404" s="3">
        <v>0</v>
      </c>
      <c r="R1404" s="22" t="s">
        <v>2721</v>
      </c>
      <c r="S1404" s="42" t="s">
        <v>6910</v>
      </c>
      <c r="T1404" s="3" t="s">
        <v>4868</v>
      </c>
      <c r="U1404" s="45">
        <v>35</v>
      </c>
      <c r="V1404" t="s">
        <v>6919</v>
      </c>
      <c r="W1404" s="1" t="str">
        <f>HYPERLINK("http://ictvonline.org/taxonomy/p/taxonomy-history?taxnode_id=201905532","ICTVonline=201905532")</f>
        <v>ICTVonline=201905532</v>
      </c>
    </row>
    <row r="1405" spans="1:23">
      <c r="A1405" s="3">
        <v>1404</v>
      </c>
      <c r="B1405" s="1" t="s">
        <v>6915</v>
      </c>
      <c r="D1405" s="1" t="s">
        <v>6916</v>
      </c>
      <c r="F1405" s="1" t="s">
        <v>6920</v>
      </c>
      <c r="H1405" s="1" t="s">
        <v>6921</v>
      </c>
      <c r="J1405" s="1" t="s">
        <v>1324</v>
      </c>
      <c r="L1405" s="1" t="s">
        <v>895</v>
      </c>
      <c r="M1405" s="1" t="s">
        <v>4986</v>
      </c>
      <c r="N1405" s="1" t="s">
        <v>4992</v>
      </c>
      <c r="P1405" s="1" t="s">
        <v>4993</v>
      </c>
      <c r="Q1405" s="3">
        <v>0</v>
      </c>
      <c r="R1405" s="22" t="s">
        <v>2721</v>
      </c>
      <c r="S1405" s="42" t="s">
        <v>6910</v>
      </c>
      <c r="T1405" s="3" t="s">
        <v>4868</v>
      </c>
      <c r="U1405" s="45">
        <v>35</v>
      </c>
      <c r="V1405" t="s">
        <v>6919</v>
      </c>
      <c r="W1405" s="1" t="str">
        <f>HYPERLINK("http://ictvonline.org/taxonomy/p/taxonomy-history?taxnode_id=201905533","ICTVonline=201905533")</f>
        <v>ICTVonline=201905533</v>
      </c>
    </row>
    <row r="1406" spans="1:23">
      <c r="A1406" s="3">
        <v>1405</v>
      </c>
      <c r="B1406" s="1" t="s">
        <v>6915</v>
      </c>
      <c r="D1406" s="1" t="s">
        <v>6916</v>
      </c>
      <c r="F1406" s="1" t="s">
        <v>6920</v>
      </c>
      <c r="H1406" s="1" t="s">
        <v>6921</v>
      </c>
      <c r="J1406" s="1" t="s">
        <v>1324</v>
      </c>
      <c r="L1406" s="1" t="s">
        <v>895</v>
      </c>
      <c r="M1406" s="1" t="s">
        <v>4986</v>
      </c>
      <c r="N1406" s="1" t="s">
        <v>4992</v>
      </c>
      <c r="P1406" s="1" t="s">
        <v>4994</v>
      </c>
      <c r="Q1406" s="3">
        <v>0</v>
      </c>
      <c r="R1406" s="22" t="s">
        <v>2721</v>
      </c>
      <c r="S1406" s="42" t="s">
        <v>6910</v>
      </c>
      <c r="T1406" s="3" t="s">
        <v>4868</v>
      </c>
      <c r="U1406" s="45">
        <v>35</v>
      </c>
      <c r="V1406" t="s">
        <v>6919</v>
      </c>
      <c r="W1406" s="1" t="str">
        <f>HYPERLINK("http://ictvonline.org/taxonomy/p/taxonomy-history?taxnode_id=201905534","ICTVonline=201905534")</f>
        <v>ICTVonline=201905534</v>
      </c>
    </row>
    <row r="1407" spans="1:23">
      <c r="A1407" s="3">
        <v>1406</v>
      </c>
      <c r="B1407" s="1" t="s">
        <v>6915</v>
      </c>
      <c r="D1407" s="1" t="s">
        <v>6916</v>
      </c>
      <c r="F1407" s="1" t="s">
        <v>6920</v>
      </c>
      <c r="H1407" s="1" t="s">
        <v>6921</v>
      </c>
      <c r="J1407" s="1" t="s">
        <v>1324</v>
      </c>
      <c r="L1407" s="1" t="s">
        <v>895</v>
      </c>
      <c r="M1407" s="1" t="s">
        <v>4986</v>
      </c>
      <c r="N1407" s="1" t="s">
        <v>4992</v>
      </c>
      <c r="P1407" s="1" t="s">
        <v>3112</v>
      </c>
      <c r="Q1407" s="3">
        <v>1</v>
      </c>
      <c r="R1407" s="22" t="s">
        <v>2721</v>
      </c>
      <c r="S1407" s="42" t="s">
        <v>6910</v>
      </c>
      <c r="T1407" s="3" t="s">
        <v>4868</v>
      </c>
      <c r="U1407" s="45">
        <v>35</v>
      </c>
      <c r="V1407" t="s">
        <v>6919</v>
      </c>
      <c r="W1407" s="1" t="str">
        <f>HYPERLINK("http://ictvonline.org/taxonomy/p/taxonomy-history?taxnode_id=201900889","ICTVonline=201900889")</f>
        <v>ICTVonline=201900889</v>
      </c>
    </row>
    <row r="1408" spans="1:23">
      <c r="A1408" s="3">
        <v>1407</v>
      </c>
      <c r="B1408" s="1" t="s">
        <v>6915</v>
      </c>
      <c r="D1408" s="1" t="s">
        <v>6916</v>
      </c>
      <c r="F1408" s="1" t="s">
        <v>6920</v>
      </c>
      <c r="H1408" s="1" t="s">
        <v>6921</v>
      </c>
      <c r="J1408" s="1" t="s">
        <v>1324</v>
      </c>
      <c r="L1408" s="1" t="s">
        <v>895</v>
      </c>
      <c r="M1408" s="1" t="s">
        <v>4986</v>
      </c>
      <c r="N1408" s="1" t="s">
        <v>4992</v>
      </c>
      <c r="P1408" s="1" t="s">
        <v>4995</v>
      </c>
      <c r="Q1408" s="3">
        <v>0</v>
      </c>
      <c r="R1408" s="22" t="s">
        <v>2721</v>
      </c>
      <c r="S1408" s="42" t="s">
        <v>6910</v>
      </c>
      <c r="T1408" s="3" t="s">
        <v>4868</v>
      </c>
      <c r="U1408" s="45">
        <v>35</v>
      </c>
      <c r="V1408" t="s">
        <v>6919</v>
      </c>
      <c r="W1408" s="1" t="str">
        <f>HYPERLINK("http://ictvonline.org/taxonomy/p/taxonomy-history?taxnode_id=201905535","ICTVonline=201905535")</f>
        <v>ICTVonline=201905535</v>
      </c>
    </row>
    <row r="1409" spans="1:23">
      <c r="A1409" s="3">
        <v>1408</v>
      </c>
      <c r="B1409" s="1" t="s">
        <v>6915</v>
      </c>
      <c r="D1409" s="1" t="s">
        <v>6916</v>
      </c>
      <c r="F1409" s="1" t="s">
        <v>6920</v>
      </c>
      <c r="H1409" s="1" t="s">
        <v>6921</v>
      </c>
      <c r="J1409" s="1" t="s">
        <v>1324</v>
      </c>
      <c r="L1409" s="1" t="s">
        <v>895</v>
      </c>
      <c r="M1409" s="1" t="s">
        <v>4996</v>
      </c>
      <c r="N1409" s="1" t="s">
        <v>4997</v>
      </c>
      <c r="P1409" s="1" t="s">
        <v>4998</v>
      </c>
      <c r="Q1409" s="3">
        <v>1</v>
      </c>
      <c r="R1409" s="22" t="s">
        <v>2721</v>
      </c>
      <c r="S1409" s="42" t="s">
        <v>6910</v>
      </c>
      <c r="T1409" s="3" t="s">
        <v>4868</v>
      </c>
      <c r="U1409" s="45">
        <v>35</v>
      </c>
      <c r="V1409" t="s">
        <v>6919</v>
      </c>
      <c r="W1409" s="1" t="str">
        <f>HYPERLINK("http://ictvonline.org/taxonomy/p/taxonomy-history?taxnode_id=201905498","ICTVonline=201905498")</f>
        <v>ICTVonline=201905498</v>
      </c>
    </row>
    <row r="1410" spans="1:23">
      <c r="A1410" s="3">
        <v>1409</v>
      </c>
      <c r="B1410" s="1" t="s">
        <v>6915</v>
      </c>
      <c r="D1410" s="1" t="s">
        <v>6916</v>
      </c>
      <c r="F1410" s="1" t="s">
        <v>6920</v>
      </c>
      <c r="H1410" s="1" t="s">
        <v>6921</v>
      </c>
      <c r="J1410" s="1" t="s">
        <v>1324</v>
      </c>
      <c r="L1410" s="1" t="s">
        <v>895</v>
      </c>
      <c r="M1410" s="1" t="s">
        <v>4996</v>
      </c>
      <c r="N1410" s="1" t="s">
        <v>4997</v>
      </c>
      <c r="P1410" s="1" t="s">
        <v>4999</v>
      </c>
      <c r="Q1410" s="3">
        <v>0</v>
      </c>
      <c r="R1410" s="22" t="s">
        <v>2721</v>
      </c>
      <c r="S1410" s="42" t="s">
        <v>6910</v>
      </c>
      <c r="T1410" s="3" t="s">
        <v>4868</v>
      </c>
      <c r="U1410" s="45">
        <v>35</v>
      </c>
      <c r="V1410" t="s">
        <v>6919</v>
      </c>
      <c r="W1410" s="1" t="str">
        <f>HYPERLINK("http://ictvonline.org/taxonomy/p/taxonomy-history?taxnode_id=201905499","ICTVonline=201905499")</f>
        <v>ICTVonline=201905499</v>
      </c>
    </row>
    <row r="1411" spans="1:23">
      <c r="A1411" s="3">
        <v>1410</v>
      </c>
      <c r="B1411" s="1" t="s">
        <v>6915</v>
      </c>
      <c r="D1411" s="1" t="s">
        <v>6916</v>
      </c>
      <c r="F1411" s="1" t="s">
        <v>6920</v>
      </c>
      <c r="H1411" s="1" t="s">
        <v>6921</v>
      </c>
      <c r="J1411" s="1" t="s">
        <v>1324</v>
      </c>
      <c r="L1411" s="1" t="s">
        <v>895</v>
      </c>
      <c r="M1411" s="1" t="s">
        <v>4996</v>
      </c>
      <c r="N1411" s="1" t="s">
        <v>5000</v>
      </c>
      <c r="P1411" s="1" t="s">
        <v>5001</v>
      </c>
      <c r="Q1411" s="3">
        <v>0</v>
      </c>
      <c r="R1411" s="22" t="s">
        <v>2721</v>
      </c>
      <c r="S1411" s="42" t="s">
        <v>6910</v>
      </c>
      <c r="T1411" s="3" t="s">
        <v>4868</v>
      </c>
      <c r="U1411" s="45">
        <v>35</v>
      </c>
      <c r="V1411" t="s">
        <v>6919</v>
      </c>
      <c r="W1411" s="1" t="str">
        <f>HYPERLINK("http://ictvonline.org/taxonomy/p/taxonomy-history?taxnode_id=201905501","ICTVonline=201905501")</f>
        <v>ICTVonline=201905501</v>
      </c>
    </row>
    <row r="1412" spans="1:23">
      <c r="A1412" s="3">
        <v>1411</v>
      </c>
      <c r="B1412" s="1" t="s">
        <v>6915</v>
      </c>
      <c r="D1412" s="1" t="s">
        <v>6916</v>
      </c>
      <c r="F1412" s="1" t="s">
        <v>6920</v>
      </c>
      <c r="H1412" s="1" t="s">
        <v>6921</v>
      </c>
      <c r="J1412" s="1" t="s">
        <v>1324</v>
      </c>
      <c r="L1412" s="1" t="s">
        <v>895</v>
      </c>
      <c r="M1412" s="1" t="s">
        <v>4996</v>
      </c>
      <c r="N1412" s="1" t="s">
        <v>5000</v>
      </c>
      <c r="P1412" s="1" t="s">
        <v>6511</v>
      </c>
      <c r="Q1412" s="3">
        <v>1</v>
      </c>
      <c r="R1412" s="22" t="s">
        <v>2721</v>
      </c>
      <c r="S1412" s="42" t="s">
        <v>6910</v>
      </c>
      <c r="T1412" s="3" t="s">
        <v>4868</v>
      </c>
      <c r="U1412" s="45">
        <v>35</v>
      </c>
      <c r="V1412" t="s">
        <v>6919</v>
      </c>
      <c r="W1412" s="1" t="str">
        <f>HYPERLINK("http://ictvonline.org/taxonomy/p/taxonomy-history?taxnode_id=201905503","ICTVonline=201905503")</f>
        <v>ICTVonline=201905503</v>
      </c>
    </row>
    <row r="1413" spans="1:23">
      <c r="A1413" s="3">
        <v>1412</v>
      </c>
      <c r="B1413" s="1" t="s">
        <v>6915</v>
      </c>
      <c r="D1413" s="1" t="s">
        <v>6916</v>
      </c>
      <c r="F1413" s="1" t="s">
        <v>6920</v>
      </c>
      <c r="H1413" s="1" t="s">
        <v>6921</v>
      </c>
      <c r="J1413" s="1" t="s">
        <v>1324</v>
      </c>
      <c r="L1413" s="1" t="s">
        <v>895</v>
      </c>
      <c r="M1413" s="1" t="s">
        <v>4996</v>
      </c>
      <c r="N1413" s="1" t="s">
        <v>5000</v>
      </c>
      <c r="P1413" s="1" t="s">
        <v>5002</v>
      </c>
      <c r="Q1413" s="3">
        <v>0</v>
      </c>
      <c r="R1413" s="22" t="s">
        <v>2721</v>
      </c>
      <c r="S1413" s="42" t="s">
        <v>6910</v>
      </c>
      <c r="T1413" s="3" t="s">
        <v>4868</v>
      </c>
      <c r="U1413" s="45">
        <v>35</v>
      </c>
      <c r="V1413" t="s">
        <v>6919</v>
      </c>
      <c r="W1413" s="1" t="str">
        <f>HYPERLINK("http://ictvonline.org/taxonomy/p/taxonomy-history?taxnode_id=201905502","ICTVonline=201905502")</f>
        <v>ICTVonline=201905502</v>
      </c>
    </row>
    <row r="1414" spans="1:23">
      <c r="A1414" s="3">
        <v>1413</v>
      </c>
      <c r="B1414" s="1" t="s">
        <v>6915</v>
      </c>
      <c r="D1414" s="1" t="s">
        <v>6916</v>
      </c>
      <c r="F1414" s="1" t="s">
        <v>6920</v>
      </c>
      <c r="H1414" s="1" t="s">
        <v>6921</v>
      </c>
      <c r="J1414" s="1" t="s">
        <v>1324</v>
      </c>
      <c r="L1414" s="1" t="s">
        <v>895</v>
      </c>
      <c r="M1414" s="1" t="s">
        <v>4070</v>
      </c>
      <c r="N1414" s="1" t="s">
        <v>3087</v>
      </c>
      <c r="P1414" s="1" t="s">
        <v>3088</v>
      </c>
      <c r="Q1414" s="3">
        <v>1</v>
      </c>
      <c r="R1414" s="22" t="s">
        <v>2721</v>
      </c>
      <c r="S1414" s="42" t="s">
        <v>6910</v>
      </c>
      <c r="T1414" s="3" t="s">
        <v>4868</v>
      </c>
      <c r="U1414" s="45">
        <v>35</v>
      </c>
      <c r="V1414" t="s">
        <v>6919</v>
      </c>
      <c r="W1414" s="1" t="str">
        <f>HYPERLINK("http://ictvonline.org/taxonomy/p/taxonomy-history?taxnode_id=201900794","ICTVonline=201900794")</f>
        <v>ICTVonline=201900794</v>
      </c>
    </row>
    <row r="1415" spans="1:23">
      <c r="A1415" s="3">
        <v>1414</v>
      </c>
      <c r="B1415" s="1" t="s">
        <v>6915</v>
      </c>
      <c r="D1415" s="1" t="s">
        <v>6916</v>
      </c>
      <c r="F1415" s="1" t="s">
        <v>6920</v>
      </c>
      <c r="H1415" s="1" t="s">
        <v>6921</v>
      </c>
      <c r="J1415" s="1" t="s">
        <v>1324</v>
      </c>
      <c r="L1415" s="1" t="s">
        <v>895</v>
      </c>
      <c r="M1415" s="1" t="s">
        <v>4070</v>
      </c>
      <c r="N1415" s="1" t="s">
        <v>4071</v>
      </c>
      <c r="P1415" s="1" t="s">
        <v>4284</v>
      </c>
      <c r="Q1415" s="3">
        <v>0</v>
      </c>
      <c r="R1415" s="22" t="s">
        <v>2721</v>
      </c>
      <c r="S1415" s="42" t="s">
        <v>6910</v>
      </c>
      <c r="T1415" s="3" t="s">
        <v>4868</v>
      </c>
      <c r="U1415" s="45">
        <v>35</v>
      </c>
      <c r="V1415" t="s">
        <v>6919</v>
      </c>
      <c r="W1415" s="1" t="str">
        <f>HYPERLINK("http://ictvonline.org/taxonomy/p/taxonomy-history?taxnode_id=201900796","ICTVonline=201900796")</f>
        <v>ICTVonline=201900796</v>
      </c>
    </row>
    <row r="1416" spans="1:23">
      <c r="A1416" s="3">
        <v>1415</v>
      </c>
      <c r="B1416" s="1" t="s">
        <v>6915</v>
      </c>
      <c r="D1416" s="1" t="s">
        <v>6916</v>
      </c>
      <c r="F1416" s="1" t="s">
        <v>6920</v>
      </c>
      <c r="H1416" s="1" t="s">
        <v>6921</v>
      </c>
      <c r="J1416" s="1" t="s">
        <v>1324</v>
      </c>
      <c r="L1416" s="1" t="s">
        <v>895</v>
      </c>
      <c r="M1416" s="1" t="s">
        <v>4070</v>
      </c>
      <c r="N1416" s="1" t="s">
        <v>4071</v>
      </c>
      <c r="P1416" s="1" t="s">
        <v>4285</v>
      </c>
      <c r="Q1416" s="3">
        <v>0</v>
      </c>
      <c r="R1416" s="22" t="s">
        <v>2721</v>
      </c>
      <c r="S1416" s="42" t="s">
        <v>6910</v>
      </c>
      <c r="T1416" s="3" t="s">
        <v>4868</v>
      </c>
      <c r="U1416" s="45">
        <v>35</v>
      </c>
      <c r="V1416" t="s">
        <v>6919</v>
      </c>
      <c r="W1416" s="1" t="str">
        <f>HYPERLINK("http://ictvonline.org/taxonomy/p/taxonomy-history?taxnode_id=201900797","ICTVonline=201900797")</f>
        <v>ICTVonline=201900797</v>
      </c>
    </row>
    <row r="1417" spans="1:23">
      <c r="A1417" s="3">
        <v>1416</v>
      </c>
      <c r="B1417" s="1" t="s">
        <v>6915</v>
      </c>
      <c r="D1417" s="1" t="s">
        <v>6916</v>
      </c>
      <c r="F1417" s="1" t="s">
        <v>6920</v>
      </c>
      <c r="H1417" s="1" t="s">
        <v>6921</v>
      </c>
      <c r="J1417" s="1" t="s">
        <v>1324</v>
      </c>
      <c r="L1417" s="1" t="s">
        <v>895</v>
      </c>
      <c r="M1417" s="1" t="s">
        <v>4070</v>
      </c>
      <c r="N1417" s="1" t="s">
        <v>4071</v>
      </c>
      <c r="P1417" s="1" t="s">
        <v>4286</v>
      </c>
      <c r="Q1417" s="3">
        <v>1</v>
      </c>
      <c r="R1417" s="22" t="s">
        <v>2721</v>
      </c>
      <c r="S1417" s="42" t="s">
        <v>6910</v>
      </c>
      <c r="T1417" s="3" t="s">
        <v>4868</v>
      </c>
      <c r="U1417" s="45">
        <v>35</v>
      </c>
      <c r="V1417" t="s">
        <v>6919</v>
      </c>
      <c r="W1417" s="1" t="str">
        <f>HYPERLINK("http://ictvonline.org/taxonomy/p/taxonomy-history?taxnode_id=201900798","ICTVonline=201900798")</f>
        <v>ICTVonline=201900798</v>
      </c>
    </row>
    <row r="1418" spans="1:23">
      <c r="A1418" s="3">
        <v>1417</v>
      </c>
      <c r="B1418" s="1" t="s">
        <v>6915</v>
      </c>
      <c r="D1418" s="1" t="s">
        <v>6916</v>
      </c>
      <c r="F1418" s="1" t="s">
        <v>6920</v>
      </c>
      <c r="H1418" s="1" t="s">
        <v>6921</v>
      </c>
      <c r="J1418" s="1" t="s">
        <v>1324</v>
      </c>
      <c r="L1418" s="1" t="s">
        <v>895</v>
      </c>
      <c r="M1418" s="1" t="s">
        <v>4070</v>
      </c>
      <c r="N1418" s="1" t="s">
        <v>4071</v>
      </c>
      <c r="P1418" s="1" t="s">
        <v>3089</v>
      </c>
      <c r="Q1418" s="3">
        <v>0</v>
      </c>
      <c r="R1418" s="22" t="s">
        <v>2721</v>
      </c>
      <c r="S1418" s="42" t="s">
        <v>6910</v>
      </c>
      <c r="T1418" s="3" t="s">
        <v>4868</v>
      </c>
      <c r="U1418" s="45">
        <v>35</v>
      </c>
      <c r="V1418" t="s">
        <v>6919</v>
      </c>
      <c r="W1418" s="1" t="str">
        <f>HYPERLINK("http://ictvonline.org/taxonomy/p/taxonomy-history?taxnode_id=201900799","ICTVonline=201900799")</f>
        <v>ICTVonline=201900799</v>
      </c>
    </row>
    <row r="1419" spans="1:23">
      <c r="A1419" s="3">
        <v>1418</v>
      </c>
      <c r="B1419" s="1" t="s">
        <v>6915</v>
      </c>
      <c r="D1419" s="1" t="s">
        <v>6916</v>
      </c>
      <c r="F1419" s="1" t="s">
        <v>6920</v>
      </c>
      <c r="H1419" s="1" t="s">
        <v>6921</v>
      </c>
      <c r="J1419" s="1" t="s">
        <v>1324</v>
      </c>
      <c r="L1419" s="1" t="s">
        <v>895</v>
      </c>
      <c r="M1419" s="1" t="s">
        <v>4070</v>
      </c>
      <c r="N1419" s="1" t="s">
        <v>4071</v>
      </c>
      <c r="P1419" s="1" t="s">
        <v>4287</v>
      </c>
      <c r="Q1419" s="3">
        <v>0</v>
      </c>
      <c r="R1419" s="22" t="s">
        <v>2721</v>
      </c>
      <c r="S1419" s="42" t="s">
        <v>6910</v>
      </c>
      <c r="T1419" s="3" t="s">
        <v>4868</v>
      </c>
      <c r="U1419" s="45">
        <v>35</v>
      </c>
      <c r="V1419" t="s">
        <v>6919</v>
      </c>
      <c r="W1419" s="1" t="str">
        <f>HYPERLINK("http://ictvonline.org/taxonomy/p/taxonomy-history?taxnode_id=201900800","ICTVonline=201900800")</f>
        <v>ICTVonline=201900800</v>
      </c>
    </row>
    <row r="1420" spans="1:23">
      <c r="A1420" s="3">
        <v>1419</v>
      </c>
      <c r="B1420" s="1" t="s">
        <v>6915</v>
      </c>
      <c r="D1420" s="1" t="s">
        <v>6916</v>
      </c>
      <c r="F1420" s="1" t="s">
        <v>6920</v>
      </c>
      <c r="H1420" s="1" t="s">
        <v>6921</v>
      </c>
      <c r="J1420" s="1" t="s">
        <v>1324</v>
      </c>
      <c r="L1420" s="1" t="s">
        <v>895</v>
      </c>
      <c r="M1420" s="1" t="s">
        <v>4070</v>
      </c>
      <c r="N1420" s="1" t="s">
        <v>4288</v>
      </c>
      <c r="P1420" s="1" t="s">
        <v>4289</v>
      </c>
      <c r="Q1420" s="3">
        <v>1</v>
      </c>
      <c r="R1420" s="22" t="s">
        <v>2721</v>
      </c>
      <c r="S1420" s="42" t="s">
        <v>6910</v>
      </c>
      <c r="T1420" s="3" t="s">
        <v>4868</v>
      </c>
      <c r="U1420" s="45">
        <v>35</v>
      </c>
      <c r="V1420" t="s">
        <v>6919</v>
      </c>
      <c r="W1420" s="1" t="str">
        <f>HYPERLINK("http://ictvonline.org/taxonomy/p/taxonomy-history?taxnode_id=201900802","ICTVonline=201900802")</f>
        <v>ICTVonline=201900802</v>
      </c>
    </row>
    <row r="1421" spans="1:23">
      <c r="A1421" s="3">
        <v>1420</v>
      </c>
      <c r="B1421" s="1" t="s">
        <v>6915</v>
      </c>
      <c r="D1421" s="1" t="s">
        <v>6916</v>
      </c>
      <c r="F1421" s="1" t="s">
        <v>6920</v>
      </c>
      <c r="H1421" s="1" t="s">
        <v>6921</v>
      </c>
      <c r="J1421" s="1" t="s">
        <v>1324</v>
      </c>
      <c r="L1421" s="1" t="s">
        <v>895</v>
      </c>
      <c r="M1421" s="1" t="s">
        <v>7790</v>
      </c>
      <c r="N1421" s="1" t="s">
        <v>7791</v>
      </c>
      <c r="P1421" s="1" t="s">
        <v>7792</v>
      </c>
      <c r="Q1421" s="3">
        <v>1</v>
      </c>
      <c r="R1421" s="22" t="s">
        <v>2721</v>
      </c>
      <c r="S1421" s="42" t="s">
        <v>6914</v>
      </c>
      <c r="T1421" s="3" t="s">
        <v>4866</v>
      </c>
      <c r="U1421" s="45">
        <v>35</v>
      </c>
      <c r="V1421" t="s">
        <v>7793</v>
      </c>
      <c r="W1421" s="1" t="str">
        <f>HYPERLINK("http://ictvonline.org/taxonomy/p/taxonomy-history?taxnode_id=201907824","ICTVonline=201907824")</f>
        <v>ICTVonline=201907824</v>
      </c>
    </row>
    <row r="1422" spans="1:23">
      <c r="A1422" s="3">
        <v>1421</v>
      </c>
      <c r="B1422" s="1" t="s">
        <v>6915</v>
      </c>
      <c r="D1422" s="1" t="s">
        <v>6916</v>
      </c>
      <c r="F1422" s="1" t="s">
        <v>6920</v>
      </c>
      <c r="H1422" s="1" t="s">
        <v>6921</v>
      </c>
      <c r="J1422" s="1" t="s">
        <v>1324</v>
      </c>
      <c r="L1422" s="1" t="s">
        <v>895</v>
      </c>
      <c r="M1422" s="1" t="s">
        <v>7790</v>
      </c>
      <c r="N1422" s="1" t="s">
        <v>7794</v>
      </c>
      <c r="P1422" s="1" t="s">
        <v>7795</v>
      </c>
      <c r="Q1422" s="3">
        <v>1</v>
      </c>
      <c r="R1422" s="22" t="s">
        <v>2721</v>
      </c>
      <c r="S1422" s="42" t="s">
        <v>6914</v>
      </c>
      <c r="T1422" s="3" t="s">
        <v>4866</v>
      </c>
      <c r="U1422" s="45">
        <v>35</v>
      </c>
      <c r="V1422" t="s">
        <v>7793</v>
      </c>
      <c r="W1422" s="1" t="str">
        <f>HYPERLINK("http://ictvonline.org/taxonomy/p/taxonomy-history?taxnode_id=201907829","ICTVonline=201907829")</f>
        <v>ICTVonline=201907829</v>
      </c>
    </row>
    <row r="1423" spans="1:23">
      <c r="A1423" s="3">
        <v>1422</v>
      </c>
      <c r="B1423" s="1" t="s">
        <v>6915</v>
      </c>
      <c r="D1423" s="1" t="s">
        <v>6916</v>
      </c>
      <c r="F1423" s="1" t="s">
        <v>6920</v>
      </c>
      <c r="H1423" s="1" t="s">
        <v>6921</v>
      </c>
      <c r="J1423" s="1" t="s">
        <v>1324</v>
      </c>
      <c r="L1423" s="1" t="s">
        <v>895</v>
      </c>
      <c r="M1423" s="1" t="s">
        <v>7790</v>
      </c>
      <c r="N1423" s="1" t="s">
        <v>7794</v>
      </c>
      <c r="P1423" s="1" t="s">
        <v>7796</v>
      </c>
      <c r="Q1423" s="3">
        <v>0</v>
      </c>
      <c r="R1423" s="22" t="s">
        <v>2721</v>
      </c>
      <c r="S1423" s="42" t="s">
        <v>6914</v>
      </c>
      <c r="T1423" s="3" t="s">
        <v>4866</v>
      </c>
      <c r="U1423" s="45">
        <v>35</v>
      </c>
      <c r="V1423" t="s">
        <v>7793</v>
      </c>
      <c r="W1423" s="1" t="str">
        <f>HYPERLINK("http://ictvonline.org/taxonomy/p/taxonomy-history?taxnode_id=201907830","ICTVonline=201907830")</f>
        <v>ICTVonline=201907830</v>
      </c>
    </row>
    <row r="1424" spans="1:23">
      <c r="A1424" s="3">
        <v>1423</v>
      </c>
      <c r="B1424" s="1" t="s">
        <v>6915</v>
      </c>
      <c r="D1424" s="1" t="s">
        <v>6916</v>
      </c>
      <c r="F1424" s="1" t="s">
        <v>6920</v>
      </c>
      <c r="H1424" s="1" t="s">
        <v>6921</v>
      </c>
      <c r="J1424" s="1" t="s">
        <v>1324</v>
      </c>
      <c r="L1424" s="1" t="s">
        <v>895</v>
      </c>
      <c r="M1424" s="1" t="s">
        <v>7790</v>
      </c>
      <c r="N1424" s="1" t="s">
        <v>7794</v>
      </c>
      <c r="P1424" s="1" t="s">
        <v>7797</v>
      </c>
      <c r="Q1424" s="3">
        <v>0</v>
      </c>
      <c r="R1424" s="22" t="s">
        <v>2721</v>
      </c>
      <c r="S1424" s="42" t="s">
        <v>6914</v>
      </c>
      <c r="T1424" s="3" t="s">
        <v>4866</v>
      </c>
      <c r="U1424" s="45">
        <v>35</v>
      </c>
      <c r="V1424" t="s">
        <v>7793</v>
      </c>
      <c r="W1424" s="1" t="str">
        <f>HYPERLINK("http://ictvonline.org/taxonomy/p/taxonomy-history?taxnode_id=201907831","ICTVonline=201907831")</f>
        <v>ICTVonline=201907831</v>
      </c>
    </row>
    <row r="1425" spans="1:23">
      <c r="A1425" s="3">
        <v>1424</v>
      </c>
      <c r="B1425" s="1" t="s">
        <v>6915</v>
      </c>
      <c r="D1425" s="1" t="s">
        <v>6916</v>
      </c>
      <c r="F1425" s="1" t="s">
        <v>6920</v>
      </c>
      <c r="H1425" s="1" t="s">
        <v>6921</v>
      </c>
      <c r="J1425" s="1" t="s">
        <v>1324</v>
      </c>
      <c r="L1425" s="1" t="s">
        <v>895</v>
      </c>
      <c r="M1425" s="1" t="s">
        <v>7790</v>
      </c>
      <c r="N1425" s="1" t="s">
        <v>7798</v>
      </c>
      <c r="P1425" s="1" t="s">
        <v>7799</v>
      </c>
      <c r="Q1425" s="3">
        <v>1</v>
      </c>
      <c r="R1425" s="22" t="s">
        <v>2721</v>
      </c>
      <c r="S1425" s="42" t="s">
        <v>6914</v>
      </c>
      <c r="T1425" s="3" t="s">
        <v>4866</v>
      </c>
      <c r="U1425" s="45">
        <v>35</v>
      </c>
      <c r="V1425" t="s">
        <v>7793</v>
      </c>
      <c r="W1425" s="1" t="str">
        <f>HYPERLINK("http://ictvonline.org/taxonomy/p/taxonomy-history?taxnode_id=201907826","ICTVonline=201907826")</f>
        <v>ICTVonline=201907826</v>
      </c>
    </row>
    <row r="1426" spans="1:23">
      <c r="A1426" s="3">
        <v>1425</v>
      </c>
      <c r="B1426" s="1" t="s">
        <v>6915</v>
      </c>
      <c r="D1426" s="1" t="s">
        <v>6916</v>
      </c>
      <c r="F1426" s="1" t="s">
        <v>6920</v>
      </c>
      <c r="H1426" s="1" t="s">
        <v>6921</v>
      </c>
      <c r="J1426" s="1" t="s">
        <v>1324</v>
      </c>
      <c r="L1426" s="1" t="s">
        <v>895</v>
      </c>
      <c r="M1426" s="1" t="s">
        <v>7790</v>
      </c>
      <c r="N1426" s="1" t="s">
        <v>7798</v>
      </c>
      <c r="P1426" s="1" t="s">
        <v>7800</v>
      </c>
      <c r="Q1426" s="3">
        <v>0</v>
      </c>
      <c r="R1426" s="22" t="s">
        <v>2721</v>
      </c>
      <c r="S1426" s="42" t="s">
        <v>6914</v>
      </c>
      <c r="T1426" s="3" t="s">
        <v>4866</v>
      </c>
      <c r="U1426" s="45">
        <v>35</v>
      </c>
      <c r="V1426" t="s">
        <v>7793</v>
      </c>
      <c r="W1426" s="1" t="str">
        <f>HYPERLINK("http://ictvonline.org/taxonomy/p/taxonomy-history?taxnode_id=201907827","ICTVonline=201907827")</f>
        <v>ICTVonline=201907827</v>
      </c>
    </row>
    <row r="1427" spans="1:23">
      <c r="A1427" s="3">
        <v>1426</v>
      </c>
      <c r="B1427" s="1" t="s">
        <v>6915</v>
      </c>
      <c r="D1427" s="1" t="s">
        <v>6916</v>
      </c>
      <c r="F1427" s="1" t="s">
        <v>6920</v>
      </c>
      <c r="H1427" s="1" t="s">
        <v>6921</v>
      </c>
      <c r="J1427" s="1" t="s">
        <v>1324</v>
      </c>
      <c r="L1427" s="1" t="s">
        <v>895</v>
      </c>
      <c r="M1427" s="1" t="s">
        <v>7790</v>
      </c>
      <c r="N1427" s="1" t="s">
        <v>7801</v>
      </c>
      <c r="P1427" s="1" t="s">
        <v>7802</v>
      </c>
      <c r="Q1427" s="3">
        <v>1</v>
      </c>
      <c r="R1427" s="22" t="s">
        <v>2721</v>
      </c>
      <c r="S1427" s="42" t="s">
        <v>6914</v>
      </c>
      <c r="T1427" s="3" t="s">
        <v>4866</v>
      </c>
      <c r="U1427" s="45">
        <v>35</v>
      </c>
      <c r="V1427" t="s">
        <v>7793</v>
      </c>
      <c r="W1427" s="1" t="str">
        <f>HYPERLINK("http://ictvonline.org/taxonomy/p/taxonomy-history?taxnode_id=201907833","ICTVonline=201907833")</f>
        <v>ICTVonline=201907833</v>
      </c>
    </row>
    <row r="1428" spans="1:23">
      <c r="A1428" s="3">
        <v>1427</v>
      </c>
      <c r="B1428" s="1" t="s">
        <v>6915</v>
      </c>
      <c r="D1428" s="1" t="s">
        <v>6916</v>
      </c>
      <c r="F1428" s="1" t="s">
        <v>6920</v>
      </c>
      <c r="H1428" s="1" t="s">
        <v>6921</v>
      </c>
      <c r="J1428" s="1" t="s">
        <v>1324</v>
      </c>
      <c r="L1428" s="1" t="s">
        <v>895</v>
      </c>
      <c r="M1428" s="1" t="s">
        <v>7790</v>
      </c>
      <c r="N1428" s="1" t="s">
        <v>7801</v>
      </c>
      <c r="P1428" s="1" t="s">
        <v>7803</v>
      </c>
      <c r="Q1428" s="3">
        <v>0</v>
      </c>
      <c r="R1428" s="22" t="s">
        <v>2721</v>
      </c>
      <c r="S1428" s="42" t="s">
        <v>6914</v>
      </c>
      <c r="T1428" s="3" t="s">
        <v>4866</v>
      </c>
      <c r="U1428" s="45">
        <v>35</v>
      </c>
      <c r="V1428" t="s">
        <v>7793</v>
      </c>
      <c r="W1428" s="1" t="str">
        <f>HYPERLINK("http://ictvonline.org/taxonomy/p/taxonomy-history?taxnode_id=201907835","ICTVonline=201907835")</f>
        <v>ICTVonline=201907835</v>
      </c>
    </row>
    <row r="1429" spans="1:23">
      <c r="A1429" s="3">
        <v>1428</v>
      </c>
      <c r="B1429" s="1" t="s">
        <v>6915</v>
      </c>
      <c r="D1429" s="1" t="s">
        <v>6916</v>
      </c>
      <c r="F1429" s="1" t="s">
        <v>6920</v>
      </c>
      <c r="H1429" s="1" t="s">
        <v>6921</v>
      </c>
      <c r="J1429" s="1" t="s">
        <v>1324</v>
      </c>
      <c r="L1429" s="1" t="s">
        <v>895</v>
      </c>
      <c r="M1429" s="1" t="s">
        <v>7790</v>
      </c>
      <c r="N1429" s="1" t="s">
        <v>7801</v>
      </c>
      <c r="P1429" s="1" t="s">
        <v>7804</v>
      </c>
      <c r="Q1429" s="3">
        <v>0</v>
      </c>
      <c r="R1429" s="22" t="s">
        <v>2721</v>
      </c>
      <c r="S1429" s="42" t="s">
        <v>6914</v>
      </c>
      <c r="T1429" s="3" t="s">
        <v>4866</v>
      </c>
      <c r="U1429" s="45">
        <v>35</v>
      </c>
      <c r="V1429" t="s">
        <v>7793</v>
      </c>
      <c r="W1429" s="1" t="str">
        <f>HYPERLINK("http://ictvonline.org/taxonomy/p/taxonomy-history?taxnode_id=201907834","ICTVonline=201907834")</f>
        <v>ICTVonline=201907834</v>
      </c>
    </row>
    <row r="1430" spans="1:23">
      <c r="A1430" s="3">
        <v>1429</v>
      </c>
      <c r="B1430" s="1" t="s">
        <v>6915</v>
      </c>
      <c r="D1430" s="1" t="s">
        <v>6916</v>
      </c>
      <c r="F1430" s="1" t="s">
        <v>6920</v>
      </c>
      <c r="H1430" s="1" t="s">
        <v>6921</v>
      </c>
      <c r="J1430" s="1" t="s">
        <v>1324</v>
      </c>
      <c r="L1430" s="1" t="s">
        <v>895</v>
      </c>
      <c r="N1430" s="1" t="s">
        <v>7805</v>
      </c>
      <c r="P1430" s="1" t="s">
        <v>7806</v>
      </c>
      <c r="Q1430" s="3">
        <v>1</v>
      </c>
      <c r="R1430" s="22" t="s">
        <v>2721</v>
      </c>
      <c r="S1430" s="42" t="s">
        <v>6914</v>
      </c>
      <c r="T1430" s="3" t="s">
        <v>4866</v>
      </c>
      <c r="U1430" s="45">
        <v>35</v>
      </c>
      <c r="V1430" t="s">
        <v>7807</v>
      </c>
      <c r="W1430" s="1" t="str">
        <f>HYPERLINK("http://ictvonline.org/taxonomy/p/taxonomy-history?taxnode_id=201907712","ICTVonline=201907712")</f>
        <v>ICTVonline=201907712</v>
      </c>
    </row>
    <row r="1431" spans="1:23">
      <c r="A1431" s="3">
        <v>1430</v>
      </c>
      <c r="B1431" s="1" t="s">
        <v>6915</v>
      </c>
      <c r="D1431" s="1" t="s">
        <v>6916</v>
      </c>
      <c r="F1431" s="1" t="s">
        <v>6920</v>
      </c>
      <c r="H1431" s="1" t="s">
        <v>6921</v>
      </c>
      <c r="J1431" s="1" t="s">
        <v>1324</v>
      </c>
      <c r="L1431" s="1" t="s">
        <v>895</v>
      </c>
      <c r="N1431" s="1" t="s">
        <v>6522</v>
      </c>
      <c r="P1431" s="1" t="s">
        <v>4296</v>
      </c>
      <c r="Q1431" s="3">
        <v>1</v>
      </c>
      <c r="R1431" s="22" t="s">
        <v>2721</v>
      </c>
      <c r="S1431" s="42" t="s">
        <v>6910</v>
      </c>
      <c r="T1431" s="3" t="s">
        <v>4868</v>
      </c>
      <c r="U1431" s="45">
        <v>35</v>
      </c>
      <c r="V1431" t="s">
        <v>6919</v>
      </c>
      <c r="W1431" s="1" t="str">
        <f>HYPERLINK("http://ictvonline.org/taxonomy/p/taxonomy-history?taxnode_id=201900839","ICTVonline=201900839")</f>
        <v>ICTVonline=201900839</v>
      </c>
    </row>
    <row r="1432" spans="1:23">
      <c r="A1432" s="3">
        <v>1431</v>
      </c>
      <c r="B1432" s="1" t="s">
        <v>6915</v>
      </c>
      <c r="D1432" s="1" t="s">
        <v>6916</v>
      </c>
      <c r="F1432" s="1" t="s">
        <v>6920</v>
      </c>
      <c r="H1432" s="1" t="s">
        <v>6921</v>
      </c>
      <c r="J1432" s="1" t="s">
        <v>1324</v>
      </c>
      <c r="L1432" s="1" t="s">
        <v>895</v>
      </c>
      <c r="N1432" s="1" t="s">
        <v>6522</v>
      </c>
      <c r="P1432" s="1" t="s">
        <v>4297</v>
      </c>
      <c r="Q1432" s="3">
        <v>0</v>
      </c>
      <c r="R1432" s="22" t="s">
        <v>2721</v>
      </c>
      <c r="S1432" s="42" t="s">
        <v>6910</v>
      </c>
      <c r="T1432" s="3" t="s">
        <v>4868</v>
      </c>
      <c r="U1432" s="45">
        <v>35</v>
      </c>
      <c r="V1432" t="s">
        <v>6919</v>
      </c>
      <c r="W1432" s="1" t="str">
        <f>HYPERLINK("http://ictvonline.org/taxonomy/p/taxonomy-history?taxnode_id=201900840","ICTVonline=201900840")</f>
        <v>ICTVonline=201900840</v>
      </c>
    </row>
    <row r="1433" spans="1:23">
      <c r="A1433" s="3">
        <v>1432</v>
      </c>
      <c r="B1433" s="1" t="s">
        <v>6915</v>
      </c>
      <c r="D1433" s="1" t="s">
        <v>6916</v>
      </c>
      <c r="F1433" s="1" t="s">
        <v>6920</v>
      </c>
      <c r="H1433" s="1" t="s">
        <v>6921</v>
      </c>
      <c r="J1433" s="1" t="s">
        <v>1324</v>
      </c>
      <c r="L1433" s="1" t="s">
        <v>895</v>
      </c>
      <c r="N1433" s="1" t="s">
        <v>6522</v>
      </c>
      <c r="P1433" s="1" t="s">
        <v>4298</v>
      </c>
      <c r="Q1433" s="3">
        <v>0</v>
      </c>
      <c r="R1433" s="22" t="s">
        <v>2721</v>
      </c>
      <c r="S1433" s="42" t="s">
        <v>6910</v>
      </c>
      <c r="T1433" s="3" t="s">
        <v>4868</v>
      </c>
      <c r="U1433" s="45">
        <v>35</v>
      </c>
      <c r="V1433" t="s">
        <v>6919</v>
      </c>
      <c r="W1433" s="1" t="str">
        <f>HYPERLINK("http://ictvonline.org/taxonomy/p/taxonomy-history?taxnode_id=201900841","ICTVonline=201900841")</f>
        <v>ICTVonline=201900841</v>
      </c>
    </row>
    <row r="1434" spans="1:23">
      <c r="A1434" s="3">
        <v>1433</v>
      </c>
      <c r="B1434" s="1" t="s">
        <v>6915</v>
      </c>
      <c r="D1434" s="1" t="s">
        <v>6916</v>
      </c>
      <c r="F1434" s="1" t="s">
        <v>6920</v>
      </c>
      <c r="H1434" s="1" t="s">
        <v>6921</v>
      </c>
      <c r="J1434" s="1" t="s">
        <v>1324</v>
      </c>
      <c r="L1434" s="1" t="s">
        <v>895</v>
      </c>
      <c r="N1434" s="1" t="s">
        <v>6523</v>
      </c>
      <c r="P1434" s="1" t="s">
        <v>6524</v>
      </c>
      <c r="Q1434" s="3">
        <v>1</v>
      </c>
      <c r="R1434" s="22" t="s">
        <v>2721</v>
      </c>
      <c r="S1434" s="42" t="s">
        <v>6910</v>
      </c>
      <c r="T1434" s="3" t="s">
        <v>4868</v>
      </c>
      <c r="U1434" s="45">
        <v>35</v>
      </c>
      <c r="V1434" t="s">
        <v>6919</v>
      </c>
      <c r="W1434" s="1" t="str">
        <f>HYPERLINK("http://ictvonline.org/taxonomy/p/taxonomy-history?taxnode_id=201906759","ICTVonline=201906759")</f>
        <v>ICTVonline=201906759</v>
      </c>
    </row>
    <row r="1435" spans="1:23">
      <c r="A1435" s="3">
        <v>1434</v>
      </c>
      <c r="B1435" s="1" t="s">
        <v>6915</v>
      </c>
      <c r="D1435" s="1" t="s">
        <v>6916</v>
      </c>
      <c r="F1435" s="1" t="s">
        <v>6920</v>
      </c>
      <c r="H1435" s="1" t="s">
        <v>6921</v>
      </c>
      <c r="J1435" s="1" t="s">
        <v>1324</v>
      </c>
      <c r="L1435" s="1" t="s">
        <v>895</v>
      </c>
      <c r="N1435" s="1" t="s">
        <v>4299</v>
      </c>
      <c r="P1435" s="1" t="s">
        <v>4300</v>
      </c>
      <c r="Q1435" s="3">
        <v>1</v>
      </c>
      <c r="R1435" s="22" t="s">
        <v>2721</v>
      </c>
      <c r="S1435" s="42" t="s">
        <v>6910</v>
      </c>
      <c r="T1435" s="3" t="s">
        <v>4868</v>
      </c>
      <c r="U1435" s="45">
        <v>35</v>
      </c>
      <c r="V1435" t="s">
        <v>6919</v>
      </c>
      <c r="W1435" s="1" t="str">
        <f>HYPERLINK("http://ictvonline.org/taxonomy/p/taxonomy-history?taxnode_id=201900843","ICTVonline=201900843")</f>
        <v>ICTVonline=201900843</v>
      </c>
    </row>
    <row r="1436" spans="1:23">
      <c r="A1436" s="3">
        <v>1435</v>
      </c>
      <c r="B1436" s="1" t="s">
        <v>6915</v>
      </c>
      <c r="D1436" s="1" t="s">
        <v>6916</v>
      </c>
      <c r="F1436" s="1" t="s">
        <v>6920</v>
      </c>
      <c r="H1436" s="1" t="s">
        <v>6921</v>
      </c>
      <c r="J1436" s="1" t="s">
        <v>1324</v>
      </c>
      <c r="L1436" s="1" t="s">
        <v>895</v>
      </c>
      <c r="N1436" s="1" t="s">
        <v>4299</v>
      </c>
      <c r="P1436" s="1" t="s">
        <v>6525</v>
      </c>
      <c r="Q1436" s="3">
        <v>0</v>
      </c>
      <c r="R1436" s="22" t="s">
        <v>2721</v>
      </c>
      <c r="S1436" s="42" t="s">
        <v>6910</v>
      </c>
      <c r="T1436" s="3" t="s">
        <v>4868</v>
      </c>
      <c r="U1436" s="45">
        <v>35</v>
      </c>
      <c r="V1436" t="s">
        <v>6919</v>
      </c>
      <c r="W1436" s="1" t="str">
        <f>HYPERLINK("http://ictvonline.org/taxonomy/p/taxonomy-history?taxnode_id=201906757","ICTVonline=201906757")</f>
        <v>ICTVonline=201906757</v>
      </c>
    </row>
    <row r="1437" spans="1:23">
      <c r="A1437" s="3">
        <v>1436</v>
      </c>
      <c r="B1437" s="1" t="s">
        <v>6915</v>
      </c>
      <c r="D1437" s="1" t="s">
        <v>6916</v>
      </c>
      <c r="F1437" s="1" t="s">
        <v>6920</v>
      </c>
      <c r="H1437" s="1" t="s">
        <v>6921</v>
      </c>
      <c r="J1437" s="1" t="s">
        <v>1324</v>
      </c>
      <c r="L1437" s="1" t="s">
        <v>895</v>
      </c>
      <c r="N1437" s="1" t="s">
        <v>5003</v>
      </c>
      <c r="P1437" s="1" t="s">
        <v>5004</v>
      </c>
      <c r="Q1437" s="3">
        <v>1</v>
      </c>
      <c r="R1437" s="22" t="s">
        <v>2721</v>
      </c>
      <c r="S1437" s="42" t="s">
        <v>6910</v>
      </c>
      <c r="T1437" s="3" t="s">
        <v>4868</v>
      </c>
      <c r="U1437" s="45">
        <v>35</v>
      </c>
      <c r="V1437" t="s">
        <v>6919</v>
      </c>
      <c r="W1437" s="1" t="str">
        <f>HYPERLINK("http://ictvonline.org/taxonomy/p/taxonomy-history?taxnode_id=201905538","ICTVonline=201905538")</f>
        <v>ICTVonline=201905538</v>
      </c>
    </row>
    <row r="1438" spans="1:23">
      <c r="A1438" s="3">
        <v>1437</v>
      </c>
      <c r="B1438" s="1" t="s">
        <v>6915</v>
      </c>
      <c r="D1438" s="1" t="s">
        <v>6916</v>
      </c>
      <c r="F1438" s="1" t="s">
        <v>6920</v>
      </c>
      <c r="H1438" s="1" t="s">
        <v>6921</v>
      </c>
      <c r="J1438" s="1" t="s">
        <v>1324</v>
      </c>
      <c r="L1438" s="1" t="s">
        <v>895</v>
      </c>
      <c r="N1438" s="1" t="s">
        <v>5003</v>
      </c>
      <c r="P1438" s="1" t="s">
        <v>5005</v>
      </c>
      <c r="Q1438" s="3">
        <v>0</v>
      </c>
      <c r="R1438" s="22" t="s">
        <v>2721</v>
      </c>
      <c r="S1438" s="42" t="s">
        <v>6910</v>
      </c>
      <c r="T1438" s="3" t="s">
        <v>4868</v>
      </c>
      <c r="U1438" s="45">
        <v>35</v>
      </c>
      <c r="V1438" t="s">
        <v>6919</v>
      </c>
      <c r="W1438" s="1" t="str">
        <f>HYPERLINK("http://ictvonline.org/taxonomy/p/taxonomy-history?taxnode_id=201905539","ICTVonline=201905539")</f>
        <v>ICTVonline=201905539</v>
      </c>
    </row>
    <row r="1439" spans="1:23">
      <c r="A1439" s="3">
        <v>1438</v>
      </c>
      <c r="B1439" s="1" t="s">
        <v>6915</v>
      </c>
      <c r="D1439" s="1" t="s">
        <v>6916</v>
      </c>
      <c r="F1439" s="1" t="s">
        <v>6920</v>
      </c>
      <c r="H1439" s="1" t="s">
        <v>6921</v>
      </c>
      <c r="J1439" s="1" t="s">
        <v>1324</v>
      </c>
      <c r="L1439" s="1" t="s">
        <v>895</v>
      </c>
      <c r="N1439" s="1" t="s">
        <v>7808</v>
      </c>
      <c r="P1439" s="1" t="s">
        <v>7809</v>
      </c>
      <c r="Q1439" s="3">
        <v>1</v>
      </c>
      <c r="R1439" s="22" t="s">
        <v>2721</v>
      </c>
      <c r="S1439" s="42" t="s">
        <v>6914</v>
      </c>
      <c r="T1439" s="3" t="s">
        <v>4866</v>
      </c>
      <c r="U1439" s="45">
        <v>35</v>
      </c>
      <c r="V1439" t="s">
        <v>7810</v>
      </c>
      <c r="W1439" s="1" t="str">
        <f>HYPERLINK("http://ictvonline.org/taxonomy/p/taxonomy-history?taxnode_id=201907734","ICTVonline=201907734")</f>
        <v>ICTVonline=201907734</v>
      </c>
    </row>
    <row r="1440" spans="1:23">
      <c r="A1440" s="3">
        <v>1439</v>
      </c>
      <c r="B1440" s="1" t="s">
        <v>6915</v>
      </c>
      <c r="D1440" s="1" t="s">
        <v>6916</v>
      </c>
      <c r="F1440" s="1" t="s">
        <v>6920</v>
      </c>
      <c r="H1440" s="1" t="s">
        <v>6921</v>
      </c>
      <c r="J1440" s="1" t="s">
        <v>1324</v>
      </c>
      <c r="L1440" s="1" t="s">
        <v>895</v>
      </c>
      <c r="N1440" s="1" t="s">
        <v>3073</v>
      </c>
      <c r="P1440" s="1" t="s">
        <v>3074</v>
      </c>
      <c r="Q1440" s="3">
        <v>1</v>
      </c>
      <c r="R1440" s="22" t="s">
        <v>2721</v>
      </c>
      <c r="S1440" s="42" t="s">
        <v>6910</v>
      </c>
      <c r="T1440" s="3" t="s">
        <v>4868</v>
      </c>
      <c r="U1440" s="45">
        <v>35</v>
      </c>
      <c r="V1440" t="s">
        <v>6919</v>
      </c>
      <c r="W1440" s="1" t="str">
        <f>HYPERLINK("http://ictvonline.org/taxonomy/p/taxonomy-history?taxnode_id=201900845","ICTVonline=201900845")</f>
        <v>ICTVonline=201900845</v>
      </c>
    </row>
    <row r="1441" spans="1:23">
      <c r="A1441" s="3">
        <v>1440</v>
      </c>
      <c r="B1441" s="1" t="s">
        <v>6915</v>
      </c>
      <c r="D1441" s="1" t="s">
        <v>6916</v>
      </c>
      <c r="F1441" s="1" t="s">
        <v>6920</v>
      </c>
      <c r="H1441" s="1" t="s">
        <v>6921</v>
      </c>
      <c r="J1441" s="1" t="s">
        <v>1324</v>
      </c>
      <c r="L1441" s="1" t="s">
        <v>895</v>
      </c>
      <c r="N1441" s="1" t="s">
        <v>3073</v>
      </c>
      <c r="P1441" s="1" t="s">
        <v>3075</v>
      </c>
      <c r="Q1441" s="3">
        <v>0</v>
      </c>
      <c r="R1441" s="22" t="s">
        <v>2721</v>
      </c>
      <c r="S1441" s="42" t="s">
        <v>6910</v>
      </c>
      <c r="T1441" s="3" t="s">
        <v>4868</v>
      </c>
      <c r="U1441" s="45">
        <v>35</v>
      </c>
      <c r="V1441" t="s">
        <v>6919</v>
      </c>
      <c r="W1441" s="1" t="str">
        <f>HYPERLINK("http://ictvonline.org/taxonomy/p/taxonomy-history?taxnode_id=201900846","ICTVonline=201900846")</f>
        <v>ICTVonline=201900846</v>
      </c>
    </row>
    <row r="1442" spans="1:23">
      <c r="A1442" s="3">
        <v>1441</v>
      </c>
      <c r="B1442" s="1" t="s">
        <v>6915</v>
      </c>
      <c r="D1442" s="1" t="s">
        <v>6916</v>
      </c>
      <c r="F1442" s="1" t="s">
        <v>6920</v>
      </c>
      <c r="H1442" s="1" t="s">
        <v>6921</v>
      </c>
      <c r="J1442" s="1" t="s">
        <v>1324</v>
      </c>
      <c r="L1442" s="1" t="s">
        <v>895</v>
      </c>
      <c r="N1442" s="1" t="s">
        <v>3073</v>
      </c>
      <c r="P1442" s="1" t="s">
        <v>3076</v>
      </c>
      <c r="Q1442" s="3">
        <v>0</v>
      </c>
      <c r="R1442" s="22" t="s">
        <v>2721</v>
      </c>
      <c r="S1442" s="42" t="s">
        <v>6910</v>
      </c>
      <c r="T1442" s="3" t="s">
        <v>4868</v>
      </c>
      <c r="U1442" s="45">
        <v>35</v>
      </c>
      <c r="V1442" t="s">
        <v>6919</v>
      </c>
      <c r="W1442" s="1" t="str">
        <f>HYPERLINK("http://ictvonline.org/taxonomy/p/taxonomy-history?taxnode_id=201900847","ICTVonline=201900847")</f>
        <v>ICTVonline=201900847</v>
      </c>
    </row>
    <row r="1443" spans="1:23">
      <c r="A1443" s="3">
        <v>1442</v>
      </c>
      <c r="B1443" s="1" t="s">
        <v>6915</v>
      </c>
      <c r="D1443" s="1" t="s">
        <v>6916</v>
      </c>
      <c r="F1443" s="1" t="s">
        <v>6920</v>
      </c>
      <c r="H1443" s="1" t="s">
        <v>6921</v>
      </c>
      <c r="J1443" s="1" t="s">
        <v>1324</v>
      </c>
      <c r="L1443" s="1" t="s">
        <v>895</v>
      </c>
      <c r="N1443" s="1" t="s">
        <v>3073</v>
      </c>
      <c r="P1443" s="1" t="s">
        <v>3077</v>
      </c>
      <c r="Q1443" s="3">
        <v>0</v>
      </c>
      <c r="R1443" s="22" t="s">
        <v>2721</v>
      </c>
      <c r="S1443" s="42" t="s">
        <v>6910</v>
      </c>
      <c r="T1443" s="3" t="s">
        <v>4868</v>
      </c>
      <c r="U1443" s="45">
        <v>35</v>
      </c>
      <c r="V1443" t="s">
        <v>6919</v>
      </c>
      <c r="W1443" s="1" t="str">
        <f>HYPERLINK("http://ictvonline.org/taxonomy/p/taxonomy-history?taxnode_id=201900848","ICTVonline=201900848")</f>
        <v>ICTVonline=201900848</v>
      </c>
    </row>
    <row r="1444" spans="1:23">
      <c r="A1444" s="3">
        <v>1443</v>
      </c>
      <c r="B1444" s="1" t="s">
        <v>6915</v>
      </c>
      <c r="D1444" s="1" t="s">
        <v>6916</v>
      </c>
      <c r="F1444" s="1" t="s">
        <v>6920</v>
      </c>
      <c r="H1444" s="1" t="s">
        <v>6921</v>
      </c>
      <c r="J1444" s="1" t="s">
        <v>1324</v>
      </c>
      <c r="L1444" s="1" t="s">
        <v>895</v>
      </c>
      <c r="N1444" s="1" t="s">
        <v>3073</v>
      </c>
      <c r="P1444" s="1" t="s">
        <v>3078</v>
      </c>
      <c r="Q1444" s="3">
        <v>0</v>
      </c>
      <c r="R1444" s="22" t="s">
        <v>2721</v>
      </c>
      <c r="S1444" s="42" t="s">
        <v>6910</v>
      </c>
      <c r="T1444" s="3" t="s">
        <v>4868</v>
      </c>
      <c r="U1444" s="45">
        <v>35</v>
      </c>
      <c r="V1444" t="s">
        <v>6919</v>
      </c>
      <c r="W1444" s="1" t="str">
        <f>HYPERLINK("http://ictvonline.org/taxonomy/p/taxonomy-history?taxnode_id=201900849","ICTVonline=201900849")</f>
        <v>ICTVonline=201900849</v>
      </c>
    </row>
    <row r="1445" spans="1:23">
      <c r="A1445" s="3">
        <v>1444</v>
      </c>
      <c r="B1445" s="1" t="s">
        <v>6915</v>
      </c>
      <c r="D1445" s="1" t="s">
        <v>6916</v>
      </c>
      <c r="F1445" s="1" t="s">
        <v>6920</v>
      </c>
      <c r="H1445" s="1" t="s">
        <v>6921</v>
      </c>
      <c r="J1445" s="1" t="s">
        <v>1324</v>
      </c>
      <c r="L1445" s="1" t="s">
        <v>895</v>
      </c>
      <c r="N1445" s="1" t="s">
        <v>3073</v>
      </c>
      <c r="P1445" s="1" t="s">
        <v>3079</v>
      </c>
      <c r="Q1445" s="3">
        <v>0</v>
      </c>
      <c r="R1445" s="22" t="s">
        <v>2721</v>
      </c>
      <c r="S1445" s="42" t="s">
        <v>6910</v>
      </c>
      <c r="T1445" s="3" t="s">
        <v>4868</v>
      </c>
      <c r="U1445" s="45">
        <v>35</v>
      </c>
      <c r="V1445" t="s">
        <v>6919</v>
      </c>
      <c r="W1445" s="1" t="str">
        <f>HYPERLINK("http://ictvonline.org/taxonomy/p/taxonomy-history?taxnode_id=201900850","ICTVonline=201900850")</f>
        <v>ICTVonline=201900850</v>
      </c>
    </row>
    <row r="1446" spans="1:23">
      <c r="A1446" s="3">
        <v>1445</v>
      </c>
      <c r="B1446" s="1" t="s">
        <v>6915</v>
      </c>
      <c r="D1446" s="1" t="s">
        <v>6916</v>
      </c>
      <c r="F1446" s="1" t="s">
        <v>6920</v>
      </c>
      <c r="H1446" s="1" t="s">
        <v>6921</v>
      </c>
      <c r="J1446" s="1" t="s">
        <v>1324</v>
      </c>
      <c r="L1446" s="1" t="s">
        <v>895</v>
      </c>
      <c r="N1446" s="1" t="s">
        <v>3073</v>
      </c>
      <c r="P1446" s="1" t="s">
        <v>3080</v>
      </c>
      <c r="Q1446" s="3">
        <v>0</v>
      </c>
      <c r="R1446" s="22" t="s">
        <v>2721</v>
      </c>
      <c r="S1446" s="42" t="s">
        <v>6910</v>
      </c>
      <c r="T1446" s="3" t="s">
        <v>4868</v>
      </c>
      <c r="U1446" s="45">
        <v>35</v>
      </c>
      <c r="V1446" t="s">
        <v>6919</v>
      </c>
      <c r="W1446" s="1" t="str">
        <f>HYPERLINK("http://ictvonline.org/taxonomy/p/taxonomy-history?taxnode_id=201900851","ICTVonline=201900851")</f>
        <v>ICTVonline=201900851</v>
      </c>
    </row>
    <row r="1447" spans="1:23">
      <c r="A1447" s="3">
        <v>1446</v>
      </c>
      <c r="B1447" s="1" t="s">
        <v>6915</v>
      </c>
      <c r="D1447" s="1" t="s">
        <v>6916</v>
      </c>
      <c r="F1447" s="1" t="s">
        <v>6920</v>
      </c>
      <c r="H1447" s="1" t="s">
        <v>6921</v>
      </c>
      <c r="J1447" s="1" t="s">
        <v>1324</v>
      </c>
      <c r="L1447" s="1" t="s">
        <v>895</v>
      </c>
      <c r="N1447" s="1" t="s">
        <v>3073</v>
      </c>
      <c r="P1447" s="1" t="s">
        <v>3081</v>
      </c>
      <c r="Q1447" s="3">
        <v>0</v>
      </c>
      <c r="R1447" s="22" t="s">
        <v>2721</v>
      </c>
      <c r="S1447" s="42" t="s">
        <v>6910</v>
      </c>
      <c r="T1447" s="3" t="s">
        <v>4868</v>
      </c>
      <c r="U1447" s="45">
        <v>35</v>
      </c>
      <c r="V1447" t="s">
        <v>6919</v>
      </c>
      <c r="W1447" s="1" t="str">
        <f>HYPERLINK("http://ictvonline.org/taxonomy/p/taxonomy-history?taxnode_id=201900852","ICTVonline=201900852")</f>
        <v>ICTVonline=201900852</v>
      </c>
    </row>
    <row r="1448" spans="1:23">
      <c r="A1448" s="3">
        <v>1447</v>
      </c>
      <c r="B1448" s="1" t="s">
        <v>6915</v>
      </c>
      <c r="D1448" s="1" t="s">
        <v>6916</v>
      </c>
      <c r="F1448" s="1" t="s">
        <v>6920</v>
      </c>
      <c r="H1448" s="1" t="s">
        <v>6921</v>
      </c>
      <c r="J1448" s="1" t="s">
        <v>1324</v>
      </c>
      <c r="L1448" s="1" t="s">
        <v>895</v>
      </c>
      <c r="N1448" s="1" t="s">
        <v>7811</v>
      </c>
      <c r="P1448" s="1" t="s">
        <v>7812</v>
      </c>
      <c r="Q1448" s="3">
        <v>1</v>
      </c>
      <c r="R1448" s="22" t="s">
        <v>2721</v>
      </c>
      <c r="S1448" s="42" t="s">
        <v>6914</v>
      </c>
      <c r="T1448" s="3" t="s">
        <v>4866</v>
      </c>
      <c r="U1448" s="45">
        <v>35</v>
      </c>
      <c r="V1448" t="s">
        <v>7813</v>
      </c>
      <c r="W1448" s="1" t="str">
        <f>HYPERLINK("http://ictvonline.org/taxonomy/p/taxonomy-history?taxnode_id=201907736","ICTVonline=201907736")</f>
        <v>ICTVonline=201907736</v>
      </c>
    </row>
    <row r="1449" spans="1:23">
      <c r="A1449" s="3">
        <v>1448</v>
      </c>
      <c r="B1449" s="1" t="s">
        <v>6915</v>
      </c>
      <c r="D1449" s="1" t="s">
        <v>6916</v>
      </c>
      <c r="F1449" s="1" t="s">
        <v>6920</v>
      </c>
      <c r="H1449" s="1" t="s">
        <v>6921</v>
      </c>
      <c r="J1449" s="1" t="s">
        <v>1324</v>
      </c>
      <c r="L1449" s="1" t="s">
        <v>895</v>
      </c>
      <c r="N1449" s="1" t="s">
        <v>7814</v>
      </c>
      <c r="P1449" s="1" t="s">
        <v>7815</v>
      </c>
      <c r="Q1449" s="3">
        <v>1</v>
      </c>
      <c r="R1449" s="22" t="s">
        <v>2721</v>
      </c>
      <c r="S1449" s="42" t="s">
        <v>6914</v>
      </c>
      <c r="T1449" s="3" t="s">
        <v>4866</v>
      </c>
      <c r="U1449" s="45">
        <v>35</v>
      </c>
      <c r="V1449" t="s">
        <v>7816</v>
      </c>
      <c r="W1449" s="1" t="str">
        <f>HYPERLINK("http://ictvonline.org/taxonomy/p/taxonomy-history?taxnode_id=201908701","ICTVonline=201908701")</f>
        <v>ICTVonline=201908701</v>
      </c>
    </row>
    <row r="1450" spans="1:23">
      <c r="A1450" s="3">
        <v>1449</v>
      </c>
      <c r="B1450" s="1" t="s">
        <v>6915</v>
      </c>
      <c r="D1450" s="1" t="s">
        <v>6916</v>
      </c>
      <c r="F1450" s="1" t="s">
        <v>6920</v>
      </c>
      <c r="H1450" s="1" t="s">
        <v>6921</v>
      </c>
      <c r="J1450" s="1" t="s">
        <v>1324</v>
      </c>
      <c r="L1450" s="1" t="s">
        <v>895</v>
      </c>
      <c r="N1450" s="1" t="s">
        <v>7817</v>
      </c>
      <c r="P1450" s="1" t="s">
        <v>7818</v>
      </c>
      <c r="Q1450" s="3">
        <v>1</v>
      </c>
      <c r="R1450" s="22" t="s">
        <v>2721</v>
      </c>
      <c r="S1450" s="42" t="s">
        <v>6914</v>
      </c>
      <c r="T1450" s="3" t="s">
        <v>4866</v>
      </c>
      <c r="U1450" s="45">
        <v>35</v>
      </c>
      <c r="V1450" t="s">
        <v>7819</v>
      </c>
      <c r="W1450" s="1" t="str">
        <f>HYPERLINK("http://ictvonline.org/taxonomy/p/taxonomy-history?taxnode_id=201907723","ICTVonline=201907723")</f>
        <v>ICTVonline=201907723</v>
      </c>
    </row>
    <row r="1451" spans="1:23">
      <c r="A1451" s="3">
        <v>1450</v>
      </c>
      <c r="B1451" s="1" t="s">
        <v>6915</v>
      </c>
      <c r="D1451" s="1" t="s">
        <v>6916</v>
      </c>
      <c r="F1451" s="1" t="s">
        <v>6920</v>
      </c>
      <c r="H1451" s="1" t="s">
        <v>6921</v>
      </c>
      <c r="J1451" s="1" t="s">
        <v>1324</v>
      </c>
      <c r="L1451" s="1" t="s">
        <v>895</v>
      </c>
      <c r="N1451" s="1" t="s">
        <v>5006</v>
      </c>
      <c r="P1451" s="1" t="s">
        <v>5007</v>
      </c>
      <c r="Q1451" s="3">
        <v>1</v>
      </c>
      <c r="R1451" s="22" t="s">
        <v>2721</v>
      </c>
      <c r="S1451" s="42" t="s">
        <v>6910</v>
      </c>
      <c r="T1451" s="3" t="s">
        <v>4868</v>
      </c>
      <c r="U1451" s="45">
        <v>35</v>
      </c>
      <c r="V1451" t="s">
        <v>6919</v>
      </c>
      <c r="W1451" s="1" t="str">
        <f>HYPERLINK("http://ictvonline.org/taxonomy/p/taxonomy-history?taxnode_id=201905541","ICTVonline=201905541")</f>
        <v>ICTVonline=201905541</v>
      </c>
    </row>
    <row r="1452" spans="1:23">
      <c r="A1452" s="3">
        <v>1451</v>
      </c>
      <c r="B1452" s="1" t="s">
        <v>6915</v>
      </c>
      <c r="D1452" s="1" t="s">
        <v>6916</v>
      </c>
      <c r="F1452" s="1" t="s">
        <v>6920</v>
      </c>
      <c r="H1452" s="1" t="s">
        <v>6921</v>
      </c>
      <c r="J1452" s="1" t="s">
        <v>1324</v>
      </c>
      <c r="L1452" s="1" t="s">
        <v>895</v>
      </c>
      <c r="N1452" s="1" t="s">
        <v>7820</v>
      </c>
      <c r="P1452" s="1" t="s">
        <v>7821</v>
      </c>
      <c r="Q1452" s="3">
        <v>1</v>
      </c>
      <c r="R1452" s="22" t="s">
        <v>2721</v>
      </c>
      <c r="S1452" s="42" t="s">
        <v>6914</v>
      </c>
      <c r="T1452" s="3" t="s">
        <v>4866</v>
      </c>
      <c r="U1452" s="45">
        <v>35</v>
      </c>
      <c r="V1452" t="s">
        <v>7822</v>
      </c>
      <c r="W1452" s="1" t="str">
        <f>HYPERLINK("http://ictvonline.org/taxonomy/p/taxonomy-history?taxnode_id=201907725","ICTVonline=201907725")</f>
        <v>ICTVonline=201907725</v>
      </c>
    </row>
    <row r="1453" spans="1:23">
      <c r="A1453" s="3">
        <v>1452</v>
      </c>
      <c r="B1453" s="1" t="s">
        <v>6915</v>
      </c>
      <c r="D1453" s="1" t="s">
        <v>6916</v>
      </c>
      <c r="F1453" s="1" t="s">
        <v>6920</v>
      </c>
      <c r="H1453" s="1" t="s">
        <v>6921</v>
      </c>
      <c r="J1453" s="1" t="s">
        <v>1324</v>
      </c>
      <c r="L1453" s="1" t="s">
        <v>895</v>
      </c>
      <c r="N1453" s="1" t="s">
        <v>7823</v>
      </c>
      <c r="P1453" s="1" t="s">
        <v>7824</v>
      </c>
      <c r="Q1453" s="3">
        <v>1</v>
      </c>
      <c r="R1453" s="22" t="s">
        <v>2721</v>
      </c>
      <c r="S1453" s="42" t="s">
        <v>6914</v>
      </c>
      <c r="T1453" s="3" t="s">
        <v>4866</v>
      </c>
      <c r="U1453" s="45">
        <v>35</v>
      </c>
      <c r="V1453" t="s">
        <v>7825</v>
      </c>
      <c r="W1453" s="1" t="str">
        <f>HYPERLINK("http://ictvonline.org/taxonomy/p/taxonomy-history?taxnode_id=201907727","ICTVonline=201907727")</f>
        <v>ICTVonline=201907727</v>
      </c>
    </row>
    <row r="1454" spans="1:23">
      <c r="A1454" s="3">
        <v>1453</v>
      </c>
      <c r="B1454" s="1" t="s">
        <v>6915</v>
      </c>
      <c r="D1454" s="1" t="s">
        <v>6916</v>
      </c>
      <c r="F1454" s="1" t="s">
        <v>6920</v>
      </c>
      <c r="H1454" s="1" t="s">
        <v>6921</v>
      </c>
      <c r="J1454" s="1" t="s">
        <v>1324</v>
      </c>
      <c r="L1454" s="1" t="s">
        <v>895</v>
      </c>
      <c r="N1454" s="1" t="s">
        <v>7823</v>
      </c>
      <c r="P1454" s="1" t="s">
        <v>7826</v>
      </c>
      <c r="Q1454" s="3">
        <v>0</v>
      </c>
      <c r="R1454" s="22" t="s">
        <v>2721</v>
      </c>
      <c r="S1454" s="42" t="s">
        <v>6914</v>
      </c>
      <c r="T1454" s="3" t="s">
        <v>4866</v>
      </c>
      <c r="U1454" s="45">
        <v>35</v>
      </c>
      <c r="V1454" t="s">
        <v>7825</v>
      </c>
      <c r="W1454" s="1" t="str">
        <f>HYPERLINK("http://ictvonline.org/taxonomy/p/taxonomy-history?taxnode_id=201907728","ICTVonline=201907728")</f>
        <v>ICTVonline=201907728</v>
      </c>
    </row>
    <row r="1455" spans="1:23">
      <c r="A1455" s="3">
        <v>1454</v>
      </c>
      <c r="B1455" s="1" t="s">
        <v>6915</v>
      </c>
      <c r="D1455" s="1" t="s">
        <v>6916</v>
      </c>
      <c r="F1455" s="1" t="s">
        <v>6920</v>
      </c>
      <c r="H1455" s="1" t="s">
        <v>6921</v>
      </c>
      <c r="J1455" s="1" t="s">
        <v>1324</v>
      </c>
      <c r="L1455" s="1" t="s">
        <v>895</v>
      </c>
      <c r="N1455" s="1" t="s">
        <v>7823</v>
      </c>
      <c r="P1455" s="1" t="s">
        <v>7827</v>
      </c>
      <c r="Q1455" s="3">
        <v>0</v>
      </c>
      <c r="R1455" s="22" t="s">
        <v>2721</v>
      </c>
      <c r="S1455" s="42" t="s">
        <v>6914</v>
      </c>
      <c r="T1455" s="3" t="s">
        <v>4866</v>
      </c>
      <c r="U1455" s="45">
        <v>35</v>
      </c>
      <c r="V1455" t="s">
        <v>7825</v>
      </c>
      <c r="W1455" s="1" t="str">
        <f>HYPERLINK("http://ictvonline.org/taxonomy/p/taxonomy-history?taxnode_id=201907729","ICTVonline=201907729")</f>
        <v>ICTVonline=201907729</v>
      </c>
    </row>
    <row r="1456" spans="1:23">
      <c r="A1456" s="3">
        <v>1455</v>
      </c>
      <c r="B1456" s="1" t="s">
        <v>6915</v>
      </c>
      <c r="D1456" s="1" t="s">
        <v>6916</v>
      </c>
      <c r="F1456" s="1" t="s">
        <v>6920</v>
      </c>
      <c r="H1456" s="1" t="s">
        <v>6921</v>
      </c>
      <c r="J1456" s="1" t="s">
        <v>1324</v>
      </c>
      <c r="L1456" s="1" t="s">
        <v>895</v>
      </c>
      <c r="N1456" s="1" t="s">
        <v>6526</v>
      </c>
      <c r="P1456" s="1" t="s">
        <v>6527</v>
      </c>
      <c r="Q1456" s="3">
        <v>1</v>
      </c>
      <c r="R1456" s="22" t="s">
        <v>2721</v>
      </c>
      <c r="S1456" s="42" t="s">
        <v>6910</v>
      </c>
      <c r="T1456" s="3" t="s">
        <v>4868</v>
      </c>
      <c r="U1456" s="45">
        <v>35</v>
      </c>
      <c r="V1456" t="s">
        <v>6919</v>
      </c>
      <c r="W1456" s="1" t="str">
        <f>HYPERLINK("http://ictvonline.org/taxonomy/p/taxonomy-history?taxnode_id=201906342","ICTVonline=201906342")</f>
        <v>ICTVonline=201906342</v>
      </c>
    </row>
    <row r="1457" spans="1:23">
      <c r="A1457" s="3">
        <v>1456</v>
      </c>
      <c r="B1457" s="1" t="s">
        <v>6915</v>
      </c>
      <c r="D1457" s="1" t="s">
        <v>6916</v>
      </c>
      <c r="F1457" s="1" t="s">
        <v>6920</v>
      </c>
      <c r="H1457" s="1" t="s">
        <v>6921</v>
      </c>
      <c r="J1457" s="1" t="s">
        <v>1324</v>
      </c>
      <c r="L1457" s="1" t="s">
        <v>895</v>
      </c>
      <c r="N1457" s="1" t="s">
        <v>3082</v>
      </c>
      <c r="P1457" s="1" t="s">
        <v>3083</v>
      </c>
      <c r="Q1457" s="3">
        <v>1</v>
      </c>
      <c r="R1457" s="22" t="s">
        <v>2721</v>
      </c>
      <c r="S1457" s="42" t="s">
        <v>6910</v>
      </c>
      <c r="T1457" s="3" t="s">
        <v>4868</v>
      </c>
      <c r="U1457" s="45">
        <v>35</v>
      </c>
      <c r="V1457" t="s">
        <v>6919</v>
      </c>
      <c r="W1457" s="1" t="str">
        <f>HYPERLINK("http://ictvonline.org/taxonomy/p/taxonomy-history?taxnode_id=201900854","ICTVonline=201900854")</f>
        <v>ICTVonline=201900854</v>
      </c>
    </row>
    <row r="1458" spans="1:23">
      <c r="A1458" s="3">
        <v>1457</v>
      </c>
      <c r="B1458" s="1" t="s">
        <v>6915</v>
      </c>
      <c r="D1458" s="1" t="s">
        <v>6916</v>
      </c>
      <c r="F1458" s="1" t="s">
        <v>6920</v>
      </c>
      <c r="H1458" s="1" t="s">
        <v>6921</v>
      </c>
      <c r="J1458" s="1" t="s">
        <v>1324</v>
      </c>
      <c r="L1458" s="1" t="s">
        <v>895</v>
      </c>
      <c r="N1458" s="1" t="s">
        <v>3082</v>
      </c>
      <c r="P1458" s="1" t="s">
        <v>3084</v>
      </c>
      <c r="Q1458" s="3">
        <v>0</v>
      </c>
      <c r="R1458" s="22" t="s">
        <v>2721</v>
      </c>
      <c r="S1458" s="42" t="s">
        <v>6910</v>
      </c>
      <c r="T1458" s="3" t="s">
        <v>4868</v>
      </c>
      <c r="U1458" s="45">
        <v>35</v>
      </c>
      <c r="V1458" t="s">
        <v>6919</v>
      </c>
      <c r="W1458" s="1" t="str">
        <f>HYPERLINK("http://ictvonline.org/taxonomy/p/taxonomy-history?taxnode_id=201900855","ICTVonline=201900855")</f>
        <v>ICTVonline=201900855</v>
      </c>
    </row>
    <row r="1459" spans="1:23">
      <c r="A1459" s="3">
        <v>1458</v>
      </c>
      <c r="B1459" s="1" t="s">
        <v>6915</v>
      </c>
      <c r="D1459" s="1" t="s">
        <v>6916</v>
      </c>
      <c r="F1459" s="1" t="s">
        <v>6920</v>
      </c>
      <c r="H1459" s="1" t="s">
        <v>6921</v>
      </c>
      <c r="J1459" s="1" t="s">
        <v>1324</v>
      </c>
      <c r="L1459" s="1" t="s">
        <v>895</v>
      </c>
      <c r="N1459" s="1" t="s">
        <v>3082</v>
      </c>
      <c r="P1459" s="1" t="s">
        <v>3086</v>
      </c>
      <c r="Q1459" s="3">
        <v>0</v>
      </c>
      <c r="R1459" s="22" t="s">
        <v>2721</v>
      </c>
      <c r="S1459" s="42" t="s">
        <v>6910</v>
      </c>
      <c r="T1459" s="3" t="s">
        <v>4868</v>
      </c>
      <c r="U1459" s="45">
        <v>35</v>
      </c>
      <c r="V1459" t="s">
        <v>6919</v>
      </c>
      <c r="W1459" s="1" t="str">
        <f>HYPERLINK("http://ictvonline.org/taxonomy/p/taxonomy-history?taxnode_id=201900856","ICTVonline=201900856")</f>
        <v>ICTVonline=201900856</v>
      </c>
    </row>
    <row r="1460" spans="1:23">
      <c r="A1460" s="3">
        <v>1459</v>
      </c>
      <c r="B1460" s="1" t="s">
        <v>6915</v>
      </c>
      <c r="D1460" s="1" t="s">
        <v>6916</v>
      </c>
      <c r="F1460" s="1" t="s">
        <v>6920</v>
      </c>
      <c r="H1460" s="1" t="s">
        <v>6921</v>
      </c>
      <c r="J1460" s="1" t="s">
        <v>1324</v>
      </c>
      <c r="L1460" s="1" t="s">
        <v>895</v>
      </c>
      <c r="N1460" s="1" t="s">
        <v>6528</v>
      </c>
      <c r="P1460" s="1" t="s">
        <v>6529</v>
      </c>
      <c r="Q1460" s="3">
        <v>1</v>
      </c>
      <c r="R1460" s="22" t="s">
        <v>2721</v>
      </c>
      <c r="S1460" s="42" t="s">
        <v>6910</v>
      </c>
      <c r="T1460" s="3" t="s">
        <v>4868</v>
      </c>
      <c r="U1460" s="45">
        <v>35</v>
      </c>
      <c r="V1460" t="s">
        <v>6919</v>
      </c>
      <c r="W1460" s="1" t="str">
        <f>HYPERLINK("http://ictvonline.org/taxonomy/p/taxonomy-history?taxnode_id=201907091","ICTVonline=201907091")</f>
        <v>ICTVonline=201907091</v>
      </c>
    </row>
    <row r="1461" spans="1:23">
      <c r="A1461" s="3">
        <v>1460</v>
      </c>
      <c r="B1461" s="1" t="s">
        <v>6915</v>
      </c>
      <c r="D1461" s="1" t="s">
        <v>6916</v>
      </c>
      <c r="F1461" s="1" t="s">
        <v>6920</v>
      </c>
      <c r="H1461" s="1" t="s">
        <v>6921</v>
      </c>
      <c r="J1461" s="1" t="s">
        <v>1324</v>
      </c>
      <c r="L1461" s="1" t="s">
        <v>895</v>
      </c>
      <c r="N1461" s="1" t="s">
        <v>6528</v>
      </c>
      <c r="P1461" s="1" t="s">
        <v>6530</v>
      </c>
      <c r="Q1461" s="3">
        <v>0</v>
      </c>
      <c r="R1461" s="22" t="s">
        <v>2721</v>
      </c>
      <c r="S1461" s="42" t="s">
        <v>6910</v>
      </c>
      <c r="T1461" s="3" t="s">
        <v>4868</v>
      </c>
      <c r="U1461" s="45">
        <v>35</v>
      </c>
      <c r="V1461" t="s">
        <v>6919</v>
      </c>
      <c r="W1461" s="1" t="str">
        <f>HYPERLINK("http://ictvonline.org/taxonomy/p/taxonomy-history?taxnode_id=201907094","ICTVonline=201907094")</f>
        <v>ICTVonline=201907094</v>
      </c>
    </row>
    <row r="1462" spans="1:23">
      <c r="A1462" s="3">
        <v>1461</v>
      </c>
      <c r="B1462" s="1" t="s">
        <v>6915</v>
      </c>
      <c r="D1462" s="1" t="s">
        <v>6916</v>
      </c>
      <c r="F1462" s="1" t="s">
        <v>6920</v>
      </c>
      <c r="H1462" s="1" t="s">
        <v>6921</v>
      </c>
      <c r="J1462" s="1" t="s">
        <v>1324</v>
      </c>
      <c r="L1462" s="1" t="s">
        <v>895</v>
      </c>
      <c r="N1462" s="1" t="s">
        <v>6528</v>
      </c>
      <c r="P1462" s="1" t="s">
        <v>6531</v>
      </c>
      <c r="Q1462" s="3">
        <v>0</v>
      </c>
      <c r="R1462" s="22" t="s">
        <v>2721</v>
      </c>
      <c r="S1462" s="42" t="s">
        <v>6910</v>
      </c>
      <c r="T1462" s="3" t="s">
        <v>4868</v>
      </c>
      <c r="U1462" s="45">
        <v>35</v>
      </c>
      <c r="V1462" t="s">
        <v>6919</v>
      </c>
      <c r="W1462" s="1" t="str">
        <f>HYPERLINK("http://ictvonline.org/taxonomy/p/taxonomy-history?taxnode_id=201907092","ICTVonline=201907092")</f>
        <v>ICTVonline=201907092</v>
      </c>
    </row>
    <row r="1463" spans="1:23">
      <c r="A1463" s="3">
        <v>1462</v>
      </c>
      <c r="B1463" s="1" t="s">
        <v>6915</v>
      </c>
      <c r="D1463" s="1" t="s">
        <v>6916</v>
      </c>
      <c r="F1463" s="1" t="s">
        <v>6920</v>
      </c>
      <c r="H1463" s="1" t="s">
        <v>6921</v>
      </c>
      <c r="J1463" s="1" t="s">
        <v>1324</v>
      </c>
      <c r="L1463" s="1" t="s">
        <v>895</v>
      </c>
      <c r="N1463" s="1" t="s">
        <v>6528</v>
      </c>
      <c r="P1463" s="1" t="s">
        <v>6532</v>
      </c>
      <c r="Q1463" s="3">
        <v>0</v>
      </c>
      <c r="R1463" s="22" t="s">
        <v>2721</v>
      </c>
      <c r="S1463" s="42" t="s">
        <v>6910</v>
      </c>
      <c r="T1463" s="3" t="s">
        <v>4868</v>
      </c>
      <c r="U1463" s="45">
        <v>35</v>
      </c>
      <c r="V1463" t="s">
        <v>6919</v>
      </c>
      <c r="W1463" s="1" t="str">
        <f>HYPERLINK("http://ictvonline.org/taxonomy/p/taxonomy-history?taxnode_id=201907093","ICTVonline=201907093")</f>
        <v>ICTVonline=201907093</v>
      </c>
    </row>
    <row r="1464" spans="1:23">
      <c r="A1464" s="3">
        <v>1463</v>
      </c>
      <c r="B1464" s="1" t="s">
        <v>6915</v>
      </c>
      <c r="D1464" s="1" t="s">
        <v>6916</v>
      </c>
      <c r="F1464" s="1" t="s">
        <v>6920</v>
      </c>
      <c r="H1464" s="1" t="s">
        <v>6921</v>
      </c>
      <c r="J1464" s="1" t="s">
        <v>1324</v>
      </c>
      <c r="L1464" s="1" t="s">
        <v>895</v>
      </c>
      <c r="N1464" s="1" t="s">
        <v>6535</v>
      </c>
      <c r="P1464" s="1" t="s">
        <v>4301</v>
      </c>
      <c r="Q1464" s="3">
        <v>1</v>
      </c>
      <c r="R1464" s="22" t="s">
        <v>2721</v>
      </c>
      <c r="S1464" s="42" t="s">
        <v>6910</v>
      </c>
      <c r="T1464" s="3" t="s">
        <v>4868</v>
      </c>
      <c r="U1464" s="45">
        <v>35</v>
      </c>
      <c r="V1464" t="s">
        <v>6919</v>
      </c>
      <c r="W1464" s="1" t="str">
        <f>HYPERLINK("http://ictvonline.org/taxonomy/p/taxonomy-history?taxnode_id=201900858","ICTVonline=201900858")</f>
        <v>ICTVonline=201900858</v>
      </c>
    </row>
    <row r="1465" spans="1:23">
      <c r="A1465" s="3">
        <v>1464</v>
      </c>
      <c r="B1465" s="1" t="s">
        <v>6915</v>
      </c>
      <c r="D1465" s="1" t="s">
        <v>6916</v>
      </c>
      <c r="F1465" s="1" t="s">
        <v>6920</v>
      </c>
      <c r="H1465" s="1" t="s">
        <v>6921</v>
      </c>
      <c r="J1465" s="1" t="s">
        <v>1324</v>
      </c>
      <c r="L1465" s="1" t="s">
        <v>895</v>
      </c>
      <c r="N1465" s="1" t="s">
        <v>6536</v>
      </c>
      <c r="P1465" s="1" t="s">
        <v>6537</v>
      </c>
      <c r="Q1465" s="3">
        <v>1</v>
      </c>
      <c r="R1465" s="22" t="s">
        <v>2721</v>
      </c>
      <c r="S1465" s="42" t="s">
        <v>6910</v>
      </c>
      <c r="T1465" s="3" t="s">
        <v>4868</v>
      </c>
      <c r="U1465" s="45">
        <v>35</v>
      </c>
      <c r="V1465" t="s">
        <v>6919</v>
      </c>
      <c r="W1465" s="1" t="str">
        <f>HYPERLINK("http://ictvonline.org/taxonomy/p/taxonomy-history?taxnode_id=201906801","ICTVonline=201906801")</f>
        <v>ICTVonline=201906801</v>
      </c>
    </row>
    <row r="1466" spans="1:23">
      <c r="A1466" s="3">
        <v>1465</v>
      </c>
      <c r="B1466" s="1" t="s">
        <v>6915</v>
      </c>
      <c r="D1466" s="1" t="s">
        <v>6916</v>
      </c>
      <c r="F1466" s="1" t="s">
        <v>6920</v>
      </c>
      <c r="H1466" s="1" t="s">
        <v>6921</v>
      </c>
      <c r="J1466" s="1" t="s">
        <v>1324</v>
      </c>
      <c r="L1466" s="1" t="s">
        <v>895</v>
      </c>
      <c r="N1466" s="1" t="s">
        <v>6538</v>
      </c>
      <c r="P1466" s="1" t="s">
        <v>6539</v>
      </c>
      <c r="Q1466" s="3">
        <v>1</v>
      </c>
      <c r="R1466" s="22" t="s">
        <v>2721</v>
      </c>
      <c r="S1466" s="42" t="s">
        <v>6910</v>
      </c>
      <c r="T1466" s="3" t="s">
        <v>4868</v>
      </c>
      <c r="U1466" s="45">
        <v>35</v>
      </c>
      <c r="V1466" t="s">
        <v>6919</v>
      </c>
      <c r="W1466" s="1" t="str">
        <f>HYPERLINK("http://ictvonline.org/taxonomy/p/taxonomy-history?taxnode_id=201906724","ICTVonline=201906724")</f>
        <v>ICTVonline=201906724</v>
      </c>
    </row>
    <row r="1467" spans="1:23">
      <c r="A1467" s="3">
        <v>1466</v>
      </c>
      <c r="B1467" s="1" t="s">
        <v>6915</v>
      </c>
      <c r="D1467" s="1" t="s">
        <v>6916</v>
      </c>
      <c r="F1467" s="1" t="s">
        <v>6920</v>
      </c>
      <c r="H1467" s="1" t="s">
        <v>6921</v>
      </c>
      <c r="J1467" s="1" t="s">
        <v>1324</v>
      </c>
      <c r="L1467" s="1" t="s">
        <v>895</v>
      </c>
      <c r="N1467" s="1" t="s">
        <v>3090</v>
      </c>
      <c r="P1467" s="1" t="s">
        <v>3091</v>
      </c>
      <c r="Q1467" s="3">
        <v>0</v>
      </c>
      <c r="R1467" s="22" t="s">
        <v>2721</v>
      </c>
      <c r="S1467" s="42" t="s">
        <v>6910</v>
      </c>
      <c r="T1467" s="3" t="s">
        <v>4868</v>
      </c>
      <c r="U1467" s="45">
        <v>35</v>
      </c>
      <c r="V1467" t="s">
        <v>6919</v>
      </c>
      <c r="W1467" s="1" t="str">
        <f>HYPERLINK("http://ictvonline.org/taxonomy/p/taxonomy-history?taxnode_id=201900860","ICTVonline=201900860")</f>
        <v>ICTVonline=201900860</v>
      </c>
    </row>
    <row r="1468" spans="1:23">
      <c r="A1468" s="3">
        <v>1467</v>
      </c>
      <c r="B1468" s="1" t="s">
        <v>6915</v>
      </c>
      <c r="D1468" s="1" t="s">
        <v>6916</v>
      </c>
      <c r="F1468" s="1" t="s">
        <v>6920</v>
      </c>
      <c r="H1468" s="1" t="s">
        <v>6921</v>
      </c>
      <c r="J1468" s="1" t="s">
        <v>1324</v>
      </c>
      <c r="L1468" s="1" t="s">
        <v>895</v>
      </c>
      <c r="N1468" s="1" t="s">
        <v>3090</v>
      </c>
      <c r="P1468" s="1" t="s">
        <v>3092</v>
      </c>
      <c r="Q1468" s="3">
        <v>1</v>
      </c>
      <c r="R1468" s="22" t="s">
        <v>2721</v>
      </c>
      <c r="S1468" s="42" t="s">
        <v>6910</v>
      </c>
      <c r="T1468" s="3" t="s">
        <v>4868</v>
      </c>
      <c r="U1468" s="45">
        <v>35</v>
      </c>
      <c r="V1468" t="s">
        <v>6919</v>
      </c>
      <c r="W1468" s="1" t="str">
        <f>HYPERLINK("http://ictvonline.org/taxonomy/p/taxonomy-history?taxnode_id=201900861","ICTVonline=201900861")</f>
        <v>ICTVonline=201900861</v>
      </c>
    </row>
    <row r="1469" spans="1:23">
      <c r="A1469" s="3">
        <v>1468</v>
      </c>
      <c r="B1469" s="1" t="s">
        <v>6915</v>
      </c>
      <c r="D1469" s="1" t="s">
        <v>6916</v>
      </c>
      <c r="F1469" s="1" t="s">
        <v>6920</v>
      </c>
      <c r="H1469" s="1" t="s">
        <v>6921</v>
      </c>
      <c r="J1469" s="1" t="s">
        <v>1324</v>
      </c>
      <c r="L1469" s="1" t="s">
        <v>895</v>
      </c>
      <c r="N1469" s="1" t="s">
        <v>3090</v>
      </c>
      <c r="P1469" s="1" t="s">
        <v>3093</v>
      </c>
      <c r="Q1469" s="3">
        <v>0</v>
      </c>
      <c r="R1469" s="22" t="s">
        <v>2721</v>
      </c>
      <c r="S1469" s="42" t="s">
        <v>6910</v>
      </c>
      <c r="T1469" s="3" t="s">
        <v>4868</v>
      </c>
      <c r="U1469" s="45">
        <v>35</v>
      </c>
      <c r="V1469" t="s">
        <v>6919</v>
      </c>
      <c r="W1469" s="1" t="str">
        <f>HYPERLINK("http://ictvonline.org/taxonomy/p/taxonomy-history?taxnode_id=201900862","ICTVonline=201900862")</f>
        <v>ICTVonline=201900862</v>
      </c>
    </row>
    <row r="1470" spans="1:23">
      <c r="A1470" s="3">
        <v>1469</v>
      </c>
      <c r="B1470" s="1" t="s">
        <v>6915</v>
      </c>
      <c r="D1470" s="1" t="s">
        <v>6916</v>
      </c>
      <c r="F1470" s="1" t="s">
        <v>6920</v>
      </c>
      <c r="H1470" s="1" t="s">
        <v>6921</v>
      </c>
      <c r="J1470" s="1" t="s">
        <v>1324</v>
      </c>
      <c r="L1470" s="1" t="s">
        <v>895</v>
      </c>
      <c r="N1470" s="1" t="s">
        <v>6540</v>
      </c>
      <c r="P1470" s="1" t="s">
        <v>6541</v>
      </c>
      <c r="Q1470" s="3">
        <v>1</v>
      </c>
      <c r="R1470" s="22" t="s">
        <v>2721</v>
      </c>
      <c r="S1470" s="42" t="s">
        <v>6910</v>
      </c>
      <c r="T1470" s="3" t="s">
        <v>4868</v>
      </c>
      <c r="U1470" s="45">
        <v>35</v>
      </c>
      <c r="V1470" t="s">
        <v>6919</v>
      </c>
      <c r="W1470" s="1" t="str">
        <f>HYPERLINK("http://ictvonline.org/taxonomy/p/taxonomy-history?taxnode_id=201906620","ICTVonline=201906620")</f>
        <v>ICTVonline=201906620</v>
      </c>
    </row>
    <row r="1471" spans="1:23">
      <c r="A1471" s="3">
        <v>1470</v>
      </c>
      <c r="B1471" s="1" t="s">
        <v>6915</v>
      </c>
      <c r="D1471" s="1" t="s">
        <v>6916</v>
      </c>
      <c r="F1471" s="1" t="s">
        <v>6920</v>
      </c>
      <c r="H1471" s="1" t="s">
        <v>6921</v>
      </c>
      <c r="J1471" s="1" t="s">
        <v>1324</v>
      </c>
      <c r="L1471" s="1" t="s">
        <v>895</v>
      </c>
      <c r="N1471" s="1" t="s">
        <v>7828</v>
      </c>
      <c r="P1471" s="1" t="s">
        <v>7829</v>
      </c>
      <c r="Q1471" s="3">
        <v>1</v>
      </c>
      <c r="R1471" s="22" t="s">
        <v>2721</v>
      </c>
      <c r="S1471" s="42" t="s">
        <v>6914</v>
      </c>
      <c r="T1471" s="3" t="s">
        <v>4866</v>
      </c>
      <c r="U1471" s="45">
        <v>35</v>
      </c>
      <c r="V1471" t="s">
        <v>7830</v>
      </c>
      <c r="W1471" s="1" t="str">
        <f>HYPERLINK("http://ictvonline.org/taxonomy/p/taxonomy-history?taxnode_id=201907136","ICTVonline=201907136")</f>
        <v>ICTVonline=201907136</v>
      </c>
    </row>
    <row r="1472" spans="1:23">
      <c r="A1472" s="3">
        <v>1471</v>
      </c>
      <c r="B1472" s="1" t="s">
        <v>6915</v>
      </c>
      <c r="D1472" s="1" t="s">
        <v>6916</v>
      </c>
      <c r="F1472" s="1" t="s">
        <v>6920</v>
      </c>
      <c r="H1472" s="1" t="s">
        <v>6921</v>
      </c>
      <c r="J1472" s="1" t="s">
        <v>1324</v>
      </c>
      <c r="L1472" s="1" t="s">
        <v>895</v>
      </c>
      <c r="N1472" s="1" t="s">
        <v>7828</v>
      </c>
      <c r="P1472" s="1" t="s">
        <v>7831</v>
      </c>
      <c r="Q1472" s="3">
        <v>0</v>
      </c>
      <c r="R1472" s="22" t="s">
        <v>2721</v>
      </c>
      <c r="S1472" s="42" t="s">
        <v>6914</v>
      </c>
      <c r="T1472" s="3" t="s">
        <v>4866</v>
      </c>
      <c r="U1472" s="45">
        <v>35</v>
      </c>
      <c r="V1472" t="s">
        <v>7830</v>
      </c>
      <c r="W1472" s="1" t="str">
        <f>HYPERLINK("http://ictvonline.org/taxonomy/p/taxonomy-history?taxnode_id=201907138","ICTVonline=201907138")</f>
        <v>ICTVonline=201907138</v>
      </c>
    </row>
    <row r="1473" spans="1:23">
      <c r="A1473" s="3">
        <v>1472</v>
      </c>
      <c r="B1473" s="1" t="s">
        <v>6915</v>
      </c>
      <c r="D1473" s="1" t="s">
        <v>6916</v>
      </c>
      <c r="F1473" s="1" t="s">
        <v>6920</v>
      </c>
      <c r="H1473" s="1" t="s">
        <v>6921</v>
      </c>
      <c r="J1473" s="1" t="s">
        <v>1324</v>
      </c>
      <c r="L1473" s="1" t="s">
        <v>895</v>
      </c>
      <c r="N1473" s="1" t="s">
        <v>7828</v>
      </c>
      <c r="P1473" s="1" t="s">
        <v>7832</v>
      </c>
      <c r="Q1473" s="3">
        <v>0</v>
      </c>
      <c r="R1473" s="22" t="s">
        <v>2721</v>
      </c>
      <c r="S1473" s="42" t="s">
        <v>6914</v>
      </c>
      <c r="T1473" s="3" t="s">
        <v>4866</v>
      </c>
      <c r="U1473" s="45">
        <v>35</v>
      </c>
      <c r="V1473" t="s">
        <v>7830</v>
      </c>
      <c r="W1473" s="1" t="str">
        <f>HYPERLINK("http://ictvonline.org/taxonomy/p/taxonomy-history?taxnode_id=201907140","ICTVonline=201907140")</f>
        <v>ICTVonline=201907140</v>
      </c>
    </row>
    <row r="1474" spans="1:23">
      <c r="A1474" s="3">
        <v>1473</v>
      </c>
      <c r="B1474" s="1" t="s">
        <v>6915</v>
      </c>
      <c r="D1474" s="1" t="s">
        <v>6916</v>
      </c>
      <c r="F1474" s="1" t="s">
        <v>6920</v>
      </c>
      <c r="H1474" s="1" t="s">
        <v>6921</v>
      </c>
      <c r="J1474" s="1" t="s">
        <v>1324</v>
      </c>
      <c r="L1474" s="1" t="s">
        <v>895</v>
      </c>
      <c r="N1474" s="1" t="s">
        <v>7828</v>
      </c>
      <c r="P1474" s="1" t="s">
        <v>7833</v>
      </c>
      <c r="Q1474" s="3">
        <v>0</v>
      </c>
      <c r="R1474" s="22" t="s">
        <v>2721</v>
      </c>
      <c r="S1474" s="42" t="s">
        <v>6914</v>
      </c>
      <c r="T1474" s="3" t="s">
        <v>4866</v>
      </c>
      <c r="U1474" s="45">
        <v>35</v>
      </c>
      <c r="V1474" t="s">
        <v>7830</v>
      </c>
      <c r="W1474" s="1" t="str">
        <f>HYPERLINK("http://ictvonline.org/taxonomy/p/taxonomy-history?taxnode_id=201907137","ICTVonline=201907137")</f>
        <v>ICTVonline=201907137</v>
      </c>
    </row>
    <row r="1475" spans="1:23">
      <c r="A1475" s="3">
        <v>1474</v>
      </c>
      <c r="B1475" s="1" t="s">
        <v>6915</v>
      </c>
      <c r="D1475" s="1" t="s">
        <v>6916</v>
      </c>
      <c r="F1475" s="1" t="s">
        <v>6920</v>
      </c>
      <c r="H1475" s="1" t="s">
        <v>6921</v>
      </c>
      <c r="J1475" s="1" t="s">
        <v>1324</v>
      </c>
      <c r="L1475" s="1" t="s">
        <v>895</v>
      </c>
      <c r="N1475" s="1" t="s">
        <v>7828</v>
      </c>
      <c r="P1475" s="1" t="s">
        <v>7834</v>
      </c>
      <c r="Q1475" s="3">
        <v>0</v>
      </c>
      <c r="R1475" s="22" t="s">
        <v>2721</v>
      </c>
      <c r="S1475" s="42" t="s">
        <v>6914</v>
      </c>
      <c r="T1475" s="3" t="s">
        <v>4866</v>
      </c>
      <c r="U1475" s="45">
        <v>35</v>
      </c>
      <c r="V1475" t="s">
        <v>7830</v>
      </c>
      <c r="W1475" s="1" t="str">
        <f>HYPERLINK("http://ictvonline.org/taxonomy/p/taxonomy-history?taxnode_id=201907139","ICTVonline=201907139")</f>
        <v>ICTVonline=201907139</v>
      </c>
    </row>
    <row r="1476" spans="1:23">
      <c r="A1476" s="3">
        <v>1475</v>
      </c>
      <c r="B1476" s="1" t="s">
        <v>6915</v>
      </c>
      <c r="D1476" s="1" t="s">
        <v>6916</v>
      </c>
      <c r="F1476" s="1" t="s">
        <v>6920</v>
      </c>
      <c r="H1476" s="1" t="s">
        <v>6921</v>
      </c>
      <c r="J1476" s="1" t="s">
        <v>1324</v>
      </c>
      <c r="L1476" s="1" t="s">
        <v>895</v>
      </c>
      <c r="N1476" s="1" t="s">
        <v>6542</v>
      </c>
      <c r="P1476" s="1" t="s">
        <v>6543</v>
      </c>
      <c r="Q1476" s="3">
        <v>1</v>
      </c>
      <c r="R1476" s="22" t="s">
        <v>2721</v>
      </c>
      <c r="S1476" s="42" t="s">
        <v>6910</v>
      </c>
      <c r="T1476" s="3" t="s">
        <v>4868</v>
      </c>
      <c r="U1476" s="45">
        <v>35</v>
      </c>
      <c r="V1476" t="s">
        <v>6919</v>
      </c>
      <c r="W1476" s="1" t="str">
        <f>HYPERLINK("http://ictvonline.org/taxonomy/p/taxonomy-history?taxnode_id=201906808","ICTVonline=201906808")</f>
        <v>ICTVonline=201906808</v>
      </c>
    </row>
    <row r="1477" spans="1:23">
      <c r="A1477" s="3">
        <v>1476</v>
      </c>
      <c r="B1477" s="1" t="s">
        <v>6915</v>
      </c>
      <c r="D1477" s="1" t="s">
        <v>6916</v>
      </c>
      <c r="F1477" s="1" t="s">
        <v>6920</v>
      </c>
      <c r="H1477" s="1" t="s">
        <v>6921</v>
      </c>
      <c r="J1477" s="1" t="s">
        <v>1324</v>
      </c>
      <c r="L1477" s="1" t="s">
        <v>895</v>
      </c>
      <c r="N1477" s="1" t="s">
        <v>3094</v>
      </c>
      <c r="P1477" s="1" t="s">
        <v>3095</v>
      </c>
      <c r="Q1477" s="3">
        <v>1</v>
      </c>
      <c r="R1477" s="22" t="s">
        <v>2721</v>
      </c>
      <c r="S1477" s="42" t="s">
        <v>6910</v>
      </c>
      <c r="T1477" s="3" t="s">
        <v>4868</v>
      </c>
      <c r="U1477" s="45">
        <v>35</v>
      </c>
      <c r="V1477" t="s">
        <v>6919</v>
      </c>
      <c r="W1477" s="1" t="str">
        <f>HYPERLINK("http://ictvonline.org/taxonomy/p/taxonomy-history?taxnode_id=201900864","ICTVonline=201900864")</f>
        <v>ICTVonline=201900864</v>
      </c>
    </row>
    <row r="1478" spans="1:23">
      <c r="A1478" s="3">
        <v>1477</v>
      </c>
      <c r="B1478" s="1" t="s">
        <v>6915</v>
      </c>
      <c r="D1478" s="1" t="s">
        <v>6916</v>
      </c>
      <c r="F1478" s="1" t="s">
        <v>6920</v>
      </c>
      <c r="H1478" s="1" t="s">
        <v>6921</v>
      </c>
      <c r="J1478" s="1" t="s">
        <v>1324</v>
      </c>
      <c r="L1478" s="1" t="s">
        <v>895</v>
      </c>
      <c r="N1478" s="1" t="s">
        <v>3094</v>
      </c>
      <c r="P1478" s="1" t="s">
        <v>3096</v>
      </c>
      <c r="Q1478" s="3">
        <v>0</v>
      </c>
      <c r="R1478" s="22" t="s">
        <v>2721</v>
      </c>
      <c r="S1478" s="42" t="s">
        <v>6910</v>
      </c>
      <c r="T1478" s="3" t="s">
        <v>4868</v>
      </c>
      <c r="U1478" s="45">
        <v>35</v>
      </c>
      <c r="V1478" t="s">
        <v>6919</v>
      </c>
      <c r="W1478" s="1" t="str">
        <f>HYPERLINK("http://ictvonline.org/taxonomy/p/taxonomy-history?taxnode_id=201900865","ICTVonline=201900865")</f>
        <v>ICTVonline=201900865</v>
      </c>
    </row>
    <row r="1479" spans="1:23">
      <c r="A1479" s="3">
        <v>1478</v>
      </c>
      <c r="B1479" s="1" t="s">
        <v>6915</v>
      </c>
      <c r="D1479" s="1" t="s">
        <v>6916</v>
      </c>
      <c r="F1479" s="1" t="s">
        <v>6920</v>
      </c>
      <c r="H1479" s="1" t="s">
        <v>6921</v>
      </c>
      <c r="J1479" s="1" t="s">
        <v>1324</v>
      </c>
      <c r="L1479" s="1" t="s">
        <v>895</v>
      </c>
      <c r="N1479" s="1" t="s">
        <v>3094</v>
      </c>
      <c r="P1479" s="1" t="s">
        <v>7835</v>
      </c>
      <c r="Q1479" s="3">
        <v>0</v>
      </c>
      <c r="R1479" s="22" t="s">
        <v>2721</v>
      </c>
      <c r="S1479" s="42" t="s">
        <v>6914</v>
      </c>
      <c r="T1479" s="3" t="s">
        <v>4868</v>
      </c>
      <c r="U1479" s="45">
        <v>35</v>
      </c>
      <c r="V1479" t="s">
        <v>7836</v>
      </c>
      <c r="W1479" s="1" t="str">
        <f>HYPERLINK("http://ictvonline.org/taxonomy/p/taxonomy-history?taxnode_id=201900866","ICTVonline=201900866")</f>
        <v>ICTVonline=201900866</v>
      </c>
    </row>
    <row r="1480" spans="1:23">
      <c r="A1480" s="3">
        <v>1479</v>
      </c>
      <c r="B1480" s="1" t="s">
        <v>6915</v>
      </c>
      <c r="D1480" s="1" t="s">
        <v>6916</v>
      </c>
      <c r="F1480" s="1" t="s">
        <v>6920</v>
      </c>
      <c r="H1480" s="1" t="s">
        <v>6921</v>
      </c>
      <c r="J1480" s="1" t="s">
        <v>1324</v>
      </c>
      <c r="L1480" s="1" t="s">
        <v>895</v>
      </c>
      <c r="N1480" s="1" t="s">
        <v>3094</v>
      </c>
      <c r="P1480" s="1" t="s">
        <v>3097</v>
      </c>
      <c r="Q1480" s="3">
        <v>0</v>
      </c>
      <c r="R1480" s="22" t="s">
        <v>2721</v>
      </c>
      <c r="S1480" s="42" t="s">
        <v>6910</v>
      </c>
      <c r="T1480" s="3" t="s">
        <v>4868</v>
      </c>
      <c r="U1480" s="45">
        <v>35</v>
      </c>
      <c r="V1480" t="s">
        <v>6919</v>
      </c>
      <c r="W1480" s="1" t="str">
        <f>HYPERLINK("http://ictvonline.org/taxonomy/p/taxonomy-history?taxnode_id=201900867","ICTVonline=201900867")</f>
        <v>ICTVonline=201900867</v>
      </c>
    </row>
    <row r="1481" spans="1:23">
      <c r="A1481" s="3">
        <v>1480</v>
      </c>
      <c r="B1481" s="1" t="s">
        <v>6915</v>
      </c>
      <c r="D1481" s="1" t="s">
        <v>6916</v>
      </c>
      <c r="F1481" s="1" t="s">
        <v>6920</v>
      </c>
      <c r="H1481" s="1" t="s">
        <v>6921</v>
      </c>
      <c r="J1481" s="1" t="s">
        <v>1324</v>
      </c>
      <c r="L1481" s="1" t="s">
        <v>895</v>
      </c>
      <c r="N1481" s="1" t="s">
        <v>6544</v>
      </c>
      <c r="P1481" s="1" t="s">
        <v>3343</v>
      </c>
      <c r="Q1481" s="3">
        <v>0</v>
      </c>
      <c r="R1481" s="22" t="s">
        <v>2721</v>
      </c>
      <c r="S1481" s="42" t="s">
        <v>6910</v>
      </c>
      <c r="T1481" s="3" t="s">
        <v>4868</v>
      </c>
      <c r="U1481" s="45">
        <v>35</v>
      </c>
      <c r="V1481" t="s">
        <v>6919</v>
      </c>
      <c r="W1481" s="1" t="str">
        <f>HYPERLINK("http://ictvonline.org/taxonomy/p/taxonomy-history?taxnode_id=201901267","ICTVonline=201901267")</f>
        <v>ICTVonline=201901267</v>
      </c>
    </row>
    <row r="1482" spans="1:23">
      <c r="A1482" s="3">
        <v>1481</v>
      </c>
      <c r="B1482" s="1" t="s">
        <v>6915</v>
      </c>
      <c r="D1482" s="1" t="s">
        <v>6916</v>
      </c>
      <c r="F1482" s="1" t="s">
        <v>6920</v>
      </c>
      <c r="H1482" s="1" t="s">
        <v>6921</v>
      </c>
      <c r="J1482" s="1" t="s">
        <v>1324</v>
      </c>
      <c r="L1482" s="1" t="s">
        <v>895</v>
      </c>
      <c r="N1482" s="1" t="s">
        <v>6544</v>
      </c>
      <c r="P1482" s="1" t="s">
        <v>3344</v>
      </c>
      <c r="Q1482" s="3">
        <v>0</v>
      </c>
      <c r="R1482" s="22" t="s">
        <v>2721</v>
      </c>
      <c r="S1482" s="42" t="s">
        <v>6910</v>
      </c>
      <c r="T1482" s="3" t="s">
        <v>4868</v>
      </c>
      <c r="U1482" s="45">
        <v>35</v>
      </c>
      <c r="V1482" t="s">
        <v>6919</v>
      </c>
      <c r="W1482" s="1" t="str">
        <f>HYPERLINK("http://ictvonline.org/taxonomy/p/taxonomy-history?taxnode_id=201901268","ICTVonline=201901268")</f>
        <v>ICTVonline=201901268</v>
      </c>
    </row>
    <row r="1483" spans="1:23">
      <c r="A1483" s="3">
        <v>1482</v>
      </c>
      <c r="B1483" s="1" t="s">
        <v>6915</v>
      </c>
      <c r="D1483" s="1" t="s">
        <v>6916</v>
      </c>
      <c r="F1483" s="1" t="s">
        <v>6920</v>
      </c>
      <c r="H1483" s="1" t="s">
        <v>6921</v>
      </c>
      <c r="J1483" s="1" t="s">
        <v>1324</v>
      </c>
      <c r="L1483" s="1" t="s">
        <v>895</v>
      </c>
      <c r="N1483" s="1" t="s">
        <v>6544</v>
      </c>
      <c r="P1483" s="1" t="s">
        <v>3345</v>
      </c>
      <c r="Q1483" s="3">
        <v>0</v>
      </c>
      <c r="R1483" s="22" t="s">
        <v>2721</v>
      </c>
      <c r="S1483" s="42" t="s">
        <v>6910</v>
      </c>
      <c r="T1483" s="3" t="s">
        <v>4868</v>
      </c>
      <c r="U1483" s="45">
        <v>35</v>
      </c>
      <c r="V1483" t="s">
        <v>6919</v>
      </c>
      <c r="W1483" s="1" t="str">
        <f>HYPERLINK("http://ictvonline.org/taxonomy/p/taxonomy-history?taxnode_id=201901269","ICTVonline=201901269")</f>
        <v>ICTVonline=201901269</v>
      </c>
    </row>
    <row r="1484" spans="1:23">
      <c r="A1484" s="3">
        <v>1483</v>
      </c>
      <c r="B1484" s="1" t="s">
        <v>6915</v>
      </c>
      <c r="D1484" s="1" t="s">
        <v>6916</v>
      </c>
      <c r="F1484" s="1" t="s">
        <v>6920</v>
      </c>
      <c r="H1484" s="1" t="s">
        <v>6921</v>
      </c>
      <c r="J1484" s="1" t="s">
        <v>1324</v>
      </c>
      <c r="L1484" s="1" t="s">
        <v>895</v>
      </c>
      <c r="N1484" s="1" t="s">
        <v>6544</v>
      </c>
      <c r="P1484" s="1" t="s">
        <v>3346</v>
      </c>
      <c r="Q1484" s="3">
        <v>0</v>
      </c>
      <c r="R1484" s="22" t="s">
        <v>2721</v>
      </c>
      <c r="S1484" s="42" t="s">
        <v>6910</v>
      </c>
      <c r="T1484" s="3" t="s">
        <v>4868</v>
      </c>
      <c r="U1484" s="45">
        <v>35</v>
      </c>
      <c r="V1484" t="s">
        <v>6919</v>
      </c>
      <c r="W1484" s="1" t="str">
        <f>HYPERLINK("http://ictvonline.org/taxonomy/p/taxonomy-history?taxnode_id=201901270","ICTVonline=201901270")</f>
        <v>ICTVonline=201901270</v>
      </c>
    </row>
    <row r="1485" spans="1:23">
      <c r="A1485" s="3">
        <v>1484</v>
      </c>
      <c r="B1485" s="1" t="s">
        <v>6915</v>
      </c>
      <c r="D1485" s="1" t="s">
        <v>6916</v>
      </c>
      <c r="F1485" s="1" t="s">
        <v>6920</v>
      </c>
      <c r="H1485" s="1" t="s">
        <v>6921</v>
      </c>
      <c r="J1485" s="1" t="s">
        <v>1324</v>
      </c>
      <c r="L1485" s="1" t="s">
        <v>895</v>
      </c>
      <c r="N1485" s="1" t="s">
        <v>6544</v>
      </c>
      <c r="P1485" s="1" t="s">
        <v>3347</v>
      </c>
      <c r="Q1485" s="3">
        <v>1</v>
      </c>
      <c r="R1485" s="22" t="s">
        <v>2721</v>
      </c>
      <c r="S1485" s="42" t="s">
        <v>6910</v>
      </c>
      <c r="T1485" s="3" t="s">
        <v>4868</v>
      </c>
      <c r="U1485" s="45">
        <v>35</v>
      </c>
      <c r="V1485" t="s">
        <v>6919</v>
      </c>
      <c r="W1485" s="1" t="str">
        <f>HYPERLINK("http://ictvonline.org/taxonomy/p/taxonomy-history?taxnode_id=201901271","ICTVonline=201901271")</f>
        <v>ICTVonline=201901271</v>
      </c>
    </row>
    <row r="1486" spans="1:23">
      <c r="A1486" s="3">
        <v>1485</v>
      </c>
      <c r="B1486" s="1" t="s">
        <v>6915</v>
      </c>
      <c r="D1486" s="1" t="s">
        <v>6916</v>
      </c>
      <c r="F1486" s="1" t="s">
        <v>6920</v>
      </c>
      <c r="H1486" s="1" t="s">
        <v>6921</v>
      </c>
      <c r="J1486" s="1" t="s">
        <v>1324</v>
      </c>
      <c r="L1486" s="1" t="s">
        <v>895</v>
      </c>
      <c r="N1486" s="1" t="s">
        <v>6545</v>
      </c>
      <c r="P1486" s="1" t="s">
        <v>3158</v>
      </c>
      <c r="Q1486" s="3">
        <v>1</v>
      </c>
      <c r="R1486" s="22" t="s">
        <v>2721</v>
      </c>
      <c r="S1486" s="42" t="s">
        <v>6910</v>
      </c>
      <c r="T1486" s="3" t="s">
        <v>4868</v>
      </c>
      <c r="U1486" s="45">
        <v>35</v>
      </c>
      <c r="V1486" t="s">
        <v>6919</v>
      </c>
      <c r="W1486" s="1" t="str">
        <f>HYPERLINK("http://ictvonline.org/taxonomy/p/taxonomy-history?taxnode_id=201900945","ICTVonline=201900945")</f>
        <v>ICTVonline=201900945</v>
      </c>
    </row>
    <row r="1487" spans="1:23">
      <c r="A1487" s="3">
        <v>1486</v>
      </c>
      <c r="B1487" s="1" t="s">
        <v>6915</v>
      </c>
      <c r="D1487" s="1" t="s">
        <v>6916</v>
      </c>
      <c r="F1487" s="1" t="s">
        <v>6920</v>
      </c>
      <c r="H1487" s="1" t="s">
        <v>6921</v>
      </c>
      <c r="J1487" s="1" t="s">
        <v>1324</v>
      </c>
      <c r="L1487" s="1" t="s">
        <v>895</v>
      </c>
      <c r="N1487" s="1" t="s">
        <v>6545</v>
      </c>
      <c r="P1487" s="1" t="s">
        <v>3159</v>
      </c>
      <c r="Q1487" s="3">
        <v>0</v>
      </c>
      <c r="R1487" s="22" t="s">
        <v>2721</v>
      </c>
      <c r="S1487" s="42" t="s">
        <v>6910</v>
      </c>
      <c r="T1487" s="3" t="s">
        <v>4868</v>
      </c>
      <c r="U1487" s="45">
        <v>35</v>
      </c>
      <c r="V1487" t="s">
        <v>6919</v>
      </c>
      <c r="W1487" s="1" t="str">
        <f>HYPERLINK("http://ictvonline.org/taxonomy/p/taxonomy-history?taxnode_id=201900946","ICTVonline=201900946")</f>
        <v>ICTVonline=201900946</v>
      </c>
    </row>
    <row r="1488" spans="1:23">
      <c r="A1488" s="3">
        <v>1487</v>
      </c>
      <c r="B1488" s="1" t="s">
        <v>6915</v>
      </c>
      <c r="D1488" s="1" t="s">
        <v>6916</v>
      </c>
      <c r="F1488" s="1" t="s">
        <v>6920</v>
      </c>
      <c r="H1488" s="1" t="s">
        <v>6921</v>
      </c>
      <c r="J1488" s="1" t="s">
        <v>1324</v>
      </c>
      <c r="L1488" s="1" t="s">
        <v>895</v>
      </c>
      <c r="N1488" s="1" t="s">
        <v>6545</v>
      </c>
      <c r="P1488" s="1" t="s">
        <v>3160</v>
      </c>
      <c r="Q1488" s="3">
        <v>0</v>
      </c>
      <c r="R1488" s="22" t="s">
        <v>2721</v>
      </c>
      <c r="S1488" s="42" t="s">
        <v>6910</v>
      </c>
      <c r="T1488" s="3" t="s">
        <v>4868</v>
      </c>
      <c r="U1488" s="45">
        <v>35</v>
      </c>
      <c r="V1488" t="s">
        <v>6919</v>
      </c>
      <c r="W1488" s="1" t="str">
        <f>HYPERLINK("http://ictvonline.org/taxonomy/p/taxonomy-history?taxnode_id=201900947","ICTVonline=201900947")</f>
        <v>ICTVonline=201900947</v>
      </c>
    </row>
    <row r="1489" spans="1:23">
      <c r="A1489" s="3">
        <v>1488</v>
      </c>
      <c r="B1489" s="1" t="s">
        <v>6915</v>
      </c>
      <c r="D1489" s="1" t="s">
        <v>6916</v>
      </c>
      <c r="F1489" s="1" t="s">
        <v>6920</v>
      </c>
      <c r="H1489" s="1" t="s">
        <v>6921</v>
      </c>
      <c r="J1489" s="1" t="s">
        <v>1324</v>
      </c>
      <c r="L1489" s="1" t="s">
        <v>895</v>
      </c>
      <c r="N1489" s="1" t="s">
        <v>6545</v>
      </c>
      <c r="P1489" s="1" t="s">
        <v>3161</v>
      </c>
      <c r="Q1489" s="3">
        <v>0</v>
      </c>
      <c r="R1489" s="22" t="s">
        <v>2721</v>
      </c>
      <c r="S1489" s="42" t="s">
        <v>6910</v>
      </c>
      <c r="T1489" s="3" t="s">
        <v>4868</v>
      </c>
      <c r="U1489" s="45">
        <v>35</v>
      </c>
      <c r="V1489" t="s">
        <v>6919</v>
      </c>
      <c r="W1489" s="1" t="str">
        <f>HYPERLINK("http://ictvonline.org/taxonomy/p/taxonomy-history?taxnode_id=201900948","ICTVonline=201900948")</f>
        <v>ICTVonline=201900948</v>
      </c>
    </row>
    <row r="1490" spans="1:23">
      <c r="A1490" s="3">
        <v>1489</v>
      </c>
      <c r="B1490" s="1" t="s">
        <v>6915</v>
      </c>
      <c r="D1490" s="1" t="s">
        <v>6916</v>
      </c>
      <c r="F1490" s="1" t="s">
        <v>6920</v>
      </c>
      <c r="H1490" s="1" t="s">
        <v>6921</v>
      </c>
      <c r="J1490" s="1" t="s">
        <v>1324</v>
      </c>
      <c r="L1490" s="1" t="s">
        <v>895</v>
      </c>
      <c r="N1490" s="1" t="s">
        <v>6545</v>
      </c>
      <c r="P1490" s="1" t="s">
        <v>3162</v>
      </c>
      <c r="Q1490" s="3">
        <v>0</v>
      </c>
      <c r="R1490" s="22" t="s">
        <v>2721</v>
      </c>
      <c r="S1490" s="42" t="s">
        <v>6910</v>
      </c>
      <c r="T1490" s="3" t="s">
        <v>4868</v>
      </c>
      <c r="U1490" s="45">
        <v>35</v>
      </c>
      <c r="V1490" t="s">
        <v>6919</v>
      </c>
      <c r="W1490" s="1" t="str">
        <f>HYPERLINK("http://ictvonline.org/taxonomy/p/taxonomy-history?taxnode_id=201900949","ICTVonline=201900949")</f>
        <v>ICTVonline=201900949</v>
      </c>
    </row>
    <row r="1491" spans="1:23">
      <c r="A1491" s="3">
        <v>1490</v>
      </c>
      <c r="B1491" s="1" t="s">
        <v>6915</v>
      </c>
      <c r="D1491" s="1" t="s">
        <v>6916</v>
      </c>
      <c r="F1491" s="1" t="s">
        <v>6920</v>
      </c>
      <c r="H1491" s="1" t="s">
        <v>6921</v>
      </c>
      <c r="J1491" s="1" t="s">
        <v>1324</v>
      </c>
      <c r="L1491" s="1" t="s">
        <v>895</v>
      </c>
      <c r="N1491" s="1" t="s">
        <v>6545</v>
      </c>
      <c r="P1491" s="1" t="s">
        <v>3163</v>
      </c>
      <c r="Q1491" s="3">
        <v>0</v>
      </c>
      <c r="R1491" s="22" t="s">
        <v>2721</v>
      </c>
      <c r="S1491" s="42" t="s">
        <v>6910</v>
      </c>
      <c r="T1491" s="3" t="s">
        <v>4868</v>
      </c>
      <c r="U1491" s="45">
        <v>35</v>
      </c>
      <c r="V1491" t="s">
        <v>6919</v>
      </c>
      <c r="W1491" s="1" t="str">
        <f>HYPERLINK("http://ictvonline.org/taxonomy/p/taxonomy-history?taxnode_id=201900950","ICTVonline=201900950")</f>
        <v>ICTVonline=201900950</v>
      </c>
    </row>
    <row r="1492" spans="1:23">
      <c r="A1492" s="3">
        <v>1491</v>
      </c>
      <c r="B1492" s="1" t="s">
        <v>6915</v>
      </c>
      <c r="D1492" s="1" t="s">
        <v>6916</v>
      </c>
      <c r="F1492" s="1" t="s">
        <v>6920</v>
      </c>
      <c r="H1492" s="1" t="s">
        <v>6921</v>
      </c>
      <c r="J1492" s="1" t="s">
        <v>1324</v>
      </c>
      <c r="L1492" s="1" t="s">
        <v>895</v>
      </c>
      <c r="N1492" s="1" t="s">
        <v>6545</v>
      </c>
      <c r="P1492" s="1" t="s">
        <v>3164</v>
      </c>
      <c r="Q1492" s="3">
        <v>0</v>
      </c>
      <c r="R1492" s="22" t="s">
        <v>2721</v>
      </c>
      <c r="S1492" s="42" t="s">
        <v>6910</v>
      </c>
      <c r="T1492" s="3" t="s">
        <v>4868</v>
      </c>
      <c r="U1492" s="45">
        <v>35</v>
      </c>
      <c r="V1492" t="s">
        <v>6919</v>
      </c>
      <c r="W1492" s="1" t="str">
        <f>HYPERLINK("http://ictvonline.org/taxonomy/p/taxonomy-history?taxnode_id=201900951","ICTVonline=201900951")</f>
        <v>ICTVonline=201900951</v>
      </c>
    </row>
    <row r="1493" spans="1:23">
      <c r="A1493" s="3">
        <v>1492</v>
      </c>
      <c r="B1493" s="1" t="s">
        <v>6915</v>
      </c>
      <c r="D1493" s="1" t="s">
        <v>6916</v>
      </c>
      <c r="F1493" s="1" t="s">
        <v>6920</v>
      </c>
      <c r="H1493" s="1" t="s">
        <v>6921</v>
      </c>
      <c r="J1493" s="1" t="s">
        <v>1324</v>
      </c>
      <c r="L1493" s="1" t="s">
        <v>895</v>
      </c>
      <c r="N1493" s="1" t="s">
        <v>6545</v>
      </c>
      <c r="P1493" s="1" t="s">
        <v>3165</v>
      </c>
      <c r="Q1493" s="3">
        <v>0</v>
      </c>
      <c r="R1493" s="22" t="s">
        <v>2721</v>
      </c>
      <c r="S1493" s="42" t="s">
        <v>6910</v>
      </c>
      <c r="T1493" s="3" t="s">
        <v>4868</v>
      </c>
      <c r="U1493" s="45">
        <v>35</v>
      </c>
      <c r="V1493" t="s">
        <v>6919</v>
      </c>
      <c r="W1493" s="1" t="str">
        <f>HYPERLINK("http://ictvonline.org/taxonomy/p/taxonomy-history?taxnode_id=201900952","ICTVonline=201900952")</f>
        <v>ICTVonline=201900952</v>
      </c>
    </row>
    <row r="1494" spans="1:23">
      <c r="A1494" s="3">
        <v>1493</v>
      </c>
      <c r="B1494" s="1" t="s">
        <v>6915</v>
      </c>
      <c r="D1494" s="1" t="s">
        <v>6916</v>
      </c>
      <c r="F1494" s="1" t="s">
        <v>6920</v>
      </c>
      <c r="H1494" s="1" t="s">
        <v>6921</v>
      </c>
      <c r="J1494" s="1" t="s">
        <v>1324</v>
      </c>
      <c r="L1494" s="1" t="s">
        <v>895</v>
      </c>
      <c r="N1494" s="1" t="s">
        <v>3105</v>
      </c>
      <c r="P1494" s="1" t="s">
        <v>3106</v>
      </c>
      <c r="Q1494" s="3">
        <v>1</v>
      </c>
      <c r="R1494" s="22" t="s">
        <v>2721</v>
      </c>
      <c r="S1494" s="42" t="s">
        <v>6910</v>
      </c>
      <c r="T1494" s="3" t="s">
        <v>4868</v>
      </c>
      <c r="U1494" s="45">
        <v>35</v>
      </c>
      <c r="V1494" t="s">
        <v>6919</v>
      </c>
      <c r="W1494" s="1" t="str">
        <f>HYPERLINK("http://ictvonline.org/taxonomy/p/taxonomy-history?taxnode_id=201900883","ICTVonline=201900883")</f>
        <v>ICTVonline=201900883</v>
      </c>
    </row>
    <row r="1495" spans="1:23">
      <c r="A1495" s="3">
        <v>1494</v>
      </c>
      <c r="B1495" s="1" t="s">
        <v>6915</v>
      </c>
      <c r="D1495" s="1" t="s">
        <v>6916</v>
      </c>
      <c r="F1495" s="1" t="s">
        <v>6920</v>
      </c>
      <c r="H1495" s="1" t="s">
        <v>6921</v>
      </c>
      <c r="J1495" s="1" t="s">
        <v>1324</v>
      </c>
      <c r="L1495" s="1" t="s">
        <v>895</v>
      </c>
      <c r="N1495" s="1" t="s">
        <v>3107</v>
      </c>
      <c r="P1495" s="1" t="s">
        <v>3108</v>
      </c>
      <c r="Q1495" s="3">
        <v>0</v>
      </c>
      <c r="R1495" s="22" t="s">
        <v>2721</v>
      </c>
      <c r="S1495" s="42" t="s">
        <v>6910</v>
      </c>
      <c r="T1495" s="3" t="s">
        <v>4868</v>
      </c>
      <c r="U1495" s="45">
        <v>35</v>
      </c>
      <c r="V1495" t="s">
        <v>6919</v>
      </c>
      <c r="W1495" s="1" t="str">
        <f>HYPERLINK("http://ictvonline.org/taxonomy/p/taxonomy-history?taxnode_id=201900885","ICTVonline=201900885")</f>
        <v>ICTVonline=201900885</v>
      </c>
    </row>
    <row r="1496" spans="1:23">
      <c r="A1496" s="3">
        <v>1495</v>
      </c>
      <c r="B1496" s="1" t="s">
        <v>6915</v>
      </c>
      <c r="D1496" s="1" t="s">
        <v>6916</v>
      </c>
      <c r="F1496" s="1" t="s">
        <v>6920</v>
      </c>
      <c r="H1496" s="1" t="s">
        <v>6921</v>
      </c>
      <c r="J1496" s="1" t="s">
        <v>1324</v>
      </c>
      <c r="L1496" s="1" t="s">
        <v>895</v>
      </c>
      <c r="N1496" s="1" t="s">
        <v>3107</v>
      </c>
      <c r="P1496" s="1" t="s">
        <v>3109</v>
      </c>
      <c r="Q1496" s="3">
        <v>1</v>
      </c>
      <c r="R1496" s="22" t="s">
        <v>2721</v>
      </c>
      <c r="S1496" s="42" t="s">
        <v>6910</v>
      </c>
      <c r="T1496" s="3" t="s">
        <v>4868</v>
      </c>
      <c r="U1496" s="45">
        <v>35</v>
      </c>
      <c r="V1496" t="s">
        <v>6919</v>
      </c>
      <c r="W1496" s="1" t="str">
        <f>HYPERLINK("http://ictvonline.org/taxonomy/p/taxonomy-history?taxnode_id=201900886","ICTVonline=201900886")</f>
        <v>ICTVonline=201900886</v>
      </c>
    </row>
    <row r="1497" spans="1:23">
      <c r="A1497" s="3">
        <v>1496</v>
      </c>
      <c r="B1497" s="1" t="s">
        <v>6915</v>
      </c>
      <c r="D1497" s="1" t="s">
        <v>6916</v>
      </c>
      <c r="F1497" s="1" t="s">
        <v>6920</v>
      </c>
      <c r="H1497" s="1" t="s">
        <v>6921</v>
      </c>
      <c r="J1497" s="1" t="s">
        <v>1324</v>
      </c>
      <c r="L1497" s="1" t="s">
        <v>895</v>
      </c>
      <c r="N1497" s="1" t="s">
        <v>6546</v>
      </c>
      <c r="P1497" s="1" t="s">
        <v>3098</v>
      </c>
      <c r="Q1497" s="3">
        <v>0</v>
      </c>
      <c r="R1497" s="22" t="s">
        <v>2721</v>
      </c>
      <c r="S1497" s="42" t="s">
        <v>6910</v>
      </c>
      <c r="T1497" s="3" t="s">
        <v>4868</v>
      </c>
      <c r="U1497" s="45">
        <v>35</v>
      </c>
      <c r="V1497" t="s">
        <v>6919</v>
      </c>
      <c r="W1497" s="1" t="str">
        <f>HYPERLINK("http://ictvonline.org/taxonomy/p/taxonomy-history?taxnode_id=201900869","ICTVonline=201900869")</f>
        <v>ICTVonline=201900869</v>
      </c>
    </row>
    <row r="1498" spans="1:23">
      <c r="A1498" s="3">
        <v>1497</v>
      </c>
      <c r="B1498" s="1" t="s">
        <v>6915</v>
      </c>
      <c r="D1498" s="1" t="s">
        <v>6916</v>
      </c>
      <c r="F1498" s="1" t="s">
        <v>6920</v>
      </c>
      <c r="H1498" s="1" t="s">
        <v>6921</v>
      </c>
      <c r="J1498" s="1" t="s">
        <v>1324</v>
      </c>
      <c r="L1498" s="1" t="s">
        <v>895</v>
      </c>
      <c r="N1498" s="1" t="s">
        <v>6546</v>
      </c>
      <c r="P1498" s="1" t="s">
        <v>3099</v>
      </c>
      <c r="Q1498" s="3">
        <v>1</v>
      </c>
      <c r="R1498" s="22" t="s">
        <v>2721</v>
      </c>
      <c r="S1498" s="42" t="s">
        <v>6910</v>
      </c>
      <c r="T1498" s="3" t="s">
        <v>4868</v>
      </c>
      <c r="U1498" s="45">
        <v>35</v>
      </c>
      <c r="V1498" t="s">
        <v>6919</v>
      </c>
      <c r="W1498" s="1" t="str">
        <f>HYPERLINK("http://ictvonline.org/taxonomy/p/taxonomy-history?taxnode_id=201900870","ICTVonline=201900870")</f>
        <v>ICTVonline=201900870</v>
      </c>
    </row>
    <row r="1499" spans="1:23">
      <c r="A1499" s="3">
        <v>1498</v>
      </c>
      <c r="B1499" s="1" t="s">
        <v>6915</v>
      </c>
      <c r="D1499" s="1" t="s">
        <v>6916</v>
      </c>
      <c r="F1499" s="1" t="s">
        <v>6920</v>
      </c>
      <c r="H1499" s="1" t="s">
        <v>6921</v>
      </c>
      <c r="J1499" s="1" t="s">
        <v>1324</v>
      </c>
      <c r="L1499" s="1" t="s">
        <v>895</v>
      </c>
      <c r="N1499" s="1" t="s">
        <v>6547</v>
      </c>
      <c r="P1499" s="1" t="s">
        <v>6548</v>
      </c>
      <c r="Q1499" s="3">
        <v>1</v>
      </c>
      <c r="R1499" s="22" t="s">
        <v>2721</v>
      </c>
      <c r="S1499" s="42" t="s">
        <v>6910</v>
      </c>
      <c r="T1499" s="3" t="s">
        <v>4868</v>
      </c>
      <c r="U1499" s="45">
        <v>35</v>
      </c>
      <c r="V1499" t="s">
        <v>6919</v>
      </c>
      <c r="W1499" s="1" t="str">
        <f>HYPERLINK("http://ictvonline.org/taxonomy/p/taxonomy-history?taxnode_id=201906763","ICTVonline=201906763")</f>
        <v>ICTVonline=201906763</v>
      </c>
    </row>
    <row r="1500" spans="1:23">
      <c r="A1500" s="3">
        <v>1499</v>
      </c>
      <c r="B1500" s="1" t="s">
        <v>6915</v>
      </c>
      <c r="D1500" s="1" t="s">
        <v>6916</v>
      </c>
      <c r="F1500" s="1" t="s">
        <v>6920</v>
      </c>
      <c r="H1500" s="1" t="s">
        <v>6921</v>
      </c>
      <c r="J1500" s="1" t="s">
        <v>1324</v>
      </c>
      <c r="L1500" s="1" t="s">
        <v>895</v>
      </c>
      <c r="N1500" s="1" t="s">
        <v>6547</v>
      </c>
      <c r="P1500" s="1" t="s">
        <v>6549</v>
      </c>
      <c r="Q1500" s="3">
        <v>0</v>
      </c>
      <c r="R1500" s="22" t="s">
        <v>2721</v>
      </c>
      <c r="S1500" s="42" t="s">
        <v>6910</v>
      </c>
      <c r="T1500" s="3" t="s">
        <v>4868</v>
      </c>
      <c r="U1500" s="45">
        <v>35</v>
      </c>
      <c r="V1500" t="s">
        <v>6919</v>
      </c>
      <c r="W1500" s="1" t="str">
        <f>HYPERLINK("http://ictvonline.org/taxonomy/p/taxonomy-history?taxnode_id=201906765","ICTVonline=201906765")</f>
        <v>ICTVonline=201906765</v>
      </c>
    </row>
    <row r="1501" spans="1:23">
      <c r="A1501" s="3">
        <v>1500</v>
      </c>
      <c r="B1501" s="1" t="s">
        <v>6915</v>
      </c>
      <c r="D1501" s="1" t="s">
        <v>6916</v>
      </c>
      <c r="F1501" s="1" t="s">
        <v>6920</v>
      </c>
      <c r="H1501" s="1" t="s">
        <v>6921</v>
      </c>
      <c r="J1501" s="1" t="s">
        <v>1324</v>
      </c>
      <c r="L1501" s="1" t="s">
        <v>895</v>
      </c>
      <c r="N1501" s="1" t="s">
        <v>6547</v>
      </c>
      <c r="P1501" s="1" t="s">
        <v>6550</v>
      </c>
      <c r="Q1501" s="3">
        <v>0</v>
      </c>
      <c r="R1501" s="22" t="s">
        <v>2721</v>
      </c>
      <c r="S1501" s="42" t="s">
        <v>6910</v>
      </c>
      <c r="T1501" s="3" t="s">
        <v>4868</v>
      </c>
      <c r="U1501" s="45">
        <v>35</v>
      </c>
      <c r="V1501" t="s">
        <v>6919</v>
      </c>
      <c r="W1501" s="1" t="str">
        <f>HYPERLINK("http://ictvonline.org/taxonomy/p/taxonomy-history?taxnode_id=201906764","ICTVonline=201906764")</f>
        <v>ICTVonline=201906764</v>
      </c>
    </row>
    <row r="1502" spans="1:23">
      <c r="A1502" s="3">
        <v>1501</v>
      </c>
      <c r="B1502" s="1" t="s">
        <v>6915</v>
      </c>
      <c r="D1502" s="1" t="s">
        <v>6916</v>
      </c>
      <c r="F1502" s="1" t="s">
        <v>6920</v>
      </c>
      <c r="H1502" s="1" t="s">
        <v>6921</v>
      </c>
      <c r="J1502" s="1" t="s">
        <v>1324</v>
      </c>
      <c r="L1502" s="1" t="s">
        <v>895</v>
      </c>
      <c r="N1502" s="1" t="s">
        <v>6551</v>
      </c>
      <c r="P1502" s="1" t="s">
        <v>3100</v>
      </c>
      <c r="Q1502" s="3">
        <v>1</v>
      </c>
      <c r="R1502" s="22" t="s">
        <v>2721</v>
      </c>
      <c r="S1502" s="42" t="s">
        <v>6910</v>
      </c>
      <c r="T1502" s="3" t="s">
        <v>4868</v>
      </c>
      <c r="U1502" s="45">
        <v>35</v>
      </c>
      <c r="V1502" t="s">
        <v>6919</v>
      </c>
      <c r="W1502" s="1" t="str">
        <f>HYPERLINK("http://ictvonline.org/taxonomy/p/taxonomy-history?taxnode_id=201900872","ICTVonline=201900872")</f>
        <v>ICTVonline=201900872</v>
      </c>
    </row>
    <row r="1503" spans="1:23">
      <c r="A1503" s="3">
        <v>1502</v>
      </c>
      <c r="B1503" s="1" t="s">
        <v>6915</v>
      </c>
      <c r="D1503" s="1" t="s">
        <v>6916</v>
      </c>
      <c r="F1503" s="1" t="s">
        <v>6920</v>
      </c>
      <c r="H1503" s="1" t="s">
        <v>6921</v>
      </c>
      <c r="J1503" s="1" t="s">
        <v>1324</v>
      </c>
      <c r="L1503" s="1" t="s">
        <v>895</v>
      </c>
      <c r="N1503" s="1" t="s">
        <v>6551</v>
      </c>
      <c r="P1503" s="1" t="s">
        <v>4302</v>
      </c>
      <c r="Q1503" s="3">
        <v>0</v>
      </c>
      <c r="R1503" s="22" t="s">
        <v>2721</v>
      </c>
      <c r="S1503" s="42" t="s">
        <v>6910</v>
      </c>
      <c r="T1503" s="3" t="s">
        <v>4868</v>
      </c>
      <c r="U1503" s="45">
        <v>35</v>
      </c>
      <c r="V1503" t="s">
        <v>6919</v>
      </c>
      <c r="W1503" s="1" t="str">
        <f>HYPERLINK("http://ictvonline.org/taxonomy/p/taxonomy-history?taxnode_id=201900873","ICTVonline=201900873")</f>
        <v>ICTVonline=201900873</v>
      </c>
    </row>
    <row r="1504" spans="1:23">
      <c r="A1504" s="3">
        <v>1503</v>
      </c>
      <c r="B1504" s="1" t="s">
        <v>6915</v>
      </c>
      <c r="D1504" s="1" t="s">
        <v>6916</v>
      </c>
      <c r="F1504" s="1" t="s">
        <v>6920</v>
      </c>
      <c r="H1504" s="1" t="s">
        <v>6921</v>
      </c>
      <c r="J1504" s="1" t="s">
        <v>1324</v>
      </c>
      <c r="L1504" s="1" t="s">
        <v>895</v>
      </c>
      <c r="N1504" s="1" t="s">
        <v>6551</v>
      </c>
      <c r="P1504" s="1" t="s">
        <v>4303</v>
      </c>
      <c r="Q1504" s="3">
        <v>0</v>
      </c>
      <c r="R1504" s="22" t="s">
        <v>2721</v>
      </c>
      <c r="S1504" s="42" t="s">
        <v>6910</v>
      </c>
      <c r="T1504" s="3" t="s">
        <v>4868</v>
      </c>
      <c r="U1504" s="45">
        <v>35</v>
      </c>
      <c r="V1504" t="s">
        <v>6919</v>
      </c>
      <c r="W1504" s="1" t="str">
        <f>HYPERLINK("http://ictvonline.org/taxonomy/p/taxonomy-history?taxnode_id=201900874","ICTVonline=201900874")</f>
        <v>ICTVonline=201900874</v>
      </c>
    </row>
    <row r="1505" spans="1:23">
      <c r="A1505" s="3">
        <v>1504</v>
      </c>
      <c r="B1505" s="1" t="s">
        <v>6915</v>
      </c>
      <c r="D1505" s="1" t="s">
        <v>6916</v>
      </c>
      <c r="F1505" s="1" t="s">
        <v>6920</v>
      </c>
      <c r="H1505" s="1" t="s">
        <v>6921</v>
      </c>
      <c r="J1505" s="1" t="s">
        <v>1324</v>
      </c>
      <c r="L1505" s="1" t="s">
        <v>895</v>
      </c>
      <c r="N1505" s="1" t="s">
        <v>6551</v>
      </c>
      <c r="P1505" s="1" t="s">
        <v>4304</v>
      </c>
      <c r="Q1505" s="3">
        <v>0</v>
      </c>
      <c r="R1505" s="22" t="s">
        <v>2721</v>
      </c>
      <c r="S1505" s="42" t="s">
        <v>6910</v>
      </c>
      <c r="T1505" s="3" t="s">
        <v>4868</v>
      </c>
      <c r="U1505" s="45">
        <v>35</v>
      </c>
      <c r="V1505" t="s">
        <v>6919</v>
      </c>
      <c r="W1505" s="1" t="str">
        <f>HYPERLINK("http://ictvonline.org/taxonomy/p/taxonomy-history?taxnode_id=201900875","ICTVonline=201900875")</f>
        <v>ICTVonline=201900875</v>
      </c>
    </row>
    <row r="1506" spans="1:23">
      <c r="A1506" s="3">
        <v>1505</v>
      </c>
      <c r="B1506" s="1" t="s">
        <v>6915</v>
      </c>
      <c r="D1506" s="1" t="s">
        <v>6916</v>
      </c>
      <c r="F1506" s="1" t="s">
        <v>6920</v>
      </c>
      <c r="H1506" s="1" t="s">
        <v>6921</v>
      </c>
      <c r="J1506" s="1" t="s">
        <v>1324</v>
      </c>
      <c r="L1506" s="1" t="s">
        <v>895</v>
      </c>
      <c r="N1506" s="1" t="s">
        <v>6551</v>
      </c>
      <c r="P1506" s="1" t="s">
        <v>3101</v>
      </c>
      <c r="Q1506" s="3">
        <v>0</v>
      </c>
      <c r="R1506" s="22" t="s">
        <v>2721</v>
      </c>
      <c r="S1506" s="42" t="s">
        <v>6910</v>
      </c>
      <c r="T1506" s="3" t="s">
        <v>4868</v>
      </c>
      <c r="U1506" s="45">
        <v>35</v>
      </c>
      <c r="V1506" t="s">
        <v>6919</v>
      </c>
      <c r="W1506" s="1" t="str">
        <f>HYPERLINK("http://ictvonline.org/taxonomy/p/taxonomy-history?taxnode_id=201900876","ICTVonline=201900876")</f>
        <v>ICTVonline=201900876</v>
      </c>
    </row>
    <row r="1507" spans="1:23">
      <c r="A1507" s="3">
        <v>1506</v>
      </c>
      <c r="B1507" s="1" t="s">
        <v>6915</v>
      </c>
      <c r="D1507" s="1" t="s">
        <v>6916</v>
      </c>
      <c r="F1507" s="1" t="s">
        <v>6920</v>
      </c>
      <c r="H1507" s="1" t="s">
        <v>6921</v>
      </c>
      <c r="J1507" s="1" t="s">
        <v>1324</v>
      </c>
      <c r="L1507" s="1" t="s">
        <v>895</v>
      </c>
      <c r="N1507" s="1" t="s">
        <v>6551</v>
      </c>
      <c r="P1507" s="1" t="s">
        <v>4305</v>
      </c>
      <c r="Q1507" s="3">
        <v>0</v>
      </c>
      <c r="R1507" s="22" t="s">
        <v>2721</v>
      </c>
      <c r="S1507" s="42" t="s">
        <v>6910</v>
      </c>
      <c r="T1507" s="3" t="s">
        <v>4868</v>
      </c>
      <c r="U1507" s="45">
        <v>35</v>
      </c>
      <c r="V1507" t="s">
        <v>6919</v>
      </c>
      <c r="W1507" s="1" t="str">
        <f>HYPERLINK("http://ictvonline.org/taxonomy/p/taxonomy-history?taxnode_id=201900877","ICTVonline=201900877")</f>
        <v>ICTVonline=201900877</v>
      </c>
    </row>
    <row r="1508" spans="1:23">
      <c r="A1508" s="3">
        <v>1507</v>
      </c>
      <c r="B1508" s="1" t="s">
        <v>6915</v>
      </c>
      <c r="D1508" s="1" t="s">
        <v>6916</v>
      </c>
      <c r="F1508" s="1" t="s">
        <v>6920</v>
      </c>
      <c r="H1508" s="1" t="s">
        <v>6921</v>
      </c>
      <c r="J1508" s="1" t="s">
        <v>1324</v>
      </c>
      <c r="L1508" s="1" t="s">
        <v>895</v>
      </c>
      <c r="N1508" s="1" t="s">
        <v>6556</v>
      </c>
      <c r="P1508" s="1" t="s">
        <v>3139</v>
      </c>
      <c r="Q1508" s="3">
        <v>1</v>
      </c>
      <c r="R1508" s="22" t="s">
        <v>2721</v>
      </c>
      <c r="S1508" s="42" t="s">
        <v>6910</v>
      </c>
      <c r="T1508" s="3" t="s">
        <v>4868</v>
      </c>
      <c r="U1508" s="45">
        <v>35</v>
      </c>
      <c r="V1508" t="s">
        <v>6919</v>
      </c>
      <c r="W1508" s="1" t="str">
        <f>HYPERLINK("http://ictvonline.org/taxonomy/p/taxonomy-history?taxnode_id=201900922","ICTVonline=201900922")</f>
        <v>ICTVonline=201900922</v>
      </c>
    </row>
    <row r="1509" spans="1:23">
      <c r="A1509" s="3">
        <v>1508</v>
      </c>
      <c r="B1509" s="1" t="s">
        <v>6915</v>
      </c>
      <c r="D1509" s="1" t="s">
        <v>6916</v>
      </c>
      <c r="F1509" s="1" t="s">
        <v>6920</v>
      </c>
      <c r="H1509" s="1" t="s">
        <v>6921</v>
      </c>
      <c r="J1509" s="1" t="s">
        <v>1324</v>
      </c>
      <c r="L1509" s="1" t="s">
        <v>895</v>
      </c>
      <c r="N1509" s="1" t="s">
        <v>6556</v>
      </c>
      <c r="P1509" s="1" t="s">
        <v>4967</v>
      </c>
      <c r="Q1509" s="3">
        <v>0</v>
      </c>
      <c r="R1509" s="22" t="s">
        <v>2721</v>
      </c>
      <c r="S1509" s="42" t="s">
        <v>6910</v>
      </c>
      <c r="T1509" s="3" t="s">
        <v>4868</v>
      </c>
      <c r="U1509" s="45">
        <v>35</v>
      </c>
      <c r="V1509" t="s">
        <v>6919</v>
      </c>
      <c r="W1509" s="1" t="str">
        <f>HYPERLINK("http://ictvonline.org/taxonomy/p/taxonomy-history?taxnode_id=201905506","ICTVonline=201905506")</f>
        <v>ICTVonline=201905506</v>
      </c>
    </row>
    <row r="1510" spans="1:23">
      <c r="A1510" s="3">
        <v>1509</v>
      </c>
      <c r="B1510" s="1" t="s">
        <v>6915</v>
      </c>
      <c r="D1510" s="1" t="s">
        <v>6916</v>
      </c>
      <c r="F1510" s="1" t="s">
        <v>6920</v>
      </c>
      <c r="H1510" s="1" t="s">
        <v>6921</v>
      </c>
      <c r="J1510" s="1" t="s">
        <v>1324</v>
      </c>
      <c r="L1510" s="1" t="s">
        <v>895</v>
      </c>
      <c r="N1510" s="1" t="s">
        <v>6557</v>
      </c>
      <c r="P1510" s="1" t="s">
        <v>3113</v>
      </c>
      <c r="Q1510" s="3">
        <v>0</v>
      </c>
      <c r="R1510" s="22" t="s">
        <v>2721</v>
      </c>
      <c r="S1510" s="42" t="s">
        <v>6910</v>
      </c>
      <c r="T1510" s="3" t="s">
        <v>4868</v>
      </c>
      <c r="U1510" s="45">
        <v>35</v>
      </c>
      <c r="V1510" t="s">
        <v>6919</v>
      </c>
      <c r="W1510" s="1" t="str">
        <f>HYPERLINK("http://ictvonline.org/taxonomy/p/taxonomy-history?taxnode_id=201900891","ICTVonline=201900891")</f>
        <v>ICTVonline=201900891</v>
      </c>
    </row>
    <row r="1511" spans="1:23">
      <c r="A1511" s="3">
        <v>1510</v>
      </c>
      <c r="B1511" s="1" t="s">
        <v>6915</v>
      </c>
      <c r="D1511" s="1" t="s">
        <v>6916</v>
      </c>
      <c r="F1511" s="1" t="s">
        <v>6920</v>
      </c>
      <c r="H1511" s="1" t="s">
        <v>6921</v>
      </c>
      <c r="J1511" s="1" t="s">
        <v>1324</v>
      </c>
      <c r="L1511" s="1" t="s">
        <v>895</v>
      </c>
      <c r="N1511" s="1" t="s">
        <v>6557</v>
      </c>
      <c r="P1511" s="1" t="s">
        <v>3114</v>
      </c>
      <c r="Q1511" s="3">
        <v>0</v>
      </c>
      <c r="R1511" s="22" t="s">
        <v>2721</v>
      </c>
      <c r="S1511" s="42" t="s">
        <v>6910</v>
      </c>
      <c r="T1511" s="3" t="s">
        <v>4868</v>
      </c>
      <c r="U1511" s="45">
        <v>35</v>
      </c>
      <c r="V1511" t="s">
        <v>6919</v>
      </c>
      <c r="W1511" s="1" t="str">
        <f>HYPERLINK("http://ictvonline.org/taxonomy/p/taxonomy-history?taxnode_id=201900892","ICTVonline=201900892")</f>
        <v>ICTVonline=201900892</v>
      </c>
    </row>
    <row r="1512" spans="1:23">
      <c r="A1512" s="3">
        <v>1511</v>
      </c>
      <c r="B1512" s="1" t="s">
        <v>6915</v>
      </c>
      <c r="D1512" s="1" t="s">
        <v>6916</v>
      </c>
      <c r="F1512" s="1" t="s">
        <v>6920</v>
      </c>
      <c r="H1512" s="1" t="s">
        <v>6921</v>
      </c>
      <c r="J1512" s="1" t="s">
        <v>1324</v>
      </c>
      <c r="L1512" s="1" t="s">
        <v>895</v>
      </c>
      <c r="N1512" s="1" t="s">
        <v>6557</v>
      </c>
      <c r="P1512" s="1" t="s">
        <v>3115</v>
      </c>
      <c r="Q1512" s="3">
        <v>0</v>
      </c>
      <c r="R1512" s="22" t="s">
        <v>2721</v>
      </c>
      <c r="S1512" s="42" t="s">
        <v>6910</v>
      </c>
      <c r="T1512" s="3" t="s">
        <v>4868</v>
      </c>
      <c r="U1512" s="45">
        <v>35</v>
      </c>
      <c r="V1512" t="s">
        <v>6919</v>
      </c>
      <c r="W1512" s="1" t="str">
        <f>HYPERLINK("http://ictvonline.org/taxonomy/p/taxonomy-history?taxnode_id=201900893","ICTVonline=201900893")</f>
        <v>ICTVonline=201900893</v>
      </c>
    </row>
    <row r="1513" spans="1:23">
      <c r="A1513" s="3">
        <v>1512</v>
      </c>
      <c r="B1513" s="1" t="s">
        <v>6915</v>
      </c>
      <c r="D1513" s="1" t="s">
        <v>6916</v>
      </c>
      <c r="F1513" s="1" t="s">
        <v>6920</v>
      </c>
      <c r="H1513" s="1" t="s">
        <v>6921</v>
      </c>
      <c r="J1513" s="1" t="s">
        <v>1324</v>
      </c>
      <c r="L1513" s="1" t="s">
        <v>895</v>
      </c>
      <c r="N1513" s="1" t="s">
        <v>6557</v>
      </c>
      <c r="P1513" s="1" t="s">
        <v>3116</v>
      </c>
      <c r="Q1513" s="3">
        <v>1</v>
      </c>
      <c r="R1513" s="22" t="s">
        <v>2721</v>
      </c>
      <c r="S1513" s="42" t="s">
        <v>6910</v>
      </c>
      <c r="T1513" s="3" t="s">
        <v>4868</v>
      </c>
      <c r="U1513" s="45">
        <v>35</v>
      </c>
      <c r="V1513" t="s">
        <v>6919</v>
      </c>
      <c r="W1513" s="1" t="str">
        <f>HYPERLINK("http://ictvonline.org/taxonomy/p/taxonomy-history?taxnode_id=201900894","ICTVonline=201900894")</f>
        <v>ICTVonline=201900894</v>
      </c>
    </row>
    <row r="1514" spans="1:23">
      <c r="A1514" s="3">
        <v>1513</v>
      </c>
      <c r="B1514" s="1" t="s">
        <v>6915</v>
      </c>
      <c r="D1514" s="1" t="s">
        <v>6916</v>
      </c>
      <c r="F1514" s="1" t="s">
        <v>6920</v>
      </c>
      <c r="H1514" s="1" t="s">
        <v>6921</v>
      </c>
      <c r="J1514" s="1" t="s">
        <v>1324</v>
      </c>
      <c r="L1514" s="1" t="s">
        <v>895</v>
      </c>
      <c r="N1514" s="1" t="s">
        <v>6557</v>
      </c>
      <c r="P1514" s="1" t="s">
        <v>3117</v>
      </c>
      <c r="Q1514" s="3">
        <v>0</v>
      </c>
      <c r="R1514" s="22" t="s">
        <v>2721</v>
      </c>
      <c r="S1514" s="42" t="s">
        <v>6910</v>
      </c>
      <c r="T1514" s="3" t="s">
        <v>4868</v>
      </c>
      <c r="U1514" s="45">
        <v>35</v>
      </c>
      <c r="V1514" t="s">
        <v>6919</v>
      </c>
      <c r="W1514" s="1" t="str">
        <f>HYPERLINK("http://ictvonline.org/taxonomy/p/taxonomy-history?taxnode_id=201900895","ICTVonline=201900895")</f>
        <v>ICTVonline=201900895</v>
      </c>
    </row>
    <row r="1515" spans="1:23">
      <c r="A1515" s="3">
        <v>1514</v>
      </c>
      <c r="B1515" s="1" t="s">
        <v>6915</v>
      </c>
      <c r="D1515" s="1" t="s">
        <v>6916</v>
      </c>
      <c r="F1515" s="1" t="s">
        <v>6920</v>
      </c>
      <c r="H1515" s="1" t="s">
        <v>6921</v>
      </c>
      <c r="J1515" s="1" t="s">
        <v>1324</v>
      </c>
      <c r="L1515" s="1" t="s">
        <v>895</v>
      </c>
      <c r="N1515" s="1" t="s">
        <v>6557</v>
      </c>
      <c r="P1515" s="1" t="s">
        <v>7837</v>
      </c>
      <c r="Q1515" s="3">
        <v>0</v>
      </c>
      <c r="R1515" s="22" t="s">
        <v>2721</v>
      </c>
      <c r="S1515" s="42" t="s">
        <v>6914</v>
      </c>
      <c r="T1515" s="3" t="s">
        <v>4868</v>
      </c>
      <c r="U1515" s="45">
        <v>35</v>
      </c>
      <c r="V1515" t="s">
        <v>7836</v>
      </c>
      <c r="W1515" s="1" t="str">
        <f>HYPERLINK("http://ictvonline.org/taxonomy/p/taxonomy-history?taxnode_id=201900896","ICTVonline=201900896")</f>
        <v>ICTVonline=201900896</v>
      </c>
    </row>
    <row r="1516" spans="1:23">
      <c r="A1516" s="3">
        <v>1515</v>
      </c>
      <c r="B1516" s="1" t="s">
        <v>6915</v>
      </c>
      <c r="D1516" s="1" t="s">
        <v>6916</v>
      </c>
      <c r="F1516" s="1" t="s">
        <v>6920</v>
      </c>
      <c r="H1516" s="1" t="s">
        <v>6921</v>
      </c>
      <c r="J1516" s="1" t="s">
        <v>1324</v>
      </c>
      <c r="L1516" s="1" t="s">
        <v>895</v>
      </c>
      <c r="N1516" s="1" t="s">
        <v>6557</v>
      </c>
      <c r="P1516" s="1" t="s">
        <v>3118</v>
      </c>
      <c r="Q1516" s="3">
        <v>0</v>
      </c>
      <c r="R1516" s="22" t="s">
        <v>2721</v>
      </c>
      <c r="S1516" s="42" t="s">
        <v>6910</v>
      </c>
      <c r="T1516" s="3" t="s">
        <v>4868</v>
      </c>
      <c r="U1516" s="45">
        <v>35</v>
      </c>
      <c r="V1516" t="s">
        <v>6919</v>
      </c>
      <c r="W1516" s="1" t="str">
        <f>HYPERLINK("http://ictvonline.org/taxonomy/p/taxonomy-history?taxnode_id=201900897","ICTVonline=201900897")</f>
        <v>ICTVonline=201900897</v>
      </c>
    </row>
    <row r="1517" spans="1:23">
      <c r="A1517" s="3">
        <v>1516</v>
      </c>
      <c r="B1517" s="1" t="s">
        <v>6915</v>
      </c>
      <c r="D1517" s="1" t="s">
        <v>6916</v>
      </c>
      <c r="F1517" s="1" t="s">
        <v>6920</v>
      </c>
      <c r="H1517" s="1" t="s">
        <v>6921</v>
      </c>
      <c r="J1517" s="1" t="s">
        <v>1324</v>
      </c>
      <c r="L1517" s="1" t="s">
        <v>895</v>
      </c>
      <c r="N1517" s="1" t="s">
        <v>6557</v>
      </c>
      <c r="P1517" s="1" t="s">
        <v>3119</v>
      </c>
      <c r="Q1517" s="3">
        <v>0</v>
      </c>
      <c r="R1517" s="22" t="s">
        <v>2721</v>
      </c>
      <c r="S1517" s="42" t="s">
        <v>6910</v>
      </c>
      <c r="T1517" s="3" t="s">
        <v>4868</v>
      </c>
      <c r="U1517" s="45">
        <v>35</v>
      </c>
      <c r="V1517" t="s">
        <v>6919</v>
      </c>
      <c r="W1517" s="1" t="str">
        <f>HYPERLINK("http://ictvonline.org/taxonomy/p/taxonomy-history?taxnode_id=201900898","ICTVonline=201900898")</f>
        <v>ICTVonline=201900898</v>
      </c>
    </row>
    <row r="1518" spans="1:23">
      <c r="A1518" s="3">
        <v>1517</v>
      </c>
      <c r="B1518" s="1" t="s">
        <v>6915</v>
      </c>
      <c r="D1518" s="1" t="s">
        <v>6916</v>
      </c>
      <c r="F1518" s="1" t="s">
        <v>6920</v>
      </c>
      <c r="H1518" s="1" t="s">
        <v>6921</v>
      </c>
      <c r="J1518" s="1" t="s">
        <v>1324</v>
      </c>
      <c r="L1518" s="1" t="s">
        <v>895</v>
      </c>
      <c r="N1518" s="1" t="s">
        <v>6557</v>
      </c>
      <c r="P1518" s="1" t="s">
        <v>7838</v>
      </c>
      <c r="Q1518" s="3">
        <v>0</v>
      </c>
      <c r="R1518" s="22" t="s">
        <v>2721</v>
      </c>
      <c r="S1518" s="42" t="s">
        <v>6914</v>
      </c>
      <c r="T1518" s="3" t="s">
        <v>4868</v>
      </c>
      <c r="U1518" s="45">
        <v>35</v>
      </c>
      <c r="V1518" t="s">
        <v>7836</v>
      </c>
      <c r="W1518" s="1" t="str">
        <f>HYPERLINK("http://ictvonline.org/taxonomy/p/taxonomy-history?taxnode_id=201900899","ICTVonline=201900899")</f>
        <v>ICTVonline=201900899</v>
      </c>
    </row>
    <row r="1519" spans="1:23">
      <c r="A1519" s="3">
        <v>1518</v>
      </c>
      <c r="B1519" s="1" t="s">
        <v>6915</v>
      </c>
      <c r="D1519" s="1" t="s">
        <v>6916</v>
      </c>
      <c r="F1519" s="1" t="s">
        <v>6920</v>
      </c>
      <c r="H1519" s="1" t="s">
        <v>6921</v>
      </c>
      <c r="J1519" s="1" t="s">
        <v>1324</v>
      </c>
      <c r="L1519" s="1" t="s">
        <v>895</v>
      </c>
      <c r="N1519" s="1" t="s">
        <v>6557</v>
      </c>
      <c r="P1519" s="1" t="s">
        <v>3120</v>
      </c>
      <c r="Q1519" s="3">
        <v>0</v>
      </c>
      <c r="R1519" s="22" t="s">
        <v>2721</v>
      </c>
      <c r="S1519" s="42" t="s">
        <v>6910</v>
      </c>
      <c r="T1519" s="3" t="s">
        <v>4868</v>
      </c>
      <c r="U1519" s="45">
        <v>35</v>
      </c>
      <c r="V1519" t="s">
        <v>6919</v>
      </c>
      <c r="W1519" s="1" t="str">
        <f>HYPERLINK("http://ictvonline.org/taxonomy/p/taxonomy-history?taxnode_id=201900900","ICTVonline=201900900")</f>
        <v>ICTVonline=201900900</v>
      </c>
    </row>
    <row r="1520" spans="1:23">
      <c r="A1520" s="3">
        <v>1519</v>
      </c>
      <c r="B1520" s="1" t="s">
        <v>6915</v>
      </c>
      <c r="D1520" s="1" t="s">
        <v>6916</v>
      </c>
      <c r="F1520" s="1" t="s">
        <v>6920</v>
      </c>
      <c r="H1520" s="1" t="s">
        <v>6921</v>
      </c>
      <c r="J1520" s="1" t="s">
        <v>1324</v>
      </c>
      <c r="L1520" s="1" t="s">
        <v>895</v>
      </c>
      <c r="N1520" s="1" t="s">
        <v>6557</v>
      </c>
      <c r="P1520" s="1" t="s">
        <v>3121</v>
      </c>
      <c r="Q1520" s="3">
        <v>0</v>
      </c>
      <c r="R1520" s="22" t="s">
        <v>2721</v>
      </c>
      <c r="S1520" s="42" t="s">
        <v>6910</v>
      </c>
      <c r="T1520" s="3" t="s">
        <v>4868</v>
      </c>
      <c r="U1520" s="45">
        <v>35</v>
      </c>
      <c r="V1520" t="s">
        <v>6919</v>
      </c>
      <c r="W1520" s="1" t="str">
        <f>HYPERLINK("http://ictvonline.org/taxonomy/p/taxonomy-history?taxnode_id=201900901","ICTVonline=201900901")</f>
        <v>ICTVonline=201900901</v>
      </c>
    </row>
    <row r="1521" spans="1:23">
      <c r="A1521" s="3">
        <v>1520</v>
      </c>
      <c r="B1521" s="1" t="s">
        <v>6915</v>
      </c>
      <c r="D1521" s="1" t="s">
        <v>6916</v>
      </c>
      <c r="F1521" s="1" t="s">
        <v>6920</v>
      </c>
      <c r="H1521" s="1" t="s">
        <v>6921</v>
      </c>
      <c r="J1521" s="1" t="s">
        <v>1324</v>
      </c>
      <c r="L1521" s="1" t="s">
        <v>895</v>
      </c>
      <c r="N1521" s="1" t="s">
        <v>6557</v>
      </c>
      <c r="P1521" s="1" t="s">
        <v>7839</v>
      </c>
      <c r="Q1521" s="3">
        <v>0</v>
      </c>
      <c r="R1521" s="22" t="s">
        <v>2721</v>
      </c>
      <c r="S1521" s="42" t="s">
        <v>6914</v>
      </c>
      <c r="T1521" s="3" t="s">
        <v>4868</v>
      </c>
      <c r="U1521" s="45">
        <v>35</v>
      </c>
      <c r="V1521" t="s">
        <v>7836</v>
      </c>
      <c r="W1521" s="1" t="str">
        <f>HYPERLINK("http://ictvonline.org/taxonomy/p/taxonomy-history?taxnode_id=201900902","ICTVonline=201900902")</f>
        <v>ICTVonline=201900902</v>
      </c>
    </row>
    <row r="1522" spans="1:23">
      <c r="A1522" s="3">
        <v>1521</v>
      </c>
      <c r="B1522" s="1" t="s">
        <v>6915</v>
      </c>
      <c r="D1522" s="1" t="s">
        <v>6916</v>
      </c>
      <c r="F1522" s="1" t="s">
        <v>6920</v>
      </c>
      <c r="H1522" s="1" t="s">
        <v>6921</v>
      </c>
      <c r="J1522" s="1" t="s">
        <v>1324</v>
      </c>
      <c r="L1522" s="1" t="s">
        <v>895</v>
      </c>
      <c r="N1522" s="1" t="s">
        <v>6557</v>
      </c>
      <c r="P1522" s="1" t="s">
        <v>3122</v>
      </c>
      <c r="Q1522" s="3">
        <v>0</v>
      </c>
      <c r="R1522" s="22" t="s">
        <v>2721</v>
      </c>
      <c r="S1522" s="42" t="s">
        <v>6910</v>
      </c>
      <c r="T1522" s="3" t="s">
        <v>4868</v>
      </c>
      <c r="U1522" s="45">
        <v>35</v>
      </c>
      <c r="V1522" t="s">
        <v>6919</v>
      </c>
      <c r="W1522" s="1" t="str">
        <f>HYPERLINK("http://ictvonline.org/taxonomy/p/taxonomy-history?taxnode_id=201900903","ICTVonline=201900903")</f>
        <v>ICTVonline=201900903</v>
      </c>
    </row>
    <row r="1523" spans="1:23">
      <c r="A1523" s="3">
        <v>1522</v>
      </c>
      <c r="B1523" s="1" t="s">
        <v>6915</v>
      </c>
      <c r="D1523" s="1" t="s">
        <v>6916</v>
      </c>
      <c r="F1523" s="1" t="s">
        <v>6920</v>
      </c>
      <c r="H1523" s="1" t="s">
        <v>6921</v>
      </c>
      <c r="J1523" s="1" t="s">
        <v>1324</v>
      </c>
      <c r="L1523" s="1" t="s">
        <v>895</v>
      </c>
      <c r="N1523" s="1" t="s">
        <v>6557</v>
      </c>
      <c r="P1523" s="1" t="s">
        <v>3123</v>
      </c>
      <c r="Q1523" s="3">
        <v>0</v>
      </c>
      <c r="R1523" s="22" t="s">
        <v>2721</v>
      </c>
      <c r="S1523" s="42" t="s">
        <v>6910</v>
      </c>
      <c r="T1523" s="3" t="s">
        <v>4868</v>
      </c>
      <c r="U1523" s="45">
        <v>35</v>
      </c>
      <c r="V1523" t="s">
        <v>6919</v>
      </c>
      <c r="W1523" s="1" t="str">
        <f>HYPERLINK("http://ictvonline.org/taxonomy/p/taxonomy-history?taxnode_id=201900904","ICTVonline=201900904")</f>
        <v>ICTVonline=201900904</v>
      </c>
    </row>
    <row r="1524" spans="1:23">
      <c r="A1524" s="3">
        <v>1523</v>
      </c>
      <c r="B1524" s="1" t="s">
        <v>6915</v>
      </c>
      <c r="D1524" s="1" t="s">
        <v>6916</v>
      </c>
      <c r="F1524" s="1" t="s">
        <v>6920</v>
      </c>
      <c r="H1524" s="1" t="s">
        <v>6921</v>
      </c>
      <c r="J1524" s="1" t="s">
        <v>1324</v>
      </c>
      <c r="L1524" s="1" t="s">
        <v>895</v>
      </c>
      <c r="N1524" s="1" t="s">
        <v>6557</v>
      </c>
      <c r="P1524" s="1" t="s">
        <v>3124</v>
      </c>
      <c r="Q1524" s="3">
        <v>0</v>
      </c>
      <c r="R1524" s="22" t="s">
        <v>2721</v>
      </c>
      <c r="S1524" s="42" t="s">
        <v>6910</v>
      </c>
      <c r="T1524" s="3" t="s">
        <v>4868</v>
      </c>
      <c r="U1524" s="45">
        <v>35</v>
      </c>
      <c r="V1524" t="s">
        <v>6919</v>
      </c>
      <c r="W1524" s="1" t="str">
        <f>HYPERLINK("http://ictvonline.org/taxonomy/p/taxonomy-history?taxnode_id=201900905","ICTVonline=201900905")</f>
        <v>ICTVonline=201900905</v>
      </c>
    </row>
    <row r="1525" spans="1:23">
      <c r="A1525" s="3">
        <v>1524</v>
      </c>
      <c r="B1525" s="1" t="s">
        <v>6915</v>
      </c>
      <c r="D1525" s="1" t="s">
        <v>6916</v>
      </c>
      <c r="F1525" s="1" t="s">
        <v>6920</v>
      </c>
      <c r="H1525" s="1" t="s">
        <v>6921</v>
      </c>
      <c r="J1525" s="1" t="s">
        <v>1324</v>
      </c>
      <c r="L1525" s="1" t="s">
        <v>895</v>
      </c>
      <c r="N1525" s="1" t="s">
        <v>6557</v>
      </c>
      <c r="P1525" s="1" t="s">
        <v>3125</v>
      </c>
      <c r="Q1525" s="3">
        <v>0</v>
      </c>
      <c r="R1525" s="22" t="s">
        <v>2721</v>
      </c>
      <c r="S1525" s="42" t="s">
        <v>6910</v>
      </c>
      <c r="T1525" s="3" t="s">
        <v>4868</v>
      </c>
      <c r="U1525" s="45">
        <v>35</v>
      </c>
      <c r="V1525" t="s">
        <v>6919</v>
      </c>
      <c r="W1525" s="1" t="str">
        <f>HYPERLINK("http://ictvonline.org/taxonomy/p/taxonomy-history?taxnode_id=201900906","ICTVonline=201900906")</f>
        <v>ICTVonline=201900906</v>
      </c>
    </row>
    <row r="1526" spans="1:23">
      <c r="A1526" s="3">
        <v>1525</v>
      </c>
      <c r="B1526" s="1" t="s">
        <v>6915</v>
      </c>
      <c r="D1526" s="1" t="s">
        <v>6916</v>
      </c>
      <c r="F1526" s="1" t="s">
        <v>6920</v>
      </c>
      <c r="H1526" s="1" t="s">
        <v>6921</v>
      </c>
      <c r="J1526" s="1" t="s">
        <v>1324</v>
      </c>
      <c r="L1526" s="1" t="s">
        <v>895</v>
      </c>
      <c r="N1526" s="1" t="s">
        <v>6557</v>
      </c>
      <c r="P1526" s="1" t="s">
        <v>3126</v>
      </c>
      <c r="Q1526" s="3">
        <v>0</v>
      </c>
      <c r="R1526" s="22" t="s">
        <v>2721</v>
      </c>
      <c r="S1526" s="42" t="s">
        <v>6910</v>
      </c>
      <c r="T1526" s="3" t="s">
        <v>4868</v>
      </c>
      <c r="U1526" s="45">
        <v>35</v>
      </c>
      <c r="V1526" t="s">
        <v>6919</v>
      </c>
      <c r="W1526" s="1" t="str">
        <f>HYPERLINK("http://ictvonline.org/taxonomy/p/taxonomy-history?taxnode_id=201900907","ICTVonline=201900907")</f>
        <v>ICTVonline=201900907</v>
      </c>
    </row>
    <row r="1527" spans="1:23">
      <c r="A1527" s="3">
        <v>1526</v>
      </c>
      <c r="B1527" s="1" t="s">
        <v>6915</v>
      </c>
      <c r="D1527" s="1" t="s">
        <v>6916</v>
      </c>
      <c r="F1527" s="1" t="s">
        <v>6920</v>
      </c>
      <c r="H1527" s="1" t="s">
        <v>6921</v>
      </c>
      <c r="J1527" s="1" t="s">
        <v>1324</v>
      </c>
      <c r="L1527" s="1" t="s">
        <v>895</v>
      </c>
      <c r="N1527" s="1" t="s">
        <v>6557</v>
      </c>
      <c r="P1527" s="1" t="s">
        <v>3127</v>
      </c>
      <c r="Q1527" s="3">
        <v>0</v>
      </c>
      <c r="R1527" s="22" t="s">
        <v>2721</v>
      </c>
      <c r="S1527" s="42" t="s">
        <v>6910</v>
      </c>
      <c r="T1527" s="3" t="s">
        <v>4868</v>
      </c>
      <c r="U1527" s="45">
        <v>35</v>
      </c>
      <c r="V1527" t="s">
        <v>6919</v>
      </c>
      <c r="W1527" s="1" t="str">
        <f>HYPERLINK("http://ictvonline.org/taxonomy/p/taxonomy-history?taxnode_id=201900908","ICTVonline=201900908")</f>
        <v>ICTVonline=201900908</v>
      </c>
    </row>
    <row r="1528" spans="1:23">
      <c r="A1528" s="3">
        <v>1527</v>
      </c>
      <c r="B1528" s="1" t="s">
        <v>6915</v>
      </c>
      <c r="D1528" s="1" t="s">
        <v>6916</v>
      </c>
      <c r="F1528" s="1" t="s">
        <v>6920</v>
      </c>
      <c r="H1528" s="1" t="s">
        <v>6921</v>
      </c>
      <c r="J1528" s="1" t="s">
        <v>1324</v>
      </c>
      <c r="L1528" s="1" t="s">
        <v>895</v>
      </c>
      <c r="N1528" s="1" t="s">
        <v>6557</v>
      </c>
      <c r="P1528" s="1" t="s">
        <v>3128</v>
      </c>
      <c r="Q1528" s="3">
        <v>0</v>
      </c>
      <c r="R1528" s="22" t="s">
        <v>2721</v>
      </c>
      <c r="S1528" s="42" t="s">
        <v>6910</v>
      </c>
      <c r="T1528" s="3" t="s">
        <v>4868</v>
      </c>
      <c r="U1528" s="45">
        <v>35</v>
      </c>
      <c r="V1528" t="s">
        <v>6919</v>
      </c>
      <c r="W1528" s="1" t="str">
        <f>HYPERLINK("http://ictvonline.org/taxonomy/p/taxonomy-history?taxnode_id=201900909","ICTVonline=201900909")</f>
        <v>ICTVonline=201900909</v>
      </c>
    </row>
    <row r="1529" spans="1:23">
      <c r="A1529" s="3">
        <v>1528</v>
      </c>
      <c r="B1529" s="1" t="s">
        <v>6915</v>
      </c>
      <c r="D1529" s="1" t="s">
        <v>6916</v>
      </c>
      <c r="F1529" s="1" t="s">
        <v>6920</v>
      </c>
      <c r="H1529" s="1" t="s">
        <v>6921</v>
      </c>
      <c r="J1529" s="1" t="s">
        <v>1324</v>
      </c>
      <c r="L1529" s="1" t="s">
        <v>895</v>
      </c>
      <c r="N1529" s="1" t="s">
        <v>6557</v>
      </c>
      <c r="P1529" s="1" t="s">
        <v>7840</v>
      </c>
      <c r="Q1529" s="3">
        <v>0</v>
      </c>
      <c r="R1529" s="22" t="s">
        <v>2721</v>
      </c>
      <c r="S1529" s="42" t="s">
        <v>6914</v>
      </c>
      <c r="T1529" s="3" t="s">
        <v>4868</v>
      </c>
      <c r="U1529" s="45">
        <v>35</v>
      </c>
      <c r="V1529" t="s">
        <v>7836</v>
      </c>
      <c r="W1529" s="1" t="str">
        <f>HYPERLINK("http://ictvonline.org/taxonomy/p/taxonomy-history?taxnode_id=201900910","ICTVonline=201900910")</f>
        <v>ICTVonline=201900910</v>
      </c>
    </row>
    <row r="1530" spans="1:23">
      <c r="A1530" s="3">
        <v>1529</v>
      </c>
      <c r="B1530" s="1" t="s">
        <v>6915</v>
      </c>
      <c r="D1530" s="1" t="s">
        <v>6916</v>
      </c>
      <c r="F1530" s="1" t="s">
        <v>6920</v>
      </c>
      <c r="H1530" s="1" t="s">
        <v>6921</v>
      </c>
      <c r="J1530" s="1" t="s">
        <v>1324</v>
      </c>
      <c r="L1530" s="1" t="s">
        <v>895</v>
      </c>
      <c r="N1530" s="1" t="s">
        <v>6557</v>
      </c>
      <c r="P1530" s="1" t="s">
        <v>3129</v>
      </c>
      <c r="Q1530" s="3">
        <v>0</v>
      </c>
      <c r="R1530" s="22" t="s">
        <v>2721</v>
      </c>
      <c r="S1530" s="42" t="s">
        <v>6910</v>
      </c>
      <c r="T1530" s="3" t="s">
        <v>4868</v>
      </c>
      <c r="U1530" s="45">
        <v>35</v>
      </c>
      <c r="V1530" t="s">
        <v>6919</v>
      </c>
      <c r="W1530" s="1" t="str">
        <f>HYPERLINK("http://ictvonline.org/taxonomy/p/taxonomy-history?taxnode_id=201900911","ICTVonline=201900911")</f>
        <v>ICTVonline=201900911</v>
      </c>
    </row>
    <row r="1531" spans="1:23">
      <c r="A1531" s="3">
        <v>1530</v>
      </c>
      <c r="B1531" s="1" t="s">
        <v>6915</v>
      </c>
      <c r="D1531" s="1" t="s">
        <v>6916</v>
      </c>
      <c r="F1531" s="1" t="s">
        <v>6920</v>
      </c>
      <c r="H1531" s="1" t="s">
        <v>6921</v>
      </c>
      <c r="J1531" s="1" t="s">
        <v>1324</v>
      </c>
      <c r="L1531" s="1" t="s">
        <v>895</v>
      </c>
      <c r="N1531" s="1" t="s">
        <v>6557</v>
      </c>
      <c r="P1531" s="1" t="s">
        <v>3130</v>
      </c>
      <c r="Q1531" s="3">
        <v>0</v>
      </c>
      <c r="R1531" s="22" t="s">
        <v>2721</v>
      </c>
      <c r="S1531" s="42" t="s">
        <v>6910</v>
      </c>
      <c r="T1531" s="3" t="s">
        <v>4868</v>
      </c>
      <c r="U1531" s="45">
        <v>35</v>
      </c>
      <c r="V1531" t="s">
        <v>6919</v>
      </c>
      <c r="W1531" s="1" t="str">
        <f>HYPERLINK("http://ictvonline.org/taxonomy/p/taxonomy-history?taxnode_id=201900912","ICTVonline=201900912")</f>
        <v>ICTVonline=201900912</v>
      </c>
    </row>
    <row r="1532" spans="1:23">
      <c r="A1532" s="3">
        <v>1531</v>
      </c>
      <c r="B1532" s="1" t="s">
        <v>6915</v>
      </c>
      <c r="D1532" s="1" t="s">
        <v>6916</v>
      </c>
      <c r="F1532" s="1" t="s">
        <v>6920</v>
      </c>
      <c r="H1532" s="1" t="s">
        <v>6921</v>
      </c>
      <c r="J1532" s="1" t="s">
        <v>1324</v>
      </c>
      <c r="L1532" s="1" t="s">
        <v>895</v>
      </c>
      <c r="N1532" s="1" t="s">
        <v>6557</v>
      </c>
      <c r="P1532" s="1" t="s">
        <v>3131</v>
      </c>
      <c r="Q1532" s="3">
        <v>0</v>
      </c>
      <c r="R1532" s="22" t="s">
        <v>2721</v>
      </c>
      <c r="S1532" s="42" t="s">
        <v>6910</v>
      </c>
      <c r="T1532" s="3" t="s">
        <v>4868</v>
      </c>
      <c r="U1532" s="45">
        <v>35</v>
      </c>
      <c r="V1532" t="s">
        <v>6919</v>
      </c>
      <c r="W1532" s="1" t="str">
        <f>HYPERLINK("http://ictvonline.org/taxonomy/p/taxonomy-history?taxnode_id=201900913","ICTVonline=201900913")</f>
        <v>ICTVonline=201900913</v>
      </c>
    </row>
    <row r="1533" spans="1:23">
      <c r="A1533" s="3">
        <v>1532</v>
      </c>
      <c r="B1533" s="1" t="s">
        <v>6915</v>
      </c>
      <c r="D1533" s="1" t="s">
        <v>6916</v>
      </c>
      <c r="F1533" s="1" t="s">
        <v>6920</v>
      </c>
      <c r="H1533" s="1" t="s">
        <v>6921</v>
      </c>
      <c r="J1533" s="1" t="s">
        <v>1324</v>
      </c>
      <c r="L1533" s="1" t="s">
        <v>895</v>
      </c>
      <c r="N1533" s="1" t="s">
        <v>6557</v>
      </c>
      <c r="P1533" s="1" t="s">
        <v>3132</v>
      </c>
      <c r="Q1533" s="3">
        <v>0</v>
      </c>
      <c r="R1533" s="22" t="s">
        <v>2721</v>
      </c>
      <c r="S1533" s="42" t="s">
        <v>6910</v>
      </c>
      <c r="T1533" s="3" t="s">
        <v>4868</v>
      </c>
      <c r="U1533" s="45">
        <v>35</v>
      </c>
      <c r="V1533" t="s">
        <v>6919</v>
      </c>
      <c r="W1533" s="1" t="str">
        <f>HYPERLINK("http://ictvonline.org/taxonomy/p/taxonomy-history?taxnode_id=201900914","ICTVonline=201900914")</f>
        <v>ICTVonline=201900914</v>
      </c>
    </row>
    <row r="1534" spans="1:23">
      <c r="A1534" s="3">
        <v>1533</v>
      </c>
      <c r="B1534" s="1" t="s">
        <v>6915</v>
      </c>
      <c r="D1534" s="1" t="s">
        <v>6916</v>
      </c>
      <c r="F1534" s="1" t="s">
        <v>6920</v>
      </c>
      <c r="H1534" s="1" t="s">
        <v>6921</v>
      </c>
      <c r="J1534" s="1" t="s">
        <v>1324</v>
      </c>
      <c r="L1534" s="1" t="s">
        <v>895</v>
      </c>
      <c r="N1534" s="1" t="s">
        <v>6557</v>
      </c>
      <c r="P1534" s="1" t="s">
        <v>3133</v>
      </c>
      <c r="Q1534" s="3">
        <v>0</v>
      </c>
      <c r="R1534" s="22" t="s">
        <v>2721</v>
      </c>
      <c r="S1534" s="42" t="s">
        <v>6910</v>
      </c>
      <c r="T1534" s="3" t="s">
        <v>4868</v>
      </c>
      <c r="U1534" s="45">
        <v>35</v>
      </c>
      <c r="V1534" t="s">
        <v>6919</v>
      </c>
      <c r="W1534" s="1" t="str">
        <f>HYPERLINK("http://ictvonline.org/taxonomy/p/taxonomy-history?taxnode_id=201900915","ICTVonline=201900915")</f>
        <v>ICTVonline=201900915</v>
      </c>
    </row>
    <row r="1535" spans="1:23">
      <c r="A1535" s="3">
        <v>1534</v>
      </c>
      <c r="B1535" s="1" t="s">
        <v>6915</v>
      </c>
      <c r="D1535" s="1" t="s">
        <v>6916</v>
      </c>
      <c r="F1535" s="1" t="s">
        <v>6920</v>
      </c>
      <c r="H1535" s="1" t="s">
        <v>6921</v>
      </c>
      <c r="J1535" s="1" t="s">
        <v>1324</v>
      </c>
      <c r="L1535" s="1" t="s">
        <v>895</v>
      </c>
      <c r="N1535" s="1" t="s">
        <v>6557</v>
      </c>
      <c r="P1535" s="1" t="s">
        <v>3134</v>
      </c>
      <c r="Q1535" s="3">
        <v>0</v>
      </c>
      <c r="R1535" s="22" t="s">
        <v>2721</v>
      </c>
      <c r="S1535" s="42" t="s">
        <v>6910</v>
      </c>
      <c r="T1535" s="3" t="s">
        <v>4868</v>
      </c>
      <c r="U1535" s="45">
        <v>35</v>
      </c>
      <c r="V1535" t="s">
        <v>6919</v>
      </c>
      <c r="W1535" s="1" t="str">
        <f>HYPERLINK("http://ictvonline.org/taxonomy/p/taxonomy-history?taxnode_id=201900916","ICTVonline=201900916")</f>
        <v>ICTVonline=201900916</v>
      </c>
    </row>
    <row r="1536" spans="1:23">
      <c r="A1536" s="3">
        <v>1535</v>
      </c>
      <c r="B1536" s="1" t="s">
        <v>6915</v>
      </c>
      <c r="D1536" s="1" t="s">
        <v>6916</v>
      </c>
      <c r="F1536" s="1" t="s">
        <v>6920</v>
      </c>
      <c r="H1536" s="1" t="s">
        <v>6921</v>
      </c>
      <c r="J1536" s="1" t="s">
        <v>1324</v>
      </c>
      <c r="L1536" s="1" t="s">
        <v>895</v>
      </c>
      <c r="N1536" s="1" t="s">
        <v>6557</v>
      </c>
      <c r="P1536" s="1" t="s">
        <v>3135</v>
      </c>
      <c r="Q1536" s="3">
        <v>0</v>
      </c>
      <c r="R1536" s="22" t="s">
        <v>2721</v>
      </c>
      <c r="S1536" s="42" t="s">
        <v>6910</v>
      </c>
      <c r="T1536" s="3" t="s">
        <v>4868</v>
      </c>
      <c r="U1536" s="45">
        <v>35</v>
      </c>
      <c r="V1536" t="s">
        <v>6919</v>
      </c>
      <c r="W1536" s="1" t="str">
        <f>HYPERLINK("http://ictvonline.org/taxonomy/p/taxonomy-history?taxnode_id=201900917","ICTVonline=201900917")</f>
        <v>ICTVonline=201900917</v>
      </c>
    </row>
    <row r="1537" spans="1:23">
      <c r="A1537" s="3">
        <v>1536</v>
      </c>
      <c r="B1537" s="1" t="s">
        <v>6915</v>
      </c>
      <c r="D1537" s="1" t="s">
        <v>6916</v>
      </c>
      <c r="F1537" s="1" t="s">
        <v>6920</v>
      </c>
      <c r="H1537" s="1" t="s">
        <v>6921</v>
      </c>
      <c r="J1537" s="1" t="s">
        <v>1324</v>
      </c>
      <c r="L1537" s="1" t="s">
        <v>895</v>
      </c>
      <c r="N1537" s="1" t="s">
        <v>6557</v>
      </c>
      <c r="P1537" s="1" t="s">
        <v>3136</v>
      </c>
      <c r="Q1537" s="3">
        <v>0</v>
      </c>
      <c r="R1537" s="22" t="s">
        <v>2721</v>
      </c>
      <c r="S1537" s="42" t="s">
        <v>6910</v>
      </c>
      <c r="T1537" s="3" t="s">
        <v>4868</v>
      </c>
      <c r="U1537" s="45">
        <v>35</v>
      </c>
      <c r="V1537" t="s">
        <v>6919</v>
      </c>
      <c r="W1537" s="1" t="str">
        <f>HYPERLINK("http://ictvonline.org/taxonomy/p/taxonomy-history?taxnode_id=201900918","ICTVonline=201900918")</f>
        <v>ICTVonline=201900918</v>
      </c>
    </row>
    <row r="1538" spans="1:23">
      <c r="A1538" s="3">
        <v>1537</v>
      </c>
      <c r="B1538" s="1" t="s">
        <v>6915</v>
      </c>
      <c r="D1538" s="1" t="s">
        <v>6916</v>
      </c>
      <c r="F1538" s="1" t="s">
        <v>6920</v>
      </c>
      <c r="H1538" s="1" t="s">
        <v>6921</v>
      </c>
      <c r="J1538" s="1" t="s">
        <v>1324</v>
      </c>
      <c r="L1538" s="1" t="s">
        <v>895</v>
      </c>
      <c r="N1538" s="1" t="s">
        <v>3140</v>
      </c>
      <c r="P1538" s="1" t="s">
        <v>3141</v>
      </c>
      <c r="Q1538" s="3">
        <v>1</v>
      </c>
      <c r="R1538" s="22" t="s">
        <v>2721</v>
      </c>
      <c r="S1538" s="42" t="s">
        <v>6910</v>
      </c>
      <c r="T1538" s="3" t="s">
        <v>4868</v>
      </c>
      <c r="U1538" s="45">
        <v>35</v>
      </c>
      <c r="V1538" t="s">
        <v>6919</v>
      </c>
      <c r="W1538" s="1" t="str">
        <f>HYPERLINK("http://ictvonline.org/taxonomy/p/taxonomy-history?taxnode_id=201900924","ICTVonline=201900924")</f>
        <v>ICTVonline=201900924</v>
      </c>
    </row>
    <row r="1539" spans="1:23">
      <c r="A1539" s="3">
        <v>1538</v>
      </c>
      <c r="B1539" s="1" t="s">
        <v>6915</v>
      </c>
      <c r="D1539" s="1" t="s">
        <v>6916</v>
      </c>
      <c r="F1539" s="1" t="s">
        <v>6920</v>
      </c>
      <c r="H1539" s="1" t="s">
        <v>6921</v>
      </c>
      <c r="J1539" s="1" t="s">
        <v>1324</v>
      </c>
      <c r="L1539" s="1" t="s">
        <v>895</v>
      </c>
      <c r="N1539" s="1" t="s">
        <v>3140</v>
      </c>
      <c r="P1539" s="1" t="s">
        <v>3142</v>
      </c>
      <c r="Q1539" s="3">
        <v>0</v>
      </c>
      <c r="R1539" s="22" t="s">
        <v>2721</v>
      </c>
      <c r="S1539" s="42" t="s">
        <v>6910</v>
      </c>
      <c r="T1539" s="3" t="s">
        <v>4868</v>
      </c>
      <c r="U1539" s="45">
        <v>35</v>
      </c>
      <c r="V1539" t="s">
        <v>6919</v>
      </c>
      <c r="W1539" s="1" t="str">
        <f>HYPERLINK("http://ictvonline.org/taxonomy/p/taxonomy-history?taxnode_id=201900925","ICTVonline=201900925")</f>
        <v>ICTVonline=201900925</v>
      </c>
    </row>
    <row r="1540" spans="1:23">
      <c r="A1540" s="3">
        <v>1539</v>
      </c>
      <c r="B1540" s="1" t="s">
        <v>6915</v>
      </c>
      <c r="D1540" s="1" t="s">
        <v>6916</v>
      </c>
      <c r="F1540" s="1" t="s">
        <v>6920</v>
      </c>
      <c r="H1540" s="1" t="s">
        <v>6921</v>
      </c>
      <c r="J1540" s="1" t="s">
        <v>1324</v>
      </c>
      <c r="L1540" s="1" t="s">
        <v>895</v>
      </c>
      <c r="N1540" s="1" t="s">
        <v>3140</v>
      </c>
      <c r="P1540" s="1" t="s">
        <v>3143</v>
      </c>
      <c r="Q1540" s="3">
        <v>0</v>
      </c>
      <c r="R1540" s="22" t="s">
        <v>2721</v>
      </c>
      <c r="S1540" s="42" t="s">
        <v>6910</v>
      </c>
      <c r="T1540" s="3" t="s">
        <v>4868</v>
      </c>
      <c r="U1540" s="45">
        <v>35</v>
      </c>
      <c r="V1540" t="s">
        <v>6919</v>
      </c>
      <c r="W1540" s="1" t="str">
        <f>HYPERLINK("http://ictvonline.org/taxonomy/p/taxonomy-history?taxnode_id=201900926","ICTVonline=201900926")</f>
        <v>ICTVonline=201900926</v>
      </c>
    </row>
    <row r="1541" spans="1:23">
      <c r="A1541" s="3">
        <v>1540</v>
      </c>
      <c r="B1541" s="1" t="s">
        <v>6915</v>
      </c>
      <c r="D1541" s="1" t="s">
        <v>6916</v>
      </c>
      <c r="F1541" s="1" t="s">
        <v>6920</v>
      </c>
      <c r="H1541" s="1" t="s">
        <v>6921</v>
      </c>
      <c r="J1541" s="1" t="s">
        <v>1324</v>
      </c>
      <c r="L1541" s="1" t="s">
        <v>895</v>
      </c>
      <c r="N1541" s="1" t="s">
        <v>3140</v>
      </c>
      <c r="P1541" s="1" t="s">
        <v>3144</v>
      </c>
      <c r="Q1541" s="3">
        <v>0</v>
      </c>
      <c r="R1541" s="22" t="s">
        <v>2721</v>
      </c>
      <c r="S1541" s="42" t="s">
        <v>6910</v>
      </c>
      <c r="T1541" s="3" t="s">
        <v>4868</v>
      </c>
      <c r="U1541" s="45">
        <v>35</v>
      </c>
      <c r="V1541" t="s">
        <v>6919</v>
      </c>
      <c r="W1541" s="1" t="str">
        <f>HYPERLINK("http://ictvonline.org/taxonomy/p/taxonomy-history?taxnode_id=201900927","ICTVonline=201900927")</f>
        <v>ICTVonline=201900927</v>
      </c>
    </row>
    <row r="1542" spans="1:23">
      <c r="A1542" s="3">
        <v>1541</v>
      </c>
      <c r="B1542" s="1" t="s">
        <v>6915</v>
      </c>
      <c r="D1542" s="1" t="s">
        <v>6916</v>
      </c>
      <c r="F1542" s="1" t="s">
        <v>6920</v>
      </c>
      <c r="H1542" s="1" t="s">
        <v>6921</v>
      </c>
      <c r="J1542" s="1" t="s">
        <v>1324</v>
      </c>
      <c r="L1542" s="1" t="s">
        <v>895</v>
      </c>
      <c r="N1542" s="1" t="s">
        <v>3140</v>
      </c>
      <c r="P1542" s="1" t="s">
        <v>3145</v>
      </c>
      <c r="Q1542" s="3">
        <v>0</v>
      </c>
      <c r="R1542" s="22" t="s">
        <v>2721</v>
      </c>
      <c r="S1542" s="42" t="s">
        <v>6910</v>
      </c>
      <c r="T1542" s="3" t="s">
        <v>4868</v>
      </c>
      <c r="U1542" s="45">
        <v>35</v>
      </c>
      <c r="V1542" t="s">
        <v>6919</v>
      </c>
      <c r="W1542" s="1" t="str">
        <f>HYPERLINK("http://ictvonline.org/taxonomy/p/taxonomy-history?taxnode_id=201900928","ICTVonline=201900928")</f>
        <v>ICTVonline=201900928</v>
      </c>
    </row>
    <row r="1543" spans="1:23">
      <c r="A1543" s="3">
        <v>1542</v>
      </c>
      <c r="B1543" s="1" t="s">
        <v>6915</v>
      </c>
      <c r="D1543" s="1" t="s">
        <v>6916</v>
      </c>
      <c r="F1543" s="1" t="s">
        <v>6920</v>
      </c>
      <c r="H1543" s="1" t="s">
        <v>6921</v>
      </c>
      <c r="J1543" s="1" t="s">
        <v>1324</v>
      </c>
      <c r="L1543" s="1" t="s">
        <v>895</v>
      </c>
      <c r="N1543" s="1" t="s">
        <v>6558</v>
      </c>
      <c r="P1543" s="1" t="s">
        <v>6559</v>
      </c>
      <c r="Q1543" s="3">
        <v>1</v>
      </c>
      <c r="R1543" s="22" t="s">
        <v>2721</v>
      </c>
      <c r="S1543" s="42" t="s">
        <v>6910</v>
      </c>
      <c r="T1543" s="3" t="s">
        <v>4868</v>
      </c>
      <c r="U1543" s="45">
        <v>35</v>
      </c>
      <c r="V1543" t="s">
        <v>6919</v>
      </c>
      <c r="W1543" s="1" t="str">
        <f>HYPERLINK("http://ictvonline.org/taxonomy/p/taxonomy-history?taxnode_id=201906767","ICTVonline=201906767")</f>
        <v>ICTVonline=201906767</v>
      </c>
    </row>
    <row r="1544" spans="1:23">
      <c r="A1544" s="3">
        <v>1543</v>
      </c>
      <c r="B1544" s="1" t="s">
        <v>6915</v>
      </c>
      <c r="D1544" s="1" t="s">
        <v>6916</v>
      </c>
      <c r="F1544" s="1" t="s">
        <v>6920</v>
      </c>
      <c r="H1544" s="1" t="s">
        <v>6921</v>
      </c>
      <c r="J1544" s="1" t="s">
        <v>1324</v>
      </c>
      <c r="L1544" s="1" t="s">
        <v>895</v>
      </c>
      <c r="N1544" s="1" t="s">
        <v>6560</v>
      </c>
      <c r="P1544" s="1" t="s">
        <v>6561</v>
      </c>
      <c r="Q1544" s="3">
        <v>1</v>
      </c>
      <c r="R1544" s="22" t="s">
        <v>2721</v>
      </c>
      <c r="S1544" s="42" t="s">
        <v>6910</v>
      </c>
      <c r="T1544" s="3" t="s">
        <v>4868</v>
      </c>
      <c r="U1544" s="45">
        <v>35</v>
      </c>
      <c r="V1544" t="s">
        <v>6919</v>
      </c>
      <c r="W1544" s="1" t="str">
        <f>HYPERLINK("http://ictvonline.org/taxonomy/p/taxonomy-history?taxnode_id=201906733","ICTVonline=201906733")</f>
        <v>ICTVonline=201906733</v>
      </c>
    </row>
    <row r="1545" spans="1:23">
      <c r="A1545" s="3">
        <v>1544</v>
      </c>
      <c r="B1545" s="1" t="s">
        <v>6915</v>
      </c>
      <c r="D1545" s="1" t="s">
        <v>6916</v>
      </c>
      <c r="F1545" s="1" t="s">
        <v>6920</v>
      </c>
      <c r="H1545" s="1" t="s">
        <v>6921</v>
      </c>
      <c r="J1545" s="1" t="s">
        <v>1324</v>
      </c>
      <c r="L1545" s="1" t="s">
        <v>895</v>
      </c>
      <c r="N1545" s="1" t="s">
        <v>6562</v>
      </c>
      <c r="P1545" s="1" t="s">
        <v>6563</v>
      </c>
      <c r="Q1545" s="3">
        <v>1</v>
      </c>
      <c r="R1545" s="22" t="s">
        <v>2721</v>
      </c>
      <c r="S1545" s="42" t="s">
        <v>6910</v>
      </c>
      <c r="T1545" s="3" t="s">
        <v>4868</v>
      </c>
      <c r="U1545" s="45">
        <v>35</v>
      </c>
      <c r="V1545" t="s">
        <v>6919</v>
      </c>
      <c r="W1545" s="1" t="str">
        <f>HYPERLINK("http://ictvonline.org/taxonomy/p/taxonomy-history?taxnode_id=201906735","ICTVonline=201906735")</f>
        <v>ICTVonline=201906735</v>
      </c>
    </row>
    <row r="1546" spans="1:23">
      <c r="A1546" s="3">
        <v>1545</v>
      </c>
      <c r="B1546" s="1" t="s">
        <v>6915</v>
      </c>
      <c r="D1546" s="1" t="s">
        <v>6916</v>
      </c>
      <c r="F1546" s="1" t="s">
        <v>6920</v>
      </c>
      <c r="H1546" s="1" t="s">
        <v>6921</v>
      </c>
      <c r="J1546" s="1" t="s">
        <v>1324</v>
      </c>
      <c r="L1546" s="1" t="s">
        <v>895</v>
      </c>
      <c r="N1546" s="1" t="s">
        <v>6564</v>
      </c>
      <c r="P1546" s="1" t="s">
        <v>3318</v>
      </c>
      <c r="Q1546" s="3">
        <v>0</v>
      </c>
      <c r="R1546" s="22" t="s">
        <v>2721</v>
      </c>
      <c r="S1546" s="42" t="s">
        <v>6910</v>
      </c>
      <c r="T1546" s="3" t="s">
        <v>4868</v>
      </c>
      <c r="U1546" s="45">
        <v>35</v>
      </c>
      <c r="V1546" t="s">
        <v>6919</v>
      </c>
      <c r="W1546" s="1" t="str">
        <f>HYPERLINK("http://ictvonline.org/taxonomy/p/taxonomy-history?taxnode_id=201901231","ICTVonline=201901231")</f>
        <v>ICTVonline=201901231</v>
      </c>
    </row>
    <row r="1547" spans="1:23">
      <c r="A1547" s="3">
        <v>1546</v>
      </c>
      <c r="B1547" s="1" t="s">
        <v>6915</v>
      </c>
      <c r="D1547" s="1" t="s">
        <v>6916</v>
      </c>
      <c r="F1547" s="1" t="s">
        <v>6920</v>
      </c>
      <c r="H1547" s="1" t="s">
        <v>6921</v>
      </c>
      <c r="J1547" s="1" t="s">
        <v>1324</v>
      </c>
      <c r="L1547" s="1" t="s">
        <v>895</v>
      </c>
      <c r="N1547" s="1" t="s">
        <v>6564</v>
      </c>
      <c r="P1547" s="1" t="s">
        <v>3319</v>
      </c>
      <c r="Q1547" s="3">
        <v>1</v>
      </c>
      <c r="R1547" s="22" t="s">
        <v>2721</v>
      </c>
      <c r="S1547" s="42" t="s">
        <v>6910</v>
      </c>
      <c r="T1547" s="3" t="s">
        <v>4868</v>
      </c>
      <c r="U1547" s="45">
        <v>35</v>
      </c>
      <c r="V1547" t="s">
        <v>6919</v>
      </c>
      <c r="W1547" s="1" t="str">
        <f>HYPERLINK("http://ictvonline.org/taxonomy/p/taxonomy-history?taxnode_id=201901232","ICTVonline=201901232")</f>
        <v>ICTVonline=201901232</v>
      </c>
    </row>
    <row r="1548" spans="1:23">
      <c r="A1548" s="3">
        <v>1547</v>
      </c>
      <c r="B1548" s="1" t="s">
        <v>6915</v>
      </c>
      <c r="D1548" s="1" t="s">
        <v>6916</v>
      </c>
      <c r="F1548" s="1" t="s">
        <v>6920</v>
      </c>
      <c r="H1548" s="1" t="s">
        <v>6921</v>
      </c>
      <c r="J1548" s="1" t="s">
        <v>1324</v>
      </c>
      <c r="L1548" s="1" t="s">
        <v>895</v>
      </c>
      <c r="N1548" s="1" t="s">
        <v>6564</v>
      </c>
      <c r="P1548" s="1" t="s">
        <v>3320</v>
      </c>
      <c r="Q1548" s="3">
        <v>0</v>
      </c>
      <c r="R1548" s="22" t="s">
        <v>2721</v>
      </c>
      <c r="S1548" s="42" t="s">
        <v>6910</v>
      </c>
      <c r="T1548" s="3" t="s">
        <v>4868</v>
      </c>
      <c r="U1548" s="45">
        <v>35</v>
      </c>
      <c r="V1548" t="s">
        <v>6919</v>
      </c>
      <c r="W1548" s="1" t="str">
        <f>HYPERLINK("http://ictvonline.org/taxonomy/p/taxonomy-history?taxnode_id=201901233","ICTVonline=201901233")</f>
        <v>ICTVonline=201901233</v>
      </c>
    </row>
    <row r="1549" spans="1:23">
      <c r="A1549" s="3">
        <v>1548</v>
      </c>
      <c r="B1549" s="1" t="s">
        <v>6915</v>
      </c>
      <c r="D1549" s="1" t="s">
        <v>6916</v>
      </c>
      <c r="F1549" s="1" t="s">
        <v>6920</v>
      </c>
      <c r="H1549" s="1" t="s">
        <v>6921</v>
      </c>
      <c r="J1549" s="1" t="s">
        <v>1324</v>
      </c>
      <c r="L1549" s="1" t="s">
        <v>895</v>
      </c>
      <c r="N1549" s="1" t="s">
        <v>7841</v>
      </c>
      <c r="P1549" s="1" t="s">
        <v>7842</v>
      </c>
      <c r="Q1549" s="3">
        <v>1</v>
      </c>
      <c r="R1549" s="22" t="s">
        <v>2721</v>
      </c>
      <c r="S1549" s="42" t="s">
        <v>6914</v>
      </c>
      <c r="T1549" s="3" t="s">
        <v>4866</v>
      </c>
      <c r="U1549" s="45">
        <v>35</v>
      </c>
      <c r="V1549" t="s">
        <v>7843</v>
      </c>
      <c r="W1549" s="1" t="str">
        <f>HYPERLINK("http://ictvonline.org/taxonomy/p/taxonomy-history?taxnode_id=201907256","ICTVonline=201907256")</f>
        <v>ICTVonline=201907256</v>
      </c>
    </row>
    <row r="1550" spans="1:23">
      <c r="A1550" s="3">
        <v>1549</v>
      </c>
      <c r="B1550" s="1" t="s">
        <v>6915</v>
      </c>
      <c r="D1550" s="1" t="s">
        <v>6916</v>
      </c>
      <c r="F1550" s="1" t="s">
        <v>6920</v>
      </c>
      <c r="H1550" s="1" t="s">
        <v>6921</v>
      </c>
      <c r="J1550" s="1" t="s">
        <v>1324</v>
      </c>
      <c r="L1550" s="1" t="s">
        <v>895</v>
      </c>
      <c r="N1550" s="1" t="s">
        <v>7841</v>
      </c>
      <c r="P1550" s="1" t="s">
        <v>7844</v>
      </c>
      <c r="Q1550" s="3">
        <v>0</v>
      </c>
      <c r="R1550" s="22" t="s">
        <v>2721</v>
      </c>
      <c r="S1550" s="42" t="s">
        <v>6914</v>
      </c>
      <c r="T1550" s="3" t="s">
        <v>4866</v>
      </c>
      <c r="U1550" s="45">
        <v>35</v>
      </c>
      <c r="V1550" t="s">
        <v>7843</v>
      </c>
      <c r="W1550" s="1" t="str">
        <f>HYPERLINK("http://ictvonline.org/taxonomy/p/taxonomy-history?taxnode_id=201907257","ICTVonline=201907257")</f>
        <v>ICTVonline=201907257</v>
      </c>
    </row>
    <row r="1551" spans="1:23">
      <c r="A1551" s="3">
        <v>1550</v>
      </c>
      <c r="B1551" s="1" t="s">
        <v>6915</v>
      </c>
      <c r="D1551" s="1" t="s">
        <v>6916</v>
      </c>
      <c r="F1551" s="1" t="s">
        <v>6920</v>
      </c>
      <c r="H1551" s="1" t="s">
        <v>6921</v>
      </c>
      <c r="J1551" s="1" t="s">
        <v>1324</v>
      </c>
      <c r="L1551" s="1" t="s">
        <v>895</v>
      </c>
      <c r="N1551" s="1" t="s">
        <v>3155</v>
      </c>
      <c r="P1551" s="1" t="s">
        <v>3156</v>
      </c>
      <c r="Q1551" s="3">
        <v>1</v>
      </c>
      <c r="R1551" s="22" t="s">
        <v>2721</v>
      </c>
      <c r="S1551" s="42" t="s">
        <v>6910</v>
      </c>
      <c r="T1551" s="3" t="s">
        <v>4868</v>
      </c>
      <c r="U1551" s="45">
        <v>35</v>
      </c>
      <c r="V1551" t="s">
        <v>6919</v>
      </c>
      <c r="W1551" s="1" t="str">
        <f>HYPERLINK("http://ictvonline.org/taxonomy/p/taxonomy-history?taxnode_id=201900940","ICTVonline=201900940")</f>
        <v>ICTVonline=201900940</v>
      </c>
    </row>
    <row r="1552" spans="1:23">
      <c r="A1552" s="3">
        <v>1551</v>
      </c>
      <c r="B1552" s="1" t="s">
        <v>6915</v>
      </c>
      <c r="D1552" s="1" t="s">
        <v>6916</v>
      </c>
      <c r="F1552" s="1" t="s">
        <v>6920</v>
      </c>
      <c r="H1552" s="1" t="s">
        <v>6921</v>
      </c>
      <c r="J1552" s="1" t="s">
        <v>1324</v>
      </c>
      <c r="L1552" s="1" t="s">
        <v>895</v>
      </c>
      <c r="N1552" s="1" t="s">
        <v>3155</v>
      </c>
      <c r="P1552" s="1" t="s">
        <v>3157</v>
      </c>
      <c r="Q1552" s="3">
        <v>0</v>
      </c>
      <c r="R1552" s="22" t="s">
        <v>2721</v>
      </c>
      <c r="S1552" s="42" t="s">
        <v>6910</v>
      </c>
      <c r="T1552" s="3" t="s">
        <v>4868</v>
      </c>
      <c r="U1552" s="45">
        <v>35</v>
      </c>
      <c r="V1552" t="s">
        <v>6919</v>
      </c>
      <c r="W1552" s="1" t="str">
        <f>HYPERLINK("http://ictvonline.org/taxonomy/p/taxonomy-history?taxnode_id=201900941","ICTVonline=201900941")</f>
        <v>ICTVonline=201900941</v>
      </c>
    </row>
    <row r="1553" spans="1:23">
      <c r="A1553" s="3">
        <v>1552</v>
      </c>
      <c r="B1553" s="1" t="s">
        <v>6915</v>
      </c>
      <c r="D1553" s="1" t="s">
        <v>6916</v>
      </c>
      <c r="F1553" s="1" t="s">
        <v>6920</v>
      </c>
      <c r="H1553" s="1" t="s">
        <v>6921</v>
      </c>
      <c r="J1553" s="1" t="s">
        <v>1324</v>
      </c>
      <c r="L1553" s="1" t="s">
        <v>895</v>
      </c>
      <c r="N1553" s="1" t="s">
        <v>4306</v>
      </c>
      <c r="P1553" s="1" t="s">
        <v>4307</v>
      </c>
      <c r="Q1553" s="3">
        <v>1</v>
      </c>
      <c r="R1553" s="22" t="s">
        <v>2721</v>
      </c>
      <c r="S1553" s="42" t="s">
        <v>6910</v>
      </c>
      <c r="T1553" s="3" t="s">
        <v>4868</v>
      </c>
      <c r="U1553" s="45">
        <v>35</v>
      </c>
      <c r="V1553" t="s">
        <v>6919</v>
      </c>
      <c r="W1553" s="1" t="str">
        <f>HYPERLINK("http://ictvonline.org/taxonomy/p/taxonomy-history?taxnode_id=201900943","ICTVonline=201900943")</f>
        <v>ICTVonline=201900943</v>
      </c>
    </row>
    <row r="1554" spans="1:23">
      <c r="A1554" s="3">
        <v>1553</v>
      </c>
      <c r="B1554" s="1" t="s">
        <v>6915</v>
      </c>
      <c r="D1554" s="1" t="s">
        <v>6916</v>
      </c>
      <c r="F1554" s="1" t="s">
        <v>6920</v>
      </c>
      <c r="H1554" s="1" t="s">
        <v>6921</v>
      </c>
      <c r="J1554" s="1" t="s">
        <v>1324</v>
      </c>
      <c r="L1554" s="1" t="s">
        <v>895</v>
      </c>
      <c r="N1554" s="1" t="s">
        <v>7845</v>
      </c>
      <c r="P1554" s="1" t="s">
        <v>7846</v>
      </c>
      <c r="Q1554" s="3">
        <v>1</v>
      </c>
      <c r="R1554" s="22" t="s">
        <v>2721</v>
      </c>
      <c r="S1554" s="42" t="s">
        <v>6914</v>
      </c>
      <c r="T1554" s="3" t="s">
        <v>4866</v>
      </c>
      <c r="U1554" s="45">
        <v>35</v>
      </c>
      <c r="V1554" t="s">
        <v>7847</v>
      </c>
      <c r="W1554" s="1" t="str">
        <f>HYPERLINK("http://ictvonline.org/taxonomy/p/taxonomy-history?taxnode_id=201907191","ICTVonline=201907191")</f>
        <v>ICTVonline=201907191</v>
      </c>
    </row>
    <row r="1555" spans="1:23">
      <c r="A1555" s="3">
        <v>1554</v>
      </c>
      <c r="B1555" s="1" t="s">
        <v>6915</v>
      </c>
      <c r="D1555" s="1" t="s">
        <v>6916</v>
      </c>
      <c r="F1555" s="1" t="s">
        <v>6920</v>
      </c>
      <c r="H1555" s="1" t="s">
        <v>6921</v>
      </c>
      <c r="J1555" s="1" t="s">
        <v>1324</v>
      </c>
      <c r="L1555" s="1" t="s">
        <v>895</v>
      </c>
      <c r="N1555" s="1" t="s">
        <v>4308</v>
      </c>
      <c r="P1555" s="1" t="s">
        <v>4309</v>
      </c>
      <c r="Q1555" s="3">
        <v>1</v>
      </c>
      <c r="R1555" s="22" t="s">
        <v>2721</v>
      </c>
      <c r="S1555" s="42" t="s">
        <v>6910</v>
      </c>
      <c r="T1555" s="3" t="s">
        <v>4868</v>
      </c>
      <c r="U1555" s="45">
        <v>35</v>
      </c>
      <c r="V1555" t="s">
        <v>6919</v>
      </c>
      <c r="W1555" s="1" t="str">
        <f>HYPERLINK("http://ictvonline.org/taxonomy/p/taxonomy-history?taxnode_id=201900957","ICTVonline=201900957")</f>
        <v>ICTVonline=201900957</v>
      </c>
    </row>
    <row r="1556" spans="1:23">
      <c r="A1556" s="3">
        <v>1555</v>
      </c>
      <c r="B1556" s="1" t="s">
        <v>6915</v>
      </c>
      <c r="D1556" s="1" t="s">
        <v>6916</v>
      </c>
      <c r="F1556" s="1" t="s">
        <v>6920</v>
      </c>
      <c r="H1556" s="1" t="s">
        <v>6921</v>
      </c>
      <c r="J1556" s="1" t="s">
        <v>1324</v>
      </c>
      <c r="L1556" s="1" t="s">
        <v>895</v>
      </c>
      <c r="N1556" s="1" t="s">
        <v>6565</v>
      </c>
      <c r="P1556" s="1" t="s">
        <v>6566</v>
      </c>
      <c r="Q1556" s="3">
        <v>1</v>
      </c>
      <c r="R1556" s="22" t="s">
        <v>2721</v>
      </c>
      <c r="S1556" s="42" t="s">
        <v>6910</v>
      </c>
      <c r="T1556" s="3" t="s">
        <v>4868</v>
      </c>
      <c r="U1556" s="45">
        <v>35</v>
      </c>
      <c r="V1556" t="s">
        <v>6919</v>
      </c>
      <c r="W1556" s="1" t="str">
        <f>HYPERLINK("http://ictvonline.org/taxonomy/p/taxonomy-history?taxnode_id=201906932","ICTVonline=201906932")</f>
        <v>ICTVonline=201906932</v>
      </c>
    </row>
    <row r="1557" spans="1:23">
      <c r="A1557" s="3">
        <v>1556</v>
      </c>
      <c r="B1557" s="1" t="s">
        <v>6915</v>
      </c>
      <c r="D1557" s="1" t="s">
        <v>6916</v>
      </c>
      <c r="F1557" s="1" t="s">
        <v>6920</v>
      </c>
      <c r="H1557" s="1" t="s">
        <v>6921</v>
      </c>
      <c r="J1557" s="1" t="s">
        <v>1324</v>
      </c>
      <c r="L1557" s="1" t="s">
        <v>895</v>
      </c>
      <c r="N1557" s="1" t="s">
        <v>4310</v>
      </c>
      <c r="P1557" s="1" t="s">
        <v>4311</v>
      </c>
      <c r="Q1557" s="3">
        <v>1</v>
      </c>
      <c r="R1557" s="22" t="s">
        <v>2721</v>
      </c>
      <c r="S1557" s="42" t="s">
        <v>6910</v>
      </c>
      <c r="T1557" s="3" t="s">
        <v>4868</v>
      </c>
      <c r="U1557" s="45">
        <v>35</v>
      </c>
      <c r="V1557" t="s">
        <v>6919</v>
      </c>
      <c r="W1557" s="1" t="str">
        <f>HYPERLINK("http://ictvonline.org/taxonomy/p/taxonomy-history?taxnode_id=201900959","ICTVonline=201900959")</f>
        <v>ICTVonline=201900959</v>
      </c>
    </row>
    <row r="1558" spans="1:23">
      <c r="A1558" s="3">
        <v>1557</v>
      </c>
      <c r="B1558" s="1" t="s">
        <v>6915</v>
      </c>
      <c r="D1558" s="1" t="s">
        <v>6916</v>
      </c>
      <c r="F1558" s="1" t="s">
        <v>6920</v>
      </c>
      <c r="H1558" s="1" t="s">
        <v>6921</v>
      </c>
      <c r="J1558" s="1" t="s">
        <v>1324</v>
      </c>
      <c r="L1558" s="1" t="s">
        <v>895</v>
      </c>
      <c r="N1558" s="1" t="s">
        <v>4310</v>
      </c>
      <c r="P1558" s="1" t="s">
        <v>4312</v>
      </c>
      <c r="Q1558" s="3">
        <v>0</v>
      </c>
      <c r="R1558" s="22" t="s">
        <v>2721</v>
      </c>
      <c r="S1558" s="42" t="s">
        <v>6910</v>
      </c>
      <c r="T1558" s="3" t="s">
        <v>4868</v>
      </c>
      <c r="U1558" s="45">
        <v>35</v>
      </c>
      <c r="V1558" t="s">
        <v>6919</v>
      </c>
      <c r="W1558" s="1" t="str">
        <f>HYPERLINK("http://ictvonline.org/taxonomy/p/taxonomy-history?taxnode_id=201900960","ICTVonline=201900960")</f>
        <v>ICTVonline=201900960</v>
      </c>
    </row>
    <row r="1559" spans="1:23">
      <c r="A1559" s="3">
        <v>1558</v>
      </c>
      <c r="B1559" s="1" t="s">
        <v>6915</v>
      </c>
      <c r="D1559" s="1" t="s">
        <v>6916</v>
      </c>
      <c r="F1559" s="1" t="s">
        <v>6920</v>
      </c>
      <c r="H1559" s="1" t="s">
        <v>6921</v>
      </c>
      <c r="J1559" s="1" t="s">
        <v>1324</v>
      </c>
      <c r="L1559" s="1" t="s">
        <v>895</v>
      </c>
      <c r="N1559" s="1" t="s">
        <v>4310</v>
      </c>
      <c r="P1559" s="1" t="s">
        <v>4313</v>
      </c>
      <c r="Q1559" s="3">
        <v>0</v>
      </c>
      <c r="R1559" s="22" t="s">
        <v>2721</v>
      </c>
      <c r="S1559" s="42" t="s">
        <v>6910</v>
      </c>
      <c r="T1559" s="3" t="s">
        <v>4868</v>
      </c>
      <c r="U1559" s="45">
        <v>35</v>
      </c>
      <c r="V1559" t="s">
        <v>6919</v>
      </c>
      <c r="W1559" s="1" t="str">
        <f>HYPERLINK("http://ictvonline.org/taxonomy/p/taxonomy-history?taxnode_id=201900961","ICTVonline=201900961")</f>
        <v>ICTVonline=201900961</v>
      </c>
    </row>
    <row r="1560" spans="1:23">
      <c r="A1560" s="3">
        <v>1559</v>
      </c>
      <c r="B1560" s="1" t="s">
        <v>6915</v>
      </c>
      <c r="D1560" s="1" t="s">
        <v>6916</v>
      </c>
      <c r="F1560" s="1" t="s">
        <v>6920</v>
      </c>
      <c r="H1560" s="1" t="s">
        <v>6921</v>
      </c>
      <c r="J1560" s="1" t="s">
        <v>1324</v>
      </c>
      <c r="L1560" s="1" t="s">
        <v>895</v>
      </c>
      <c r="N1560" s="1" t="s">
        <v>6567</v>
      </c>
      <c r="P1560" s="1" t="s">
        <v>3166</v>
      </c>
      <c r="Q1560" s="3">
        <v>1</v>
      </c>
      <c r="R1560" s="22" t="s">
        <v>2721</v>
      </c>
      <c r="S1560" s="42" t="s">
        <v>6910</v>
      </c>
      <c r="T1560" s="3" t="s">
        <v>4868</v>
      </c>
      <c r="U1560" s="45">
        <v>35</v>
      </c>
      <c r="V1560" t="s">
        <v>6919</v>
      </c>
      <c r="W1560" s="1" t="str">
        <f>HYPERLINK("http://ictvonline.org/taxonomy/p/taxonomy-history?taxnode_id=201900954","ICTVonline=201900954")</f>
        <v>ICTVonline=201900954</v>
      </c>
    </row>
    <row r="1561" spans="1:23">
      <c r="A1561" s="3">
        <v>1560</v>
      </c>
      <c r="B1561" s="1" t="s">
        <v>6915</v>
      </c>
      <c r="D1561" s="1" t="s">
        <v>6916</v>
      </c>
      <c r="F1561" s="1" t="s">
        <v>6920</v>
      </c>
      <c r="H1561" s="1" t="s">
        <v>6921</v>
      </c>
      <c r="J1561" s="1" t="s">
        <v>1324</v>
      </c>
      <c r="L1561" s="1" t="s">
        <v>895</v>
      </c>
      <c r="N1561" s="1" t="s">
        <v>6567</v>
      </c>
      <c r="P1561" s="1" t="s">
        <v>3167</v>
      </c>
      <c r="Q1561" s="3">
        <v>0</v>
      </c>
      <c r="R1561" s="22" t="s">
        <v>2721</v>
      </c>
      <c r="S1561" s="42" t="s">
        <v>6910</v>
      </c>
      <c r="T1561" s="3" t="s">
        <v>4868</v>
      </c>
      <c r="U1561" s="45">
        <v>35</v>
      </c>
      <c r="V1561" t="s">
        <v>6919</v>
      </c>
      <c r="W1561" s="1" t="str">
        <f>HYPERLINK("http://ictvonline.org/taxonomy/p/taxonomy-history?taxnode_id=201900955","ICTVonline=201900955")</f>
        <v>ICTVonline=201900955</v>
      </c>
    </row>
    <row r="1562" spans="1:23">
      <c r="A1562" s="3">
        <v>1561</v>
      </c>
      <c r="B1562" s="1" t="s">
        <v>6915</v>
      </c>
      <c r="D1562" s="1" t="s">
        <v>6916</v>
      </c>
      <c r="F1562" s="1" t="s">
        <v>6920</v>
      </c>
      <c r="H1562" s="1" t="s">
        <v>6921</v>
      </c>
      <c r="J1562" s="1" t="s">
        <v>1324</v>
      </c>
      <c r="L1562" s="1" t="s">
        <v>895</v>
      </c>
      <c r="N1562" s="1" t="s">
        <v>6568</v>
      </c>
      <c r="P1562" s="1" t="s">
        <v>4327</v>
      </c>
      <c r="Q1562" s="3">
        <v>0</v>
      </c>
      <c r="R1562" s="22" t="s">
        <v>2721</v>
      </c>
      <c r="S1562" s="42" t="s">
        <v>6910</v>
      </c>
      <c r="T1562" s="3" t="s">
        <v>4868</v>
      </c>
      <c r="U1562" s="45">
        <v>35</v>
      </c>
      <c r="V1562" t="s">
        <v>6919</v>
      </c>
      <c r="W1562" s="1" t="str">
        <f>HYPERLINK("http://ictvonline.org/taxonomy/p/taxonomy-history?taxnode_id=201900983","ICTVonline=201900983")</f>
        <v>ICTVonline=201900983</v>
      </c>
    </row>
    <row r="1563" spans="1:23">
      <c r="A1563" s="3">
        <v>1562</v>
      </c>
      <c r="B1563" s="1" t="s">
        <v>6915</v>
      </c>
      <c r="D1563" s="1" t="s">
        <v>6916</v>
      </c>
      <c r="F1563" s="1" t="s">
        <v>6920</v>
      </c>
      <c r="H1563" s="1" t="s">
        <v>6921</v>
      </c>
      <c r="J1563" s="1" t="s">
        <v>1324</v>
      </c>
      <c r="L1563" s="1" t="s">
        <v>895</v>
      </c>
      <c r="N1563" s="1" t="s">
        <v>6568</v>
      </c>
      <c r="P1563" s="1" t="s">
        <v>3171</v>
      </c>
      <c r="Q1563" s="3">
        <v>1</v>
      </c>
      <c r="R1563" s="22" t="s">
        <v>2721</v>
      </c>
      <c r="S1563" s="42" t="s">
        <v>6910</v>
      </c>
      <c r="T1563" s="3" t="s">
        <v>4868</v>
      </c>
      <c r="U1563" s="45">
        <v>35</v>
      </c>
      <c r="V1563" t="s">
        <v>6919</v>
      </c>
      <c r="W1563" s="1" t="str">
        <f>HYPERLINK("http://ictvonline.org/taxonomy/p/taxonomy-history?taxnode_id=201900984","ICTVonline=201900984")</f>
        <v>ICTVonline=201900984</v>
      </c>
    </row>
    <row r="1564" spans="1:23">
      <c r="A1564" s="3">
        <v>1563</v>
      </c>
      <c r="B1564" s="1" t="s">
        <v>6915</v>
      </c>
      <c r="D1564" s="1" t="s">
        <v>6916</v>
      </c>
      <c r="F1564" s="1" t="s">
        <v>6920</v>
      </c>
      <c r="H1564" s="1" t="s">
        <v>6921</v>
      </c>
      <c r="J1564" s="1" t="s">
        <v>1324</v>
      </c>
      <c r="L1564" s="1" t="s">
        <v>895</v>
      </c>
      <c r="N1564" s="1" t="s">
        <v>6568</v>
      </c>
      <c r="P1564" s="1" t="s">
        <v>3172</v>
      </c>
      <c r="Q1564" s="3">
        <v>0</v>
      </c>
      <c r="R1564" s="22" t="s">
        <v>2721</v>
      </c>
      <c r="S1564" s="42" t="s">
        <v>6910</v>
      </c>
      <c r="T1564" s="3" t="s">
        <v>4868</v>
      </c>
      <c r="U1564" s="45">
        <v>35</v>
      </c>
      <c r="V1564" t="s">
        <v>6919</v>
      </c>
      <c r="W1564" s="1" t="str">
        <f>HYPERLINK("http://ictvonline.org/taxonomy/p/taxonomy-history?taxnode_id=201900985","ICTVonline=201900985")</f>
        <v>ICTVonline=201900985</v>
      </c>
    </row>
    <row r="1565" spans="1:23">
      <c r="A1565" s="3">
        <v>1564</v>
      </c>
      <c r="B1565" s="1" t="s">
        <v>6915</v>
      </c>
      <c r="D1565" s="1" t="s">
        <v>6916</v>
      </c>
      <c r="F1565" s="1" t="s">
        <v>6920</v>
      </c>
      <c r="H1565" s="1" t="s">
        <v>6921</v>
      </c>
      <c r="J1565" s="1" t="s">
        <v>1324</v>
      </c>
      <c r="L1565" s="1" t="s">
        <v>895</v>
      </c>
      <c r="N1565" s="1" t="s">
        <v>6568</v>
      </c>
      <c r="P1565" s="1" t="s">
        <v>3173</v>
      </c>
      <c r="Q1565" s="3">
        <v>0</v>
      </c>
      <c r="R1565" s="22" t="s">
        <v>2721</v>
      </c>
      <c r="S1565" s="42" t="s">
        <v>6910</v>
      </c>
      <c r="T1565" s="3" t="s">
        <v>4868</v>
      </c>
      <c r="U1565" s="45">
        <v>35</v>
      </c>
      <c r="V1565" t="s">
        <v>6919</v>
      </c>
      <c r="W1565" s="1" t="str">
        <f>HYPERLINK("http://ictvonline.org/taxonomy/p/taxonomy-history?taxnode_id=201900986","ICTVonline=201900986")</f>
        <v>ICTVonline=201900986</v>
      </c>
    </row>
    <row r="1566" spans="1:23">
      <c r="A1566" s="3">
        <v>1565</v>
      </c>
      <c r="B1566" s="1" t="s">
        <v>6915</v>
      </c>
      <c r="D1566" s="1" t="s">
        <v>6916</v>
      </c>
      <c r="F1566" s="1" t="s">
        <v>6920</v>
      </c>
      <c r="H1566" s="1" t="s">
        <v>6921</v>
      </c>
      <c r="J1566" s="1" t="s">
        <v>1324</v>
      </c>
      <c r="L1566" s="1" t="s">
        <v>895</v>
      </c>
      <c r="N1566" s="1" t="s">
        <v>6568</v>
      </c>
      <c r="P1566" s="1" t="s">
        <v>4328</v>
      </c>
      <c r="Q1566" s="3">
        <v>0</v>
      </c>
      <c r="R1566" s="22" t="s">
        <v>2721</v>
      </c>
      <c r="S1566" s="42" t="s">
        <v>6910</v>
      </c>
      <c r="T1566" s="3" t="s">
        <v>4868</v>
      </c>
      <c r="U1566" s="45">
        <v>35</v>
      </c>
      <c r="V1566" t="s">
        <v>6919</v>
      </c>
      <c r="W1566" s="1" t="str">
        <f>HYPERLINK("http://ictvonline.org/taxonomy/p/taxonomy-history?taxnode_id=201900987","ICTVonline=201900987")</f>
        <v>ICTVonline=201900987</v>
      </c>
    </row>
    <row r="1567" spans="1:23">
      <c r="A1567" s="3">
        <v>1566</v>
      </c>
      <c r="B1567" s="1" t="s">
        <v>6915</v>
      </c>
      <c r="D1567" s="1" t="s">
        <v>6916</v>
      </c>
      <c r="F1567" s="1" t="s">
        <v>6920</v>
      </c>
      <c r="H1567" s="1" t="s">
        <v>6921</v>
      </c>
      <c r="J1567" s="1" t="s">
        <v>1324</v>
      </c>
      <c r="L1567" s="1" t="s">
        <v>895</v>
      </c>
      <c r="N1567" s="1" t="s">
        <v>6568</v>
      </c>
      <c r="P1567" s="1" t="s">
        <v>3174</v>
      </c>
      <c r="Q1567" s="3">
        <v>0</v>
      </c>
      <c r="R1567" s="22" t="s">
        <v>2721</v>
      </c>
      <c r="S1567" s="42" t="s">
        <v>6910</v>
      </c>
      <c r="T1567" s="3" t="s">
        <v>4868</v>
      </c>
      <c r="U1567" s="45">
        <v>35</v>
      </c>
      <c r="V1567" t="s">
        <v>6919</v>
      </c>
      <c r="W1567" s="1" t="str">
        <f>HYPERLINK("http://ictvonline.org/taxonomy/p/taxonomy-history?taxnode_id=201900988","ICTVonline=201900988")</f>
        <v>ICTVonline=201900988</v>
      </c>
    </row>
    <row r="1568" spans="1:23">
      <c r="A1568" s="3">
        <v>1567</v>
      </c>
      <c r="B1568" s="1" t="s">
        <v>6915</v>
      </c>
      <c r="D1568" s="1" t="s">
        <v>6916</v>
      </c>
      <c r="F1568" s="1" t="s">
        <v>6920</v>
      </c>
      <c r="H1568" s="1" t="s">
        <v>6921</v>
      </c>
      <c r="J1568" s="1" t="s">
        <v>1324</v>
      </c>
      <c r="L1568" s="1" t="s">
        <v>895</v>
      </c>
      <c r="N1568" s="1" t="s">
        <v>6568</v>
      </c>
      <c r="P1568" s="1" t="s">
        <v>3175</v>
      </c>
      <c r="Q1568" s="3">
        <v>0</v>
      </c>
      <c r="R1568" s="22" t="s">
        <v>2721</v>
      </c>
      <c r="S1568" s="42" t="s">
        <v>6910</v>
      </c>
      <c r="T1568" s="3" t="s">
        <v>4868</v>
      </c>
      <c r="U1568" s="45">
        <v>35</v>
      </c>
      <c r="V1568" t="s">
        <v>6919</v>
      </c>
      <c r="W1568" s="1" t="str">
        <f>HYPERLINK("http://ictvonline.org/taxonomy/p/taxonomy-history?taxnode_id=201900989","ICTVonline=201900989")</f>
        <v>ICTVonline=201900989</v>
      </c>
    </row>
    <row r="1569" spans="1:23">
      <c r="A1569" s="3">
        <v>1568</v>
      </c>
      <c r="B1569" s="1" t="s">
        <v>6915</v>
      </c>
      <c r="D1569" s="1" t="s">
        <v>6916</v>
      </c>
      <c r="F1569" s="1" t="s">
        <v>6920</v>
      </c>
      <c r="H1569" s="1" t="s">
        <v>6921</v>
      </c>
      <c r="J1569" s="1" t="s">
        <v>1324</v>
      </c>
      <c r="L1569" s="1" t="s">
        <v>895</v>
      </c>
      <c r="N1569" s="1" t="s">
        <v>6569</v>
      </c>
      <c r="P1569" s="1" t="s">
        <v>6570</v>
      </c>
      <c r="Q1569" s="3">
        <v>1</v>
      </c>
      <c r="R1569" s="22" t="s">
        <v>2721</v>
      </c>
      <c r="S1569" s="42" t="s">
        <v>6910</v>
      </c>
      <c r="T1569" s="3" t="s">
        <v>4868</v>
      </c>
      <c r="U1569" s="45">
        <v>35</v>
      </c>
      <c r="V1569" t="s">
        <v>6919</v>
      </c>
      <c r="W1569" s="1" t="str">
        <f>HYPERLINK("http://ictvonline.org/taxonomy/p/taxonomy-history?taxnode_id=201906737","ICTVonline=201906737")</f>
        <v>ICTVonline=201906737</v>
      </c>
    </row>
    <row r="1570" spans="1:23">
      <c r="A1570" s="3">
        <v>1569</v>
      </c>
      <c r="B1570" s="1" t="s">
        <v>6915</v>
      </c>
      <c r="D1570" s="1" t="s">
        <v>6916</v>
      </c>
      <c r="F1570" s="1" t="s">
        <v>6920</v>
      </c>
      <c r="H1570" s="1" t="s">
        <v>6921</v>
      </c>
      <c r="J1570" s="1" t="s">
        <v>1324</v>
      </c>
      <c r="L1570" s="1" t="s">
        <v>895</v>
      </c>
      <c r="N1570" s="1" t="s">
        <v>5008</v>
      </c>
      <c r="P1570" s="1" t="s">
        <v>5009</v>
      </c>
      <c r="Q1570" s="3">
        <v>0</v>
      </c>
      <c r="R1570" s="22" t="s">
        <v>2721</v>
      </c>
      <c r="S1570" s="42" t="s">
        <v>6910</v>
      </c>
      <c r="T1570" s="3" t="s">
        <v>4868</v>
      </c>
      <c r="U1570" s="45">
        <v>35</v>
      </c>
      <c r="V1570" t="s">
        <v>6919</v>
      </c>
      <c r="W1570" s="1" t="str">
        <f>HYPERLINK("http://ictvonline.org/taxonomy/p/taxonomy-history?taxnode_id=201905543","ICTVonline=201905543")</f>
        <v>ICTVonline=201905543</v>
      </c>
    </row>
    <row r="1571" spans="1:23">
      <c r="A1571" s="3">
        <v>1570</v>
      </c>
      <c r="B1571" s="1" t="s">
        <v>6915</v>
      </c>
      <c r="D1571" s="1" t="s">
        <v>6916</v>
      </c>
      <c r="F1571" s="1" t="s">
        <v>6920</v>
      </c>
      <c r="H1571" s="1" t="s">
        <v>6921</v>
      </c>
      <c r="J1571" s="1" t="s">
        <v>1324</v>
      </c>
      <c r="L1571" s="1" t="s">
        <v>895</v>
      </c>
      <c r="N1571" s="1" t="s">
        <v>5008</v>
      </c>
      <c r="P1571" s="1" t="s">
        <v>5010</v>
      </c>
      <c r="Q1571" s="3">
        <v>1</v>
      </c>
      <c r="R1571" s="22" t="s">
        <v>2721</v>
      </c>
      <c r="S1571" s="42" t="s">
        <v>6910</v>
      </c>
      <c r="T1571" s="3" t="s">
        <v>4868</v>
      </c>
      <c r="U1571" s="45">
        <v>35</v>
      </c>
      <c r="V1571" t="s">
        <v>6919</v>
      </c>
      <c r="W1571" s="1" t="str">
        <f>HYPERLINK("http://ictvonline.org/taxonomy/p/taxonomy-history?taxnode_id=201905544","ICTVonline=201905544")</f>
        <v>ICTVonline=201905544</v>
      </c>
    </row>
    <row r="1572" spans="1:23">
      <c r="A1572" s="3">
        <v>1571</v>
      </c>
      <c r="B1572" s="1" t="s">
        <v>6915</v>
      </c>
      <c r="D1572" s="1" t="s">
        <v>6916</v>
      </c>
      <c r="F1572" s="1" t="s">
        <v>6920</v>
      </c>
      <c r="H1572" s="1" t="s">
        <v>6921</v>
      </c>
      <c r="J1572" s="1" t="s">
        <v>1324</v>
      </c>
      <c r="L1572" s="1" t="s">
        <v>895</v>
      </c>
      <c r="N1572" s="1" t="s">
        <v>5008</v>
      </c>
      <c r="P1572" s="1" t="s">
        <v>5011</v>
      </c>
      <c r="Q1572" s="3">
        <v>0</v>
      </c>
      <c r="R1572" s="22" t="s">
        <v>2721</v>
      </c>
      <c r="S1572" s="42" t="s">
        <v>6910</v>
      </c>
      <c r="T1572" s="3" t="s">
        <v>4868</v>
      </c>
      <c r="U1572" s="45">
        <v>35</v>
      </c>
      <c r="V1572" t="s">
        <v>6919</v>
      </c>
      <c r="W1572" s="1" t="str">
        <f>HYPERLINK("http://ictvonline.org/taxonomy/p/taxonomy-history?taxnode_id=201905545","ICTVonline=201905545")</f>
        <v>ICTVonline=201905545</v>
      </c>
    </row>
    <row r="1573" spans="1:23">
      <c r="A1573" s="3">
        <v>1572</v>
      </c>
      <c r="B1573" s="1" t="s">
        <v>6915</v>
      </c>
      <c r="D1573" s="1" t="s">
        <v>6916</v>
      </c>
      <c r="F1573" s="1" t="s">
        <v>6920</v>
      </c>
      <c r="H1573" s="1" t="s">
        <v>6921</v>
      </c>
      <c r="J1573" s="1" t="s">
        <v>1324</v>
      </c>
      <c r="L1573" s="1" t="s">
        <v>895</v>
      </c>
      <c r="N1573" s="1" t="s">
        <v>5008</v>
      </c>
      <c r="P1573" s="1" t="s">
        <v>5012</v>
      </c>
      <c r="Q1573" s="3">
        <v>0</v>
      </c>
      <c r="R1573" s="22" t="s">
        <v>2721</v>
      </c>
      <c r="S1573" s="42" t="s">
        <v>6910</v>
      </c>
      <c r="T1573" s="3" t="s">
        <v>4868</v>
      </c>
      <c r="U1573" s="45">
        <v>35</v>
      </c>
      <c r="V1573" t="s">
        <v>6919</v>
      </c>
      <c r="W1573" s="1" t="str">
        <f>HYPERLINK("http://ictvonline.org/taxonomy/p/taxonomy-history?taxnode_id=201905546","ICTVonline=201905546")</f>
        <v>ICTVonline=201905546</v>
      </c>
    </row>
    <row r="1574" spans="1:23">
      <c r="A1574" s="3">
        <v>1573</v>
      </c>
      <c r="B1574" s="1" t="s">
        <v>6915</v>
      </c>
      <c r="D1574" s="1" t="s">
        <v>6916</v>
      </c>
      <c r="F1574" s="1" t="s">
        <v>6920</v>
      </c>
      <c r="H1574" s="1" t="s">
        <v>6921</v>
      </c>
      <c r="J1574" s="1" t="s">
        <v>1324</v>
      </c>
      <c r="L1574" s="1" t="s">
        <v>895</v>
      </c>
      <c r="N1574" s="1" t="s">
        <v>7848</v>
      </c>
      <c r="P1574" s="1" t="s">
        <v>7849</v>
      </c>
      <c r="Q1574" s="3">
        <v>1</v>
      </c>
      <c r="R1574" s="22" t="s">
        <v>2721</v>
      </c>
      <c r="S1574" s="42" t="s">
        <v>6914</v>
      </c>
      <c r="T1574" s="3" t="s">
        <v>4866</v>
      </c>
      <c r="U1574" s="45">
        <v>35</v>
      </c>
      <c r="V1574" t="s">
        <v>7850</v>
      </c>
      <c r="W1574" s="1" t="str">
        <f>HYPERLINK("http://ictvonline.org/taxonomy/p/taxonomy-history?taxnode_id=201907839","ICTVonline=201907839")</f>
        <v>ICTVonline=201907839</v>
      </c>
    </row>
    <row r="1575" spans="1:23">
      <c r="A1575" s="3">
        <v>1574</v>
      </c>
      <c r="B1575" s="1" t="s">
        <v>6915</v>
      </c>
      <c r="D1575" s="1" t="s">
        <v>6916</v>
      </c>
      <c r="F1575" s="1" t="s">
        <v>6920</v>
      </c>
      <c r="H1575" s="1" t="s">
        <v>6921</v>
      </c>
      <c r="J1575" s="1" t="s">
        <v>1324</v>
      </c>
      <c r="L1575" s="1" t="s">
        <v>895</v>
      </c>
      <c r="N1575" s="1" t="s">
        <v>6571</v>
      </c>
      <c r="P1575" s="1" t="s">
        <v>6572</v>
      </c>
      <c r="Q1575" s="3">
        <v>0</v>
      </c>
      <c r="R1575" s="22" t="s">
        <v>2721</v>
      </c>
      <c r="S1575" s="42" t="s">
        <v>6910</v>
      </c>
      <c r="T1575" s="3" t="s">
        <v>4868</v>
      </c>
      <c r="U1575" s="45">
        <v>35</v>
      </c>
      <c r="V1575" t="s">
        <v>6919</v>
      </c>
      <c r="W1575" s="1" t="str">
        <f>HYPERLINK("http://ictvonline.org/taxonomy/p/taxonomy-history?taxnode_id=201906936","ICTVonline=201906936")</f>
        <v>ICTVonline=201906936</v>
      </c>
    </row>
    <row r="1576" spans="1:23">
      <c r="A1576" s="3">
        <v>1575</v>
      </c>
      <c r="B1576" s="1" t="s">
        <v>6915</v>
      </c>
      <c r="D1576" s="1" t="s">
        <v>6916</v>
      </c>
      <c r="F1576" s="1" t="s">
        <v>6920</v>
      </c>
      <c r="H1576" s="1" t="s">
        <v>6921</v>
      </c>
      <c r="J1576" s="1" t="s">
        <v>1324</v>
      </c>
      <c r="L1576" s="1" t="s">
        <v>895</v>
      </c>
      <c r="N1576" s="1" t="s">
        <v>6571</v>
      </c>
      <c r="P1576" s="1" t="s">
        <v>6573</v>
      </c>
      <c r="Q1576" s="3">
        <v>0</v>
      </c>
      <c r="R1576" s="22" t="s">
        <v>2721</v>
      </c>
      <c r="S1576" s="42" t="s">
        <v>6910</v>
      </c>
      <c r="T1576" s="3" t="s">
        <v>4868</v>
      </c>
      <c r="U1576" s="45">
        <v>35</v>
      </c>
      <c r="V1576" t="s">
        <v>6919</v>
      </c>
      <c r="W1576" s="1" t="str">
        <f>HYPERLINK("http://ictvonline.org/taxonomy/p/taxonomy-history?taxnode_id=201906938","ICTVonline=201906938")</f>
        <v>ICTVonline=201906938</v>
      </c>
    </row>
    <row r="1577" spans="1:23">
      <c r="A1577" s="3">
        <v>1576</v>
      </c>
      <c r="B1577" s="1" t="s">
        <v>6915</v>
      </c>
      <c r="D1577" s="1" t="s">
        <v>6916</v>
      </c>
      <c r="F1577" s="1" t="s">
        <v>6920</v>
      </c>
      <c r="H1577" s="1" t="s">
        <v>6921</v>
      </c>
      <c r="J1577" s="1" t="s">
        <v>1324</v>
      </c>
      <c r="L1577" s="1" t="s">
        <v>895</v>
      </c>
      <c r="N1577" s="1" t="s">
        <v>6571</v>
      </c>
      <c r="P1577" s="1" t="s">
        <v>6574</v>
      </c>
      <c r="Q1577" s="3">
        <v>0</v>
      </c>
      <c r="R1577" s="22" t="s">
        <v>2721</v>
      </c>
      <c r="S1577" s="42" t="s">
        <v>6910</v>
      </c>
      <c r="T1577" s="3" t="s">
        <v>4868</v>
      </c>
      <c r="U1577" s="45">
        <v>35</v>
      </c>
      <c r="V1577" t="s">
        <v>6919</v>
      </c>
      <c r="W1577" s="1" t="str">
        <f>HYPERLINK("http://ictvonline.org/taxonomy/p/taxonomy-history?taxnode_id=201906939","ICTVonline=201906939")</f>
        <v>ICTVonline=201906939</v>
      </c>
    </row>
    <row r="1578" spans="1:23">
      <c r="A1578" s="3">
        <v>1577</v>
      </c>
      <c r="B1578" s="1" t="s">
        <v>6915</v>
      </c>
      <c r="D1578" s="1" t="s">
        <v>6916</v>
      </c>
      <c r="F1578" s="1" t="s">
        <v>6920</v>
      </c>
      <c r="H1578" s="1" t="s">
        <v>6921</v>
      </c>
      <c r="J1578" s="1" t="s">
        <v>1324</v>
      </c>
      <c r="L1578" s="1" t="s">
        <v>895</v>
      </c>
      <c r="N1578" s="1" t="s">
        <v>6571</v>
      </c>
      <c r="P1578" s="1" t="s">
        <v>6575</v>
      </c>
      <c r="Q1578" s="3">
        <v>0</v>
      </c>
      <c r="R1578" s="22" t="s">
        <v>2721</v>
      </c>
      <c r="S1578" s="42" t="s">
        <v>6910</v>
      </c>
      <c r="T1578" s="3" t="s">
        <v>4868</v>
      </c>
      <c r="U1578" s="45">
        <v>35</v>
      </c>
      <c r="V1578" t="s">
        <v>6919</v>
      </c>
      <c r="W1578" s="1" t="str">
        <f>HYPERLINK("http://ictvonline.org/taxonomy/p/taxonomy-history?taxnode_id=201906935","ICTVonline=201906935")</f>
        <v>ICTVonline=201906935</v>
      </c>
    </row>
    <row r="1579" spans="1:23">
      <c r="A1579" s="3">
        <v>1578</v>
      </c>
      <c r="B1579" s="1" t="s">
        <v>6915</v>
      </c>
      <c r="D1579" s="1" t="s">
        <v>6916</v>
      </c>
      <c r="F1579" s="1" t="s">
        <v>6920</v>
      </c>
      <c r="H1579" s="1" t="s">
        <v>6921</v>
      </c>
      <c r="J1579" s="1" t="s">
        <v>1324</v>
      </c>
      <c r="L1579" s="1" t="s">
        <v>895</v>
      </c>
      <c r="N1579" s="1" t="s">
        <v>6571</v>
      </c>
      <c r="P1579" s="1" t="s">
        <v>6576</v>
      </c>
      <c r="Q1579" s="3">
        <v>0</v>
      </c>
      <c r="R1579" s="22" t="s">
        <v>2721</v>
      </c>
      <c r="S1579" s="42" t="s">
        <v>6910</v>
      </c>
      <c r="T1579" s="3" t="s">
        <v>4868</v>
      </c>
      <c r="U1579" s="45">
        <v>35</v>
      </c>
      <c r="V1579" t="s">
        <v>6919</v>
      </c>
      <c r="W1579" s="1" t="str">
        <f>HYPERLINK("http://ictvonline.org/taxonomy/p/taxonomy-history?taxnode_id=201906940","ICTVonline=201906940")</f>
        <v>ICTVonline=201906940</v>
      </c>
    </row>
    <row r="1580" spans="1:23">
      <c r="A1580" s="3">
        <v>1579</v>
      </c>
      <c r="B1580" s="1" t="s">
        <v>6915</v>
      </c>
      <c r="D1580" s="1" t="s">
        <v>6916</v>
      </c>
      <c r="F1580" s="1" t="s">
        <v>6920</v>
      </c>
      <c r="H1580" s="1" t="s">
        <v>6921</v>
      </c>
      <c r="J1580" s="1" t="s">
        <v>1324</v>
      </c>
      <c r="L1580" s="1" t="s">
        <v>895</v>
      </c>
      <c r="N1580" s="1" t="s">
        <v>6571</v>
      </c>
      <c r="P1580" s="1" t="s">
        <v>6577</v>
      </c>
      <c r="Q1580" s="3">
        <v>1</v>
      </c>
      <c r="R1580" s="22" t="s">
        <v>2721</v>
      </c>
      <c r="S1580" s="42" t="s">
        <v>6910</v>
      </c>
      <c r="T1580" s="3" t="s">
        <v>4868</v>
      </c>
      <c r="U1580" s="45">
        <v>35</v>
      </c>
      <c r="V1580" t="s">
        <v>6919</v>
      </c>
      <c r="W1580" s="1" t="str">
        <f>HYPERLINK("http://ictvonline.org/taxonomy/p/taxonomy-history?taxnode_id=201906934","ICTVonline=201906934")</f>
        <v>ICTVonline=201906934</v>
      </c>
    </row>
    <row r="1581" spans="1:23">
      <c r="A1581" s="3">
        <v>1580</v>
      </c>
      <c r="B1581" s="1" t="s">
        <v>6915</v>
      </c>
      <c r="D1581" s="1" t="s">
        <v>6916</v>
      </c>
      <c r="F1581" s="1" t="s">
        <v>6920</v>
      </c>
      <c r="H1581" s="1" t="s">
        <v>6921</v>
      </c>
      <c r="J1581" s="1" t="s">
        <v>1324</v>
      </c>
      <c r="L1581" s="1" t="s">
        <v>895</v>
      </c>
      <c r="N1581" s="1" t="s">
        <v>6571</v>
      </c>
      <c r="P1581" s="1" t="s">
        <v>6578</v>
      </c>
      <c r="Q1581" s="3">
        <v>0</v>
      </c>
      <c r="R1581" s="22" t="s">
        <v>2721</v>
      </c>
      <c r="S1581" s="42" t="s">
        <v>6910</v>
      </c>
      <c r="T1581" s="3" t="s">
        <v>4868</v>
      </c>
      <c r="U1581" s="45">
        <v>35</v>
      </c>
      <c r="V1581" t="s">
        <v>6919</v>
      </c>
      <c r="W1581" s="1" t="str">
        <f>HYPERLINK("http://ictvonline.org/taxonomy/p/taxonomy-history?taxnode_id=201906946","ICTVonline=201906946")</f>
        <v>ICTVonline=201906946</v>
      </c>
    </row>
    <row r="1582" spans="1:23">
      <c r="A1582" s="3">
        <v>1581</v>
      </c>
      <c r="B1582" s="1" t="s">
        <v>6915</v>
      </c>
      <c r="D1582" s="1" t="s">
        <v>6916</v>
      </c>
      <c r="F1582" s="1" t="s">
        <v>6920</v>
      </c>
      <c r="H1582" s="1" t="s">
        <v>6921</v>
      </c>
      <c r="J1582" s="1" t="s">
        <v>1324</v>
      </c>
      <c r="L1582" s="1" t="s">
        <v>895</v>
      </c>
      <c r="N1582" s="1" t="s">
        <v>6571</v>
      </c>
      <c r="P1582" s="1" t="s">
        <v>6579</v>
      </c>
      <c r="Q1582" s="3">
        <v>0</v>
      </c>
      <c r="R1582" s="22" t="s">
        <v>2721</v>
      </c>
      <c r="S1582" s="42" t="s">
        <v>6910</v>
      </c>
      <c r="T1582" s="3" t="s">
        <v>4868</v>
      </c>
      <c r="U1582" s="45">
        <v>35</v>
      </c>
      <c r="V1582" t="s">
        <v>6919</v>
      </c>
      <c r="W1582" s="1" t="str">
        <f>HYPERLINK("http://ictvonline.org/taxonomy/p/taxonomy-history?taxnode_id=201906947","ICTVonline=201906947")</f>
        <v>ICTVonline=201906947</v>
      </c>
    </row>
    <row r="1583" spans="1:23">
      <c r="A1583" s="3">
        <v>1582</v>
      </c>
      <c r="B1583" s="1" t="s">
        <v>6915</v>
      </c>
      <c r="D1583" s="1" t="s">
        <v>6916</v>
      </c>
      <c r="F1583" s="1" t="s">
        <v>6920</v>
      </c>
      <c r="H1583" s="1" t="s">
        <v>6921</v>
      </c>
      <c r="J1583" s="1" t="s">
        <v>1324</v>
      </c>
      <c r="L1583" s="1" t="s">
        <v>895</v>
      </c>
      <c r="N1583" s="1" t="s">
        <v>6571</v>
      </c>
      <c r="P1583" s="1" t="s">
        <v>6580</v>
      </c>
      <c r="Q1583" s="3">
        <v>0</v>
      </c>
      <c r="R1583" s="22" t="s">
        <v>2721</v>
      </c>
      <c r="S1583" s="42" t="s">
        <v>6910</v>
      </c>
      <c r="T1583" s="3" t="s">
        <v>4868</v>
      </c>
      <c r="U1583" s="45">
        <v>35</v>
      </c>
      <c r="V1583" t="s">
        <v>6919</v>
      </c>
      <c r="W1583" s="1" t="str">
        <f>HYPERLINK("http://ictvonline.org/taxonomy/p/taxonomy-history?taxnode_id=201906937","ICTVonline=201906937")</f>
        <v>ICTVonline=201906937</v>
      </c>
    </row>
    <row r="1584" spans="1:23">
      <c r="A1584" s="3">
        <v>1583</v>
      </c>
      <c r="B1584" s="1" t="s">
        <v>6915</v>
      </c>
      <c r="D1584" s="1" t="s">
        <v>6916</v>
      </c>
      <c r="F1584" s="1" t="s">
        <v>6920</v>
      </c>
      <c r="H1584" s="1" t="s">
        <v>6921</v>
      </c>
      <c r="J1584" s="1" t="s">
        <v>1324</v>
      </c>
      <c r="L1584" s="1" t="s">
        <v>895</v>
      </c>
      <c r="N1584" s="1" t="s">
        <v>6571</v>
      </c>
      <c r="P1584" s="1" t="s">
        <v>6581</v>
      </c>
      <c r="Q1584" s="3">
        <v>0</v>
      </c>
      <c r="R1584" s="22" t="s">
        <v>2721</v>
      </c>
      <c r="S1584" s="42" t="s">
        <v>6910</v>
      </c>
      <c r="T1584" s="3" t="s">
        <v>4868</v>
      </c>
      <c r="U1584" s="45">
        <v>35</v>
      </c>
      <c r="V1584" t="s">
        <v>6919</v>
      </c>
      <c r="W1584" s="1" t="str">
        <f>HYPERLINK("http://ictvonline.org/taxonomy/p/taxonomy-history?taxnode_id=201906944","ICTVonline=201906944")</f>
        <v>ICTVonline=201906944</v>
      </c>
    </row>
    <row r="1585" spans="1:23">
      <c r="A1585" s="3">
        <v>1584</v>
      </c>
      <c r="B1585" s="1" t="s">
        <v>6915</v>
      </c>
      <c r="D1585" s="1" t="s">
        <v>6916</v>
      </c>
      <c r="F1585" s="1" t="s">
        <v>6920</v>
      </c>
      <c r="H1585" s="1" t="s">
        <v>6921</v>
      </c>
      <c r="J1585" s="1" t="s">
        <v>1324</v>
      </c>
      <c r="L1585" s="1" t="s">
        <v>895</v>
      </c>
      <c r="N1585" s="1" t="s">
        <v>6571</v>
      </c>
      <c r="P1585" s="1" t="s">
        <v>6582</v>
      </c>
      <c r="Q1585" s="3">
        <v>0</v>
      </c>
      <c r="R1585" s="22" t="s">
        <v>2721</v>
      </c>
      <c r="S1585" s="42" t="s">
        <v>6910</v>
      </c>
      <c r="T1585" s="3" t="s">
        <v>4868</v>
      </c>
      <c r="U1585" s="45">
        <v>35</v>
      </c>
      <c r="V1585" t="s">
        <v>6919</v>
      </c>
      <c r="W1585" s="1" t="str">
        <f>HYPERLINK("http://ictvonline.org/taxonomy/p/taxonomy-history?taxnode_id=201906942","ICTVonline=201906942")</f>
        <v>ICTVonline=201906942</v>
      </c>
    </row>
    <row r="1586" spans="1:23">
      <c r="A1586" s="3">
        <v>1585</v>
      </c>
      <c r="B1586" s="1" t="s">
        <v>6915</v>
      </c>
      <c r="D1586" s="1" t="s">
        <v>6916</v>
      </c>
      <c r="F1586" s="1" t="s">
        <v>6920</v>
      </c>
      <c r="H1586" s="1" t="s">
        <v>6921</v>
      </c>
      <c r="J1586" s="1" t="s">
        <v>1324</v>
      </c>
      <c r="L1586" s="1" t="s">
        <v>895</v>
      </c>
      <c r="N1586" s="1" t="s">
        <v>6571</v>
      </c>
      <c r="P1586" s="1" t="s">
        <v>6583</v>
      </c>
      <c r="Q1586" s="3">
        <v>0</v>
      </c>
      <c r="R1586" s="22" t="s">
        <v>2721</v>
      </c>
      <c r="S1586" s="42" t="s">
        <v>6910</v>
      </c>
      <c r="T1586" s="3" t="s">
        <v>4868</v>
      </c>
      <c r="U1586" s="45">
        <v>35</v>
      </c>
      <c r="V1586" t="s">
        <v>6919</v>
      </c>
      <c r="W1586" s="1" t="str">
        <f>HYPERLINK("http://ictvonline.org/taxonomy/p/taxonomy-history?taxnode_id=201906941","ICTVonline=201906941")</f>
        <v>ICTVonline=201906941</v>
      </c>
    </row>
    <row r="1587" spans="1:23">
      <c r="A1587" s="3">
        <v>1586</v>
      </c>
      <c r="B1587" s="1" t="s">
        <v>6915</v>
      </c>
      <c r="D1587" s="1" t="s">
        <v>6916</v>
      </c>
      <c r="F1587" s="1" t="s">
        <v>6920</v>
      </c>
      <c r="H1587" s="1" t="s">
        <v>6921</v>
      </c>
      <c r="J1587" s="1" t="s">
        <v>1324</v>
      </c>
      <c r="L1587" s="1" t="s">
        <v>895</v>
      </c>
      <c r="N1587" s="1" t="s">
        <v>6571</v>
      </c>
      <c r="P1587" s="1" t="s">
        <v>6584</v>
      </c>
      <c r="Q1587" s="3">
        <v>0</v>
      </c>
      <c r="R1587" s="22" t="s">
        <v>2721</v>
      </c>
      <c r="S1587" s="42" t="s">
        <v>6910</v>
      </c>
      <c r="T1587" s="3" t="s">
        <v>4868</v>
      </c>
      <c r="U1587" s="45">
        <v>35</v>
      </c>
      <c r="V1587" t="s">
        <v>6919</v>
      </c>
      <c r="W1587" s="1" t="str">
        <f>HYPERLINK("http://ictvonline.org/taxonomy/p/taxonomy-history?taxnode_id=201906945","ICTVonline=201906945")</f>
        <v>ICTVonline=201906945</v>
      </c>
    </row>
    <row r="1588" spans="1:23">
      <c r="A1588" s="3">
        <v>1587</v>
      </c>
      <c r="B1588" s="1" t="s">
        <v>6915</v>
      </c>
      <c r="D1588" s="1" t="s">
        <v>6916</v>
      </c>
      <c r="F1588" s="1" t="s">
        <v>6920</v>
      </c>
      <c r="H1588" s="1" t="s">
        <v>6921</v>
      </c>
      <c r="J1588" s="1" t="s">
        <v>1324</v>
      </c>
      <c r="L1588" s="1" t="s">
        <v>895</v>
      </c>
      <c r="N1588" s="1" t="s">
        <v>6571</v>
      </c>
      <c r="P1588" s="1" t="s">
        <v>6585</v>
      </c>
      <c r="Q1588" s="3">
        <v>0</v>
      </c>
      <c r="R1588" s="22" t="s">
        <v>2721</v>
      </c>
      <c r="S1588" s="42" t="s">
        <v>6910</v>
      </c>
      <c r="T1588" s="3" t="s">
        <v>4868</v>
      </c>
      <c r="U1588" s="45">
        <v>35</v>
      </c>
      <c r="V1588" t="s">
        <v>6919</v>
      </c>
      <c r="W1588" s="1" t="str">
        <f>HYPERLINK("http://ictvonline.org/taxonomy/p/taxonomy-history?taxnode_id=201906943","ICTVonline=201906943")</f>
        <v>ICTVonline=201906943</v>
      </c>
    </row>
    <row r="1589" spans="1:23">
      <c r="A1589" s="3">
        <v>1588</v>
      </c>
      <c r="B1589" s="1" t="s">
        <v>6915</v>
      </c>
      <c r="D1589" s="1" t="s">
        <v>6916</v>
      </c>
      <c r="F1589" s="1" t="s">
        <v>6920</v>
      </c>
      <c r="H1589" s="1" t="s">
        <v>6921</v>
      </c>
      <c r="J1589" s="1" t="s">
        <v>1324</v>
      </c>
      <c r="L1589" s="1" t="s">
        <v>895</v>
      </c>
      <c r="N1589" s="1" t="s">
        <v>4314</v>
      </c>
      <c r="P1589" s="1" t="s">
        <v>4315</v>
      </c>
      <c r="Q1589" s="3">
        <v>1</v>
      </c>
      <c r="R1589" s="22" t="s">
        <v>2721</v>
      </c>
      <c r="S1589" s="42" t="s">
        <v>6910</v>
      </c>
      <c r="T1589" s="3" t="s">
        <v>4868</v>
      </c>
      <c r="U1589" s="45">
        <v>35</v>
      </c>
      <c r="V1589" t="s">
        <v>6919</v>
      </c>
      <c r="W1589" s="1" t="str">
        <f>HYPERLINK("http://ictvonline.org/taxonomy/p/taxonomy-history?taxnode_id=201900967","ICTVonline=201900967")</f>
        <v>ICTVonline=201900967</v>
      </c>
    </row>
    <row r="1590" spans="1:23">
      <c r="A1590" s="3">
        <v>1589</v>
      </c>
      <c r="B1590" s="1" t="s">
        <v>6915</v>
      </c>
      <c r="D1590" s="1" t="s">
        <v>6916</v>
      </c>
      <c r="F1590" s="1" t="s">
        <v>6920</v>
      </c>
      <c r="H1590" s="1" t="s">
        <v>6921</v>
      </c>
      <c r="J1590" s="1" t="s">
        <v>1324</v>
      </c>
      <c r="L1590" s="1" t="s">
        <v>895</v>
      </c>
      <c r="N1590" s="1" t="s">
        <v>6586</v>
      </c>
      <c r="P1590" s="1" t="s">
        <v>6587</v>
      </c>
      <c r="Q1590" s="3">
        <v>1</v>
      </c>
      <c r="R1590" s="22" t="s">
        <v>2721</v>
      </c>
      <c r="S1590" s="42" t="s">
        <v>6910</v>
      </c>
      <c r="T1590" s="3" t="s">
        <v>4868</v>
      </c>
      <c r="U1590" s="45">
        <v>35</v>
      </c>
      <c r="V1590" t="s">
        <v>6919</v>
      </c>
      <c r="W1590" s="1" t="str">
        <f>HYPERLINK("http://ictvonline.org/taxonomy/p/taxonomy-history?taxnode_id=201901379","ICTVonline=201901379")</f>
        <v>ICTVonline=201901379</v>
      </c>
    </row>
    <row r="1591" spans="1:23">
      <c r="A1591" s="3">
        <v>1590</v>
      </c>
      <c r="B1591" s="1" t="s">
        <v>6915</v>
      </c>
      <c r="D1591" s="1" t="s">
        <v>6916</v>
      </c>
      <c r="F1591" s="1" t="s">
        <v>6920</v>
      </c>
      <c r="H1591" s="1" t="s">
        <v>6921</v>
      </c>
      <c r="J1591" s="1" t="s">
        <v>1324</v>
      </c>
      <c r="L1591" s="1" t="s">
        <v>895</v>
      </c>
      <c r="N1591" s="1" t="s">
        <v>6588</v>
      </c>
      <c r="P1591" s="1" t="s">
        <v>6589</v>
      </c>
      <c r="Q1591" s="3">
        <v>1</v>
      </c>
      <c r="R1591" s="22" t="s">
        <v>2721</v>
      </c>
      <c r="S1591" s="42" t="s">
        <v>6910</v>
      </c>
      <c r="T1591" s="3" t="s">
        <v>4868</v>
      </c>
      <c r="U1591" s="45">
        <v>35</v>
      </c>
      <c r="V1591" t="s">
        <v>6919</v>
      </c>
      <c r="W1591" s="1" t="str">
        <f>HYPERLINK("http://ictvonline.org/taxonomy/p/taxonomy-history?taxnode_id=201906739","ICTVonline=201906739")</f>
        <v>ICTVonline=201906739</v>
      </c>
    </row>
    <row r="1592" spans="1:23">
      <c r="A1592" s="3">
        <v>1591</v>
      </c>
      <c r="B1592" s="1" t="s">
        <v>6915</v>
      </c>
      <c r="D1592" s="1" t="s">
        <v>6916</v>
      </c>
      <c r="F1592" s="1" t="s">
        <v>6920</v>
      </c>
      <c r="H1592" s="1" t="s">
        <v>6921</v>
      </c>
      <c r="J1592" s="1" t="s">
        <v>1324</v>
      </c>
      <c r="L1592" s="1" t="s">
        <v>895</v>
      </c>
      <c r="N1592" s="1" t="s">
        <v>6590</v>
      </c>
      <c r="P1592" s="1" t="s">
        <v>6591</v>
      </c>
      <c r="Q1592" s="3">
        <v>0</v>
      </c>
      <c r="R1592" s="22" t="s">
        <v>2721</v>
      </c>
      <c r="S1592" s="42" t="s">
        <v>6910</v>
      </c>
      <c r="T1592" s="3" t="s">
        <v>4868</v>
      </c>
      <c r="U1592" s="45">
        <v>35</v>
      </c>
      <c r="V1592" t="s">
        <v>6919</v>
      </c>
      <c r="W1592" s="1" t="str">
        <f>HYPERLINK("http://ictvonline.org/taxonomy/p/taxonomy-history?taxnode_id=201906821","ICTVonline=201906821")</f>
        <v>ICTVonline=201906821</v>
      </c>
    </row>
    <row r="1593" spans="1:23">
      <c r="A1593" s="3">
        <v>1592</v>
      </c>
      <c r="B1593" s="1" t="s">
        <v>6915</v>
      </c>
      <c r="D1593" s="1" t="s">
        <v>6916</v>
      </c>
      <c r="F1593" s="1" t="s">
        <v>6920</v>
      </c>
      <c r="H1593" s="1" t="s">
        <v>6921</v>
      </c>
      <c r="J1593" s="1" t="s">
        <v>1324</v>
      </c>
      <c r="L1593" s="1" t="s">
        <v>895</v>
      </c>
      <c r="N1593" s="1" t="s">
        <v>6590</v>
      </c>
      <c r="P1593" s="1" t="s">
        <v>6592</v>
      </c>
      <c r="Q1593" s="3">
        <v>1</v>
      </c>
      <c r="R1593" s="22" t="s">
        <v>2721</v>
      </c>
      <c r="S1593" s="42" t="s">
        <v>6910</v>
      </c>
      <c r="T1593" s="3" t="s">
        <v>4868</v>
      </c>
      <c r="U1593" s="45">
        <v>35</v>
      </c>
      <c r="V1593" t="s">
        <v>6919</v>
      </c>
      <c r="W1593" s="1" t="str">
        <f>HYPERLINK("http://ictvonline.org/taxonomy/p/taxonomy-history?taxnode_id=201906818","ICTVonline=201906818")</f>
        <v>ICTVonline=201906818</v>
      </c>
    </row>
    <row r="1594" spans="1:23">
      <c r="A1594" s="3">
        <v>1593</v>
      </c>
      <c r="B1594" s="1" t="s">
        <v>6915</v>
      </c>
      <c r="D1594" s="1" t="s">
        <v>6916</v>
      </c>
      <c r="F1594" s="1" t="s">
        <v>6920</v>
      </c>
      <c r="H1594" s="1" t="s">
        <v>6921</v>
      </c>
      <c r="J1594" s="1" t="s">
        <v>1324</v>
      </c>
      <c r="L1594" s="1" t="s">
        <v>895</v>
      </c>
      <c r="N1594" s="1" t="s">
        <v>6590</v>
      </c>
      <c r="P1594" s="1" t="s">
        <v>6593</v>
      </c>
      <c r="Q1594" s="3">
        <v>0</v>
      </c>
      <c r="R1594" s="22" t="s">
        <v>2721</v>
      </c>
      <c r="S1594" s="42" t="s">
        <v>6910</v>
      </c>
      <c r="T1594" s="3" t="s">
        <v>4868</v>
      </c>
      <c r="U1594" s="45">
        <v>35</v>
      </c>
      <c r="V1594" t="s">
        <v>6919</v>
      </c>
      <c r="W1594" s="1" t="str">
        <f>HYPERLINK("http://ictvonline.org/taxonomy/p/taxonomy-history?taxnode_id=201906819","ICTVonline=201906819")</f>
        <v>ICTVonline=201906819</v>
      </c>
    </row>
    <row r="1595" spans="1:23">
      <c r="A1595" s="3">
        <v>1594</v>
      </c>
      <c r="B1595" s="1" t="s">
        <v>6915</v>
      </c>
      <c r="D1595" s="1" t="s">
        <v>6916</v>
      </c>
      <c r="F1595" s="1" t="s">
        <v>6920</v>
      </c>
      <c r="H1595" s="1" t="s">
        <v>6921</v>
      </c>
      <c r="J1595" s="1" t="s">
        <v>1324</v>
      </c>
      <c r="L1595" s="1" t="s">
        <v>895</v>
      </c>
      <c r="N1595" s="1" t="s">
        <v>6590</v>
      </c>
      <c r="P1595" s="1" t="s">
        <v>6594</v>
      </c>
      <c r="Q1595" s="3">
        <v>0</v>
      </c>
      <c r="R1595" s="22" t="s">
        <v>2721</v>
      </c>
      <c r="S1595" s="42" t="s">
        <v>6910</v>
      </c>
      <c r="T1595" s="3" t="s">
        <v>4868</v>
      </c>
      <c r="U1595" s="45">
        <v>35</v>
      </c>
      <c r="V1595" t="s">
        <v>6919</v>
      </c>
      <c r="W1595" s="1" t="str">
        <f>HYPERLINK("http://ictvonline.org/taxonomy/p/taxonomy-history?taxnode_id=201906820","ICTVonline=201906820")</f>
        <v>ICTVonline=201906820</v>
      </c>
    </row>
    <row r="1596" spans="1:23">
      <c r="A1596" s="3">
        <v>1595</v>
      </c>
      <c r="B1596" s="1" t="s">
        <v>6915</v>
      </c>
      <c r="D1596" s="1" t="s">
        <v>6916</v>
      </c>
      <c r="F1596" s="1" t="s">
        <v>6920</v>
      </c>
      <c r="H1596" s="1" t="s">
        <v>6921</v>
      </c>
      <c r="J1596" s="1" t="s">
        <v>1324</v>
      </c>
      <c r="L1596" s="1" t="s">
        <v>895</v>
      </c>
      <c r="N1596" s="1" t="s">
        <v>6595</v>
      </c>
      <c r="P1596" s="1" t="s">
        <v>6596</v>
      </c>
      <c r="Q1596" s="3">
        <v>1</v>
      </c>
      <c r="R1596" s="22" t="s">
        <v>2721</v>
      </c>
      <c r="S1596" s="42" t="s">
        <v>6910</v>
      </c>
      <c r="T1596" s="3" t="s">
        <v>4868</v>
      </c>
      <c r="U1596" s="45">
        <v>35</v>
      </c>
      <c r="V1596" t="s">
        <v>6919</v>
      </c>
      <c r="W1596" s="1" t="str">
        <f>HYPERLINK("http://ictvonline.org/taxonomy/p/taxonomy-history?taxnode_id=201906424","ICTVonline=201906424")</f>
        <v>ICTVonline=201906424</v>
      </c>
    </row>
    <row r="1597" spans="1:23">
      <c r="A1597" s="3">
        <v>1596</v>
      </c>
      <c r="B1597" s="1" t="s">
        <v>6915</v>
      </c>
      <c r="D1597" s="1" t="s">
        <v>6916</v>
      </c>
      <c r="F1597" s="1" t="s">
        <v>6920</v>
      </c>
      <c r="H1597" s="1" t="s">
        <v>6921</v>
      </c>
      <c r="J1597" s="1" t="s">
        <v>1324</v>
      </c>
      <c r="L1597" s="1" t="s">
        <v>895</v>
      </c>
      <c r="N1597" s="1" t="s">
        <v>7851</v>
      </c>
      <c r="P1597" s="1" t="s">
        <v>7852</v>
      </c>
      <c r="Q1597" s="3">
        <v>1</v>
      </c>
      <c r="R1597" s="22" t="s">
        <v>2721</v>
      </c>
      <c r="S1597" s="42" t="s">
        <v>6914</v>
      </c>
      <c r="T1597" s="3" t="s">
        <v>4866</v>
      </c>
      <c r="U1597" s="45">
        <v>35</v>
      </c>
      <c r="V1597" t="s">
        <v>7853</v>
      </c>
      <c r="W1597" s="1" t="str">
        <f>HYPERLINK("http://ictvonline.org/taxonomy/p/taxonomy-history?taxnode_id=201907273","ICTVonline=201907273")</f>
        <v>ICTVonline=201907273</v>
      </c>
    </row>
    <row r="1598" spans="1:23">
      <c r="A1598" s="3">
        <v>1597</v>
      </c>
      <c r="B1598" s="1" t="s">
        <v>6915</v>
      </c>
      <c r="D1598" s="1" t="s">
        <v>6916</v>
      </c>
      <c r="F1598" s="1" t="s">
        <v>6920</v>
      </c>
      <c r="H1598" s="1" t="s">
        <v>6921</v>
      </c>
      <c r="J1598" s="1" t="s">
        <v>1324</v>
      </c>
      <c r="L1598" s="1" t="s">
        <v>895</v>
      </c>
      <c r="N1598" s="1" t="s">
        <v>6597</v>
      </c>
      <c r="P1598" s="1" t="s">
        <v>6598</v>
      </c>
      <c r="Q1598" s="3">
        <v>1</v>
      </c>
      <c r="R1598" s="22" t="s">
        <v>2721</v>
      </c>
      <c r="S1598" s="42" t="s">
        <v>6910</v>
      </c>
      <c r="T1598" s="3" t="s">
        <v>4868</v>
      </c>
      <c r="U1598" s="45">
        <v>35</v>
      </c>
      <c r="V1598" t="s">
        <v>6919</v>
      </c>
      <c r="W1598" s="1" t="str">
        <f>HYPERLINK("http://ictvonline.org/taxonomy/p/taxonomy-history?taxnode_id=201906560","ICTVonline=201906560")</f>
        <v>ICTVonline=201906560</v>
      </c>
    </row>
    <row r="1599" spans="1:23">
      <c r="A1599" s="3">
        <v>1598</v>
      </c>
      <c r="B1599" s="1" t="s">
        <v>6915</v>
      </c>
      <c r="D1599" s="1" t="s">
        <v>6916</v>
      </c>
      <c r="F1599" s="1" t="s">
        <v>6920</v>
      </c>
      <c r="H1599" s="1" t="s">
        <v>6921</v>
      </c>
      <c r="J1599" s="1" t="s">
        <v>1324</v>
      </c>
      <c r="L1599" s="1" t="s">
        <v>895</v>
      </c>
      <c r="N1599" s="1" t="s">
        <v>7854</v>
      </c>
      <c r="P1599" s="1" t="s">
        <v>7855</v>
      </c>
      <c r="Q1599" s="3">
        <v>0</v>
      </c>
      <c r="R1599" s="22" t="s">
        <v>2721</v>
      </c>
      <c r="S1599" s="42" t="s">
        <v>6914</v>
      </c>
      <c r="T1599" s="3" t="s">
        <v>4866</v>
      </c>
      <c r="U1599" s="45">
        <v>35</v>
      </c>
      <c r="V1599" t="s">
        <v>7856</v>
      </c>
      <c r="W1599" s="1" t="str">
        <f>HYPERLINK("http://ictvonline.org/taxonomy/p/taxonomy-history?taxnode_id=201907842","ICTVonline=201907842")</f>
        <v>ICTVonline=201907842</v>
      </c>
    </row>
    <row r="1600" spans="1:23">
      <c r="A1600" s="3">
        <v>1599</v>
      </c>
      <c r="B1600" s="1" t="s">
        <v>6915</v>
      </c>
      <c r="D1600" s="1" t="s">
        <v>6916</v>
      </c>
      <c r="F1600" s="1" t="s">
        <v>6920</v>
      </c>
      <c r="H1600" s="1" t="s">
        <v>6921</v>
      </c>
      <c r="J1600" s="1" t="s">
        <v>1324</v>
      </c>
      <c r="L1600" s="1" t="s">
        <v>895</v>
      </c>
      <c r="N1600" s="1" t="s">
        <v>7854</v>
      </c>
      <c r="P1600" s="1" t="s">
        <v>7857</v>
      </c>
      <c r="Q1600" s="3">
        <v>1</v>
      </c>
      <c r="R1600" s="22" t="s">
        <v>2721</v>
      </c>
      <c r="S1600" s="42" t="s">
        <v>6914</v>
      </c>
      <c r="T1600" s="3" t="s">
        <v>4866</v>
      </c>
      <c r="U1600" s="45">
        <v>35</v>
      </c>
      <c r="V1600" t="s">
        <v>7856</v>
      </c>
      <c r="W1600" s="1" t="str">
        <f>HYPERLINK("http://ictvonline.org/taxonomy/p/taxonomy-history?taxnode_id=201907841","ICTVonline=201907841")</f>
        <v>ICTVonline=201907841</v>
      </c>
    </row>
    <row r="1601" spans="1:23">
      <c r="A1601" s="3">
        <v>1600</v>
      </c>
      <c r="B1601" s="1" t="s">
        <v>6915</v>
      </c>
      <c r="D1601" s="1" t="s">
        <v>6916</v>
      </c>
      <c r="F1601" s="1" t="s">
        <v>6920</v>
      </c>
      <c r="H1601" s="1" t="s">
        <v>6921</v>
      </c>
      <c r="J1601" s="1" t="s">
        <v>1324</v>
      </c>
      <c r="L1601" s="1" t="s">
        <v>895</v>
      </c>
      <c r="N1601" s="1" t="s">
        <v>7858</v>
      </c>
      <c r="P1601" s="1" t="s">
        <v>7859</v>
      </c>
      <c r="Q1601" s="3">
        <v>0</v>
      </c>
      <c r="R1601" s="22" t="s">
        <v>2721</v>
      </c>
      <c r="S1601" s="42" t="s">
        <v>6914</v>
      </c>
      <c r="T1601" s="3" t="s">
        <v>4866</v>
      </c>
      <c r="U1601" s="45">
        <v>35</v>
      </c>
      <c r="V1601" t="s">
        <v>7860</v>
      </c>
      <c r="W1601" s="1" t="str">
        <f>HYPERLINK("http://ictvonline.org/taxonomy/p/taxonomy-history?taxnode_id=201907845","ICTVonline=201907845")</f>
        <v>ICTVonline=201907845</v>
      </c>
    </row>
    <row r="1602" spans="1:23">
      <c r="A1602" s="3">
        <v>1601</v>
      </c>
      <c r="B1602" s="1" t="s">
        <v>6915</v>
      </c>
      <c r="D1602" s="1" t="s">
        <v>6916</v>
      </c>
      <c r="F1602" s="1" t="s">
        <v>6920</v>
      </c>
      <c r="H1602" s="1" t="s">
        <v>6921</v>
      </c>
      <c r="J1602" s="1" t="s">
        <v>1324</v>
      </c>
      <c r="L1602" s="1" t="s">
        <v>895</v>
      </c>
      <c r="N1602" s="1" t="s">
        <v>7858</v>
      </c>
      <c r="P1602" s="1" t="s">
        <v>7861</v>
      </c>
      <c r="Q1602" s="3">
        <v>1</v>
      </c>
      <c r="R1602" s="22" t="s">
        <v>2721</v>
      </c>
      <c r="S1602" s="42" t="s">
        <v>6914</v>
      </c>
      <c r="T1602" s="3" t="s">
        <v>4866</v>
      </c>
      <c r="U1602" s="45">
        <v>35</v>
      </c>
      <c r="V1602" t="s">
        <v>7860</v>
      </c>
      <c r="W1602" s="1" t="str">
        <f>HYPERLINK("http://ictvonline.org/taxonomy/p/taxonomy-history?taxnode_id=201907844","ICTVonline=201907844")</f>
        <v>ICTVonline=201907844</v>
      </c>
    </row>
    <row r="1603" spans="1:23">
      <c r="A1603" s="3">
        <v>1602</v>
      </c>
      <c r="B1603" s="1" t="s">
        <v>6915</v>
      </c>
      <c r="D1603" s="1" t="s">
        <v>6916</v>
      </c>
      <c r="F1603" s="1" t="s">
        <v>6920</v>
      </c>
      <c r="H1603" s="1" t="s">
        <v>6921</v>
      </c>
      <c r="J1603" s="1" t="s">
        <v>1324</v>
      </c>
      <c r="L1603" s="1" t="s">
        <v>895</v>
      </c>
      <c r="N1603" s="1" t="s">
        <v>7862</v>
      </c>
      <c r="P1603" s="1" t="s">
        <v>7863</v>
      </c>
      <c r="Q1603" s="3">
        <v>1</v>
      </c>
      <c r="R1603" s="22" t="s">
        <v>2721</v>
      </c>
      <c r="S1603" s="42" t="s">
        <v>6914</v>
      </c>
      <c r="T1603" s="3" t="s">
        <v>4866</v>
      </c>
      <c r="U1603" s="45">
        <v>35</v>
      </c>
      <c r="V1603" t="s">
        <v>7864</v>
      </c>
      <c r="W1603" s="1" t="str">
        <f>HYPERLINK("http://ictvonline.org/taxonomy/p/taxonomy-history?taxnode_id=201907850","ICTVonline=201907850")</f>
        <v>ICTVonline=201907850</v>
      </c>
    </row>
    <row r="1604" spans="1:23">
      <c r="A1604" s="3">
        <v>1603</v>
      </c>
      <c r="B1604" s="1" t="s">
        <v>6915</v>
      </c>
      <c r="D1604" s="1" t="s">
        <v>6916</v>
      </c>
      <c r="F1604" s="1" t="s">
        <v>6920</v>
      </c>
      <c r="H1604" s="1" t="s">
        <v>6921</v>
      </c>
      <c r="J1604" s="1" t="s">
        <v>1324</v>
      </c>
      <c r="L1604" s="1" t="s">
        <v>895</v>
      </c>
      <c r="N1604" s="1" t="s">
        <v>6599</v>
      </c>
      <c r="P1604" s="1" t="s">
        <v>3176</v>
      </c>
      <c r="Q1604" s="3">
        <v>0</v>
      </c>
      <c r="R1604" s="22" t="s">
        <v>2721</v>
      </c>
      <c r="S1604" s="42" t="s">
        <v>6910</v>
      </c>
      <c r="T1604" s="3" t="s">
        <v>4868</v>
      </c>
      <c r="U1604" s="45">
        <v>35</v>
      </c>
      <c r="V1604" t="s">
        <v>6919</v>
      </c>
      <c r="W1604" s="1" t="str">
        <f>HYPERLINK("http://ictvonline.org/taxonomy/p/taxonomy-history?taxnode_id=201901009","ICTVonline=201901009")</f>
        <v>ICTVonline=201901009</v>
      </c>
    </row>
    <row r="1605" spans="1:23">
      <c r="A1605" s="3">
        <v>1604</v>
      </c>
      <c r="B1605" s="1" t="s">
        <v>6915</v>
      </c>
      <c r="D1605" s="1" t="s">
        <v>6916</v>
      </c>
      <c r="F1605" s="1" t="s">
        <v>6920</v>
      </c>
      <c r="H1605" s="1" t="s">
        <v>6921</v>
      </c>
      <c r="J1605" s="1" t="s">
        <v>1324</v>
      </c>
      <c r="L1605" s="1" t="s">
        <v>895</v>
      </c>
      <c r="N1605" s="1" t="s">
        <v>6599</v>
      </c>
      <c r="P1605" s="1" t="s">
        <v>3177</v>
      </c>
      <c r="Q1605" s="3">
        <v>0</v>
      </c>
      <c r="R1605" s="22" t="s">
        <v>2721</v>
      </c>
      <c r="S1605" s="42" t="s">
        <v>6910</v>
      </c>
      <c r="T1605" s="3" t="s">
        <v>4868</v>
      </c>
      <c r="U1605" s="45">
        <v>35</v>
      </c>
      <c r="V1605" t="s">
        <v>6919</v>
      </c>
      <c r="W1605" s="1" t="str">
        <f>HYPERLINK("http://ictvonline.org/taxonomy/p/taxonomy-history?taxnode_id=201901010","ICTVonline=201901010")</f>
        <v>ICTVonline=201901010</v>
      </c>
    </row>
    <row r="1606" spans="1:23">
      <c r="A1606" s="3">
        <v>1605</v>
      </c>
      <c r="B1606" s="1" t="s">
        <v>6915</v>
      </c>
      <c r="D1606" s="1" t="s">
        <v>6916</v>
      </c>
      <c r="F1606" s="1" t="s">
        <v>6920</v>
      </c>
      <c r="H1606" s="1" t="s">
        <v>6921</v>
      </c>
      <c r="J1606" s="1" t="s">
        <v>1324</v>
      </c>
      <c r="L1606" s="1" t="s">
        <v>895</v>
      </c>
      <c r="N1606" s="1" t="s">
        <v>6599</v>
      </c>
      <c r="P1606" s="1" t="s">
        <v>3178</v>
      </c>
      <c r="Q1606" s="3">
        <v>0</v>
      </c>
      <c r="R1606" s="22" t="s">
        <v>2721</v>
      </c>
      <c r="S1606" s="42" t="s">
        <v>6910</v>
      </c>
      <c r="T1606" s="3" t="s">
        <v>4868</v>
      </c>
      <c r="U1606" s="45">
        <v>35</v>
      </c>
      <c r="V1606" t="s">
        <v>6919</v>
      </c>
      <c r="W1606" s="1" t="str">
        <f>HYPERLINK("http://ictvonline.org/taxonomy/p/taxonomy-history?taxnode_id=201901011","ICTVonline=201901011")</f>
        <v>ICTVonline=201901011</v>
      </c>
    </row>
    <row r="1607" spans="1:23">
      <c r="A1607" s="3">
        <v>1606</v>
      </c>
      <c r="B1607" s="1" t="s">
        <v>6915</v>
      </c>
      <c r="D1607" s="1" t="s">
        <v>6916</v>
      </c>
      <c r="F1607" s="1" t="s">
        <v>6920</v>
      </c>
      <c r="H1607" s="1" t="s">
        <v>6921</v>
      </c>
      <c r="J1607" s="1" t="s">
        <v>1324</v>
      </c>
      <c r="L1607" s="1" t="s">
        <v>895</v>
      </c>
      <c r="N1607" s="1" t="s">
        <v>6599</v>
      </c>
      <c r="P1607" s="1" t="s">
        <v>3179</v>
      </c>
      <c r="Q1607" s="3">
        <v>0</v>
      </c>
      <c r="R1607" s="22" t="s">
        <v>2721</v>
      </c>
      <c r="S1607" s="42" t="s">
        <v>6910</v>
      </c>
      <c r="T1607" s="3" t="s">
        <v>4868</v>
      </c>
      <c r="U1607" s="45">
        <v>35</v>
      </c>
      <c r="V1607" t="s">
        <v>6919</v>
      </c>
      <c r="W1607" s="1" t="str">
        <f>HYPERLINK("http://ictvonline.org/taxonomy/p/taxonomy-history?taxnode_id=201901012","ICTVonline=201901012")</f>
        <v>ICTVonline=201901012</v>
      </c>
    </row>
    <row r="1608" spans="1:23">
      <c r="A1608" s="3">
        <v>1607</v>
      </c>
      <c r="B1608" s="1" t="s">
        <v>6915</v>
      </c>
      <c r="D1608" s="1" t="s">
        <v>6916</v>
      </c>
      <c r="F1608" s="1" t="s">
        <v>6920</v>
      </c>
      <c r="H1608" s="1" t="s">
        <v>6921</v>
      </c>
      <c r="J1608" s="1" t="s">
        <v>1324</v>
      </c>
      <c r="L1608" s="1" t="s">
        <v>895</v>
      </c>
      <c r="N1608" s="1" t="s">
        <v>6599</v>
      </c>
      <c r="P1608" s="1" t="s">
        <v>3180</v>
      </c>
      <c r="Q1608" s="3">
        <v>0</v>
      </c>
      <c r="R1608" s="22" t="s">
        <v>2721</v>
      </c>
      <c r="S1608" s="42" t="s">
        <v>6910</v>
      </c>
      <c r="T1608" s="3" t="s">
        <v>4868</v>
      </c>
      <c r="U1608" s="45">
        <v>35</v>
      </c>
      <c r="V1608" t="s">
        <v>6919</v>
      </c>
      <c r="W1608" s="1" t="str">
        <f>HYPERLINK("http://ictvonline.org/taxonomy/p/taxonomy-history?taxnode_id=201901014","ICTVonline=201901014")</f>
        <v>ICTVonline=201901014</v>
      </c>
    </row>
    <row r="1609" spans="1:23">
      <c r="A1609" s="3">
        <v>1608</v>
      </c>
      <c r="B1609" s="1" t="s">
        <v>6915</v>
      </c>
      <c r="D1609" s="1" t="s">
        <v>6916</v>
      </c>
      <c r="F1609" s="1" t="s">
        <v>6920</v>
      </c>
      <c r="H1609" s="1" t="s">
        <v>6921</v>
      </c>
      <c r="J1609" s="1" t="s">
        <v>1324</v>
      </c>
      <c r="L1609" s="1" t="s">
        <v>895</v>
      </c>
      <c r="N1609" s="1" t="s">
        <v>6599</v>
      </c>
      <c r="P1609" s="1" t="s">
        <v>3181</v>
      </c>
      <c r="Q1609" s="3">
        <v>0</v>
      </c>
      <c r="R1609" s="22" t="s">
        <v>2721</v>
      </c>
      <c r="S1609" s="42" t="s">
        <v>6910</v>
      </c>
      <c r="T1609" s="3" t="s">
        <v>4868</v>
      </c>
      <c r="U1609" s="45">
        <v>35</v>
      </c>
      <c r="V1609" t="s">
        <v>6919</v>
      </c>
      <c r="W1609" s="1" t="str">
        <f>HYPERLINK("http://ictvonline.org/taxonomy/p/taxonomy-history?taxnode_id=201901015","ICTVonline=201901015")</f>
        <v>ICTVonline=201901015</v>
      </c>
    </row>
    <row r="1610" spans="1:23">
      <c r="A1610" s="3">
        <v>1609</v>
      </c>
      <c r="B1610" s="1" t="s">
        <v>6915</v>
      </c>
      <c r="D1610" s="1" t="s">
        <v>6916</v>
      </c>
      <c r="F1610" s="1" t="s">
        <v>6920</v>
      </c>
      <c r="H1610" s="1" t="s">
        <v>6921</v>
      </c>
      <c r="J1610" s="1" t="s">
        <v>1324</v>
      </c>
      <c r="L1610" s="1" t="s">
        <v>895</v>
      </c>
      <c r="N1610" s="1" t="s">
        <v>6599</v>
      </c>
      <c r="P1610" s="1" t="s">
        <v>3182</v>
      </c>
      <c r="Q1610" s="3">
        <v>0</v>
      </c>
      <c r="R1610" s="22" t="s">
        <v>2721</v>
      </c>
      <c r="S1610" s="42" t="s">
        <v>6910</v>
      </c>
      <c r="T1610" s="3" t="s">
        <v>4868</v>
      </c>
      <c r="U1610" s="45">
        <v>35</v>
      </c>
      <c r="V1610" t="s">
        <v>6919</v>
      </c>
      <c r="W1610" s="1" t="str">
        <f>HYPERLINK("http://ictvonline.org/taxonomy/p/taxonomy-history?taxnode_id=201901016","ICTVonline=201901016")</f>
        <v>ICTVonline=201901016</v>
      </c>
    </row>
    <row r="1611" spans="1:23">
      <c r="A1611" s="3">
        <v>1610</v>
      </c>
      <c r="B1611" s="1" t="s">
        <v>6915</v>
      </c>
      <c r="D1611" s="1" t="s">
        <v>6916</v>
      </c>
      <c r="F1611" s="1" t="s">
        <v>6920</v>
      </c>
      <c r="H1611" s="1" t="s">
        <v>6921</v>
      </c>
      <c r="J1611" s="1" t="s">
        <v>1324</v>
      </c>
      <c r="L1611" s="1" t="s">
        <v>895</v>
      </c>
      <c r="N1611" s="1" t="s">
        <v>6599</v>
      </c>
      <c r="P1611" s="1" t="s">
        <v>6600</v>
      </c>
      <c r="Q1611" s="3">
        <v>0</v>
      </c>
      <c r="R1611" s="22" t="s">
        <v>2721</v>
      </c>
      <c r="S1611" s="42" t="s">
        <v>6910</v>
      </c>
      <c r="T1611" s="3" t="s">
        <v>4868</v>
      </c>
      <c r="U1611" s="45">
        <v>35</v>
      </c>
      <c r="V1611" t="s">
        <v>6919</v>
      </c>
      <c r="W1611" s="1" t="str">
        <f>HYPERLINK("http://ictvonline.org/taxonomy/p/taxonomy-history?taxnode_id=201901013","ICTVonline=201901013")</f>
        <v>ICTVonline=201901013</v>
      </c>
    </row>
    <row r="1612" spans="1:23">
      <c r="A1612" s="3">
        <v>1611</v>
      </c>
      <c r="B1612" s="1" t="s">
        <v>6915</v>
      </c>
      <c r="D1612" s="1" t="s">
        <v>6916</v>
      </c>
      <c r="F1612" s="1" t="s">
        <v>6920</v>
      </c>
      <c r="H1612" s="1" t="s">
        <v>6921</v>
      </c>
      <c r="J1612" s="1" t="s">
        <v>1324</v>
      </c>
      <c r="L1612" s="1" t="s">
        <v>895</v>
      </c>
      <c r="N1612" s="1" t="s">
        <v>6599</v>
      </c>
      <c r="P1612" s="1" t="s">
        <v>3183</v>
      </c>
      <c r="Q1612" s="3">
        <v>0</v>
      </c>
      <c r="R1612" s="22" t="s">
        <v>2721</v>
      </c>
      <c r="S1612" s="42" t="s">
        <v>6910</v>
      </c>
      <c r="T1612" s="3" t="s">
        <v>4868</v>
      </c>
      <c r="U1612" s="45">
        <v>35</v>
      </c>
      <c r="V1612" t="s">
        <v>6919</v>
      </c>
      <c r="W1612" s="1" t="str">
        <f>HYPERLINK("http://ictvonline.org/taxonomy/p/taxonomy-history?taxnode_id=201901017","ICTVonline=201901017")</f>
        <v>ICTVonline=201901017</v>
      </c>
    </row>
    <row r="1613" spans="1:23">
      <c r="A1613" s="3">
        <v>1612</v>
      </c>
      <c r="B1613" s="1" t="s">
        <v>6915</v>
      </c>
      <c r="D1613" s="1" t="s">
        <v>6916</v>
      </c>
      <c r="F1613" s="1" t="s">
        <v>6920</v>
      </c>
      <c r="H1613" s="1" t="s">
        <v>6921</v>
      </c>
      <c r="J1613" s="1" t="s">
        <v>1324</v>
      </c>
      <c r="L1613" s="1" t="s">
        <v>895</v>
      </c>
      <c r="N1613" s="1" t="s">
        <v>6599</v>
      </c>
      <c r="P1613" s="1" t="s">
        <v>3184</v>
      </c>
      <c r="Q1613" s="3">
        <v>0</v>
      </c>
      <c r="R1613" s="22" t="s">
        <v>2721</v>
      </c>
      <c r="S1613" s="42" t="s">
        <v>6910</v>
      </c>
      <c r="T1613" s="3" t="s">
        <v>4868</v>
      </c>
      <c r="U1613" s="45">
        <v>35</v>
      </c>
      <c r="V1613" t="s">
        <v>6919</v>
      </c>
      <c r="W1613" s="1" t="str">
        <f>HYPERLINK("http://ictvonline.org/taxonomy/p/taxonomy-history?taxnode_id=201901018","ICTVonline=201901018")</f>
        <v>ICTVonline=201901018</v>
      </c>
    </row>
    <row r="1614" spans="1:23">
      <c r="A1614" s="3">
        <v>1613</v>
      </c>
      <c r="B1614" s="1" t="s">
        <v>6915</v>
      </c>
      <c r="D1614" s="1" t="s">
        <v>6916</v>
      </c>
      <c r="F1614" s="1" t="s">
        <v>6920</v>
      </c>
      <c r="H1614" s="1" t="s">
        <v>6921</v>
      </c>
      <c r="J1614" s="1" t="s">
        <v>1324</v>
      </c>
      <c r="L1614" s="1" t="s">
        <v>895</v>
      </c>
      <c r="N1614" s="1" t="s">
        <v>6599</v>
      </c>
      <c r="P1614" s="1" t="s">
        <v>3185</v>
      </c>
      <c r="Q1614" s="3">
        <v>0</v>
      </c>
      <c r="R1614" s="22" t="s">
        <v>2721</v>
      </c>
      <c r="S1614" s="42" t="s">
        <v>6910</v>
      </c>
      <c r="T1614" s="3" t="s">
        <v>4868</v>
      </c>
      <c r="U1614" s="45">
        <v>35</v>
      </c>
      <c r="V1614" t="s">
        <v>6919</v>
      </c>
      <c r="W1614" s="1" t="str">
        <f>HYPERLINK("http://ictvonline.org/taxonomy/p/taxonomy-history?taxnode_id=201901019","ICTVonline=201901019")</f>
        <v>ICTVonline=201901019</v>
      </c>
    </row>
    <row r="1615" spans="1:23">
      <c r="A1615" s="3">
        <v>1614</v>
      </c>
      <c r="B1615" s="1" t="s">
        <v>6915</v>
      </c>
      <c r="D1615" s="1" t="s">
        <v>6916</v>
      </c>
      <c r="F1615" s="1" t="s">
        <v>6920</v>
      </c>
      <c r="H1615" s="1" t="s">
        <v>6921</v>
      </c>
      <c r="J1615" s="1" t="s">
        <v>1324</v>
      </c>
      <c r="L1615" s="1" t="s">
        <v>895</v>
      </c>
      <c r="N1615" s="1" t="s">
        <v>6599</v>
      </c>
      <c r="P1615" s="1" t="s">
        <v>3186</v>
      </c>
      <c r="Q1615" s="3">
        <v>0</v>
      </c>
      <c r="R1615" s="22" t="s">
        <v>2721</v>
      </c>
      <c r="S1615" s="42" t="s">
        <v>6910</v>
      </c>
      <c r="T1615" s="3" t="s">
        <v>4868</v>
      </c>
      <c r="U1615" s="45">
        <v>35</v>
      </c>
      <c r="V1615" t="s">
        <v>6919</v>
      </c>
      <c r="W1615" s="1" t="str">
        <f>HYPERLINK("http://ictvonline.org/taxonomy/p/taxonomy-history?taxnode_id=201901020","ICTVonline=201901020")</f>
        <v>ICTVonline=201901020</v>
      </c>
    </row>
    <row r="1616" spans="1:23">
      <c r="A1616" s="3">
        <v>1615</v>
      </c>
      <c r="B1616" s="1" t="s">
        <v>6915</v>
      </c>
      <c r="D1616" s="1" t="s">
        <v>6916</v>
      </c>
      <c r="F1616" s="1" t="s">
        <v>6920</v>
      </c>
      <c r="H1616" s="1" t="s">
        <v>6921</v>
      </c>
      <c r="J1616" s="1" t="s">
        <v>1324</v>
      </c>
      <c r="L1616" s="1" t="s">
        <v>895</v>
      </c>
      <c r="N1616" s="1" t="s">
        <v>6599</v>
      </c>
      <c r="P1616" s="1" t="s">
        <v>3187</v>
      </c>
      <c r="Q1616" s="3">
        <v>0</v>
      </c>
      <c r="R1616" s="22" t="s">
        <v>2721</v>
      </c>
      <c r="S1616" s="42" t="s">
        <v>6910</v>
      </c>
      <c r="T1616" s="3" t="s">
        <v>4868</v>
      </c>
      <c r="U1616" s="45">
        <v>35</v>
      </c>
      <c r="V1616" t="s">
        <v>6919</v>
      </c>
      <c r="W1616" s="1" t="str">
        <f>HYPERLINK("http://ictvonline.org/taxonomy/p/taxonomy-history?taxnode_id=201901021","ICTVonline=201901021")</f>
        <v>ICTVonline=201901021</v>
      </c>
    </row>
    <row r="1617" spans="1:23">
      <c r="A1617" s="3">
        <v>1616</v>
      </c>
      <c r="B1617" s="1" t="s">
        <v>6915</v>
      </c>
      <c r="D1617" s="1" t="s">
        <v>6916</v>
      </c>
      <c r="F1617" s="1" t="s">
        <v>6920</v>
      </c>
      <c r="H1617" s="1" t="s">
        <v>6921</v>
      </c>
      <c r="J1617" s="1" t="s">
        <v>1324</v>
      </c>
      <c r="L1617" s="1" t="s">
        <v>895</v>
      </c>
      <c r="N1617" s="1" t="s">
        <v>6599</v>
      </c>
      <c r="P1617" s="1" t="s">
        <v>3188</v>
      </c>
      <c r="Q1617" s="3">
        <v>0</v>
      </c>
      <c r="R1617" s="22" t="s">
        <v>2721</v>
      </c>
      <c r="S1617" s="42" t="s">
        <v>6910</v>
      </c>
      <c r="T1617" s="3" t="s">
        <v>4868</v>
      </c>
      <c r="U1617" s="45">
        <v>35</v>
      </c>
      <c r="V1617" t="s">
        <v>6919</v>
      </c>
      <c r="W1617" s="1" t="str">
        <f>HYPERLINK("http://ictvonline.org/taxonomy/p/taxonomy-history?taxnode_id=201901022","ICTVonline=201901022")</f>
        <v>ICTVonline=201901022</v>
      </c>
    </row>
    <row r="1618" spans="1:23">
      <c r="A1618" s="3">
        <v>1617</v>
      </c>
      <c r="B1618" s="1" t="s">
        <v>6915</v>
      </c>
      <c r="D1618" s="1" t="s">
        <v>6916</v>
      </c>
      <c r="F1618" s="1" t="s">
        <v>6920</v>
      </c>
      <c r="H1618" s="1" t="s">
        <v>6921</v>
      </c>
      <c r="J1618" s="1" t="s">
        <v>1324</v>
      </c>
      <c r="L1618" s="1" t="s">
        <v>895</v>
      </c>
      <c r="N1618" s="1" t="s">
        <v>6599</v>
      </c>
      <c r="P1618" s="1" t="s">
        <v>3189</v>
      </c>
      <c r="Q1618" s="3">
        <v>0</v>
      </c>
      <c r="R1618" s="22" t="s">
        <v>2721</v>
      </c>
      <c r="S1618" s="42" t="s">
        <v>6910</v>
      </c>
      <c r="T1618" s="3" t="s">
        <v>4868</v>
      </c>
      <c r="U1618" s="45">
        <v>35</v>
      </c>
      <c r="V1618" t="s">
        <v>6919</v>
      </c>
      <c r="W1618" s="1" t="str">
        <f>HYPERLINK("http://ictvonline.org/taxonomy/p/taxonomy-history?taxnode_id=201901023","ICTVonline=201901023")</f>
        <v>ICTVonline=201901023</v>
      </c>
    </row>
    <row r="1619" spans="1:23">
      <c r="A1619" s="3">
        <v>1618</v>
      </c>
      <c r="B1619" s="1" t="s">
        <v>6915</v>
      </c>
      <c r="D1619" s="1" t="s">
        <v>6916</v>
      </c>
      <c r="F1619" s="1" t="s">
        <v>6920</v>
      </c>
      <c r="H1619" s="1" t="s">
        <v>6921</v>
      </c>
      <c r="J1619" s="1" t="s">
        <v>1324</v>
      </c>
      <c r="L1619" s="1" t="s">
        <v>895</v>
      </c>
      <c r="N1619" s="1" t="s">
        <v>6599</v>
      </c>
      <c r="P1619" s="1" t="s">
        <v>3190</v>
      </c>
      <c r="Q1619" s="3">
        <v>0</v>
      </c>
      <c r="R1619" s="22" t="s">
        <v>2721</v>
      </c>
      <c r="S1619" s="42" t="s">
        <v>6910</v>
      </c>
      <c r="T1619" s="3" t="s">
        <v>4868</v>
      </c>
      <c r="U1619" s="45">
        <v>35</v>
      </c>
      <c r="V1619" t="s">
        <v>6919</v>
      </c>
      <c r="W1619" s="1" t="str">
        <f>HYPERLINK("http://ictvonline.org/taxonomy/p/taxonomy-history?taxnode_id=201901024","ICTVonline=201901024")</f>
        <v>ICTVonline=201901024</v>
      </c>
    </row>
    <row r="1620" spans="1:23">
      <c r="A1620" s="3">
        <v>1619</v>
      </c>
      <c r="B1620" s="1" t="s">
        <v>6915</v>
      </c>
      <c r="D1620" s="1" t="s">
        <v>6916</v>
      </c>
      <c r="F1620" s="1" t="s">
        <v>6920</v>
      </c>
      <c r="H1620" s="1" t="s">
        <v>6921</v>
      </c>
      <c r="J1620" s="1" t="s">
        <v>1324</v>
      </c>
      <c r="L1620" s="1" t="s">
        <v>895</v>
      </c>
      <c r="N1620" s="1" t="s">
        <v>6599</v>
      </c>
      <c r="P1620" s="1" t="s">
        <v>3191</v>
      </c>
      <c r="Q1620" s="3">
        <v>0</v>
      </c>
      <c r="R1620" s="22" t="s">
        <v>2721</v>
      </c>
      <c r="S1620" s="42" t="s">
        <v>6910</v>
      </c>
      <c r="T1620" s="3" t="s">
        <v>4868</v>
      </c>
      <c r="U1620" s="45">
        <v>35</v>
      </c>
      <c r="V1620" t="s">
        <v>6919</v>
      </c>
      <c r="W1620" s="1" t="str">
        <f>HYPERLINK("http://ictvonline.org/taxonomy/p/taxonomy-history?taxnode_id=201901025","ICTVonline=201901025")</f>
        <v>ICTVonline=201901025</v>
      </c>
    </row>
    <row r="1621" spans="1:23">
      <c r="A1621" s="3">
        <v>1620</v>
      </c>
      <c r="B1621" s="1" t="s">
        <v>6915</v>
      </c>
      <c r="D1621" s="1" t="s">
        <v>6916</v>
      </c>
      <c r="F1621" s="1" t="s">
        <v>6920</v>
      </c>
      <c r="H1621" s="1" t="s">
        <v>6921</v>
      </c>
      <c r="J1621" s="1" t="s">
        <v>1324</v>
      </c>
      <c r="L1621" s="1" t="s">
        <v>895</v>
      </c>
      <c r="N1621" s="1" t="s">
        <v>6599</v>
      </c>
      <c r="P1621" s="1" t="s">
        <v>3192</v>
      </c>
      <c r="Q1621" s="3">
        <v>0</v>
      </c>
      <c r="R1621" s="22" t="s">
        <v>2721</v>
      </c>
      <c r="S1621" s="42" t="s">
        <v>6910</v>
      </c>
      <c r="T1621" s="3" t="s">
        <v>4868</v>
      </c>
      <c r="U1621" s="45">
        <v>35</v>
      </c>
      <c r="V1621" t="s">
        <v>6919</v>
      </c>
      <c r="W1621" s="1" t="str">
        <f>HYPERLINK("http://ictvonline.org/taxonomy/p/taxonomy-history?taxnode_id=201901026","ICTVonline=201901026")</f>
        <v>ICTVonline=201901026</v>
      </c>
    </row>
    <row r="1622" spans="1:23">
      <c r="A1622" s="3">
        <v>1621</v>
      </c>
      <c r="B1622" s="1" t="s">
        <v>6915</v>
      </c>
      <c r="D1622" s="1" t="s">
        <v>6916</v>
      </c>
      <c r="F1622" s="1" t="s">
        <v>6920</v>
      </c>
      <c r="H1622" s="1" t="s">
        <v>6921</v>
      </c>
      <c r="J1622" s="1" t="s">
        <v>1324</v>
      </c>
      <c r="L1622" s="1" t="s">
        <v>895</v>
      </c>
      <c r="N1622" s="1" t="s">
        <v>6599</v>
      </c>
      <c r="P1622" s="1" t="s">
        <v>3193</v>
      </c>
      <c r="Q1622" s="3">
        <v>0</v>
      </c>
      <c r="R1622" s="22" t="s">
        <v>2721</v>
      </c>
      <c r="S1622" s="42" t="s">
        <v>6910</v>
      </c>
      <c r="T1622" s="3" t="s">
        <v>4868</v>
      </c>
      <c r="U1622" s="45">
        <v>35</v>
      </c>
      <c r="V1622" t="s">
        <v>6919</v>
      </c>
      <c r="W1622" s="1" t="str">
        <f>HYPERLINK("http://ictvonline.org/taxonomy/p/taxonomy-history?taxnode_id=201901027","ICTVonline=201901027")</f>
        <v>ICTVonline=201901027</v>
      </c>
    </row>
    <row r="1623" spans="1:23">
      <c r="A1623" s="3">
        <v>1622</v>
      </c>
      <c r="B1623" s="1" t="s">
        <v>6915</v>
      </c>
      <c r="D1623" s="1" t="s">
        <v>6916</v>
      </c>
      <c r="F1623" s="1" t="s">
        <v>6920</v>
      </c>
      <c r="H1623" s="1" t="s">
        <v>6921</v>
      </c>
      <c r="J1623" s="1" t="s">
        <v>1324</v>
      </c>
      <c r="L1623" s="1" t="s">
        <v>895</v>
      </c>
      <c r="N1623" s="1" t="s">
        <v>6599</v>
      </c>
      <c r="P1623" s="1" t="s">
        <v>3194</v>
      </c>
      <c r="Q1623" s="3">
        <v>0</v>
      </c>
      <c r="R1623" s="22" t="s">
        <v>2721</v>
      </c>
      <c r="S1623" s="42" t="s">
        <v>6910</v>
      </c>
      <c r="T1623" s="3" t="s">
        <v>4868</v>
      </c>
      <c r="U1623" s="45">
        <v>35</v>
      </c>
      <c r="V1623" t="s">
        <v>6919</v>
      </c>
      <c r="W1623" s="1" t="str">
        <f>HYPERLINK("http://ictvonline.org/taxonomy/p/taxonomy-history?taxnode_id=201901028","ICTVonline=201901028")</f>
        <v>ICTVonline=201901028</v>
      </c>
    </row>
    <row r="1624" spans="1:23">
      <c r="A1624" s="3">
        <v>1623</v>
      </c>
      <c r="B1624" s="1" t="s">
        <v>6915</v>
      </c>
      <c r="D1624" s="1" t="s">
        <v>6916</v>
      </c>
      <c r="F1624" s="1" t="s">
        <v>6920</v>
      </c>
      <c r="H1624" s="1" t="s">
        <v>6921</v>
      </c>
      <c r="J1624" s="1" t="s">
        <v>1324</v>
      </c>
      <c r="L1624" s="1" t="s">
        <v>895</v>
      </c>
      <c r="N1624" s="1" t="s">
        <v>6599</v>
      </c>
      <c r="P1624" s="1" t="s">
        <v>3195</v>
      </c>
      <c r="Q1624" s="3">
        <v>0</v>
      </c>
      <c r="R1624" s="22" t="s">
        <v>2721</v>
      </c>
      <c r="S1624" s="42" t="s">
        <v>6910</v>
      </c>
      <c r="T1624" s="3" t="s">
        <v>4868</v>
      </c>
      <c r="U1624" s="45">
        <v>35</v>
      </c>
      <c r="V1624" t="s">
        <v>6919</v>
      </c>
      <c r="W1624" s="1" t="str">
        <f>HYPERLINK("http://ictvonline.org/taxonomy/p/taxonomy-history?taxnode_id=201901029","ICTVonline=201901029")</f>
        <v>ICTVonline=201901029</v>
      </c>
    </row>
    <row r="1625" spans="1:23">
      <c r="A1625" s="3">
        <v>1624</v>
      </c>
      <c r="B1625" s="1" t="s">
        <v>6915</v>
      </c>
      <c r="D1625" s="1" t="s">
        <v>6916</v>
      </c>
      <c r="F1625" s="1" t="s">
        <v>6920</v>
      </c>
      <c r="H1625" s="1" t="s">
        <v>6921</v>
      </c>
      <c r="J1625" s="1" t="s">
        <v>1324</v>
      </c>
      <c r="L1625" s="1" t="s">
        <v>895</v>
      </c>
      <c r="N1625" s="1" t="s">
        <v>6599</v>
      </c>
      <c r="P1625" s="1" t="s">
        <v>3196</v>
      </c>
      <c r="Q1625" s="3">
        <v>0</v>
      </c>
      <c r="R1625" s="22" t="s">
        <v>2721</v>
      </c>
      <c r="S1625" s="42" t="s">
        <v>6910</v>
      </c>
      <c r="T1625" s="3" t="s">
        <v>4868</v>
      </c>
      <c r="U1625" s="45">
        <v>35</v>
      </c>
      <c r="V1625" t="s">
        <v>6919</v>
      </c>
      <c r="W1625" s="1" t="str">
        <f>HYPERLINK("http://ictvonline.org/taxonomy/p/taxonomy-history?taxnode_id=201901030","ICTVonline=201901030")</f>
        <v>ICTVonline=201901030</v>
      </c>
    </row>
    <row r="1626" spans="1:23">
      <c r="A1626" s="3">
        <v>1625</v>
      </c>
      <c r="B1626" s="1" t="s">
        <v>6915</v>
      </c>
      <c r="D1626" s="1" t="s">
        <v>6916</v>
      </c>
      <c r="F1626" s="1" t="s">
        <v>6920</v>
      </c>
      <c r="H1626" s="1" t="s">
        <v>6921</v>
      </c>
      <c r="J1626" s="1" t="s">
        <v>1324</v>
      </c>
      <c r="L1626" s="1" t="s">
        <v>895</v>
      </c>
      <c r="N1626" s="1" t="s">
        <v>6599</v>
      </c>
      <c r="P1626" s="1" t="s">
        <v>3197</v>
      </c>
      <c r="Q1626" s="3">
        <v>0</v>
      </c>
      <c r="R1626" s="22" t="s">
        <v>2721</v>
      </c>
      <c r="S1626" s="42" t="s">
        <v>6910</v>
      </c>
      <c r="T1626" s="3" t="s">
        <v>4868</v>
      </c>
      <c r="U1626" s="45">
        <v>35</v>
      </c>
      <c r="V1626" t="s">
        <v>6919</v>
      </c>
      <c r="W1626" s="1" t="str">
        <f>HYPERLINK("http://ictvonline.org/taxonomy/p/taxonomy-history?taxnode_id=201901031","ICTVonline=201901031")</f>
        <v>ICTVonline=201901031</v>
      </c>
    </row>
    <row r="1627" spans="1:23">
      <c r="A1627" s="3">
        <v>1626</v>
      </c>
      <c r="B1627" s="1" t="s">
        <v>6915</v>
      </c>
      <c r="D1627" s="1" t="s">
        <v>6916</v>
      </c>
      <c r="F1627" s="1" t="s">
        <v>6920</v>
      </c>
      <c r="H1627" s="1" t="s">
        <v>6921</v>
      </c>
      <c r="J1627" s="1" t="s">
        <v>1324</v>
      </c>
      <c r="L1627" s="1" t="s">
        <v>895</v>
      </c>
      <c r="N1627" s="1" t="s">
        <v>6599</v>
      </c>
      <c r="P1627" s="1" t="s">
        <v>3198</v>
      </c>
      <c r="Q1627" s="3">
        <v>0</v>
      </c>
      <c r="R1627" s="22" t="s">
        <v>2721</v>
      </c>
      <c r="S1627" s="42" t="s">
        <v>6910</v>
      </c>
      <c r="T1627" s="3" t="s">
        <v>4868</v>
      </c>
      <c r="U1627" s="45">
        <v>35</v>
      </c>
      <c r="V1627" t="s">
        <v>6919</v>
      </c>
      <c r="W1627" s="1" t="str">
        <f>HYPERLINK("http://ictvonline.org/taxonomy/p/taxonomy-history?taxnode_id=201901032","ICTVonline=201901032")</f>
        <v>ICTVonline=201901032</v>
      </c>
    </row>
    <row r="1628" spans="1:23">
      <c r="A1628" s="3">
        <v>1627</v>
      </c>
      <c r="B1628" s="1" t="s">
        <v>6915</v>
      </c>
      <c r="D1628" s="1" t="s">
        <v>6916</v>
      </c>
      <c r="F1628" s="1" t="s">
        <v>6920</v>
      </c>
      <c r="H1628" s="1" t="s">
        <v>6921</v>
      </c>
      <c r="J1628" s="1" t="s">
        <v>1324</v>
      </c>
      <c r="L1628" s="1" t="s">
        <v>895</v>
      </c>
      <c r="N1628" s="1" t="s">
        <v>6599</v>
      </c>
      <c r="P1628" s="1" t="s">
        <v>3199</v>
      </c>
      <c r="Q1628" s="3">
        <v>0</v>
      </c>
      <c r="R1628" s="22" t="s">
        <v>2721</v>
      </c>
      <c r="S1628" s="42" t="s">
        <v>6910</v>
      </c>
      <c r="T1628" s="3" t="s">
        <v>4868</v>
      </c>
      <c r="U1628" s="45">
        <v>35</v>
      </c>
      <c r="V1628" t="s">
        <v>6919</v>
      </c>
      <c r="W1628" s="1" t="str">
        <f>HYPERLINK("http://ictvonline.org/taxonomy/p/taxonomy-history?taxnode_id=201901033","ICTVonline=201901033")</f>
        <v>ICTVonline=201901033</v>
      </c>
    </row>
    <row r="1629" spans="1:23">
      <c r="A1629" s="3">
        <v>1628</v>
      </c>
      <c r="B1629" s="1" t="s">
        <v>6915</v>
      </c>
      <c r="D1629" s="1" t="s">
        <v>6916</v>
      </c>
      <c r="F1629" s="1" t="s">
        <v>6920</v>
      </c>
      <c r="H1629" s="1" t="s">
        <v>6921</v>
      </c>
      <c r="J1629" s="1" t="s">
        <v>1324</v>
      </c>
      <c r="L1629" s="1" t="s">
        <v>895</v>
      </c>
      <c r="N1629" s="1" t="s">
        <v>6599</v>
      </c>
      <c r="P1629" s="1" t="s">
        <v>3200</v>
      </c>
      <c r="Q1629" s="3">
        <v>0</v>
      </c>
      <c r="R1629" s="22" t="s">
        <v>2721</v>
      </c>
      <c r="S1629" s="42" t="s">
        <v>6910</v>
      </c>
      <c r="T1629" s="3" t="s">
        <v>4868</v>
      </c>
      <c r="U1629" s="45">
        <v>35</v>
      </c>
      <c r="V1629" t="s">
        <v>6919</v>
      </c>
      <c r="W1629" s="1" t="str">
        <f>HYPERLINK("http://ictvonline.org/taxonomy/p/taxonomy-history?taxnode_id=201901034","ICTVonline=201901034")</f>
        <v>ICTVonline=201901034</v>
      </c>
    </row>
    <row r="1630" spans="1:23">
      <c r="A1630" s="3">
        <v>1629</v>
      </c>
      <c r="B1630" s="1" t="s">
        <v>6915</v>
      </c>
      <c r="D1630" s="1" t="s">
        <v>6916</v>
      </c>
      <c r="F1630" s="1" t="s">
        <v>6920</v>
      </c>
      <c r="H1630" s="1" t="s">
        <v>6921</v>
      </c>
      <c r="J1630" s="1" t="s">
        <v>1324</v>
      </c>
      <c r="L1630" s="1" t="s">
        <v>895</v>
      </c>
      <c r="N1630" s="1" t="s">
        <v>6599</v>
      </c>
      <c r="P1630" s="1" t="s">
        <v>3201</v>
      </c>
      <c r="Q1630" s="3">
        <v>0</v>
      </c>
      <c r="R1630" s="22" t="s">
        <v>2721</v>
      </c>
      <c r="S1630" s="42" t="s">
        <v>6910</v>
      </c>
      <c r="T1630" s="3" t="s">
        <v>4868</v>
      </c>
      <c r="U1630" s="45">
        <v>35</v>
      </c>
      <c r="V1630" t="s">
        <v>6919</v>
      </c>
      <c r="W1630" s="1" t="str">
        <f>HYPERLINK("http://ictvonline.org/taxonomy/p/taxonomy-history?taxnode_id=201901035","ICTVonline=201901035")</f>
        <v>ICTVonline=201901035</v>
      </c>
    </row>
    <row r="1631" spans="1:23">
      <c r="A1631" s="3">
        <v>1630</v>
      </c>
      <c r="B1631" s="1" t="s">
        <v>6915</v>
      </c>
      <c r="D1631" s="1" t="s">
        <v>6916</v>
      </c>
      <c r="F1631" s="1" t="s">
        <v>6920</v>
      </c>
      <c r="H1631" s="1" t="s">
        <v>6921</v>
      </c>
      <c r="J1631" s="1" t="s">
        <v>1324</v>
      </c>
      <c r="L1631" s="1" t="s">
        <v>895</v>
      </c>
      <c r="N1631" s="1" t="s">
        <v>6599</v>
      </c>
      <c r="P1631" s="1" t="s">
        <v>3202</v>
      </c>
      <c r="Q1631" s="3">
        <v>0</v>
      </c>
      <c r="R1631" s="22" t="s">
        <v>2721</v>
      </c>
      <c r="S1631" s="42" t="s">
        <v>6910</v>
      </c>
      <c r="T1631" s="3" t="s">
        <v>4868</v>
      </c>
      <c r="U1631" s="45">
        <v>35</v>
      </c>
      <c r="V1631" t="s">
        <v>6919</v>
      </c>
      <c r="W1631" s="1" t="str">
        <f>HYPERLINK("http://ictvonline.org/taxonomy/p/taxonomy-history?taxnode_id=201901036","ICTVonline=201901036")</f>
        <v>ICTVonline=201901036</v>
      </c>
    </row>
    <row r="1632" spans="1:23">
      <c r="A1632" s="3">
        <v>1631</v>
      </c>
      <c r="B1632" s="1" t="s">
        <v>6915</v>
      </c>
      <c r="D1632" s="1" t="s">
        <v>6916</v>
      </c>
      <c r="F1632" s="1" t="s">
        <v>6920</v>
      </c>
      <c r="H1632" s="1" t="s">
        <v>6921</v>
      </c>
      <c r="J1632" s="1" t="s">
        <v>1324</v>
      </c>
      <c r="L1632" s="1" t="s">
        <v>895</v>
      </c>
      <c r="N1632" s="1" t="s">
        <v>6599</v>
      </c>
      <c r="P1632" s="1" t="s">
        <v>3203</v>
      </c>
      <c r="Q1632" s="3">
        <v>0</v>
      </c>
      <c r="R1632" s="22" t="s">
        <v>2721</v>
      </c>
      <c r="S1632" s="42" t="s">
        <v>6910</v>
      </c>
      <c r="T1632" s="3" t="s">
        <v>4868</v>
      </c>
      <c r="U1632" s="45">
        <v>35</v>
      </c>
      <c r="V1632" t="s">
        <v>6919</v>
      </c>
      <c r="W1632" s="1" t="str">
        <f>HYPERLINK("http://ictvonline.org/taxonomy/p/taxonomy-history?taxnode_id=201901037","ICTVonline=201901037")</f>
        <v>ICTVonline=201901037</v>
      </c>
    </row>
    <row r="1633" spans="1:23">
      <c r="A1633" s="3">
        <v>1632</v>
      </c>
      <c r="B1633" s="1" t="s">
        <v>6915</v>
      </c>
      <c r="D1633" s="1" t="s">
        <v>6916</v>
      </c>
      <c r="F1633" s="1" t="s">
        <v>6920</v>
      </c>
      <c r="H1633" s="1" t="s">
        <v>6921</v>
      </c>
      <c r="J1633" s="1" t="s">
        <v>1324</v>
      </c>
      <c r="L1633" s="1" t="s">
        <v>895</v>
      </c>
      <c r="N1633" s="1" t="s">
        <v>6599</v>
      </c>
      <c r="P1633" s="1" t="s">
        <v>3204</v>
      </c>
      <c r="Q1633" s="3">
        <v>1</v>
      </c>
      <c r="R1633" s="22" t="s">
        <v>2721</v>
      </c>
      <c r="S1633" s="42" t="s">
        <v>6910</v>
      </c>
      <c r="T1633" s="3" t="s">
        <v>4868</v>
      </c>
      <c r="U1633" s="45">
        <v>35</v>
      </c>
      <c r="V1633" t="s">
        <v>6919</v>
      </c>
      <c r="W1633" s="1" t="str">
        <f>HYPERLINK("http://ictvonline.org/taxonomy/p/taxonomy-history?taxnode_id=201901038","ICTVonline=201901038")</f>
        <v>ICTVonline=201901038</v>
      </c>
    </row>
    <row r="1634" spans="1:23">
      <c r="A1634" s="3">
        <v>1633</v>
      </c>
      <c r="B1634" s="1" t="s">
        <v>6915</v>
      </c>
      <c r="D1634" s="1" t="s">
        <v>6916</v>
      </c>
      <c r="F1634" s="1" t="s">
        <v>6920</v>
      </c>
      <c r="H1634" s="1" t="s">
        <v>6921</v>
      </c>
      <c r="J1634" s="1" t="s">
        <v>1324</v>
      </c>
      <c r="L1634" s="1" t="s">
        <v>895</v>
      </c>
      <c r="N1634" s="1" t="s">
        <v>6599</v>
      </c>
      <c r="P1634" s="1" t="s">
        <v>3205</v>
      </c>
      <c r="Q1634" s="3">
        <v>0</v>
      </c>
      <c r="R1634" s="22" t="s">
        <v>2721</v>
      </c>
      <c r="S1634" s="42" t="s">
        <v>6910</v>
      </c>
      <c r="T1634" s="3" t="s">
        <v>4868</v>
      </c>
      <c r="U1634" s="45">
        <v>35</v>
      </c>
      <c r="V1634" t="s">
        <v>6919</v>
      </c>
      <c r="W1634" s="1" t="str">
        <f>HYPERLINK("http://ictvonline.org/taxonomy/p/taxonomy-history?taxnode_id=201901039","ICTVonline=201901039")</f>
        <v>ICTVonline=201901039</v>
      </c>
    </row>
    <row r="1635" spans="1:23">
      <c r="A1635" s="3">
        <v>1634</v>
      </c>
      <c r="B1635" s="1" t="s">
        <v>6915</v>
      </c>
      <c r="D1635" s="1" t="s">
        <v>6916</v>
      </c>
      <c r="F1635" s="1" t="s">
        <v>6920</v>
      </c>
      <c r="H1635" s="1" t="s">
        <v>6921</v>
      </c>
      <c r="J1635" s="1" t="s">
        <v>1324</v>
      </c>
      <c r="L1635" s="1" t="s">
        <v>895</v>
      </c>
      <c r="N1635" s="1" t="s">
        <v>6599</v>
      </c>
      <c r="P1635" s="1" t="s">
        <v>3206</v>
      </c>
      <c r="Q1635" s="3">
        <v>0</v>
      </c>
      <c r="R1635" s="22" t="s">
        <v>2721</v>
      </c>
      <c r="S1635" s="42" t="s">
        <v>6910</v>
      </c>
      <c r="T1635" s="3" t="s">
        <v>4868</v>
      </c>
      <c r="U1635" s="45">
        <v>35</v>
      </c>
      <c r="V1635" t="s">
        <v>6919</v>
      </c>
      <c r="W1635" s="1" t="str">
        <f>HYPERLINK("http://ictvonline.org/taxonomy/p/taxonomy-history?taxnode_id=201901040","ICTVonline=201901040")</f>
        <v>ICTVonline=201901040</v>
      </c>
    </row>
    <row r="1636" spans="1:23">
      <c r="A1636" s="3">
        <v>1635</v>
      </c>
      <c r="B1636" s="1" t="s">
        <v>6915</v>
      </c>
      <c r="D1636" s="1" t="s">
        <v>6916</v>
      </c>
      <c r="F1636" s="1" t="s">
        <v>6920</v>
      </c>
      <c r="H1636" s="1" t="s">
        <v>6921</v>
      </c>
      <c r="J1636" s="1" t="s">
        <v>1324</v>
      </c>
      <c r="L1636" s="1" t="s">
        <v>895</v>
      </c>
      <c r="N1636" s="1" t="s">
        <v>6599</v>
      </c>
      <c r="P1636" s="1" t="s">
        <v>3207</v>
      </c>
      <c r="Q1636" s="3">
        <v>0</v>
      </c>
      <c r="R1636" s="22" t="s">
        <v>2721</v>
      </c>
      <c r="S1636" s="42" t="s">
        <v>6910</v>
      </c>
      <c r="T1636" s="3" t="s">
        <v>4868</v>
      </c>
      <c r="U1636" s="45">
        <v>35</v>
      </c>
      <c r="V1636" t="s">
        <v>6919</v>
      </c>
      <c r="W1636" s="1" t="str">
        <f>HYPERLINK("http://ictvonline.org/taxonomy/p/taxonomy-history?taxnode_id=201901041","ICTVonline=201901041")</f>
        <v>ICTVonline=201901041</v>
      </c>
    </row>
    <row r="1637" spans="1:23">
      <c r="A1637" s="3">
        <v>1636</v>
      </c>
      <c r="B1637" s="1" t="s">
        <v>6915</v>
      </c>
      <c r="D1637" s="1" t="s">
        <v>6916</v>
      </c>
      <c r="F1637" s="1" t="s">
        <v>6920</v>
      </c>
      <c r="H1637" s="1" t="s">
        <v>6921</v>
      </c>
      <c r="J1637" s="1" t="s">
        <v>1324</v>
      </c>
      <c r="L1637" s="1" t="s">
        <v>895</v>
      </c>
      <c r="N1637" s="1" t="s">
        <v>6599</v>
      </c>
      <c r="P1637" s="1" t="s">
        <v>3208</v>
      </c>
      <c r="Q1637" s="3">
        <v>0</v>
      </c>
      <c r="R1637" s="22" t="s">
        <v>2721</v>
      </c>
      <c r="S1637" s="42" t="s">
        <v>6910</v>
      </c>
      <c r="T1637" s="3" t="s">
        <v>4868</v>
      </c>
      <c r="U1637" s="45">
        <v>35</v>
      </c>
      <c r="V1637" t="s">
        <v>6919</v>
      </c>
      <c r="W1637" s="1" t="str">
        <f>HYPERLINK("http://ictvonline.org/taxonomy/p/taxonomy-history?taxnode_id=201901042","ICTVonline=201901042")</f>
        <v>ICTVonline=201901042</v>
      </c>
    </row>
    <row r="1638" spans="1:23">
      <c r="A1638" s="3">
        <v>1637</v>
      </c>
      <c r="B1638" s="1" t="s">
        <v>6915</v>
      </c>
      <c r="D1638" s="1" t="s">
        <v>6916</v>
      </c>
      <c r="F1638" s="1" t="s">
        <v>6920</v>
      </c>
      <c r="H1638" s="1" t="s">
        <v>6921</v>
      </c>
      <c r="J1638" s="1" t="s">
        <v>1324</v>
      </c>
      <c r="L1638" s="1" t="s">
        <v>895</v>
      </c>
      <c r="N1638" s="1" t="s">
        <v>6599</v>
      </c>
      <c r="P1638" s="1" t="s">
        <v>3209</v>
      </c>
      <c r="Q1638" s="3">
        <v>0</v>
      </c>
      <c r="R1638" s="22" t="s">
        <v>2721</v>
      </c>
      <c r="S1638" s="42" t="s">
        <v>6910</v>
      </c>
      <c r="T1638" s="3" t="s">
        <v>4868</v>
      </c>
      <c r="U1638" s="45">
        <v>35</v>
      </c>
      <c r="V1638" t="s">
        <v>6919</v>
      </c>
      <c r="W1638" s="1" t="str">
        <f>HYPERLINK("http://ictvonline.org/taxonomy/p/taxonomy-history?taxnode_id=201901043","ICTVonline=201901043")</f>
        <v>ICTVonline=201901043</v>
      </c>
    </row>
    <row r="1639" spans="1:23">
      <c r="A1639" s="3">
        <v>1638</v>
      </c>
      <c r="B1639" s="1" t="s">
        <v>6915</v>
      </c>
      <c r="D1639" s="1" t="s">
        <v>6916</v>
      </c>
      <c r="F1639" s="1" t="s">
        <v>6920</v>
      </c>
      <c r="H1639" s="1" t="s">
        <v>6921</v>
      </c>
      <c r="J1639" s="1" t="s">
        <v>1324</v>
      </c>
      <c r="L1639" s="1" t="s">
        <v>895</v>
      </c>
      <c r="N1639" s="1" t="s">
        <v>6599</v>
      </c>
      <c r="P1639" s="1" t="s">
        <v>3210</v>
      </c>
      <c r="Q1639" s="3">
        <v>0</v>
      </c>
      <c r="R1639" s="22" t="s">
        <v>2721</v>
      </c>
      <c r="S1639" s="42" t="s">
        <v>6910</v>
      </c>
      <c r="T1639" s="3" t="s">
        <v>4868</v>
      </c>
      <c r="U1639" s="45">
        <v>35</v>
      </c>
      <c r="V1639" t="s">
        <v>6919</v>
      </c>
      <c r="W1639" s="1" t="str">
        <f>HYPERLINK("http://ictvonline.org/taxonomy/p/taxonomy-history?taxnode_id=201901044","ICTVonline=201901044")</f>
        <v>ICTVonline=201901044</v>
      </c>
    </row>
    <row r="1640" spans="1:23">
      <c r="A1640" s="3">
        <v>1639</v>
      </c>
      <c r="B1640" s="1" t="s">
        <v>6915</v>
      </c>
      <c r="D1640" s="1" t="s">
        <v>6916</v>
      </c>
      <c r="F1640" s="1" t="s">
        <v>6920</v>
      </c>
      <c r="H1640" s="1" t="s">
        <v>6921</v>
      </c>
      <c r="J1640" s="1" t="s">
        <v>1324</v>
      </c>
      <c r="L1640" s="1" t="s">
        <v>895</v>
      </c>
      <c r="N1640" s="1" t="s">
        <v>6599</v>
      </c>
      <c r="P1640" s="1" t="s">
        <v>3211</v>
      </c>
      <c r="Q1640" s="3">
        <v>0</v>
      </c>
      <c r="R1640" s="22" t="s">
        <v>2721</v>
      </c>
      <c r="S1640" s="42" t="s">
        <v>6910</v>
      </c>
      <c r="T1640" s="3" t="s">
        <v>4868</v>
      </c>
      <c r="U1640" s="45">
        <v>35</v>
      </c>
      <c r="V1640" t="s">
        <v>6919</v>
      </c>
      <c r="W1640" s="1" t="str">
        <f>HYPERLINK("http://ictvonline.org/taxonomy/p/taxonomy-history?taxnode_id=201901045","ICTVonline=201901045")</f>
        <v>ICTVonline=201901045</v>
      </c>
    </row>
    <row r="1641" spans="1:23">
      <c r="A1641" s="3">
        <v>1640</v>
      </c>
      <c r="B1641" s="1" t="s">
        <v>6915</v>
      </c>
      <c r="D1641" s="1" t="s">
        <v>6916</v>
      </c>
      <c r="F1641" s="1" t="s">
        <v>6920</v>
      </c>
      <c r="H1641" s="1" t="s">
        <v>6921</v>
      </c>
      <c r="J1641" s="1" t="s">
        <v>1324</v>
      </c>
      <c r="L1641" s="1" t="s">
        <v>895</v>
      </c>
      <c r="N1641" s="1" t="s">
        <v>6599</v>
      </c>
      <c r="P1641" s="1" t="s">
        <v>3212</v>
      </c>
      <c r="Q1641" s="3">
        <v>0</v>
      </c>
      <c r="R1641" s="22" t="s">
        <v>2721</v>
      </c>
      <c r="S1641" s="42" t="s">
        <v>6910</v>
      </c>
      <c r="T1641" s="3" t="s">
        <v>4868</v>
      </c>
      <c r="U1641" s="45">
        <v>35</v>
      </c>
      <c r="V1641" t="s">
        <v>6919</v>
      </c>
      <c r="W1641" s="1" t="str">
        <f>HYPERLINK("http://ictvonline.org/taxonomy/p/taxonomy-history?taxnode_id=201901046","ICTVonline=201901046")</f>
        <v>ICTVonline=201901046</v>
      </c>
    </row>
    <row r="1642" spans="1:23">
      <c r="A1642" s="3">
        <v>1641</v>
      </c>
      <c r="B1642" s="1" t="s">
        <v>6915</v>
      </c>
      <c r="D1642" s="1" t="s">
        <v>6916</v>
      </c>
      <c r="F1642" s="1" t="s">
        <v>6920</v>
      </c>
      <c r="H1642" s="1" t="s">
        <v>6921</v>
      </c>
      <c r="J1642" s="1" t="s">
        <v>1324</v>
      </c>
      <c r="L1642" s="1" t="s">
        <v>895</v>
      </c>
      <c r="N1642" s="1" t="s">
        <v>6599</v>
      </c>
      <c r="P1642" s="1" t="s">
        <v>3213</v>
      </c>
      <c r="Q1642" s="3">
        <v>0</v>
      </c>
      <c r="R1642" s="22" t="s">
        <v>2721</v>
      </c>
      <c r="S1642" s="42" t="s">
        <v>6910</v>
      </c>
      <c r="T1642" s="3" t="s">
        <v>4868</v>
      </c>
      <c r="U1642" s="45">
        <v>35</v>
      </c>
      <c r="V1642" t="s">
        <v>6919</v>
      </c>
      <c r="W1642" s="1" t="str">
        <f>HYPERLINK("http://ictvonline.org/taxonomy/p/taxonomy-history?taxnode_id=201901047","ICTVonline=201901047")</f>
        <v>ICTVonline=201901047</v>
      </c>
    </row>
    <row r="1643" spans="1:23">
      <c r="A1643" s="3">
        <v>1642</v>
      </c>
      <c r="B1643" s="1" t="s">
        <v>6915</v>
      </c>
      <c r="D1643" s="1" t="s">
        <v>6916</v>
      </c>
      <c r="F1643" s="1" t="s">
        <v>6920</v>
      </c>
      <c r="H1643" s="1" t="s">
        <v>6921</v>
      </c>
      <c r="J1643" s="1" t="s">
        <v>1324</v>
      </c>
      <c r="L1643" s="1" t="s">
        <v>895</v>
      </c>
      <c r="N1643" s="1" t="s">
        <v>6599</v>
      </c>
      <c r="P1643" s="1" t="s">
        <v>3214</v>
      </c>
      <c r="Q1643" s="3">
        <v>0</v>
      </c>
      <c r="R1643" s="22" t="s">
        <v>2721</v>
      </c>
      <c r="S1643" s="42" t="s">
        <v>6910</v>
      </c>
      <c r="T1643" s="3" t="s">
        <v>4868</v>
      </c>
      <c r="U1643" s="45">
        <v>35</v>
      </c>
      <c r="V1643" t="s">
        <v>6919</v>
      </c>
      <c r="W1643" s="1" t="str">
        <f>HYPERLINK("http://ictvonline.org/taxonomy/p/taxonomy-history?taxnode_id=201901048","ICTVonline=201901048")</f>
        <v>ICTVonline=201901048</v>
      </c>
    </row>
    <row r="1644" spans="1:23">
      <c r="A1644" s="3">
        <v>1643</v>
      </c>
      <c r="B1644" s="1" t="s">
        <v>6915</v>
      </c>
      <c r="D1644" s="1" t="s">
        <v>6916</v>
      </c>
      <c r="F1644" s="1" t="s">
        <v>6920</v>
      </c>
      <c r="H1644" s="1" t="s">
        <v>6921</v>
      </c>
      <c r="J1644" s="1" t="s">
        <v>1324</v>
      </c>
      <c r="L1644" s="1" t="s">
        <v>895</v>
      </c>
      <c r="N1644" s="1" t="s">
        <v>6599</v>
      </c>
      <c r="P1644" s="1" t="s">
        <v>3215</v>
      </c>
      <c r="Q1644" s="3">
        <v>0</v>
      </c>
      <c r="R1644" s="22" t="s">
        <v>2721</v>
      </c>
      <c r="S1644" s="42" t="s">
        <v>6910</v>
      </c>
      <c r="T1644" s="3" t="s">
        <v>4868</v>
      </c>
      <c r="U1644" s="45">
        <v>35</v>
      </c>
      <c r="V1644" t="s">
        <v>6919</v>
      </c>
      <c r="W1644" s="1" t="str">
        <f>HYPERLINK("http://ictvonline.org/taxonomy/p/taxonomy-history?taxnode_id=201901049","ICTVonline=201901049")</f>
        <v>ICTVonline=201901049</v>
      </c>
    </row>
    <row r="1645" spans="1:23">
      <c r="A1645" s="3">
        <v>1644</v>
      </c>
      <c r="B1645" s="1" t="s">
        <v>6915</v>
      </c>
      <c r="D1645" s="1" t="s">
        <v>6916</v>
      </c>
      <c r="F1645" s="1" t="s">
        <v>6920</v>
      </c>
      <c r="H1645" s="1" t="s">
        <v>6921</v>
      </c>
      <c r="J1645" s="1" t="s">
        <v>1324</v>
      </c>
      <c r="L1645" s="1" t="s">
        <v>895</v>
      </c>
      <c r="N1645" s="1" t="s">
        <v>6599</v>
      </c>
      <c r="P1645" s="1" t="s">
        <v>3216</v>
      </c>
      <c r="Q1645" s="3">
        <v>0</v>
      </c>
      <c r="R1645" s="22" t="s">
        <v>2721</v>
      </c>
      <c r="S1645" s="42" t="s">
        <v>6910</v>
      </c>
      <c r="T1645" s="3" t="s">
        <v>4868</v>
      </c>
      <c r="U1645" s="45">
        <v>35</v>
      </c>
      <c r="V1645" t="s">
        <v>6919</v>
      </c>
      <c r="W1645" s="1" t="str">
        <f>HYPERLINK("http://ictvonline.org/taxonomy/p/taxonomy-history?taxnode_id=201901050","ICTVonline=201901050")</f>
        <v>ICTVonline=201901050</v>
      </c>
    </row>
    <row r="1646" spans="1:23">
      <c r="A1646" s="3">
        <v>1645</v>
      </c>
      <c r="B1646" s="1" t="s">
        <v>6915</v>
      </c>
      <c r="D1646" s="1" t="s">
        <v>6916</v>
      </c>
      <c r="F1646" s="1" t="s">
        <v>6920</v>
      </c>
      <c r="H1646" s="1" t="s">
        <v>6921</v>
      </c>
      <c r="J1646" s="1" t="s">
        <v>1324</v>
      </c>
      <c r="L1646" s="1" t="s">
        <v>895</v>
      </c>
      <c r="N1646" s="1" t="s">
        <v>6599</v>
      </c>
      <c r="P1646" s="1" t="s">
        <v>3217</v>
      </c>
      <c r="Q1646" s="3">
        <v>0</v>
      </c>
      <c r="R1646" s="22" t="s">
        <v>2721</v>
      </c>
      <c r="S1646" s="42" t="s">
        <v>6910</v>
      </c>
      <c r="T1646" s="3" t="s">
        <v>4868</v>
      </c>
      <c r="U1646" s="45">
        <v>35</v>
      </c>
      <c r="V1646" t="s">
        <v>6919</v>
      </c>
      <c r="W1646" s="1" t="str">
        <f>HYPERLINK("http://ictvonline.org/taxonomy/p/taxonomy-history?taxnode_id=201901051","ICTVonline=201901051")</f>
        <v>ICTVonline=201901051</v>
      </c>
    </row>
    <row r="1647" spans="1:23">
      <c r="A1647" s="3">
        <v>1646</v>
      </c>
      <c r="B1647" s="1" t="s">
        <v>6915</v>
      </c>
      <c r="D1647" s="1" t="s">
        <v>6916</v>
      </c>
      <c r="F1647" s="1" t="s">
        <v>6920</v>
      </c>
      <c r="H1647" s="1" t="s">
        <v>6921</v>
      </c>
      <c r="J1647" s="1" t="s">
        <v>1324</v>
      </c>
      <c r="L1647" s="1" t="s">
        <v>895</v>
      </c>
      <c r="N1647" s="1" t="s">
        <v>6599</v>
      </c>
      <c r="P1647" s="1" t="s">
        <v>3218</v>
      </c>
      <c r="Q1647" s="3">
        <v>0</v>
      </c>
      <c r="R1647" s="22" t="s">
        <v>2721</v>
      </c>
      <c r="S1647" s="42" t="s">
        <v>6910</v>
      </c>
      <c r="T1647" s="3" t="s">
        <v>4868</v>
      </c>
      <c r="U1647" s="45">
        <v>35</v>
      </c>
      <c r="V1647" t="s">
        <v>6919</v>
      </c>
      <c r="W1647" s="1" t="str">
        <f>HYPERLINK("http://ictvonline.org/taxonomy/p/taxonomy-history?taxnode_id=201901052","ICTVonline=201901052")</f>
        <v>ICTVonline=201901052</v>
      </c>
    </row>
    <row r="1648" spans="1:23">
      <c r="A1648" s="3">
        <v>1647</v>
      </c>
      <c r="B1648" s="1" t="s">
        <v>6915</v>
      </c>
      <c r="D1648" s="1" t="s">
        <v>6916</v>
      </c>
      <c r="F1648" s="1" t="s">
        <v>6920</v>
      </c>
      <c r="H1648" s="1" t="s">
        <v>6921</v>
      </c>
      <c r="J1648" s="1" t="s">
        <v>1324</v>
      </c>
      <c r="L1648" s="1" t="s">
        <v>895</v>
      </c>
      <c r="N1648" s="1" t="s">
        <v>6599</v>
      </c>
      <c r="P1648" s="1" t="s">
        <v>3219</v>
      </c>
      <c r="Q1648" s="3">
        <v>0</v>
      </c>
      <c r="R1648" s="22" t="s">
        <v>2721</v>
      </c>
      <c r="S1648" s="42" t="s">
        <v>6910</v>
      </c>
      <c r="T1648" s="3" t="s">
        <v>4868</v>
      </c>
      <c r="U1648" s="45">
        <v>35</v>
      </c>
      <c r="V1648" t="s">
        <v>6919</v>
      </c>
      <c r="W1648" s="1" t="str">
        <f>HYPERLINK("http://ictvonline.org/taxonomy/p/taxonomy-history?taxnode_id=201901053","ICTVonline=201901053")</f>
        <v>ICTVonline=201901053</v>
      </c>
    </row>
    <row r="1649" spans="1:23">
      <c r="A1649" s="3">
        <v>1648</v>
      </c>
      <c r="B1649" s="1" t="s">
        <v>6915</v>
      </c>
      <c r="D1649" s="1" t="s">
        <v>6916</v>
      </c>
      <c r="F1649" s="1" t="s">
        <v>6920</v>
      </c>
      <c r="H1649" s="1" t="s">
        <v>6921</v>
      </c>
      <c r="J1649" s="1" t="s">
        <v>1324</v>
      </c>
      <c r="L1649" s="1" t="s">
        <v>895</v>
      </c>
      <c r="N1649" s="1" t="s">
        <v>6599</v>
      </c>
      <c r="P1649" s="1" t="s">
        <v>3220</v>
      </c>
      <c r="Q1649" s="3">
        <v>0</v>
      </c>
      <c r="R1649" s="22" t="s">
        <v>2721</v>
      </c>
      <c r="S1649" s="42" t="s">
        <v>6910</v>
      </c>
      <c r="T1649" s="3" t="s">
        <v>4868</v>
      </c>
      <c r="U1649" s="45">
        <v>35</v>
      </c>
      <c r="V1649" t="s">
        <v>6919</v>
      </c>
      <c r="W1649" s="1" t="str">
        <f>HYPERLINK("http://ictvonline.org/taxonomy/p/taxonomy-history?taxnode_id=201901054","ICTVonline=201901054")</f>
        <v>ICTVonline=201901054</v>
      </c>
    </row>
    <row r="1650" spans="1:23">
      <c r="A1650" s="3">
        <v>1649</v>
      </c>
      <c r="B1650" s="1" t="s">
        <v>6915</v>
      </c>
      <c r="D1650" s="1" t="s">
        <v>6916</v>
      </c>
      <c r="F1650" s="1" t="s">
        <v>6920</v>
      </c>
      <c r="H1650" s="1" t="s">
        <v>6921</v>
      </c>
      <c r="J1650" s="1" t="s">
        <v>1324</v>
      </c>
      <c r="L1650" s="1" t="s">
        <v>895</v>
      </c>
      <c r="N1650" s="1" t="s">
        <v>6599</v>
      </c>
      <c r="P1650" s="1" t="s">
        <v>3221</v>
      </c>
      <c r="Q1650" s="3">
        <v>0</v>
      </c>
      <c r="R1650" s="22" t="s">
        <v>2721</v>
      </c>
      <c r="S1650" s="42" t="s">
        <v>6910</v>
      </c>
      <c r="T1650" s="3" t="s">
        <v>4868</v>
      </c>
      <c r="U1650" s="45">
        <v>35</v>
      </c>
      <c r="V1650" t="s">
        <v>6919</v>
      </c>
      <c r="W1650" s="1" t="str">
        <f>HYPERLINK("http://ictvonline.org/taxonomy/p/taxonomy-history?taxnode_id=201901055","ICTVonline=201901055")</f>
        <v>ICTVonline=201901055</v>
      </c>
    </row>
    <row r="1651" spans="1:23">
      <c r="A1651" s="3">
        <v>1650</v>
      </c>
      <c r="B1651" s="1" t="s">
        <v>6915</v>
      </c>
      <c r="D1651" s="1" t="s">
        <v>6916</v>
      </c>
      <c r="F1651" s="1" t="s">
        <v>6920</v>
      </c>
      <c r="H1651" s="1" t="s">
        <v>6921</v>
      </c>
      <c r="J1651" s="1" t="s">
        <v>1324</v>
      </c>
      <c r="L1651" s="1" t="s">
        <v>895</v>
      </c>
      <c r="N1651" s="1" t="s">
        <v>6599</v>
      </c>
      <c r="P1651" s="1" t="s">
        <v>3222</v>
      </c>
      <c r="Q1651" s="3">
        <v>0</v>
      </c>
      <c r="R1651" s="22" t="s">
        <v>2721</v>
      </c>
      <c r="S1651" s="42" t="s">
        <v>6910</v>
      </c>
      <c r="T1651" s="3" t="s">
        <v>4868</v>
      </c>
      <c r="U1651" s="45">
        <v>35</v>
      </c>
      <c r="V1651" t="s">
        <v>6919</v>
      </c>
      <c r="W1651" s="1" t="str">
        <f>HYPERLINK("http://ictvonline.org/taxonomy/p/taxonomy-history?taxnode_id=201901056","ICTVonline=201901056")</f>
        <v>ICTVonline=201901056</v>
      </c>
    </row>
    <row r="1652" spans="1:23">
      <c r="A1652" s="3">
        <v>1651</v>
      </c>
      <c r="B1652" s="1" t="s">
        <v>6915</v>
      </c>
      <c r="D1652" s="1" t="s">
        <v>6916</v>
      </c>
      <c r="F1652" s="1" t="s">
        <v>6920</v>
      </c>
      <c r="H1652" s="1" t="s">
        <v>6921</v>
      </c>
      <c r="J1652" s="1" t="s">
        <v>1324</v>
      </c>
      <c r="L1652" s="1" t="s">
        <v>895</v>
      </c>
      <c r="N1652" s="1" t="s">
        <v>6599</v>
      </c>
      <c r="P1652" s="1" t="s">
        <v>3223</v>
      </c>
      <c r="Q1652" s="3">
        <v>0</v>
      </c>
      <c r="R1652" s="22" t="s">
        <v>2721</v>
      </c>
      <c r="S1652" s="42" t="s">
        <v>6910</v>
      </c>
      <c r="T1652" s="3" t="s">
        <v>4868</v>
      </c>
      <c r="U1652" s="45">
        <v>35</v>
      </c>
      <c r="V1652" t="s">
        <v>6919</v>
      </c>
      <c r="W1652" s="1" t="str">
        <f>HYPERLINK("http://ictvonline.org/taxonomy/p/taxonomy-history?taxnode_id=201901057","ICTVonline=201901057")</f>
        <v>ICTVonline=201901057</v>
      </c>
    </row>
    <row r="1653" spans="1:23">
      <c r="A1653" s="3">
        <v>1652</v>
      </c>
      <c r="B1653" s="1" t="s">
        <v>6915</v>
      </c>
      <c r="D1653" s="1" t="s">
        <v>6916</v>
      </c>
      <c r="F1653" s="1" t="s">
        <v>6920</v>
      </c>
      <c r="H1653" s="1" t="s">
        <v>6921</v>
      </c>
      <c r="J1653" s="1" t="s">
        <v>1324</v>
      </c>
      <c r="L1653" s="1" t="s">
        <v>895</v>
      </c>
      <c r="N1653" s="1" t="s">
        <v>6599</v>
      </c>
      <c r="P1653" s="1" t="s">
        <v>3224</v>
      </c>
      <c r="Q1653" s="3">
        <v>0</v>
      </c>
      <c r="R1653" s="22" t="s">
        <v>2721</v>
      </c>
      <c r="S1653" s="42" t="s">
        <v>6910</v>
      </c>
      <c r="T1653" s="3" t="s">
        <v>4868</v>
      </c>
      <c r="U1653" s="45">
        <v>35</v>
      </c>
      <c r="V1653" t="s">
        <v>6919</v>
      </c>
      <c r="W1653" s="1" t="str">
        <f>HYPERLINK("http://ictvonline.org/taxonomy/p/taxonomy-history?taxnode_id=201901058","ICTVonline=201901058")</f>
        <v>ICTVonline=201901058</v>
      </c>
    </row>
    <row r="1654" spans="1:23">
      <c r="A1654" s="3">
        <v>1653</v>
      </c>
      <c r="B1654" s="1" t="s">
        <v>6915</v>
      </c>
      <c r="D1654" s="1" t="s">
        <v>6916</v>
      </c>
      <c r="F1654" s="1" t="s">
        <v>6920</v>
      </c>
      <c r="H1654" s="1" t="s">
        <v>6921</v>
      </c>
      <c r="J1654" s="1" t="s">
        <v>1324</v>
      </c>
      <c r="L1654" s="1" t="s">
        <v>895</v>
      </c>
      <c r="N1654" s="1" t="s">
        <v>6599</v>
      </c>
      <c r="P1654" s="1" t="s">
        <v>3225</v>
      </c>
      <c r="Q1654" s="3">
        <v>0</v>
      </c>
      <c r="R1654" s="22" t="s">
        <v>2721</v>
      </c>
      <c r="S1654" s="42" t="s">
        <v>6910</v>
      </c>
      <c r="T1654" s="3" t="s">
        <v>4868</v>
      </c>
      <c r="U1654" s="45">
        <v>35</v>
      </c>
      <c r="V1654" t="s">
        <v>6919</v>
      </c>
      <c r="W1654" s="1" t="str">
        <f>HYPERLINK("http://ictvonline.org/taxonomy/p/taxonomy-history?taxnode_id=201901059","ICTVonline=201901059")</f>
        <v>ICTVonline=201901059</v>
      </c>
    </row>
    <row r="1655" spans="1:23">
      <c r="A1655" s="3">
        <v>1654</v>
      </c>
      <c r="B1655" s="1" t="s">
        <v>6915</v>
      </c>
      <c r="D1655" s="1" t="s">
        <v>6916</v>
      </c>
      <c r="F1655" s="1" t="s">
        <v>6920</v>
      </c>
      <c r="H1655" s="1" t="s">
        <v>6921</v>
      </c>
      <c r="J1655" s="1" t="s">
        <v>1324</v>
      </c>
      <c r="L1655" s="1" t="s">
        <v>895</v>
      </c>
      <c r="N1655" s="1" t="s">
        <v>6599</v>
      </c>
      <c r="P1655" s="1" t="s">
        <v>3226</v>
      </c>
      <c r="Q1655" s="3">
        <v>0</v>
      </c>
      <c r="R1655" s="22" t="s">
        <v>2721</v>
      </c>
      <c r="S1655" s="42" t="s">
        <v>6910</v>
      </c>
      <c r="T1655" s="3" t="s">
        <v>4868</v>
      </c>
      <c r="U1655" s="45">
        <v>35</v>
      </c>
      <c r="V1655" t="s">
        <v>6919</v>
      </c>
      <c r="W1655" s="1" t="str">
        <f>HYPERLINK("http://ictvonline.org/taxonomy/p/taxonomy-history?taxnode_id=201901061","ICTVonline=201901061")</f>
        <v>ICTVonline=201901061</v>
      </c>
    </row>
    <row r="1656" spans="1:23">
      <c r="A1656" s="3">
        <v>1655</v>
      </c>
      <c r="B1656" s="1" t="s">
        <v>6915</v>
      </c>
      <c r="D1656" s="1" t="s">
        <v>6916</v>
      </c>
      <c r="F1656" s="1" t="s">
        <v>6920</v>
      </c>
      <c r="H1656" s="1" t="s">
        <v>6921</v>
      </c>
      <c r="J1656" s="1" t="s">
        <v>1324</v>
      </c>
      <c r="L1656" s="1" t="s">
        <v>895</v>
      </c>
      <c r="N1656" s="1" t="s">
        <v>6599</v>
      </c>
      <c r="P1656" s="1" t="s">
        <v>3227</v>
      </c>
      <c r="Q1656" s="3">
        <v>0</v>
      </c>
      <c r="R1656" s="22" t="s">
        <v>2721</v>
      </c>
      <c r="S1656" s="42" t="s">
        <v>6910</v>
      </c>
      <c r="T1656" s="3" t="s">
        <v>4868</v>
      </c>
      <c r="U1656" s="45">
        <v>35</v>
      </c>
      <c r="V1656" t="s">
        <v>6919</v>
      </c>
      <c r="W1656" s="1" t="str">
        <f>HYPERLINK("http://ictvonline.org/taxonomy/p/taxonomy-history?taxnode_id=201901062","ICTVonline=201901062")</f>
        <v>ICTVonline=201901062</v>
      </c>
    </row>
    <row r="1657" spans="1:23">
      <c r="A1657" s="3">
        <v>1656</v>
      </c>
      <c r="B1657" s="1" t="s">
        <v>6915</v>
      </c>
      <c r="D1657" s="1" t="s">
        <v>6916</v>
      </c>
      <c r="F1657" s="1" t="s">
        <v>6920</v>
      </c>
      <c r="H1657" s="1" t="s">
        <v>6921</v>
      </c>
      <c r="J1657" s="1" t="s">
        <v>1324</v>
      </c>
      <c r="L1657" s="1" t="s">
        <v>895</v>
      </c>
      <c r="N1657" s="1" t="s">
        <v>6599</v>
      </c>
      <c r="P1657" s="1" t="s">
        <v>3228</v>
      </c>
      <c r="Q1657" s="3">
        <v>0</v>
      </c>
      <c r="R1657" s="22" t="s">
        <v>2721</v>
      </c>
      <c r="S1657" s="42" t="s">
        <v>6910</v>
      </c>
      <c r="T1657" s="3" t="s">
        <v>4868</v>
      </c>
      <c r="U1657" s="45">
        <v>35</v>
      </c>
      <c r="V1657" t="s">
        <v>6919</v>
      </c>
      <c r="W1657" s="1" t="str">
        <f>HYPERLINK("http://ictvonline.org/taxonomy/p/taxonomy-history?taxnode_id=201901063","ICTVonline=201901063")</f>
        <v>ICTVonline=201901063</v>
      </c>
    </row>
    <row r="1658" spans="1:23">
      <c r="A1658" s="3">
        <v>1657</v>
      </c>
      <c r="B1658" s="1" t="s">
        <v>6915</v>
      </c>
      <c r="D1658" s="1" t="s">
        <v>6916</v>
      </c>
      <c r="F1658" s="1" t="s">
        <v>6920</v>
      </c>
      <c r="H1658" s="1" t="s">
        <v>6921</v>
      </c>
      <c r="J1658" s="1" t="s">
        <v>1324</v>
      </c>
      <c r="L1658" s="1" t="s">
        <v>895</v>
      </c>
      <c r="N1658" s="1" t="s">
        <v>6599</v>
      </c>
      <c r="P1658" s="1" t="s">
        <v>3229</v>
      </c>
      <c r="Q1658" s="3">
        <v>0</v>
      </c>
      <c r="R1658" s="22" t="s">
        <v>2721</v>
      </c>
      <c r="S1658" s="42" t="s">
        <v>6910</v>
      </c>
      <c r="T1658" s="3" t="s">
        <v>4868</v>
      </c>
      <c r="U1658" s="45">
        <v>35</v>
      </c>
      <c r="V1658" t="s">
        <v>6919</v>
      </c>
      <c r="W1658" s="1" t="str">
        <f>HYPERLINK("http://ictvonline.org/taxonomy/p/taxonomy-history?taxnode_id=201901064","ICTVonline=201901064")</f>
        <v>ICTVonline=201901064</v>
      </c>
    </row>
    <row r="1659" spans="1:23">
      <c r="A1659" s="3">
        <v>1658</v>
      </c>
      <c r="B1659" s="1" t="s">
        <v>6915</v>
      </c>
      <c r="D1659" s="1" t="s">
        <v>6916</v>
      </c>
      <c r="F1659" s="1" t="s">
        <v>6920</v>
      </c>
      <c r="H1659" s="1" t="s">
        <v>6921</v>
      </c>
      <c r="J1659" s="1" t="s">
        <v>1324</v>
      </c>
      <c r="L1659" s="1" t="s">
        <v>895</v>
      </c>
      <c r="N1659" s="1" t="s">
        <v>6599</v>
      </c>
      <c r="P1659" s="1" t="s">
        <v>3230</v>
      </c>
      <c r="Q1659" s="3">
        <v>0</v>
      </c>
      <c r="R1659" s="22" t="s">
        <v>2721</v>
      </c>
      <c r="S1659" s="42" t="s">
        <v>6910</v>
      </c>
      <c r="T1659" s="3" t="s">
        <v>4868</v>
      </c>
      <c r="U1659" s="45">
        <v>35</v>
      </c>
      <c r="V1659" t="s">
        <v>6919</v>
      </c>
      <c r="W1659" s="1" t="str">
        <f>HYPERLINK("http://ictvonline.org/taxonomy/p/taxonomy-history?taxnode_id=201901065","ICTVonline=201901065")</f>
        <v>ICTVonline=201901065</v>
      </c>
    </row>
    <row r="1660" spans="1:23">
      <c r="A1660" s="3">
        <v>1659</v>
      </c>
      <c r="B1660" s="1" t="s">
        <v>6915</v>
      </c>
      <c r="D1660" s="1" t="s">
        <v>6916</v>
      </c>
      <c r="F1660" s="1" t="s">
        <v>6920</v>
      </c>
      <c r="H1660" s="1" t="s">
        <v>6921</v>
      </c>
      <c r="J1660" s="1" t="s">
        <v>1324</v>
      </c>
      <c r="L1660" s="1" t="s">
        <v>895</v>
      </c>
      <c r="N1660" s="1" t="s">
        <v>6599</v>
      </c>
      <c r="P1660" s="1" t="s">
        <v>3231</v>
      </c>
      <c r="Q1660" s="3">
        <v>0</v>
      </c>
      <c r="R1660" s="22" t="s">
        <v>2721</v>
      </c>
      <c r="S1660" s="42" t="s">
        <v>6910</v>
      </c>
      <c r="T1660" s="3" t="s">
        <v>4868</v>
      </c>
      <c r="U1660" s="45">
        <v>35</v>
      </c>
      <c r="V1660" t="s">
        <v>6919</v>
      </c>
      <c r="W1660" s="1" t="str">
        <f>HYPERLINK("http://ictvonline.org/taxonomy/p/taxonomy-history?taxnode_id=201901066","ICTVonline=201901066")</f>
        <v>ICTVonline=201901066</v>
      </c>
    </row>
    <row r="1661" spans="1:23">
      <c r="A1661" s="3">
        <v>1660</v>
      </c>
      <c r="B1661" s="1" t="s">
        <v>6915</v>
      </c>
      <c r="D1661" s="1" t="s">
        <v>6916</v>
      </c>
      <c r="F1661" s="1" t="s">
        <v>6920</v>
      </c>
      <c r="H1661" s="1" t="s">
        <v>6921</v>
      </c>
      <c r="J1661" s="1" t="s">
        <v>1324</v>
      </c>
      <c r="L1661" s="1" t="s">
        <v>895</v>
      </c>
      <c r="N1661" s="1" t="s">
        <v>6599</v>
      </c>
      <c r="P1661" s="1" t="s">
        <v>3232</v>
      </c>
      <c r="Q1661" s="3">
        <v>0</v>
      </c>
      <c r="R1661" s="22" t="s">
        <v>2721</v>
      </c>
      <c r="S1661" s="42" t="s">
        <v>6910</v>
      </c>
      <c r="T1661" s="3" t="s">
        <v>4868</v>
      </c>
      <c r="U1661" s="45">
        <v>35</v>
      </c>
      <c r="V1661" t="s">
        <v>6919</v>
      </c>
      <c r="W1661" s="1" t="str">
        <f>HYPERLINK("http://ictvonline.org/taxonomy/p/taxonomy-history?taxnode_id=201901067","ICTVonline=201901067")</f>
        <v>ICTVonline=201901067</v>
      </c>
    </row>
    <row r="1662" spans="1:23">
      <c r="A1662" s="3">
        <v>1661</v>
      </c>
      <c r="B1662" s="1" t="s">
        <v>6915</v>
      </c>
      <c r="D1662" s="1" t="s">
        <v>6916</v>
      </c>
      <c r="F1662" s="1" t="s">
        <v>6920</v>
      </c>
      <c r="H1662" s="1" t="s">
        <v>6921</v>
      </c>
      <c r="J1662" s="1" t="s">
        <v>1324</v>
      </c>
      <c r="L1662" s="1" t="s">
        <v>895</v>
      </c>
      <c r="N1662" s="1" t="s">
        <v>6599</v>
      </c>
      <c r="P1662" s="1" t="s">
        <v>3233</v>
      </c>
      <c r="Q1662" s="3">
        <v>0</v>
      </c>
      <c r="R1662" s="22" t="s">
        <v>2721</v>
      </c>
      <c r="S1662" s="42" t="s">
        <v>6910</v>
      </c>
      <c r="T1662" s="3" t="s">
        <v>4868</v>
      </c>
      <c r="U1662" s="45">
        <v>35</v>
      </c>
      <c r="V1662" t="s">
        <v>6919</v>
      </c>
      <c r="W1662" s="1" t="str">
        <f>HYPERLINK("http://ictvonline.org/taxonomy/p/taxonomy-history?taxnode_id=201901068","ICTVonline=201901068")</f>
        <v>ICTVonline=201901068</v>
      </c>
    </row>
    <row r="1663" spans="1:23">
      <c r="A1663" s="3">
        <v>1662</v>
      </c>
      <c r="B1663" s="1" t="s">
        <v>6915</v>
      </c>
      <c r="D1663" s="1" t="s">
        <v>6916</v>
      </c>
      <c r="F1663" s="1" t="s">
        <v>6920</v>
      </c>
      <c r="H1663" s="1" t="s">
        <v>6921</v>
      </c>
      <c r="J1663" s="1" t="s">
        <v>1324</v>
      </c>
      <c r="L1663" s="1" t="s">
        <v>895</v>
      </c>
      <c r="N1663" s="1" t="s">
        <v>4316</v>
      </c>
      <c r="P1663" s="1" t="s">
        <v>4317</v>
      </c>
      <c r="Q1663" s="3">
        <v>1</v>
      </c>
      <c r="R1663" s="22" t="s">
        <v>2721</v>
      </c>
      <c r="S1663" s="42" t="s">
        <v>6910</v>
      </c>
      <c r="T1663" s="3" t="s">
        <v>4868</v>
      </c>
      <c r="U1663" s="45">
        <v>35</v>
      </c>
      <c r="V1663" t="s">
        <v>6919</v>
      </c>
      <c r="W1663" s="1" t="str">
        <f>HYPERLINK("http://ictvonline.org/taxonomy/p/taxonomy-history?taxnode_id=201900972","ICTVonline=201900972")</f>
        <v>ICTVonline=201900972</v>
      </c>
    </row>
    <row r="1664" spans="1:23">
      <c r="A1664" s="3">
        <v>1663</v>
      </c>
      <c r="B1664" s="1" t="s">
        <v>6915</v>
      </c>
      <c r="D1664" s="1" t="s">
        <v>6916</v>
      </c>
      <c r="F1664" s="1" t="s">
        <v>6920</v>
      </c>
      <c r="H1664" s="1" t="s">
        <v>6921</v>
      </c>
      <c r="J1664" s="1" t="s">
        <v>1324</v>
      </c>
      <c r="L1664" s="1" t="s">
        <v>895</v>
      </c>
      <c r="N1664" s="1" t="s">
        <v>6601</v>
      </c>
      <c r="P1664" s="1" t="s">
        <v>6602</v>
      </c>
      <c r="Q1664" s="3">
        <v>0</v>
      </c>
      <c r="R1664" s="22" t="s">
        <v>2721</v>
      </c>
      <c r="S1664" s="42" t="s">
        <v>6910</v>
      </c>
      <c r="T1664" s="3" t="s">
        <v>4868</v>
      </c>
      <c r="U1664" s="45">
        <v>35</v>
      </c>
      <c r="V1664" t="s">
        <v>6919</v>
      </c>
      <c r="W1664" s="1" t="str">
        <f>HYPERLINK("http://ictvonline.org/taxonomy/p/taxonomy-history?taxnode_id=201906628","ICTVonline=201906628")</f>
        <v>ICTVonline=201906628</v>
      </c>
    </row>
    <row r="1665" spans="1:23">
      <c r="A1665" s="3">
        <v>1664</v>
      </c>
      <c r="B1665" s="1" t="s">
        <v>6915</v>
      </c>
      <c r="D1665" s="1" t="s">
        <v>6916</v>
      </c>
      <c r="F1665" s="1" t="s">
        <v>6920</v>
      </c>
      <c r="H1665" s="1" t="s">
        <v>6921</v>
      </c>
      <c r="J1665" s="1" t="s">
        <v>1324</v>
      </c>
      <c r="L1665" s="1" t="s">
        <v>895</v>
      </c>
      <c r="N1665" s="1" t="s">
        <v>6601</v>
      </c>
      <c r="P1665" s="1" t="s">
        <v>6603</v>
      </c>
      <c r="Q1665" s="3">
        <v>1</v>
      </c>
      <c r="R1665" s="22" t="s">
        <v>2721</v>
      </c>
      <c r="S1665" s="42" t="s">
        <v>6910</v>
      </c>
      <c r="T1665" s="3" t="s">
        <v>4868</v>
      </c>
      <c r="U1665" s="45">
        <v>35</v>
      </c>
      <c r="V1665" t="s">
        <v>6919</v>
      </c>
      <c r="W1665" s="1" t="str">
        <f>HYPERLINK("http://ictvonline.org/taxonomy/p/taxonomy-history?taxnode_id=201906627","ICTVonline=201906627")</f>
        <v>ICTVonline=201906627</v>
      </c>
    </row>
    <row r="1666" spans="1:23">
      <c r="A1666" s="3">
        <v>1665</v>
      </c>
      <c r="B1666" s="1" t="s">
        <v>6915</v>
      </c>
      <c r="D1666" s="1" t="s">
        <v>6916</v>
      </c>
      <c r="F1666" s="1" t="s">
        <v>6920</v>
      </c>
      <c r="H1666" s="1" t="s">
        <v>6921</v>
      </c>
      <c r="J1666" s="1" t="s">
        <v>1324</v>
      </c>
      <c r="L1666" s="1" t="s">
        <v>895</v>
      </c>
      <c r="N1666" s="1" t="s">
        <v>6604</v>
      </c>
      <c r="P1666" s="1" t="s">
        <v>6605</v>
      </c>
      <c r="Q1666" s="3">
        <v>1</v>
      </c>
      <c r="R1666" s="22" t="s">
        <v>2721</v>
      </c>
      <c r="S1666" s="42" t="s">
        <v>6910</v>
      </c>
      <c r="T1666" s="3" t="s">
        <v>4868</v>
      </c>
      <c r="U1666" s="45">
        <v>35</v>
      </c>
      <c r="V1666" t="s">
        <v>6919</v>
      </c>
      <c r="W1666" s="1" t="str">
        <f>HYPERLINK("http://ictvonline.org/taxonomy/p/taxonomy-history?taxnode_id=201906444","ICTVonline=201906444")</f>
        <v>ICTVonline=201906444</v>
      </c>
    </row>
    <row r="1667" spans="1:23">
      <c r="A1667" s="3">
        <v>1666</v>
      </c>
      <c r="B1667" s="1" t="s">
        <v>6915</v>
      </c>
      <c r="D1667" s="1" t="s">
        <v>6916</v>
      </c>
      <c r="F1667" s="1" t="s">
        <v>6920</v>
      </c>
      <c r="H1667" s="1" t="s">
        <v>6921</v>
      </c>
      <c r="J1667" s="1" t="s">
        <v>1324</v>
      </c>
      <c r="L1667" s="1" t="s">
        <v>895</v>
      </c>
      <c r="N1667" s="1" t="s">
        <v>6606</v>
      </c>
      <c r="P1667" s="1" t="s">
        <v>6607</v>
      </c>
      <c r="Q1667" s="3">
        <v>1</v>
      </c>
      <c r="R1667" s="22" t="s">
        <v>2721</v>
      </c>
      <c r="S1667" s="42" t="s">
        <v>6910</v>
      </c>
      <c r="T1667" s="3" t="s">
        <v>4868</v>
      </c>
      <c r="U1667" s="45">
        <v>35</v>
      </c>
      <c r="V1667" t="s">
        <v>6919</v>
      </c>
      <c r="W1667" s="1" t="str">
        <f>HYPERLINK("http://ictvonline.org/taxonomy/p/taxonomy-history?taxnode_id=201906480","ICTVonline=201906480")</f>
        <v>ICTVonline=201906480</v>
      </c>
    </row>
    <row r="1668" spans="1:23">
      <c r="A1668" s="3">
        <v>1667</v>
      </c>
      <c r="B1668" s="1" t="s">
        <v>6915</v>
      </c>
      <c r="D1668" s="1" t="s">
        <v>6916</v>
      </c>
      <c r="F1668" s="1" t="s">
        <v>6920</v>
      </c>
      <c r="H1668" s="1" t="s">
        <v>6921</v>
      </c>
      <c r="J1668" s="1" t="s">
        <v>1324</v>
      </c>
      <c r="L1668" s="1" t="s">
        <v>895</v>
      </c>
      <c r="N1668" s="1" t="s">
        <v>6608</v>
      </c>
      <c r="P1668" s="1" t="s">
        <v>6609</v>
      </c>
      <c r="Q1668" s="3">
        <v>1</v>
      </c>
      <c r="R1668" s="22" t="s">
        <v>2721</v>
      </c>
      <c r="S1668" s="42" t="s">
        <v>6910</v>
      </c>
      <c r="T1668" s="3" t="s">
        <v>4868</v>
      </c>
      <c r="U1668" s="45">
        <v>35</v>
      </c>
      <c r="V1668" t="s">
        <v>6919</v>
      </c>
      <c r="W1668" s="1" t="str">
        <f>HYPERLINK("http://ictvonline.org/taxonomy/p/taxonomy-history?taxnode_id=201906632","ICTVonline=201906632")</f>
        <v>ICTVonline=201906632</v>
      </c>
    </row>
    <row r="1669" spans="1:23">
      <c r="A1669" s="3">
        <v>1668</v>
      </c>
      <c r="B1669" s="1" t="s">
        <v>6915</v>
      </c>
      <c r="D1669" s="1" t="s">
        <v>6916</v>
      </c>
      <c r="F1669" s="1" t="s">
        <v>6920</v>
      </c>
      <c r="H1669" s="1" t="s">
        <v>6921</v>
      </c>
      <c r="J1669" s="1" t="s">
        <v>1324</v>
      </c>
      <c r="L1669" s="1" t="s">
        <v>895</v>
      </c>
      <c r="N1669" s="1" t="s">
        <v>6610</v>
      </c>
      <c r="P1669" s="1" t="s">
        <v>6611</v>
      </c>
      <c r="Q1669" s="3">
        <v>0</v>
      </c>
      <c r="R1669" s="22" t="s">
        <v>2721</v>
      </c>
      <c r="S1669" s="42" t="s">
        <v>6910</v>
      </c>
      <c r="T1669" s="3" t="s">
        <v>4868</v>
      </c>
      <c r="U1669" s="45">
        <v>35</v>
      </c>
      <c r="V1669" t="s">
        <v>6919</v>
      </c>
      <c r="W1669" s="1" t="str">
        <f>HYPERLINK("http://ictvonline.org/taxonomy/p/taxonomy-history?taxnode_id=201906827","ICTVonline=201906827")</f>
        <v>ICTVonline=201906827</v>
      </c>
    </row>
    <row r="1670" spans="1:23">
      <c r="A1670" s="3">
        <v>1669</v>
      </c>
      <c r="B1670" s="1" t="s">
        <v>6915</v>
      </c>
      <c r="D1670" s="1" t="s">
        <v>6916</v>
      </c>
      <c r="F1670" s="1" t="s">
        <v>6920</v>
      </c>
      <c r="H1670" s="1" t="s">
        <v>6921</v>
      </c>
      <c r="J1670" s="1" t="s">
        <v>1324</v>
      </c>
      <c r="L1670" s="1" t="s">
        <v>895</v>
      </c>
      <c r="N1670" s="1" t="s">
        <v>6610</v>
      </c>
      <c r="P1670" s="1" t="s">
        <v>6612</v>
      </c>
      <c r="Q1670" s="3">
        <v>1</v>
      </c>
      <c r="R1670" s="22" t="s">
        <v>2721</v>
      </c>
      <c r="S1670" s="42" t="s">
        <v>6910</v>
      </c>
      <c r="T1670" s="3" t="s">
        <v>4868</v>
      </c>
      <c r="U1670" s="45">
        <v>35</v>
      </c>
      <c r="V1670" t="s">
        <v>6919</v>
      </c>
      <c r="W1670" s="1" t="str">
        <f>HYPERLINK("http://ictvonline.org/taxonomy/p/taxonomy-history?taxnode_id=201906826","ICTVonline=201906826")</f>
        <v>ICTVonline=201906826</v>
      </c>
    </row>
    <row r="1671" spans="1:23">
      <c r="A1671" s="3">
        <v>1670</v>
      </c>
      <c r="B1671" s="1" t="s">
        <v>6915</v>
      </c>
      <c r="D1671" s="1" t="s">
        <v>6916</v>
      </c>
      <c r="F1671" s="1" t="s">
        <v>6920</v>
      </c>
      <c r="H1671" s="1" t="s">
        <v>6921</v>
      </c>
      <c r="J1671" s="1" t="s">
        <v>1324</v>
      </c>
      <c r="L1671" s="1" t="s">
        <v>895</v>
      </c>
      <c r="N1671" s="1" t="s">
        <v>6613</v>
      </c>
      <c r="P1671" s="1" t="s">
        <v>6614</v>
      </c>
      <c r="Q1671" s="3">
        <v>1</v>
      </c>
      <c r="R1671" s="22" t="s">
        <v>2721</v>
      </c>
      <c r="S1671" s="42" t="s">
        <v>6910</v>
      </c>
      <c r="T1671" s="3" t="s">
        <v>4868</v>
      </c>
      <c r="U1671" s="45">
        <v>35</v>
      </c>
      <c r="V1671" t="s">
        <v>6919</v>
      </c>
      <c r="W1671" s="1" t="str">
        <f>HYPERLINK("http://ictvonline.org/taxonomy/p/taxonomy-history?taxnode_id=201906635","ICTVonline=201906635")</f>
        <v>ICTVonline=201906635</v>
      </c>
    </row>
    <row r="1672" spans="1:23">
      <c r="A1672" s="3">
        <v>1671</v>
      </c>
      <c r="B1672" s="1" t="s">
        <v>6915</v>
      </c>
      <c r="D1672" s="1" t="s">
        <v>6916</v>
      </c>
      <c r="F1672" s="1" t="s">
        <v>6920</v>
      </c>
      <c r="H1672" s="1" t="s">
        <v>6921</v>
      </c>
      <c r="J1672" s="1" t="s">
        <v>1324</v>
      </c>
      <c r="L1672" s="1" t="s">
        <v>895</v>
      </c>
      <c r="N1672" s="1" t="s">
        <v>4318</v>
      </c>
      <c r="P1672" s="1" t="s">
        <v>4319</v>
      </c>
      <c r="Q1672" s="3">
        <v>1</v>
      </c>
      <c r="R1672" s="22" t="s">
        <v>2721</v>
      </c>
      <c r="S1672" s="42" t="s">
        <v>6910</v>
      </c>
      <c r="T1672" s="3" t="s">
        <v>4868</v>
      </c>
      <c r="U1672" s="45">
        <v>35</v>
      </c>
      <c r="V1672" t="s">
        <v>6919</v>
      </c>
      <c r="W1672" s="1" t="str">
        <f>HYPERLINK("http://ictvonline.org/taxonomy/p/taxonomy-history?taxnode_id=201900974","ICTVonline=201900974")</f>
        <v>ICTVonline=201900974</v>
      </c>
    </row>
    <row r="1673" spans="1:23">
      <c r="A1673" s="3">
        <v>1672</v>
      </c>
      <c r="B1673" s="1" t="s">
        <v>6915</v>
      </c>
      <c r="D1673" s="1" t="s">
        <v>6916</v>
      </c>
      <c r="F1673" s="1" t="s">
        <v>6920</v>
      </c>
      <c r="H1673" s="1" t="s">
        <v>6921</v>
      </c>
      <c r="J1673" s="1" t="s">
        <v>1324</v>
      </c>
      <c r="L1673" s="1" t="s">
        <v>895</v>
      </c>
      <c r="N1673" s="1" t="s">
        <v>7865</v>
      </c>
      <c r="P1673" s="1" t="s">
        <v>7866</v>
      </c>
      <c r="Q1673" s="3">
        <v>1</v>
      </c>
      <c r="R1673" s="22" t="s">
        <v>2721</v>
      </c>
      <c r="S1673" s="42" t="s">
        <v>6914</v>
      </c>
      <c r="T1673" s="3" t="s">
        <v>4866</v>
      </c>
      <c r="U1673" s="45">
        <v>35</v>
      </c>
      <c r="V1673" t="s">
        <v>7867</v>
      </c>
      <c r="W1673" s="1" t="str">
        <f>HYPERLINK("http://ictvonline.org/taxonomy/p/taxonomy-history?taxnode_id=201907308","ICTVonline=201907308")</f>
        <v>ICTVonline=201907308</v>
      </c>
    </row>
    <row r="1674" spans="1:23">
      <c r="A1674" s="3">
        <v>1673</v>
      </c>
      <c r="B1674" s="1" t="s">
        <v>6915</v>
      </c>
      <c r="D1674" s="1" t="s">
        <v>6916</v>
      </c>
      <c r="F1674" s="1" t="s">
        <v>6920</v>
      </c>
      <c r="H1674" s="1" t="s">
        <v>6921</v>
      </c>
      <c r="J1674" s="1" t="s">
        <v>1324</v>
      </c>
      <c r="L1674" s="1" t="s">
        <v>895</v>
      </c>
      <c r="N1674" s="1" t="s">
        <v>7868</v>
      </c>
      <c r="P1674" s="1" t="s">
        <v>7869</v>
      </c>
      <c r="Q1674" s="3">
        <v>1</v>
      </c>
      <c r="R1674" s="22" t="s">
        <v>2721</v>
      </c>
      <c r="S1674" s="42" t="s">
        <v>6914</v>
      </c>
      <c r="T1674" s="3" t="s">
        <v>4866</v>
      </c>
      <c r="U1674" s="45">
        <v>35</v>
      </c>
      <c r="V1674" t="s">
        <v>7870</v>
      </c>
      <c r="W1674" s="1" t="str">
        <f>HYPERLINK("http://ictvonline.org/taxonomy/p/taxonomy-history?taxnode_id=201907287","ICTVonline=201907287")</f>
        <v>ICTVonline=201907287</v>
      </c>
    </row>
    <row r="1675" spans="1:23">
      <c r="A1675" s="3">
        <v>1674</v>
      </c>
      <c r="B1675" s="1" t="s">
        <v>6915</v>
      </c>
      <c r="D1675" s="1" t="s">
        <v>6916</v>
      </c>
      <c r="F1675" s="1" t="s">
        <v>6920</v>
      </c>
      <c r="H1675" s="1" t="s">
        <v>6921</v>
      </c>
      <c r="J1675" s="1" t="s">
        <v>1324</v>
      </c>
      <c r="L1675" s="1" t="s">
        <v>895</v>
      </c>
      <c r="N1675" s="1" t="s">
        <v>7871</v>
      </c>
      <c r="P1675" s="1" t="s">
        <v>7872</v>
      </c>
      <c r="Q1675" s="3">
        <v>1</v>
      </c>
      <c r="R1675" s="22" t="s">
        <v>2721</v>
      </c>
      <c r="S1675" s="42" t="s">
        <v>6914</v>
      </c>
      <c r="T1675" s="3" t="s">
        <v>4866</v>
      </c>
      <c r="U1675" s="45">
        <v>35</v>
      </c>
      <c r="V1675" t="s">
        <v>7873</v>
      </c>
      <c r="W1675" s="1" t="str">
        <f>HYPERLINK("http://ictvonline.org/taxonomy/p/taxonomy-history?taxnode_id=201907361","ICTVonline=201907361")</f>
        <v>ICTVonline=201907361</v>
      </c>
    </row>
    <row r="1676" spans="1:23">
      <c r="A1676" s="3">
        <v>1675</v>
      </c>
      <c r="B1676" s="1" t="s">
        <v>6915</v>
      </c>
      <c r="D1676" s="1" t="s">
        <v>6916</v>
      </c>
      <c r="F1676" s="1" t="s">
        <v>6920</v>
      </c>
      <c r="H1676" s="1" t="s">
        <v>6921</v>
      </c>
      <c r="J1676" s="1" t="s">
        <v>1324</v>
      </c>
      <c r="L1676" s="1" t="s">
        <v>895</v>
      </c>
      <c r="N1676" s="1" t="s">
        <v>4320</v>
      </c>
      <c r="P1676" s="1" t="s">
        <v>4321</v>
      </c>
      <c r="Q1676" s="3">
        <v>0</v>
      </c>
      <c r="R1676" s="22" t="s">
        <v>2721</v>
      </c>
      <c r="S1676" s="42" t="s">
        <v>6910</v>
      </c>
      <c r="T1676" s="3" t="s">
        <v>4868</v>
      </c>
      <c r="U1676" s="45">
        <v>35</v>
      </c>
      <c r="V1676" t="s">
        <v>6919</v>
      </c>
      <c r="W1676" s="1" t="str">
        <f>HYPERLINK("http://ictvonline.org/taxonomy/p/taxonomy-history?taxnode_id=201900976","ICTVonline=201900976")</f>
        <v>ICTVonline=201900976</v>
      </c>
    </row>
    <row r="1677" spans="1:23">
      <c r="A1677" s="3">
        <v>1676</v>
      </c>
      <c r="B1677" s="1" t="s">
        <v>6915</v>
      </c>
      <c r="D1677" s="1" t="s">
        <v>6916</v>
      </c>
      <c r="F1677" s="1" t="s">
        <v>6920</v>
      </c>
      <c r="H1677" s="1" t="s">
        <v>6921</v>
      </c>
      <c r="J1677" s="1" t="s">
        <v>1324</v>
      </c>
      <c r="L1677" s="1" t="s">
        <v>895</v>
      </c>
      <c r="N1677" s="1" t="s">
        <v>4320</v>
      </c>
      <c r="P1677" s="1" t="s">
        <v>4322</v>
      </c>
      <c r="Q1677" s="3">
        <v>1</v>
      </c>
      <c r="R1677" s="22" t="s">
        <v>2721</v>
      </c>
      <c r="S1677" s="42" t="s">
        <v>6910</v>
      </c>
      <c r="T1677" s="3" t="s">
        <v>4868</v>
      </c>
      <c r="U1677" s="45">
        <v>35</v>
      </c>
      <c r="V1677" t="s">
        <v>6919</v>
      </c>
      <c r="W1677" s="1" t="str">
        <f>HYPERLINK("http://ictvonline.org/taxonomy/p/taxonomy-history?taxnode_id=201900977","ICTVonline=201900977")</f>
        <v>ICTVonline=201900977</v>
      </c>
    </row>
    <row r="1678" spans="1:23">
      <c r="A1678" s="3">
        <v>1677</v>
      </c>
      <c r="B1678" s="1" t="s">
        <v>6915</v>
      </c>
      <c r="D1678" s="1" t="s">
        <v>6916</v>
      </c>
      <c r="F1678" s="1" t="s">
        <v>6920</v>
      </c>
      <c r="H1678" s="1" t="s">
        <v>6921</v>
      </c>
      <c r="J1678" s="1" t="s">
        <v>1324</v>
      </c>
      <c r="L1678" s="1" t="s">
        <v>895</v>
      </c>
      <c r="N1678" s="1" t="s">
        <v>4323</v>
      </c>
      <c r="P1678" s="1" t="s">
        <v>4324</v>
      </c>
      <c r="Q1678" s="3">
        <v>1</v>
      </c>
      <c r="R1678" s="22" t="s">
        <v>2721</v>
      </c>
      <c r="S1678" s="42" t="s">
        <v>6910</v>
      </c>
      <c r="T1678" s="3" t="s">
        <v>4868</v>
      </c>
      <c r="U1678" s="45">
        <v>35</v>
      </c>
      <c r="V1678" t="s">
        <v>6919</v>
      </c>
      <c r="W1678" s="1" t="str">
        <f>HYPERLINK("http://ictvonline.org/taxonomy/p/taxonomy-history?taxnode_id=201900979","ICTVonline=201900979")</f>
        <v>ICTVonline=201900979</v>
      </c>
    </row>
    <row r="1679" spans="1:23">
      <c r="A1679" s="3">
        <v>1678</v>
      </c>
      <c r="B1679" s="1" t="s">
        <v>6915</v>
      </c>
      <c r="D1679" s="1" t="s">
        <v>6916</v>
      </c>
      <c r="F1679" s="1" t="s">
        <v>6920</v>
      </c>
      <c r="H1679" s="1" t="s">
        <v>6921</v>
      </c>
      <c r="J1679" s="1" t="s">
        <v>1324</v>
      </c>
      <c r="L1679" s="1" t="s">
        <v>895</v>
      </c>
      <c r="N1679" s="1" t="s">
        <v>6615</v>
      </c>
      <c r="P1679" s="1" t="s">
        <v>6616</v>
      </c>
      <c r="Q1679" s="3">
        <v>1</v>
      </c>
      <c r="R1679" s="22" t="s">
        <v>2721</v>
      </c>
      <c r="S1679" s="42" t="s">
        <v>6910</v>
      </c>
      <c r="T1679" s="3" t="s">
        <v>4868</v>
      </c>
      <c r="U1679" s="45">
        <v>35</v>
      </c>
      <c r="V1679" t="s">
        <v>6919</v>
      </c>
      <c r="W1679" s="1" t="str">
        <f>HYPERLINK("http://ictvonline.org/taxonomy/p/taxonomy-history?taxnode_id=201906985","ICTVonline=201906985")</f>
        <v>ICTVonline=201906985</v>
      </c>
    </row>
    <row r="1680" spans="1:23">
      <c r="A1680" s="3">
        <v>1679</v>
      </c>
      <c r="B1680" s="1" t="s">
        <v>6915</v>
      </c>
      <c r="D1680" s="1" t="s">
        <v>6916</v>
      </c>
      <c r="F1680" s="1" t="s">
        <v>6920</v>
      </c>
      <c r="H1680" s="1" t="s">
        <v>6921</v>
      </c>
      <c r="J1680" s="1" t="s">
        <v>1324</v>
      </c>
      <c r="L1680" s="1" t="s">
        <v>895</v>
      </c>
      <c r="N1680" s="1" t="s">
        <v>6617</v>
      </c>
      <c r="P1680" s="1" t="s">
        <v>6618</v>
      </c>
      <c r="Q1680" s="3">
        <v>1</v>
      </c>
      <c r="R1680" s="22" t="s">
        <v>2721</v>
      </c>
      <c r="S1680" s="42" t="s">
        <v>6910</v>
      </c>
      <c r="T1680" s="3" t="s">
        <v>4868</v>
      </c>
      <c r="U1680" s="45">
        <v>35</v>
      </c>
      <c r="V1680" t="s">
        <v>6919</v>
      </c>
      <c r="W1680" s="1" t="str">
        <f>HYPERLINK("http://ictvonline.org/taxonomy/p/taxonomy-history?taxnode_id=201906485","ICTVonline=201906485")</f>
        <v>ICTVonline=201906485</v>
      </c>
    </row>
    <row r="1681" spans="1:23">
      <c r="A1681" s="3">
        <v>1680</v>
      </c>
      <c r="B1681" s="1" t="s">
        <v>6915</v>
      </c>
      <c r="D1681" s="1" t="s">
        <v>6916</v>
      </c>
      <c r="F1681" s="1" t="s">
        <v>6920</v>
      </c>
      <c r="H1681" s="1" t="s">
        <v>6921</v>
      </c>
      <c r="J1681" s="1" t="s">
        <v>1324</v>
      </c>
      <c r="L1681" s="1" t="s">
        <v>895</v>
      </c>
      <c r="N1681" s="1" t="s">
        <v>6619</v>
      </c>
      <c r="P1681" s="1" t="s">
        <v>6620</v>
      </c>
      <c r="Q1681" s="3">
        <v>1</v>
      </c>
      <c r="R1681" s="22" t="s">
        <v>2721</v>
      </c>
      <c r="S1681" s="42" t="s">
        <v>6910</v>
      </c>
      <c r="T1681" s="3" t="s">
        <v>4868</v>
      </c>
      <c r="U1681" s="45">
        <v>35</v>
      </c>
      <c r="V1681" t="s">
        <v>6919</v>
      </c>
      <c r="W1681" s="1" t="str">
        <f>HYPERLINK("http://ictvonline.org/taxonomy/p/taxonomy-history?taxnode_id=201906638","ICTVonline=201906638")</f>
        <v>ICTVonline=201906638</v>
      </c>
    </row>
    <row r="1682" spans="1:23">
      <c r="A1682" s="3">
        <v>1681</v>
      </c>
      <c r="B1682" s="1" t="s">
        <v>6915</v>
      </c>
      <c r="D1682" s="1" t="s">
        <v>6916</v>
      </c>
      <c r="F1682" s="1" t="s">
        <v>6920</v>
      </c>
      <c r="H1682" s="1" t="s">
        <v>6921</v>
      </c>
      <c r="J1682" s="1" t="s">
        <v>1324</v>
      </c>
      <c r="L1682" s="1" t="s">
        <v>895</v>
      </c>
      <c r="N1682" s="1" t="s">
        <v>6619</v>
      </c>
      <c r="P1682" s="1" t="s">
        <v>6621</v>
      </c>
      <c r="Q1682" s="3">
        <v>0</v>
      </c>
      <c r="R1682" s="22" t="s">
        <v>2721</v>
      </c>
      <c r="S1682" s="42" t="s">
        <v>6910</v>
      </c>
      <c r="T1682" s="3" t="s">
        <v>4868</v>
      </c>
      <c r="U1682" s="45">
        <v>35</v>
      </c>
      <c r="V1682" t="s">
        <v>6919</v>
      </c>
      <c r="W1682" s="1" t="str">
        <f>HYPERLINK("http://ictvonline.org/taxonomy/p/taxonomy-history?taxnode_id=201906639","ICTVonline=201906639")</f>
        <v>ICTVonline=201906639</v>
      </c>
    </row>
    <row r="1683" spans="1:23">
      <c r="A1683" s="3">
        <v>1682</v>
      </c>
      <c r="B1683" s="1" t="s">
        <v>6915</v>
      </c>
      <c r="D1683" s="1" t="s">
        <v>6916</v>
      </c>
      <c r="F1683" s="1" t="s">
        <v>6920</v>
      </c>
      <c r="H1683" s="1" t="s">
        <v>6921</v>
      </c>
      <c r="J1683" s="1" t="s">
        <v>1324</v>
      </c>
      <c r="L1683" s="1" t="s">
        <v>895</v>
      </c>
      <c r="N1683" s="1" t="s">
        <v>4325</v>
      </c>
      <c r="P1683" s="1" t="s">
        <v>4326</v>
      </c>
      <c r="Q1683" s="3">
        <v>1</v>
      </c>
      <c r="R1683" s="22" t="s">
        <v>2721</v>
      </c>
      <c r="S1683" s="42" t="s">
        <v>6910</v>
      </c>
      <c r="T1683" s="3" t="s">
        <v>4868</v>
      </c>
      <c r="U1683" s="45">
        <v>35</v>
      </c>
      <c r="V1683" t="s">
        <v>6919</v>
      </c>
      <c r="W1683" s="1" t="str">
        <f>HYPERLINK("http://ictvonline.org/taxonomy/p/taxonomy-history?taxnode_id=201900981","ICTVonline=201900981")</f>
        <v>ICTVonline=201900981</v>
      </c>
    </row>
    <row r="1684" spans="1:23">
      <c r="A1684" s="3">
        <v>1683</v>
      </c>
      <c r="B1684" s="1" t="s">
        <v>6915</v>
      </c>
      <c r="D1684" s="1" t="s">
        <v>6916</v>
      </c>
      <c r="F1684" s="1" t="s">
        <v>6920</v>
      </c>
      <c r="H1684" s="1" t="s">
        <v>6921</v>
      </c>
      <c r="J1684" s="1" t="s">
        <v>1324</v>
      </c>
      <c r="L1684" s="1" t="s">
        <v>895</v>
      </c>
      <c r="N1684" s="1" t="s">
        <v>6622</v>
      </c>
      <c r="P1684" s="1" t="s">
        <v>6623</v>
      </c>
      <c r="Q1684" s="3">
        <v>1</v>
      </c>
      <c r="R1684" s="22" t="s">
        <v>2721</v>
      </c>
      <c r="S1684" s="42" t="s">
        <v>6910</v>
      </c>
      <c r="T1684" s="3" t="s">
        <v>4868</v>
      </c>
      <c r="U1684" s="45">
        <v>35</v>
      </c>
      <c r="V1684" t="s">
        <v>6919</v>
      </c>
      <c r="W1684" s="1" t="str">
        <f>HYPERLINK("http://ictvonline.org/taxonomy/p/taxonomy-history?taxnode_id=201906684","ICTVonline=201906684")</f>
        <v>ICTVonline=201906684</v>
      </c>
    </row>
    <row r="1685" spans="1:23">
      <c r="A1685" s="3">
        <v>1684</v>
      </c>
      <c r="B1685" s="1" t="s">
        <v>6915</v>
      </c>
      <c r="D1685" s="1" t="s">
        <v>6916</v>
      </c>
      <c r="F1685" s="1" t="s">
        <v>6920</v>
      </c>
      <c r="H1685" s="1" t="s">
        <v>6921</v>
      </c>
      <c r="J1685" s="1" t="s">
        <v>1324</v>
      </c>
      <c r="L1685" s="1" t="s">
        <v>895</v>
      </c>
      <c r="N1685" s="1" t="s">
        <v>6624</v>
      </c>
      <c r="P1685" s="1" t="s">
        <v>3102</v>
      </c>
      <c r="Q1685" s="3">
        <v>0</v>
      </c>
      <c r="R1685" s="22" t="s">
        <v>2721</v>
      </c>
      <c r="S1685" s="42" t="s">
        <v>6910</v>
      </c>
      <c r="T1685" s="3" t="s">
        <v>4868</v>
      </c>
      <c r="U1685" s="45">
        <v>35</v>
      </c>
      <c r="V1685" t="s">
        <v>6919</v>
      </c>
      <c r="W1685" s="1" t="str">
        <f>HYPERLINK("http://ictvonline.org/taxonomy/p/taxonomy-history?taxnode_id=201900879","ICTVonline=201900879")</f>
        <v>ICTVonline=201900879</v>
      </c>
    </row>
    <row r="1686" spans="1:23">
      <c r="A1686" s="3">
        <v>1685</v>
      </c>
      <c r="B1686" s="1" t="s">
        <v>6915</v>
      </c>
      <c r="D1686" s="1" t="s">
        <v>6916</v>
      </c>
      <c r="F1686" s="1" t="s">
        <v>6920</v>
      </c>
      <c r="H1686" s="1" t="s">
        <v>6921</v>
      </c>
      <c r="J1686" s="1" t="s">
        <v>1324</v>
      </c>
      <c r="L1686" s="1" t="s">
        <v>895</v>
      </c>
      <c r="N1686" s="1" t="s">
        <v>6624</v>
      </c>
      <c r="P1686" s="1" t="s">
        <v>3103</v>
      </c>
      <c r="Q1686" s="3">
        <v>0</v>
      </c>
      <c r="R1686" s="22" t="s">
        <v>2721</v>
      </c>
      <c r="S1686" s="42" t="s">
        <v>6910</v>
      </c>
      <c r="T1686" s="3" t="s">
        <v>4868</v>
      </c>
      <c r="U1686" s="45">
        <v>35</v>
      </c>
      <c r="V1686" t="s">
        <v>6919</v>
      </c>
      <c r="W1686" s="1" t="str">
        <f>HYPERLINK("http://ictvonline.org/taxonomy/p/taxonomy-history?taxnode_id=201900880","ICTVonline=201900880")</f>
        <v>ICTVonline=201900880</v>
      </c>
    </row>
    <row r="1687" spans="1:23">
      <c r="A1687" s="3">
        <v>1686</v>
      </c>
      <c r="B1687" s="1" t="s">
        <v>6915</v>
      </c>
      <c r="D1687" s="1" t="s">
        <v>6916</v>
      </c>
      <c r="F1687" s="1" t="s">
        <v>6920</v>
      </c>
      <c r="H1687" s="1" t="s">
        <v>6921</v>
      </c>
      <c r="J1687" s="1" t="s">
        <v>1324</v>
      </c>
      <c r="L1687" s="1" t="s">
        <v>895</v>
      </c>
      <c r="N1687" s="1" t="s">
        <v>6624</v>
      </c>
      <c r="P1687" s="1" t="s">
        <v>3104</v>
      </c>
      <c r="Q1687" s="3">
        <v>1</v>
      </c>
      <c r="R1687" s="22" t="s">
        <v>2721</v>
      </c>
      <c r="S1687" s="42" t="s">
        <v>6910</v>
      </c>
      <c r="T1687" s="3" t="s">
        <v>4868</v>
      </c>
      <c r="U1687" s="45">
        <v>35</v>
      </c>
      <c r="V1687" t="s">
        <v>6919</v>
      </c>
      <c r="W1687" s="1" t="str">
        <f>HYPERLINK("http://ictvonline.org/taxonomy/p/taxonomy-history?taxnode_id=201900881","ICTVonline=201900881")</f>
        <v>ICTVonline=201900881</v>
      </c>
    </row>
    <row r="1688" spans="1:23">
      <c r="A1688" s="3">
        <v>1687</v>
      </c>
      <c r="B1688" s="1" t="s">
        <v>6915</v>
      </c>
      <c r="D1688" s="1" t="s">
        <v>6916</v>
      </c>
      <c r="F1688" s="1" t="s">
        <v>6920</v>
      </c>
      <c r="H1688" s="1" t="s">
        <v>6921</v>
      </c>
      <c r="J1688" s="1" t="s">
        <v>1324</v>
      </c>
      <c r="L1688" s="1" t="s">
        <v>895</v>
      </c>
      <c r="N1688" s="1" t="s">
        <v>6625</v>
      </c>
      <c r="P1688" s="1" t="s">
        <v>3237</v>
      </c>
      <c r="Q1688" s="3">
        <v>0</v>
      </c>
      <c r="R1688" s="22" t="s">
        <v>2721</v>
      </c>
      <c r="S1688" s="42" t="s">
        <v>6910</v>
      </c>
      <c r="T1688" s="3" t="s">
        <v>4868</v>
      </c>
      <c r="U1688" s="45">
        <v>35</v>
      </c>
      <c r="V1688" t="s">
        <v>6919</v>
      </c>
      <c r="W1688" s="1" t="str">
        <f>HYPERLINK("http://ictvonline.org/taxonomy/p/taxonomy-history?taxnode_id=201901070","ICTVonline=201901070")</f>
        <v>ICTVonline=201901070</v>
      </c>
    </row>
    <row r="1689" spans="1:23">
      <c r="A1689" s="3">
        <v>1688</v>
      </c>
      <c r="B1689" s="1" t="s">
        <v>6915</v>
      </c>
      <c r="D1689" s="1" t="s">
        <v>6916</v>
      </c>
      <c r="F1689" s="1" t="s">
        <v>6920</v>
      </c>
      <c r="H1689" s="1" t="s">
        <v>6921</v>
      </c>
      <c r="J1689" s="1" t="s">
        <v>1324</v>
      </c>
      <c r="L1689" s="1" t="s">
        <v>895</v>
      </c>
      <c r="N1689" s="1" t="s">
        <v>6625</v>
      </c>
      <c r="P1689" s="1" t="s">
        <v>5013</v>
      </c>
      <c r="Q1689" s="3">
        <v>0</v>
      </c>
      <c r="R1689" s="22" t="s">
        <v>2721</v>
      </c>
      <c r="S1689" s="42" t="s">
        <v>6910</v>
      </c>
      <c r="T1689" s="3" t="s">
        <v>4868</v>
      </c>
      <c r="U1689" s="45">
        <v>35</v>
      </c>
      <c r="V1689" t="s">
        <v>6919</v>
      </c>
      <c r="W1689" s="1" t="str">
        <f>HYPERLINK("http://ictvonline.org/taxonomy/p/taxonomy-history?taxnode_id=201905553","ICTVonline=201905553")</f>
        <v>ICTVonline=201905553</v>
      </c>
    </row>
    <row r="1690" spans="1:23">
      <c r="A1690" s="3">
        <v>1689</v>
      </c>
      <c r="B1690" s="1" t="s">
        <v>6915</v>
      </c>
      <c r="D1690" s="1" t="s">
        <v>6916</v>
      </c>
      <c r="F1690" s="1" t="s">
        <v>6920</v>
      </c>
      <c r="H1690" s="1" t="s">
        <v>6921</v>
      </c>
      <c r="J1690" s="1" t="s">
        <v>1324</v>
      </c>
      <c r="L1690" s="1" t="s">
        <v>895</v>
      </c>
      <c r="N1690" s="1" t="s">
        <v>6625</v>
      </c>
      <c r="P1690" s="1" t="s">
        <v>3238</v>
      </c>
      <c r="Q1690" s="3">
        <v>1</v>
      </c>
      <c r="R1690" s="22" t="s">
        <v>2721</v>
      </c>
      <c r="S1690" s="42" t="s">
        <v>6910</v>
      </c>
      <c r="T1690" s="3" t="s">
        <v>4868</v>
      </c>
      <c r="U1690" s="45">
        <v>35</v>
      </c>
      <c r="V1690" t="s">
        <v>6919</v>
      </c>
      <c r="W1690" s="1" t="str">
        <f>HYPERLINK("http://ictvonline.org/taxonomy/p/taxonomy-history?taxnode_id=201901071","ICTVonline=201901071")</f>
        <v>ICTVonline=201901071</v>
      </c>
    </row>
    <row r="1691" spans="1:23">
      <c r="A1691" s="3">
        <v>1690</v>
      </c>
      <c r="B1691" s="1" t="s">
        <v>6915</v>
      </c>
      <c r="D1691" s="1" t="s">
        <v>6916</v>
      </c>
      <c r="F1691" s="1" t="s">
        <v>6920</v>
      </c>
      <c r="H1691" s="1" t="s">
        <v>6921</v>
      </c>
      <c r="J1691" s="1" t="s">
        <v>1324</v>
      </c>
      <c r="L1691" s="1" t="s">
        <v>895</v>
      </c>
      <c r="N1691" s="1" t="s">
        <v>6625</v>
      </c>
      <c r="P1691" s="1" t="s">
        <v>5014</v>
      </c>
      <c r="Q1691" s="3">
        <v>0</v>
      </c>
      <c r="R1691" s="22" t="s">
        <v>2721</v>
      </c>
      <c r="S1691" s="42" t="s">
        <v>6910</v>
      </c>
      <c r="T1691" s="3" t="s">
        <v>4868</v>
      </c>
      <c r="U1691" s="45">
        <v>35</v>
      </c>
      <c r="V1691" t="s">
        <v>6919</v>
      </c>
      <c r="W1691" s="1" t="str">
        <f>HYPERLINK("http://ictvonline.org/taxonomy/p/taxonomy-history?taxnode_id=201905548","ICTVonline=201905548")</f>
        <v>ICTVonline=201905548</v>
      </c>
    </row>
    <row r="1692" spans="1:23">
      <c r="A1692" s="3">
        <v>1691</v>
      </c>
      <c r="B1692" s="1" t="s">
        <v>6915</v>
      </c>
      <c r="D1692" s="1" t="s">
        <v>6916</v>
      </c>
      <c r="F1692" s="1" t="s">
        <v>6920</v>
      </c>
      <c r="H1692" s="1" t="s">
        <v>6921</v>
      </c>
      <c r="J1692" s="1" t="s">
        <v>1324</v>
      </c>
      <c r="L1692" s="1" t="s">
        <v>895</v>
      </c>
      <c r="N1692" s="1" t="s">
        <v>6625</v>
      </c>
      <c r="P1692" s="1" t="s">
        <v>5015</v>
      </c>
      <c r="Q1692" s="3">
        <v>0</v>
      </c>
      <c r="R1692" s="22" t="s">
        <v>2721</v>
      </c>
      <c r="S1692" s="42" t="s">
        <v>6910</v>
      </c>
      <c r="T1692" s="3" t="s">
        <v>4868</v>
      </c>
      <c r="U1692" s="45">
        <v>35</v>
      </c>
      <c r="V1692" t="s">
        <v>6919</v>
      </c>
      <c r="W1692" s="1" t="str">
        <f>HYPERLINK("http://ictvonline.org/taxonomy/p/taxonomy-history?taxnode_id=201905549","ICTVonline=201905549")</f>
        <v>ICTVonline=201905549</v>
      </c>
    </row>
    <row r="1693" spans="1:23">
      <c r="A1693" s="3">
        <v>1692</v>
      </c>
      <c r="B1693" s="1" t="s">
        <v>6915</v>
      </c>
      <c r="D1693" s="1" t="s">
        <v>6916</v>
      </c>
      <c r="F1693" s="1" t="s">
        <v>6920</v>
      </c>
      <c r="H1693" s="1" t="s">
        <v>6921</v>
      </c>
      <c r="J1693" s="1" t="s">
        <v>1324</v>
      </c>
      <c r="L1693" s="1" t="s">
        <v>895</v>
      </c>
      <c r="N1693" s="1" t="s">
        <v>6625</v>
      </c>
      <c r="P1693" s="1" t="s">
        <v>5016</v>
      </c>
      <c r="Q1693" s="3">
        <v>0</v>
      </c>
      <c r="R1693" s="22" t="s">
        <v>2721</v>
      </c>
      <c r="S1693" s="42" t="s">
        <v>6910</v>
      </c>
      <c r="T1693" s="3" t="s">
        <v>4868</v>
      </c>
      <c r="U1693" s="45">
        <v>35</v>
      </c>
      <c r="V1693" t="s">
        <v>6919</v>
      </c>
      <c r="W1693" s="1" t="str">
        <f>HYPERLINK("http://ictvonline.org/taxonomy/p/taxonomy-history?taxnode_id=201905550","ICTVonline=201905550")</f>
        <v>ICTVonline=201905550</v>
      </c>
    </row>
    <row r="1694" spans="1:23">
      <c r="A1694" s="3">
        <v>1693</v>
      </c>
      <c r="B1694" s="1" t="s">
        <v>6915</v>
      </c>
      <c r="D1694" s="1" t="s">
        <v>6916</v>
      </c>
      <c r="F1694" s="1" t="s">
        <v>6920</v>
      </c>
      <c r="H1694" s="1" t="s">
        <v>6921</v>
      </c>
      <c r="J1694" s="1" t="s">
        <v>1324</v>
      </c>
      <c r="L1694" s="1" t="s">
        <v>895</v>
      </c>
      <c r="N1694" s="1" t="s">
        <v>6625</v>
      </c>
      <c r="P1694" s="1" t="s">
        <v>5017</v>
      </c>
      <c r="Q1694" s="3">
        <v>0</v>
      </c>
      <c r="R1694" s="22" t="s">
        <v>2721</v>
      </c>
      <c r="S1694" s="42" t="s">
        <v>6910</v>
      </c>
      <c r="T1694" s="3" t="s">
        <v>4868</v>
      </c>
      <c r="U1694" s="45">
        <v>35</v>
      </c>
      <c r="V1694" t="s">
        <v>6919</v>
      </c>
      <c r="W1694" s="1" t="str">
        <f>HYPERLINK("http://ictvonline.org/taxonomy/p/taxonomy-history?taxnode_id=201905551","ICTVonline=201905551")</f>
        <v>ICTVonline=201905551</v>
      </c>
    </row>
    <row r="1695" spans="1:23">
      <c r="A1695" s="3">
        <v>1694</v>
      </c>
      <c r="B1695" s="1" t="s">
        <v>6915</v>
      </c>
      <c r="D1695" s="1" t="s">
        <v>6916</v>
      </c>
      <c r="F1695" s="1" t="s">
        <v>6920</v>
      </c>
      <c r="H1695" s="1" t="s">
        <v>6921</v>
      </c>
      <c r="J1695" s="1" t="s">
        <v>1324</v>
      </c>
      <c r="L1695" s="1" t="s">
        <v>895</v>
      </c>
      <c r="N1695" s="1" t="s">
        <v>6625</v>
      </c>
      <c r="P1695" s="1" t="s">
        <v>5018</v>
      </c>
      <c r="Q1695" s="3">
        <v>0</v>
      </c>
      <c r="R1695" s="22" t="s">
        <v>2721</v>
      </c>
      <c r="S1695" s="42" t="s">
        <v>6910</v>
      </c>
      <c r="T1695" s="3" t="s">
        <v>4868</v>
      </c>
      <c r="U1695" s="45">
        <v>35</v>
      </c>
      <c r="V1695" t="s">
        <v>6919</v>
      </c>
      <c r="W1695" s="1" t="str">
        <f>HYPERLINK("http://ictvonline.org/taxonomy/p/taxonomy-history?taxnode_id=201905552","ICTVonline=201905552")</f>
        <v>ICTVonline=201905552</v>
      </c>
    </row>
    <row r="1696" spans="1:23">
      <c r="A1696" s="3">
        <v>1695</v>
      </c>
      <c r="B1696" s="1" t="s">
        <v>6915</v>
      </c>
      <c r="D1696" s="1" t="s">
        <v>6916</v>
      </c>
      <c r="F1696" s="1" t="s">
        <v>6920</v>
      </c>
      <c r="H1696" s="1" t="s">
        <v>6921</v>
      </c>
      <c r="J1696" s="1" t="s">
        <v>1324</v>
      </c>
      <c r="L1696" s="1" t="s">
        <v>895</v>
      </c>
      <c r="N1696" s="1" t="s">
        <v>6625</v>
      </c>
      <c r="P1696" s="1" t="s">
        <v>5019</v>
      </c>
      <c r="Q1696" s="3">
        <v>0</v>
      </c>
      <c r="R1696" s="22" t="s">
        <v>2721</v>
      </c>
      <c r="S1696" s="42" t="s">
        <v>6910</v>
      </c>
      <c r="T1696" s="3" t="s">
        <v>4868</v>
      </c>
      <c r="U1696" s="45">
        <v>35</v>
      </c>
      <c r="V1696" t="s">
        <v>6919</v>
      </c>
      <c r="W1696" s="1" t="str">
        <f>HYPERLINK("http://ictvonline.org/taxonomy/p/taxonomy-history?taxnode_id=201905554","ICTVonline=201905554")</f>
        <v>ICTVonline=201905554</v>
      </c>
    </row>
    <row r="1697" spans="1:23">
      <c r="A1697" s="3">
        <v>1696</v>
      </c>
      <c r="B1697" s="1" t="s">
        <v>6915</v>
      </c>
      <c r="D1697" s="1" t="s">
        <v>6916</v>
      </c>
      <c r="F1697" s="1" t="s">
        <v>6920</v>
      </c>
      <c r="H1697" s="1" t="s">
        <v>6921</v>
      </c>
      <c r="J1697" s="1" t="s">
        <v>1324</v>
      </c>
      <c r="L1697" s="1" t="s">
        <v>895</v>
      </c>
      <c r="N1697" s="1" t="s">
        <v>6625</v>
      </c>
      <c r="P1697" s="1" t="s">
        <v>5020</v>
      </c>
      <c r="Q1697" s="3">
        <v>0</v>
      </c>
      <c r="R1697" s="22" t="s">
        <v>2721</v>
      </c>
      <c r="S1697" s="42" t="s">
        <v>6910</v>
      </c>
      <c r="T1697" s="3" t="s">
        <v>4868</v>
      </c>
      <c r="U1697" s="45">
        <v>35</v>
      </c>
      <c r="V1697" t="s">
        <v>6919</v>
      </c>
      <c r="W1697" s="1" t="str">
        <f>HYPERLINK("http://ictvonline.org/taxonomy/p/taxonomy-history?taxnode_id=201905555","ICTVonline=201905555")</f>
        <v>ICTVonline=201905555</v>
      </c>
    </row>
    <row r="1698" spans="1:23">
      <c r="A1698" s="3">
        <v>1697</v>
      </c>
      <c r="B1698" s="1" t="s">
        <v>6915</v>
      </c>
      <c r="D1698" s="1" t="s">
        <v>6916</v>
      </c>
      <c r="F1698" s="1" t="s">
        <v>6920</v>
      </c>
      <c r="H1698" s="1" t="s">
        <v>6921</v>
      </c>
      <c r="J1698" s="1" t="s">
        <v>1324</v>
      </c>
      <c r="L1698" s="1" t="s">
        <v>895</v>
      </c>
      <c r="N1698" s="1" t="s">
        <v>6625</v>
      </c>
      <c r="P1698" s="1" t="s">
        <v>5021</v>
      </c>
      <c r="Q1698" s="3">
        <v>0</v>
      </c>
      <c r="R1698" s="22" t="s">
        <v>2721</v>
      </c>
      <c r="S1698" s="42" t="s">
        <v>6910</v>
      </c>
      <c r="T1698" s="3" t="s">
        <v>4868</v>
      </c>
      <c r="U1698" s="45">
        <v>35</v>
      </c>
      <c r="V1698" t="s">
        <v>6919</v>
      </c>
      <c r="W1698" s="1" t="str">
        <f>HYPERLINK("http://ictvonline.org/taxonomy/p/taxonomy-history?taxnode_id=201905556","ICTVonline=201905556")</f>
        <v>ICTVonline=201905556</v>
      </c>
    </row>
    <row r="1699" spans="1:23">
      <c r="A1699" s="3">
        <v>1698</v>
      </c>
      <c r="B1699" s="1" t="s">
        <v>6915</v>
      </c>
      <c r="D1699" s="1" t="s">
        <v>6916</v>
      </c>
      <c r="F1699" s="1" t="s">
        <v>6920</v>
      </c>
      <c r="H1699" s="1" t="s">
        <v>6921</v>
      </c>
      <c r="J1699" s="1" t="s">
        <v>1324</v>
      </c>
      <c r="L1699" s="1" t="s">
        <v>895</v>
      </c>
      <c r="N1699" s="1" t="s">
        <v>7874</v>
      </c>
      <c r="P1699" s="1" t="s">
        <v>7875</v>
      </c>
      <c r="Q1699" s="3">
        <v>1</v>
      </c>
      <c r="R1699" s="22" t="s">
        <v>2721</v>
      </c>
      <c r="S1699" s="42" t="s">
        <v>6914</v>
      </c>
      <c r="T1699" s="3" t="s">
        <v>4866</v>
      </c>
      <c r="U1699" s="45">
        <v>35</v>
      </c>
      <c r="V1699" t="s">
        <v>7876</v>
      </c>
      <c r="W1699" s="1" t="str">
        <f>HYPERLINK("http://ictvonline.org/taxonomy/p/taxonomy-history?taxnode_id=201907853","ICTVonline=201907853")</f>
        <v>ICTVonline=201907853</v>
      </c>
    </row>
    <row r="1700" spans="1:23">
      <c r="A1700" s="3">
        <v>1699</v>
      </c>
      <c r="B1700" s="1" t="s">
        <v>6915</v>
      </c>
      <c r="D1700" s="1" t="s">
        <v>6916</v>
      </c>
      <c r="F1700" s="1" t="s">
        <v>6920</v>
      </c>
      <c r="H1700" s="1" t="s">
        <v>6921</v>
      </c>
      <c r="J1700" s="1" t="s">
        <v>1324</v>
      </c>
      <c r="L1700" s="1" t="s">
        <v>895</v>
      </c>
      <c r="N1700" s="1" t="s">
        <v>6626</v>
      </c>
      <c r="P1700" s="1" t="s">
        <v>6627</v>
      </c>
      <c r="Q1700" s="3">
        <v>0</v>
      </c>
      <c r="R1700" s="22" t="s">
        <v>2721</v>
      </c>
      <c r="S1700" s="42" t="s">
        <v>6910</v>
      </c>
      <c r="T1700" s="3" t="s">
        <v>4868</v>
      </c>
      <c r="U1700" s="45">
        <v>35</v>
      </c>
      <c r="V1700" t="s">
        <v>6919</v>
      </c>
      <c r="W1700" s="1" t="str">
        <f>HYPERLINK("http://ictvonline.org/taxonomy/p/taxonomy-history?taxnode_id=201906830","ICTVonline=201906830")</f>
        <v>ICTVonline=201906830</v>
      </c>
    </row>
    <row r="1701" spans="1:23">
      <c r="A1701" s="3">
        <v>1700</v>
      </c>
      <c r="B1701" s="1" t="s">
        <v>6915</v>
      </c>
      <c r="D1701" s="1" t="s">
        <v>6916</v>
      </c>
      <c r="F1701" s="1" t="s">
        <v>6920</v>
      </c>
      <c r="H1701" s="1" t="s">
        <v>6921</v>
      </c>
      <c r="J1701" s="1" t="s">
        <v>1324</v>
      </c>
      <c r="L1701" s="1" t="s">
        <v>895</v>
      </c>
      <c r="N1701" s="1" t="s">
        <v>6626</v>
      </c>
      <c r="P1701" s="1" t="s">
        <v>6628</v>
      </c>
      <c r="Q1701" s="3">
        <v>1</v>
      </c>
      <c r="R1701" s="22" t="s">
        <v>2721</v>
      </c>
      <c r="S1701" s="42" t="s">
        <v>6910</v>
      </c>
      <c r="T1701" s="3" t="s">
        <v>4868</v>
      </c>
      <c r="U1701" s="45">
        <v>35</v>
      </c>
      <c r="V1701" t="s">
        <v>6919</v>
      </c>
      <c r="W1701" s="1" t="str">
        <f>HYPERLINK("http://ictvonline.org/taxonomy/p/taxonomy-history?taxnode_id=201906829","ICTVonline=201906829")</f>
        <v>ICTVonline=201906829</v>
      </c>
    </row>
    <row r="1702" spans="1:23">
      <c r="A1702" s="3">
        <v>1701</v>
      </c>
      <c r="B1702" s="1" t="s">
        <v>6915</v>
      </c>
      <c r="D1702" s="1" t="s">
        <v>6916</v>
      </c>
      <c r="F1702" s="1" t="s">
        <v>6920</v>
      </c>
      <c r="H1702" s="1" t="s">
        <v>6921</v>
      </c>
      <c r="J1702" s="1" t="s">
        <v>1324</v>
      </c>
      <c r="L1702" s="1" t="s">
        <v>895</v>
      </c>
      <c r="N1702" s="1" t="s">
        <v>6629</v>
      </c>
      <c r="P1702" s="1" t="s">
        <v>3258</v>
      </c>
      <c r="Q1702" s="3">
        <v>0</v>
      </c>
      <c r="R1702" s="22" t="s">
        <v>2721</v>
      </c>
      <c r="S1702" s="42" t="s">
        <v>6910</v>
      </c>
      <c r="T1702" s="3" t="s">
        <v>4868</v>
      </c>
      <c r="U1702" s="45">
        <v>35</v>
      </c>
      <c r="V1702" t="s">
        <v>6919</v>
      </c>
      <c r="W1702" s="1" t="str">
        <f>HYPERLINK("http://ictvonline.org/taxonomy/p/taxonomy-history?taxnode_id=201901111","ICTVonline=201901111")</f>
        <v>ICTVonline=201901111</v>
      </c>
    </row>
    <row r="1703" spans="1:23">
      <c r="A1703" s="3">
        <v>1702</v>
      </c>
      <c r="B1703" s="1" t="s">
        <v>6915</v>
      </c>
      <c r="D1703" s="1" t="s">
        <v>6916</v>
      </c>
      <c r="F1703" s="1" t="s">
        <v>6920</v>
      </c>
      <c r="H1703" s="1" t="s">
        <v>6921</v>
      </c>
      <c r="J1703" s="1" t="s">
        <v>1324</v>
      </c>
      <c r="L1703" s="1" t="s">
        <v>895</v>
      </c>
      <c r="N1703" s="1" t="s">
        <v>6629</v>
      </c>
      <c r="P1703" s="1" t="s">
        <v>3259</v>
      </c>
      <c r="Q1703" s="3">
        <v>0</v>
      </c>
      <c r="R1703" s="22" t="s">
        <v>2721</v>
      </c>
      <c r="S1703" s="42" t="s">
        <v>6910</v>
      </c>
      <c r="T1703" s="3" t="s">
        <v>4868</v>
      </c>
      <c r="U1703" s="45">
        <v>35</v>
      </c>
      <c r="V1703" t="s">
        <v>6919</v>
      </c>
      <c r="W1703" s="1" t="str">
        <f>HYPERLINK("http://ictvonline.org/taxonomy/p/taxonomy-history?taxnode_id=201901112","ICTVonline=201901112")</f>
        <v>ICTVonline=201901112</v>
      </c>
    </row>
    <row r="1704" spans="1:23">
      <c r="A1704" s="3">
        <v>1703</v>
      </c>
      <c r="B1704" s="1" t="s">
        <v>6915</v>
      </c>
      <c r="D1704" s="1" t="s">
        <v>6916</v>
      </c>
      <c r="F1704" s="1" t="s">
        <v>6920</v>
      </c>
      <c r="H1704" s="1" t="s">
        <v>6921</v>
      </c>
      <c r="J1704" s="1" t="s">
        <v>1324</v>
      </c>
      <c r="L1704" s="1" t="s">
        <v>895</v>
      </c>
      <c r="N1704" s="1" t="s">
        <v>6629</v>
      </c>
      <c r="P1704" s="1" t="s">
        <v>3260</v>
      </c>
      <c r="Q1704" s="3">
        <v>0</v>
      </c>
      <c r="R1704" s="22" t="s">
        <v>2721</v>
      </c>
      <c r="S1704" s="42" t="s">
        <v>6910</v>
      </c>
      <c r="T1704" s="3" t="s">
        <v>4868</v>
      </c>
      <c r="U1704" s="45">
        <v>35</v>
      </c>
      <c r="V1704" t="s">
        <v>6919</v>
      </c>
      <c r="W1704" s="1" t="str">
        <f>HYPERLINK("http://ictvonline.org/taxonomy/p/taxonomy-history?taxnode_id=201901113","ICTVonline=201901113")</f>
        <v>ICTVonline=201901113</v>
      </c>
    </row>
    <row r="1705" spans="1:23">
      <c r="A1705" s="3">
        <v>1704</v>
      </c>
      <c r="B1705" s="1" t="s">
        <v>6915</v>
      </c>
      <c r="D1705" s="1" t="s">
        <v>6916</v>
      </c>
      <c r="F1705" s="1" t="s">
        <v>6920</v>
      </c>
      <c r="H1705" s="1" t="s">
        <v>6921</v>
      </c>
      <c r="J1705" s="1" t="s">
        <v>1324</v>
      </c>
      <c r="L1705" s="1" t="s">
        <v>895</v>
      </c>
      <c r="N1705" s="1" t="s">
        <v>6629</v>
      </c>
      <c r="P1705" s="1" t="s">
        <v>3261</v>
      </c>
      <c r="Q1705" s="3">
        <v>0</v>
      </c>
      <c r="R1705" s="22" t="s">
        <v>2721</v>
      </c>
      <c r="S1705" s="42" t="s">
        <v>6910</v>
      </c>
      <c r="T1705" s="3" t="s">
        <v>4868</v>
      </c>
      <c r="U1705" s="45">
        <v>35</v>
      </c>
      <c r="V1705" t="s">
        <v>6919</v>
      </c>
      <c r="W1705" s="1" t="str">
        <f>HYPERLINK("http://ictvonline.org/taxonomy/p/taxonomy-history?taxnode_id=201901114","ICTVonline=201901114")</f>
        <v>ICTVonline=201901114</v>
      </c>
    </row>
    <row r="1706" spans="1:23">
      <c r="A1706" s="3">
        <v>1705</v>
      </c>
      <c r="B1706" s="1" t="s">
        <v>6915</v>
      </c>
      <c r="D1706" s="1" t="s">
        <v>6916</v>
      </c>
      <c r="F1706" s="1" t="s">
        <v>6920</v>
      </c>
      <c r="H1706" s="1" t="s">
        <v>6921</v>
      </c>
      <c r="J1706" s="1" t="s">
        <v>1324</v>
      </c>
      <c r="L1706" s="1" t="s">
        <v>895</v>
      </c>
      <c r="N1706" s="1" t="s">
        <v>6629</v>
      </c>
      <c r="P1706" s="1" t="s">
        <v>3262</v>
      </c>
      <c r="Q1706" s="3">
        <v>1</v>
      </c>
      <c r="R1706" s="22" t="s">
        <v>2721</v>
      </c>
      <c r="S1706" s="42" t="s">
        <v>6910</v>
      </c>
      <c r="T1706" s="3" t="s">
        <v>4868</v>
      </c>
      <c r="U1706" s="45">
        <v>35</v>
      </c>
      <c r="V1706" t="s">
        <v>6919</v>
      </c>
      <c r="W1706" s="1" t="str">
        <f>HYPERLINK("http://ictvonline.org/taxonomy/p/taxonomy-history?taxnode_id=201901115","ICTVonline=201901115")</f>
        <v>ICTVonline=201901115</v>
      </c>
    </row>
    <row r="1707" spans="1:23">
      <c r="A1707" s="3">
        <v>1706</v>
      </c>
      <c r="B1707" s="1" t="s">
        <v>6915</v>
      </c>
      <c r="D1707" s="1" t="s">
        <v>6916</v>
      </c>
      <c r="F1707" s="1" t="s">
        <v>6920</v>
      </c>
      <c r="H1707" s="1" t="s">
        <v>6921</v>
      </c>
      <c r="J1707" s="1" t="s">
        <v>1324</v>
      </c>
      <c r="L1707" s="1" t="s">
        <v>895</v>
      </c>
      <c r="N1707" s="1" t="s">
        <v>6630</v>
      </c>
      <c r="P1707" s="1" t="s">
        <v>6631</v>
      </c>
      <c r="Q1707" s="3">
        <v>1</v>
      </c>
      <c r="R1707" s="22" t="s">
        <v>2721</v>
      </c>
      <c r="S1707" s="42" t="s">
        <v>6910</v>
      </c>
      <c r="T1707" s="3" t="s">
        <v>4868</v>
      </c>
      <c r="U1707" s="45">
        <v>35</v>
      </c>
      <c r="V1707" t="s">
        <v>6919</v>
      </c>
      <c r="W1707" s="1" t="str">
        <f>HYPERLINK("http://ictvonline.org/taxonomy/p/taxonomy-history?taxnode_id=201906771","ICTVonline=201906771")</f>
        <v>ICTVonline=201906771</v>
      </c>
    </row>
    <row r="1708" spans="1:23">
      <c r="A1708" s="3">
        <v>1707</v>
      </c>
      <c r="B1708" s="1" t="s">
        <v>6915</v>
      </c>
      <c r="D1708" s="1" t="s">
        <v>6916</v>
      </c>
      <c r="F1708" s="1" t="s">
        <v>6920</v>
      </c>
      <c r="H1708" s="1" t="s">
        <v>6921</v>
      </c>
      <c r="J1708" s="1" t="s">
        <v>1324</v>
      </c>
      <c r="L1708" s="1" t="s">
        <v>895</v>
      </c>
      <c r="N1708" s="1" t="s">
        <v>6630</v>
      </c>
      <c r="P1708" s="1" t="s">
        <v>6632</v>
      </c>
      <c r="Q1708" s="3">
        <v>0</v>
      </c>
      <c r="R1708" s="22" t="s">
        <v>2721</v>
      </c>
      <c r="S1708" s="42" t="s">
        <v>6910</v>
      </c>
      <c r="T1708" s="3" t="s">
        <v>4868</v>
      </c>
      <c r="U1708" s="45">
        <v>35</v>
      </c>
      <c r="V1708" t="s">
        <v>6919</v>
      </c>
      <c r="W1708" s="1" t="str">
        <f>HYPERLINK("http://ictvonline.org/taxonomy/p/taxonomy-history?taxnode_id=201906772","ICTVonline=201906772")</f>
        <v>ICTVonline=201906772</v>
      </c>
    </row>
    <row r="1709" spans="1:23">
      <c r="A1709" s="3">
        <v>1708</v>
      </c>
      <c r="B1709" s="1" t="s">
        <v>6915</v>
      </c>
      <c r="D1709" s="1" t="s">
        <v>6916</v>
      </c>
      <c r="F1709" s="1" t="s">
        <v>6920</v>
      </c>
      <c r="H1709" s="1" t="s">
        <v>6921</v>
      </c>
      <c r="J1709" s="1" t="s">
        <v>1324</v>
      </c>
      <c r="L1709" s="1" t="s">
        <v>895</v>
      </c>
      <c r="N1709" s="1" t="s">
        <v>6633</v>
      </c>
      <c r="P1709" s="4" t="s">
        <v>6634</v>
      </c>
      <c r="Q1709" s="3">
        <v>0</v>
      </c>
      <c r="R1709" s="23" t="s">
        <v>2721</v>
      </c>
      <c r="S1709" s="42" t="s">
        <v>6910</v>
      </c>
      <c r="T1709" s="3" t="s">
        <v>4868</v>
      </c>
      <c r="U1709" s="45">
        <v>35</v>
      </c>
      <c r="V1709" t="s">
        <v>6919</v>
      </c>
      <c r="W1709" s="1" t="str">
        <f>HYPERLINK("http://ictvonline.org/taxonomy/p/taxonomy-history?taxnode_id=201906742","ICTVonline=201906742")</f>
        <v>ICTVonline=201906742</v>
      </c>
    </row>
    <row r="1710" spans="1:23">
      <c r="A1710" s="3">
        <v>1709</v>
      </c>
      <c r="B1710" s="1" t="s">
        <v>6915</v>
      </c>
      <c r="D1710" s="1" t="s">
        <v>6916</v>
      </c>
      <c r="F1710" s="1" t="s">
        <v>6920</v>
      </c>
      <c r="H1710" s="1" t="s">
        <v>6921</v>
      </c>
      <c r="J1710" s="1" t="s">
        <v>1324</v>
      </c>
      <c r="L1710" s="1" t="s">
        <v>895</v>
      </c>
      <c r="N1710" s="1" t="s">
        <v>6633</v>
      </c>
      <c r="P1710" s="1" t="s">
        <v>6635</v>
      </c>
      <c r="Q1710" s="3">
        <v>1</v>
      </c>
      <c r="R1710" s="22" t="s">
        <v>2721</v>
      </c>
      <c r="S1710" s="42" t="s">
        <v>6910</v>
      </c>
      <c r="T1710" s="3" t="s">
        <v>4868</v>
      </c>
      <c r="U1710" s="45">
        <v>35</v>
      </c>
      <c r="V1710" t="s">
        <v>6919</v>
      </c>
      <c r="W1710" s="1" t="str">
        <f>HYPERLINK("http://ictvonline.org/taxonomy/p/taxonomy-history?taxnode_id=201906741","ICTVonline=201906741")</f>
        <v>ICTVonline=201906741</v>
      </c>
    </row>
    <row r="1711" spans="1:23">
      <c r="A1711" s="3">
        <v>1710</v>
      </c>
      <c r="B1711" s="1" t="s">
        <v>6915</v>
      </c>
      <c r="D1711" s="1" t="s">
        <v>6916</v>
      </c>
      <c r="F1711" s="1" t="s">
        <v>6920</v>
      </c>
      <c r="H1711" s="1" t="s">
        <v>6921</v>
      </c>
      <c r="J1711" s="1" t="s">
        <v>1324</v>
      </c>
      <c r="L1711" s="1" t="s">
        <v>895</v>
      </c>
      <c r="N1711" s="1" t="s">
        <v>6636</v>
      </c>
      <c r="P1711" s="1" t="s">
        <v>4356</v>
      </c>
      <c r="Q1711" s="3">
        <v>1</v>
      </c>
      <c r="R1711" s="22" t="s">
        <v>2721</v>
      </c>
      <c r="S1711" s="42" t="s">
        <v>6910</v>
      </c>
      <c r="T1711" s="3" t="s">
        <v>4868</v>
      </c>
      <c r="U1711" s="45">
        <v>35</v>
      </c>
      <c r="V1711" t="s">
        <v>6919</v>
      </c>
      <c r="W1711" s="1" t="str">
        <f>HYPERLINK("http://ictvonline.org/taxonomy/p/taxonomy-history?taxnode_id=201901102","ICTVonline=201901102")</f>
        <v>ICTVonline=201901102</v>
      </c>
    </row>
    <row r="1712" spans="1:23">
      <c r="A1712" s="3">
        <v>1711</v>
      </c>
      <c r="B1712" s="1" t="s">
        <v>6915</v>
      </c>
      <c r="D1712" s="1" t="s">
        <v>6916</v>
      </c>
      <c r="F1712" s="1" t="s">
        <v>6920</v>
      </c>
      <c r="H1712" s="1" t="s">
        <v>6921</v>
      </c>
      <c r="J1712" s="1" t="s">
        <v>1324</v>
      </c>
      <c r="L1712" s="1" t="s">
        <v>895</v>
      </c>
      <c r="N1712" s="1" t="s">
        <v>6636</v>
      </c>
      <c r="P1712" s="1" t="s">
        <v>4357</v>
      </c>
      <c r="Q1712" s="3">
        <v>0</v>
      </c>
      <c r="R1712" s="22" t="s">
        <v>2721</v>
      </c>
      <c r="S1712" s="42" t="s">
        <v>6910</v>
      </c>
      <c r="T1712" s="3" t="s">
        <v>4868</v>
      </c>
      <c r="U1712" s="45">
        <v>35</v>
      </c>
      <c r="V1712" t="s">
        <v>6919</v>
      </c>
      <c r="W1712" s="1" t="str">
        <f>HYPERLINK("http://ictvonline.org/taxonomy/p/taxonomy-history?taxnode_id=201901103","ICTVonline=201901103")</f>
        <v>ICTVonline=201901103</v>
      </c>
    </row>
    <row r="1713" spans="1:23">
      <c r="A1713" s="3">
        <v>1712</v>
      </c>
      <c r="B1713" s="1" t="s">
        <v>6915</v>
      </c>
      <c r="D1713" s="1" t="s">
        <v>6916</v>
      </c>
      <c r="F1713" s="1" t="s">
        <v>6920</v>
      </c>
      <c r="H1713" s="1" t="s">
        <v>6921</v>
      </c>
      <c r="J1713" s="1" t="s">
        <v>1324</v>
      </c>
      <c r="L1713" s="1" t="s">
        <v>895</v>
      </c>
      <c r="N1713" s="1" t="s">
        <v>6637</v>
      </c>
      <c r="P1713" s="1" t="s">
        <v>4358</v>
      </c>
      <c r="Q1713" s="3">
        <v>0</v>
      </c>
      <c r="R1713" s="22" t="s">
        <v>2721</v>
      </c>
      <c r="S1713" s="42" t="s">
        <v>6910</v>
      </c>
      <c r="T1713" s="3" t="s">
        <v>4868</v>
      </c>
      <c r="U1713" s="45">
        <v>35</v>
      </c>
      <c r="V1713" t="s">
        <v>6919</v>
      </c>
      <c r="W1713" s="1" t="str">
        <f>HYPERLINK("http://ictvonline.org/taxonomy/p/taxonomy-history?taxnode_id=201901105","ICTVonline=201901105")</f>
        <v>ICTVonline=201901105</v>
      </c>
    </row>
    <row r="1714" spans="1:23">
      <c r="A1714" s="3">
        <v>1713</v>
      </c>
      <c r="B1714" s="1" t="s">
        <v>6915</v>
      </c>
      <c r="D1714" s="1" t="s">
        <v>6916</v>
      </c>
      <c r="F1714" s="1" t="s">
        <v>6920</v>
      </c>
      <c r="H1714" s="1" t="s">
        <v>6921</v>
      </c>
      <c r="J1714" s="1" t="s">
        <v>1324</v>
      </c>
      <c r="L1714" s="1" t="s">
        <v>895</v>
      </c>
      <c r="N1714" s="1" t="s">
        <v>6637</v>
      </c>
      <c r="P1714" s="1" t="s">
        <v>4359</v>
      </c>
      <c r="Q1714" s="3">
        <v>1</v>
      </c>
      <c r="R1714" s="22" t="s">
        <v>2721</v>
      </c>
      <c r="S1714" s="42" t="s">
        <v>6910</v>
      </c>
      <c r="T1714" s="3" t="s">
        <v>4868</v>
      </c>
      <c r="U1714" s="45">
        <v>35</v>
      </c>
      <c r="V1714" t="s">
        <v>6919</v>
      </c>
      <c r="W1714" s="1" t="str">
        <f>HYPERLINK("http://ictvonline.org/taxonomy/p/taxonomy-history?taxnode_id=201901106","ICTVonline=201901106")</f>
        <v>ICTVonline=201901106</v>
      </c>
    </row>
    <row r="1715" spans="1:23">
      <c r="A1715" s="3">
        <v>1714</v>
      </c>
      <c r="B1715" s="1" t="s">
        <v>6915</v>
      </c>
      <c r="D1715" s="1" t="s">
        <v>6916</v>
      </c>
      <c r="F1715" s="1" t="s">
        <v>6920</v>
      </c>
      <c r="H1715" s="1" t="s">
        <v>6921</v>
      </c>
      <c r="J1715" s="1" t="s">
        <v>1324</v>
      </c>
      <c r="L1715" s="1" t="s">
        <v>895</v>
      </c>
      <c r="N1715" s="1" t="s">
        <v>7877</v>
      </c>
      <c r="P1715" s="1" t="s">
        <v>7878</v>
      </c>
      <c r="Q1715" s="3">
        <v>1</v>
      </c>
      <c r="R1715" s="22" t="s">
        <v>2721</v>
      </c>
      <c r="S1715" s="42" t="s">
        <v>6914</v>
      </c>
      <c r="T1715" s="3" t="s">
        <v>4866</v>
      </c>
      <c r="U1715" s="45">
        <v>35</v>
      </c>
      <c r="V1715" t="s">
        <v>7879</v>
      </c>
      <c r="W1715" s="1" t="str">
        <f>HYPERLINK("http://ictvonline.org/taxonomy/p/taxonomy-history?taxnode_id=201907414","ICTVonline=201907414")</f>
        <v>ICTVonline=201907414</v>
      </c>
    </row>
    <row r="1716" spans="1:23">
      <c r="A1716" s="3">
        <v>1715</v>
      </c>
      <c r="B1716" s="1" t="s">
        <v>6915</v>
      </c>
      <c r="D1716" s="1" t="s">
        <v>6916</v>
      </c>
      <c r="F1716" s="1" t="s">
        <v>6920</v>
      </c>
      <c r="H1716" s="1" t="s">
        <v>6921</v>
      </c>
      <c r="J1716" s="1" t="s">
        <v>1324</v>
      </c>
      <c r="L1716" s="1" t="s">
        <v>895</v>
      </c>
      <c r="N1716" s="1" t="s">
        <v>4329</v>
      </c>
      <c r="P1716" s="1" t="s">
        <v>4330</v>
      </c>
      <c r="Q1716" s="3">
        <v>1</v>
      </c>
      <c r="R1716" s="22" t="s">
        <v>2721</v>
      </c>
      <c r="S1716" s="42" t="s">
        <v>6910</v>
      </c>
      <c r="T1716" s="3" t="s">
        <v>4868</v>
      </c>
      <c r="U1716" s="45">
        <v>35</v>
      </c>
      <c r="V1716" t="s">
        <v>6919</v>
      </c>
      <c r="W1716" s="1" t="str">
        <f>HYPERLINK("http://ictvonline.org/taxonomy/p/taxonomy-history?taxnode_id=201900991","ICTVonline=201900991")</f>
        <v>ICTVonline=201900991</v>
      </c>
    </row>
    <row r="1717" spans="1:23">
      <c r="A1717" s="3">
        <v>1716</v>
      </c>
      <c r="B1717" s="1" t="s">
        <v>6915</v>
      </c>
      <c r="D1717" s="1" t="s">
        <v>6916</v>
      </c>
      <c r="F1717" s="1" t="s">
        <v>6920</v>
      </c>
      <c r="H1717" s="1" t="s">
        <v>6921</v>
      </c>
      <c r="J1717" s="1" t="s">
        <v>1324</v>
      </c>
      <c r="L1717" s="1" t="s">
        <v>895</v>
      </c>
      <c r="N1717" s="1" t="s">
        <v>7880</v>
      </c>
      <c r="P1717" s="1" t="s">
        <v>7881</v>
      </c>
      <c r="Q1717" s="3">
        <v>1</v>
      </c>
      <c r="R1717" s="22" t="s">
        <v>2721</v>
      </c>
      <c r="S1717" s="42" t="s">
        <v>6914</v>
      </c>
      <c r="T1717" s="3" t="s">
        <v>4866</v>
      </c>
      <c r="U1717" s="45">
        <v>35</v>
      </c>
      <c r="V1717" t="s">
        <v>7882</v>
      </c>
      <c r="W1717" s="1" t="str">
        <f>HYPERLINK("http://ictvonline.org/taxonomy/p/taxonomy-history?taxnode_id=201907421","ICTVonline=201907421")</f>
        <v>ICTVonline=201907421</v>
      </c>
    </row>
    <row r="1718" spans="1:23">
      <c r="A1718" s="3">
        <v>1717</v>
      </c>
      <c r="B1718" s="1" t="s">
        <v>6915</v>
      </c>
      <c r="D1718" s="1" t="s">
        <v>6916</v>
      </c>
      <c r="F1718" s="1" t="s">
        <v>6920</v>
      </c>
      <c r="H1718" s="1" t="s">
        <v>6921</v>
      </c>
      <c r="J1718" s="1" t="s">
        <v>1324</v>
      </c>
      <c r="L1718" s="1" t="s">
        <v>895</v>
      </c>
      <c r="N1718" s="1" t="s">
        <v>6641</v>
      </c>
      <c r="P1718" s="1" t="s">
        <v>6642</v>
      </c>
      <c r="Q1718" s="3">
        <v>1</v>
      </c>
      <c r="R1718" s="22" t="s">
        <v>2721</v>
      </c>
      <c r="S1718" s="42" t="s">
        <v>6910</v>
      </c>
      <c r="T1718" s="3" t="s">
        <v>4868</v>
      </c>
      <c r="U1718" s="45">
        <v>35</v>
      </c>
      <c r="V1718" t="s">
        <v>6919</v>
      </c>
      <c r="W1718" s="1" t="str">
        <f>HYPERLINK("http://ictvonline.org/taxonomy/p/taxonomy-history?taxnode_id=201906840","ICTVonline=201906840")</f>
        <v>ICTVonline=201906840</v>
      </c>
    </row>
    <row r="1719" spans="1:23">
      <c r="A1719" s="3">
        <v>1718</v>
      </c>
      <c r="B1719" s="1" t="s">
        <v>6915</v>
      </c>
      <c r="D1719" s="1" t="s">
        <v>6916</v>
      </c>
      <c r="F1719" s="1" t="s">
        <v>6920</v>
      </c>
      <c r="H1719" s="1" t="s">
        <v>6921</v>
      </c>
      <c r="J1719" s="1" t="s">
        <v>1324</v>
      </c>
      <c r="L1719" s="1" t="s">
        <v>895</v>
      </c>
      <c r="N1719" s="1" t="s">
        <v>6641</v>
      </c>
      <c r="P1719" s="1" t="s">
        <v>6643</v>
      </c>
      <c r="Q1719" s="3">
        <v>0</v>
      </c>
      <c r="R1719" s="22" t="s">
        <v>2721</v>
      </c>
      <c r="S1719" s="42" t="s">
        <v>6910</v>
      </c>
      <c r="T1719" s="3" t="s">
        <v>4868</v>
      </c>
      <c r="U1719" s="45">
        <v>35</v>
      </c>
      <c r="V1719" t="s">
        <v>6919</v>
      </c>
      <c r="W1719" s="1" t="str">
        <f>HYPERLINK("http://ictvonline.org/taxonomy/p/taxonomy-history?taxnode_id=201906841","ICTVonline=201906841")</f>
        <v>ICTVonline=201906841</v>
      </c>
    </row>
    <row r="1720" spans="1:23">
      <c r="A1720" s="3">
        <v>1719</v>
      </c>
      <c r="B1720" s="1" t="s">
        <v>6915</v>
      </c>
      <c r="D1720" s="1" t="s">
        <v>6916</v>
      </c>
      <c r="F1720" s="1" t="s">
        <v>6920</v>
      </c>
      <c r="H1720" s="1" t="s">
        <v>6921</v>
      </c>
      <c r="J1720" s="1" t="s">
        <v>1324</v>
      </c>
      <c r="L1720" s="1" t="s">
        <v>895</v>
      </c>
      <c r="N1720" s="1" t="s">
        <v>4333</v>
      </c>
      <c r="P1720" s="1" t="s">
        <v>4334</v>
      </c>
      <c r="Q1720" s="3">
        <v>1</v>
      </c>
      <c r="R1720" s="22" t="s">
        <v>2721</v>
      </c>
      <c r="S1720" s="43" t="s">
        <v>6910</v>
      </c>
      <c r="T1720" s="25" t="s">
        <v>4868</v>
      </c>
      <c r="U1720" s="45">
        <v>35</v>
      </c>
      <c r="V1720" t="s">
        <v>6919</v>
      </c>
      <c r="W1720" s="1" t="str">
        <f>HYPERLINK("http://ictvonline.org/taxonomy/p/taxonomy-history?taxnode_id=201900996","ICTVonline=201900996")</f>
        <v>ICTVonline=201900996</v>
      </c>
    </row>
    <row r="1721" spans="1:23">
      <c r="A1721" s="3">
        <v>1720</v>
      </c>
      <c r="B1721" s="1" t="s">
        <v>6915</v>
      </c>
      <c r="D1721" s="1" t="s">
        <v>6916</v>
      </c>
      <c r="F1721" s="1" t="s">
        <v>6920</v>
      </c>
      <c r="H1721" s="1" t="s">
        <v>6921</v>
      </c>
      <c r="J1721" s="1" t="s">
        <v>1324</v>
      </c>
      <c r="L1721" s="1" t="s">
        <v>895</v>
      </c>
      <c r="N1721" s="1" t="s">
        <v>4333</v>
      </c>
      <c r="P1721" s="1" t="s">
        <v>4335</v>
      </c>
      <c r="Q1721" s="3">
        <v>0</v>
      </c>
      <c r="R1721" s="22" t="s">
        <v>2721</v>
      </c>
      <c r="S1721" s="42" t="s">
        <v>6910</v>
      </c>
      <c r="T1721" s="3" t="s">
        <v>4868</v>
      </c>
      <c r="U1721" s="45">
        <v>35</v>
      </c>
      <c r="V1721" t="s">
        <v>6919</v>
      </c>
      <c r="W1721" s="1" t="str">
        <f>HYPERLINK("http://ictvonline.org/taxonomy/p/taxonomy-history?taxnode_id=201900997","ICTVonline=201900997")</f>
        <v>ICTVonline=201900997</v>
      </c>
    </row>
    <row r="1722" spans="1:23">
      <c r="A1722" s="3">
        <v>1721</v>
      </c>
      <c r="B1722" s="1" t="s">
        <v>6915</v>
      </c>
      <c r="D1722" s="1" t="s">
        <v>6916</v>
      </c>
      <c r="F1722" s="1" t="s">
        <v>6920</v>
      </c>
      <c r="H1722" s="1" t="s">
        <v>6921</v>
      </c>
      <c r="J1722" s="1" t="s">
        <v>1324</v>
      </c>
      <c r="L1722" s="1" t="s">
        <v>895</v>
      </c>
      <c r="N1722" s="1" t="s">
        <v>7883</v>
      </c>
      <c r="P1722" s="1" t="s">
        <v>3333</v>
      </c>
      <c r="Q1722" s="3">
        <v>1</v>
      </c>
      <c r="R1722" s="22" t="s">
        <v>2721</v>
      </c>
      <c r="S1722" s="42" t="s">
        <v>6910</v>
      </c>
      <c r="T1722" s="3" t="s">
        <v>4871</v>
      </c>
      <c r="U1722" s="45">
        <v>35</v>
      </c>
      <c r="V1722" t="s">
        <v>7884</v>
      </c>
      <c r="W1722" s="1" t="str">
        <f>HYPERLINK("http://ictvonline.org/taxonomy/p/taxonomy-history?taxnode_id=201901256","ICTVonline=201901256")</f>
        <v>ICTVonline=201901256</v>
      </c>
    </row>
    <row r="1723" spans="1:23">
      <c r="A1723" s="3">
        <v>1722</v>
      </c>
      <c r="B1723" s="1" t="s">
        <v>6915</v>
      </c>
      <c r="D1723" s="1" t="s">
        <v>6916</v>
      </c>
      <c r="F1723" s="1" t="s">
        <v>6920</v>
      </c>
      <c r="H1723" s="1" t="s">
        <v>6921</v>
      </c>
      <c r="J1723" s="1" t="s">
        <v>1324</v>
      </c>
      <c r="L1723" s="1" t="s">
        <v>895</v>
      </c>
      <c r="N1723" s="1" t="s">
        <v>6644</v>
      </c>
      <c r="P1723" s="1" t="s">
        <v>3411</v>
      </c>
      <c r="Q1723" s="3">
        <v>1</v>
      </c>
      <c r="R1723" s="22" t="s">
        <v>2721</v>
      </c>
      <c r="S1723" s="42" t="s">
        <v>6910</v>
      </c>
      <c r="T1723" s="3" t="s">
        <v>4868</v>
      </c>
      <c r="U1723" s="45">
        <v>35</v>
      </c>
      <c r="V1723" t="s">
        <v>6919</v>
      </c>
      <c r="W1723" s="1" t="str">
        <f>HYPERLINK("http://ictvonline.org/taxonomy/p/taxonomy-history?taxnode_id=201901377","ICTVonline=201901377")</f>
        <v>ICTVonline=201901377</v>
      </c>
    </row>
    <row r="1724" spans="1:23">
      <c r="A1724" s="3">
        <v>1723</v>
      </c>
      <c r="B1724" s="1" t="s">
        <v>6915</v>
      </c>
      <c r="D1724" s="1" t="s">
        <v>6916</v>
      </c>
      <c r="F1724" s="1" t="s">
        <v>6920</v>
      </c>
      <c r="H1724" s="1" t="s">
        <v>6921</v>
      </c>
      <c r="J1724" s="1" t="s">
        <v>1324</v>
      </c>
      <c r="L1724" s="1" t="s">
        <v>895</v>
      </c>
      <c r="N1724" s="1" t="s">
        <v>6645</v>
      </c>
      <c r="P1724" s="1" t="s">
        <v>6646</v>
      </c>
      <c r="Q1724" s="3">
        <v>0</v>
      </c>
      <c r="R1724" s="22" t="s">
        <v>2721</v>
      </c>
      <c r="S1724" s="42" t="s">
        <v>6910</v>
      </c>
      <c r="T1724" s="3" t="s">
        <v>4868</v>
      </c>
      <c r="U1724" s="45">
        <v>35</v>
      </c>
      <c r="V1724" t="s">
        <v>6919</v>
      </c>
      <c r="W1724" s="1" t="str">
        <f>HYPERLINK("http://ictvonline.org/taxonomy/p/taxonomy-history?taxnode_id=201906745","ICTVonline=201906745")</f>
        <v>ICTVonline=201906745</v>
      </c>
    </row>
    <row r="1725" spans="1:23">
      <c r="A1725" s="3">
        <v>1724</v>
      </c>
      <c r="B1725" s="1" t="s">
        <v>6915</v>
      </c>
      <c r="D1725" s="1" t="s">
        <v>6916</v>
      </c>
      <c r="F1725" s="1" t="s">
        <v>6920</v>
      </c>
      <c r="H1725" s="1" t="s">
        <v>6921</v>
      </c>
      <c r="J1725" s="1" t="s">
        <v>1324</v>
      </c>
      <c r="L1725" s="1" t="s">
        <v>895</v>
      </c>
      <c r="N1725" s="1" t="s">
        <v>6645</v>
      </c>
      <c r="P1725" s="1" t="s">
        <v>6647</v>
      </c>
      <c r="Q1725" s="3">
        <v>1</v>
      </c>
      <c r="R1725" s="22" t="s">
        <v>2721</v>
      </c>
      <c r="S1725" s="42" t="s">
        <v>6910</v>
      </c>
      <c r="T1725" s="3" t="s">
        <v>4868</v>
      </c>
      <c r="U1725" s="45">
        <v>35</v>
      </c>
      <c r="V1725" t="s">
        <v>6919</v>
      </c>
      <c r="W1725" s="1" t="str">
        <f>HYPERLINK("http://ictvonline.org/taxonomy/p/taxonomy-history?taxnode_id=201906744","ICTVonline=201906744")</f>
        <v>ICTVonline=201906744</v>
      </c>
    </row>
    <row r="1726" spans="1:23">
      <c r="A1726" s="3">
        <v>1725</v>
      </c>
      <c r="B1726" s="1" t="s">
        <v>6915</v>
      </c>
      <c r="D1726" s="1" t="s">
        <v>6916</v>
      </c>
      <c r="F1726" s="1" t="s">
        <v>6920</v>
      </c>
      <c r="H1726" s="1" t="s">
        <v>6921</v>
      </c>
      <c r="J1726" s="1" t="s">
        <v>1324</v>
      </c>
      <c r="L1726" s="1" t="s">
        <v>895</v>
      </c>
      <c r="N1726" s="1" t="s">
        <v>4336</v>
      </c>
      <c r="P1726" s="1" t="s">
        <v>4337</v>
      </c>
      <c r="Q1726" s="3">
        <v>0</v>
      </c>
      <c r="R1726" s="22" t="s">
        <v>2721</v>
      </c>
      <c r="S1726" s="42" t="s">
        <v>6910</v>
      </c>
      <c r="T1726" s="3" t="s">
        <v>4868</v>
      </c>
      <c r="U1726" s="45">
        <v>35</v>
      </c>
      <c r="V1726" t="s">
        <v>6919</v>
      </c>
      <c r="W1726" s="1" t="str">
        <f>HYPERLINK("http://ictvonline.org/taxonomy/p/taxonomy-history?taxnode_id=201900999","ICTVonline=201900999")</f>
        <v>ICTVonline=201900999</v>
      </c>
    </row>
    <row r="1727" spans="1:23">
      <c r="A1727" s="3">
        <v>1726</v>
      </c>
      <c r="B1727" s="1" t="s">
        <v>6915</v>
      </c>
      <c r="D1727" s="1" t="s">
        <v>6916</v>
      </c>
      <c r="F1727" s="1" t="s">
        <v>6920</v>
      </c>
      <c r="H1727" s="1" t="s">
        <v>6921</v>
      </c>
      <c r="J1727" s="1" t="s">
        <v>1324</v>
      </c>
      <c r="L1727" s="1" t="s">
        <v>895</v>
      </c>
      <c r="N1727" s="1" t="s">
        <v>4336</v>
      </c>
      <c r="P1727" s="1" t="s">
        <v>4338</v>
      </c>
      <c r="Q1727" s="3">
        <v>0</v>
      </c>
      <c r="R1727" s="22" t="s">
        <v>2721</v>
      </c>
      <c r="S1727" s="42" t="s">
        <v>6910</v>
      </c>
      <c r="T1727" s="3" t="s">
        <v>4868</v>
      </c>
      <c r="U1727" s="45">
        <v>35</v>
      </c>
      <c r="V1727" t="s">
        <v>6919</v>
      </c>
      <c r="W1727" s="1" t="str">
        <f>HYPERLINK("http://ictvonline.org/taxonomy/p/taxonomy-history?taxnode_id=201901000","ICTVonline=201901000")</f>
        <v>ICTVonline=201901000</v>
      </c>
    </row>
    <row r="1728" spans="1:23">
      <c r="A1728" s="3">
        <v>1727</v>
      </c>
      <c r="B1728" s="1" t="s">
        <v>6915</v>
      </c>
      <c r="D1728" s="1" t="s">
        <v>6916</v>
      </c>
      <c r="F1728" s="1" t="s">
        <v>6920</v>
      </c>
      <c r="H1728" s="1" t="s">
        <v>6921</v>
      </c>
      <c r="J1728" s="1" t="s">
        <v>1324</v>
      </c>
      <c r="L1728" s="1" t="s">
        <v>895</v>
      </c>
      <c r="N1728" s="1" t="s">
        <v>4336</v>
      </c>
      <c r="P1728" s="1" t="s">
        <v>4339</v>
      </c>
      <c r="Q1728" s="3">
        <v>0</v>
      </c>
      <c r="R1728" s="22" t="s">
        <v>2721</v>
      </c>
      <c r="S1728" s="42" t="s">
        <v>6910</v>
      </c>
      <c r="T1728" s="3" t="s">
        <v>4868</v>
      </c>
      <c r="U1728" s="45">
        <v>35</v>
      </c>
      <c r="V1728" t="s">
        <v>6919</v>
      </c>
      <c r="W1728" s="1" t="str">
        <f>HYPERLINK("http://ictvonline.org/taxonomy/p/taxonomy-history?taxnode_id=201901001","ICTVonline=201901001")</f>
        <v>ICTVonline=201901001</v>
      </c>
    </row>
    <row r="1729" spans="1:23">
      <c r="A1729" s="3">
        <v>1728</v>
      </c>
      <c r="B1729" s="1" t="s">
        <v>6915</v>
      </c>
      <c r="D1729" s="1" t="s">
        <v>6916</v>
      </c>
      <c r="F1729" s="1" t="s">
        <v>6920</v>
      </c>
      <c r="H1729" s="1" t="s">
        <v>6921</v>
      </c>
      <c r="J1729" s="1" t="s">
        <v>1324</v>
      </c>
      <c r="L1729" s="1" t="s">
        <v>895</v>
      </c>
      <c r="N1729" s="1" t="s">
        <v>4336</v>
      </c>
      <c r="P1729" s="1" t="s">
        <v>4340</v>
      </c>
      <c r="Q1729" s="3">
        <v>0</v>
      </c>
      <c r="R1729" s="22" t="s">
        <v>2721</v>
      </c>
      <c r="S1729" s="42" t="s">
        <v>6910</v>
      </c>
      <c r="T1729" s="3" t="s">
        <v>4868</v>
      </c>
      <c r="U1729" s="45">
        <v>35</v>
      </c>
      <c r="V1729" t="s">
        <v>6919</v>
      </c>
      <c r="W1729" s="1" t="str">
        <f>HYPERLINK("http://ictvonline.org/taxonomy/p/taxonomy-history?taxnode_id=201901002","ICTVonline=201901002")</f>
        <v>ICTVonline=201901002</v>
      </c>
    </row>
    <row r="1730" spans="1:23">
      <c r="A1730" s="3">
        <v>1729</v>
      </c>
      <c r="B1730" s="1" t="s">
        <v>6915</v>
      </c>
      <c r="D1730" s="1" t="s">
        <v>6916</v>
      </c>
      <c r="F1730" s="1" t="s">
        <v>6920</v>
      </c>
      <c r="H1730" s="1" t="s">
        <v>6921</v>
      </c>
      <c r="J1730" s="1" t="s">
        <v>1324</v>
      </c>
      <c r="L1730" s="1" t="s">
        <v>895</v>
      </c>
      <c r="N1730" s="1" t="s">
        <v>4336</v>
      </c>
      <c r="P1730" s="1" t="s">
        <v>4341</v>
      </c>
      <c r="Q1730" s="3">
        <v>0</v>
      </c>
      <c r="R1730" s="22" t="s">
        <v>2721</v>
      </c>
      <c r="S1730" s="42" t="s">
        <v>6910</v>
      </c>
      <c r="T1730" s="3" t="s">
        <v>4868</v>
      </c>
      <c r="U1730" s="45">
        <v>35</v>
      </c>
      <c r="V1730" t="s">
        <v>6919</v>
      </c>
      <c r="W1730" s="1" t="str">
        <f>HYPERLINK("http://ictvonline.org/taxonomy/p/taxonomy-history?taxnode_id=201901003","ICTVonline=201901003")</f>
        <v>ICTVonline=201901003</v>
      </c>
    </row>
    <row r="1731" spans="1:23">
      <c r="A1731" s="3">
        <v>1730</v>
      </c>
      <c r="B1731" s="1" t="s">
        <v>6915</v>
      </c>
      <c r="D1731" s="1" t="s">
        <v>6916</v>
      </c>
      <c r="F1731" s="1" t="s">
        <v>6920</v>
      </c>
      <c r="H1731" s="1" t="s">
        <v>6921</v>
      </c>
      <c r="J1731" s="1" t="s">
        <v>1324</v>
      </c>
      <c r="L1731" s="1" t="s">
        <v>895</v>
      </c>
      <c r="N1731" s="1" t="s">
        <v>4336</v>
      </c>
      <c r="P1731" s="1" t="s">
        <v>4342</v>
      </c>
      <c r="Q1731" s="3">
        <v>1</v>
      </c>
      <c r="R1731" s="22" t="s">
        <v>2721</v>
      </c>
      <c r="S1731" s="42" t="s">
        <v>6910</v>
      </c>
      <c r="T1731" s="3" t="s">
        <v>4868</v>
      </c>
      <c r="U1731" s="45">
        <v>35</v>
      </c>
      <c r="V1731" t="s">
        <v>6919</v>
      </c>
      <c r="W1731" s="1" t="str">
        <f>HYPERLINK("http://ictvonline.org/taxonomy/p/taxonomy-history?taxnode_id=201901004","ICTVonline=201901004")</f>
        <v>ICTVonline=201901004</v>
      </c>
    </row>
    <row r="1732" spans="1:23">
      <c r="A1732" s="3">
        <v>1731</v>
      </c>
      <c r="B1732" s="1" t="s">
        <v>6915</v>
      </c>
      <c r="D1732" s="1" t="s">
        <v>6916</v>
      </c>
      <c r="F1732" s="1" t="s">
        <v>6920</v>
      </c>
      <c r="H1732" s="1" t="s">
        <v>6921</v>
      </c>
      <c r="J1732" s="1" t="s">
        <v>1324</v>
      </c>
      <c r="L1732" s="1" t="s">
        <v>895</v>
      </c>
      <c r="N1732" s="1" t="s">
        <v>4336</v>
      </c>
      <c r="P1732" s="1" t="s">
        <v>4343</v>
      </c>
      <c r="Q1732" s="3">
        <v>0</v>
      </c>
      <c r="R1732" s="22" t="s">
        <v>2721</v>
      </c>
      <c r="S1732" s="42" t="s">
        <v>6910</v>
      </c>
      <c r="T1732" s="3" t="s">
        <v>4868</v>
      </c>
      <c r="U1732" s="45">
        <v>35</v>
      </c>
      <c r="V1732" t="s">
        <v>6919</v>
      </c>
      <c r="W1732" s="1" t="str">
        <f>HYPERLINK("http://ictvonline.org/taxonomy/p/taxonomy-history?taxnode_id=201901005","ICTVonline=201901005")</f>
        <v>ICTVonline=201901005</v>
      </c>
    </row>
    <row r="1733" spans="1:23">
      <c r="A1733" s="3">
        <v>1732</v>
      </c>
      <c r="B1733" s="1" t="s">
        <v>6915</v>
      </c>
      <c r="D1733" s="1" t="s">
        <v>6916</v>
      </c>
      <c r="F1733" s="1" t="s">
        <v>6920</v>
      </c>
      <c r="H1733" s="1" t="s">
        <v>6921</v>
      </c>
      <c r="J1733" s="1" t="s">
        <v>1324</v>
      </c>
      <c r="L1733" s="1" t="s">
        <v>895</v>
      </c>
      <c r="N1733" s="1" t="s">
        <v>4336</v>
      </c>
      <c r="P1733" s="1" t="s">
        <v>4344</v>
      </c>
      <c r="Q1733" s="3">
        <v>0</v>
      </c>
      <c r="R1733" s="22" t="s">
        <v>2721</v>
      </c>
      <c r="S1733" s="42" t="s">
        <v>6910</v>
      </c>
      <c r="T1733" s="3" t="s">
        <v>4868</v>
      </c>
      <c r="U1733" s="45">
        <v>35</v>
      </c>
      <c r="V1733" t="s">
        <v>6919</v>
      </c>
      <c r="W1733" s="1" t="str">
        <f>HYPERLINK("http://ictvonline.org/taxonomy/p/taxonomy-history?taxnode_id=201901006","ICTVonline=201901006")</f>
        <v>ICTVonline=201901006</v>
      </c>
    </row>
    <row r="1734" spans="1:23">
      <c r="A1734" s="3">
        <v>1733</v>
      </c>
      <c r="B1734" s="1" t="s">
        <v>6915</v>
      </c>
      <c r="D1734" s="1" t="s">
        <v>6916</v>
      </c>
      <c r="F1734" s="1" t="s">
        <v>6920</v>
      </c>
      <c r="H1734" s="1" t="s">
        <v>6921</v>
      </c>
      <c r="J1734" s="1" t="s">
        <v>1324</v>
      </c>
      <c r="L1734" s="1" t="s">
        <v>895</v>
      </c>
      <c r="N1734" s="1" t="s">
        <v>4336</v>
      </c>
      <c r="P1734" s="1" t="s">
        <v>4345</v>
      </c>
      <c r="Q1734" s="3">
        <v>0</v>
      </c>
      <c r="R1734" s="22" t="s">
        <v>2721</v>
      </c>
      <c r="S1734" s="42" t="s">
        <v>6910</v>
      </c>
      <c r="T1734" s="3" t="s">
        <v>4868</v>
      </c>
      <c r="U1734" s="45">
        <v>35</v>
      </c>
      <c r="V1734" t="s">
        <v>6919</v>
      </c>
      <c r="W1734" s="1" t="str">
        <f>HYPERLINK("http://ictvonline.org/taxonomy/p/taxonomy-history?taxnode_id=201901007","ICTVonline=201901007")</f>
        <v>ICTVonline=201901007</v>
      </c>
    </row>
    <row r="1735" spans="1:23">
      <c r="A1735" s="3">
        <v>1734</v>
      </c>
      <c r="B1735" s="1" t="s">
        <v>6915</v>
      </c>
      <c r="D1735" s="1" t="s">
        <v>6916</v>
      </c>
      <c r="F1735" s="1" t="s">
        <v>6920</v>
      </c>
      <c r="H1735" s="1" t="s">
        <v>6921</v>
      </c>
      <c r="J1735" s="1" t="s">
        <v>1324</v>
      </c>
      <c r="L1735" s="1" t="s">
        <v>895</v>
      </c>
      <c r="N1735" s="1" t="s">
        <v>6648</v>
      </c>
      <c r="P1735" s="1" t="s">
        <v>3146</v>
      </c>
      <c r="Q1735" s="3">
        <v>0</v>
      </c>
      <c r="R1735" s="22" t="s">
        <v>2721</v>
      </c>
      <c r="S1735" s="42" t="s">
        <v>6910</v>
      </c>
      <c r="T1735" s="3" t="s">
        <v>4868</v>
      </c>
      <c r="U1735" s="45">
        <v>35</v>
      </c>
      <c r="V1735" t="s">
        <v>6919</v>
      </c>
      <c r="W1735" s="1" t="str">
        <f>HYPERLINK("http://ictvonline.org/taxonomy/p/taxonomy-history?taxnode_id=201900930","ICTVonline=201900930")</f>
        <v>ICTVonline=201900930</v>
      </c>
    </row>
    <row r="1736" spans="1:23">
      <c r="A1736" s="3">
        <v>1735</v>
      </c>
      <c r="B1736" s="1" t="s">
        <v>6915</v>
      </c>
      <c r="D1736" s="1" t="s">
        <v>6916</v>
      </c>
      <c r="F1736" s="1" t="s">
        <v>6920</v>
      </c>
      <c r="H1736" s="1" t="s">
        <v>6921</v>
      </c>
      <c r="J1736" s="1" t="s">
        <v>1324</v>
      </c>
      <c r="L1736" s="1" t="s">
        <v>895</v>
      </c>
      <c r="N1736" s="1" t="s">
        <v>6648</v>
      </c>
      <c r="P1736" s="1" t="s">
        <v>3147</v>
      </c>
      <c r="Q1736" s="3">
        <v>0</v>
      </c>
      <c r="R1736" s="22" t="s">
        <v>2721</v>
      </c>
      <c r="S1736" s="42" t="s">
        <v>6910</v>
      </c>
      <c r="T1736" s="3" t="s">
        <v>4868</v>
      </c>
      <c r="U1736" s="45">
        <v>35</v>
      </c>
      <c r="V1736" t="s">
        <v>6919</v>
      </c>
      <c r="W1736" s="1" t="str">
        <f>HYPERLINK("http://ictvonline.org/taxonomy/p/taxonomy-history?taxnode_id=201900931","ICTVonline=201900931")</f>
        <v>ICTVonline=201900931</v>
      </c>
    </row>
    <row r="1737" spans="1:23">
      <c r="A1737" s="3">
        <v>1736</v>
      </c>
      <c r="B1737" s="1" t="s">
        <v>6915</v>
      </c>
      <c r="D1737" s="1" t="s">
        <v>6916</v>
      </c>
      <c r="F1737" s="1" t="s">
        <v>6920</v>
      </c>
      <c r="H1737" s="1" t="s">
        <v>6921</v>
      </c>
      <c r="J1737" s="1" t="s">
        <v>1324</v>
      </c>
      <c r="L1737" s="1" t="s">
        <v>895</v>
      </c>
      <c r="N1737" s="1" t="s">
        <v>6648</v>
      </c>
      <c r="P1737" s="1" t="s">
        <v>3148</v>
      </c>
      <c r="Q1737" s="3">
        <v>1</v>
      </c>
      <c r="R1737" s="22" t="s">
        <v>2721</v>
      </c>
      <c r="S1737" s="42" t="s">
        <v>6910</v>
      </c>
      <c r="T1737" s="3" t="s">
        <v>4868</v>
      </c>
      <c r="U1737" s="45">
        <v>35</v>
      </c>
      <c r="V1737" t="s">
        <v>6919</v>
      </c>
      <c r="W1737" s="1" t="str">
        <f>HYPERLINK("http://ictvonline.org/taxonomy/p/taxonomy-history?taxnode_id=201900932","ICTVonline=201900932")</f>
        <v>ICTVonline=201900932</v>
      </c>
    </row>
    <row r="1738" spans="1:23">
      <c r="A1738" s="3">
        <v>1737</v>
      </c>
      <c r="B1738" s="1" t="s">
        <v>6915</v>
      </c>
      <c r="D1738" s="1" t="s">
        <v>6916</v>
      </c>
      <c r="F1738" s="1" t="s">
        <v>6920</v>
      </c>
      <c r="H1738" s="1" t="s">
        <v>6921</v>
      </c>
      <c r="J1738" s="1" t="s">
        <v>1324</v>
      </c>
      <c r="L1738" s="1" t="s">
        <v>895</v>
      </c>
      <c r="N1738" s="1" t="s">
        <v>6648</v>
      </c>
      <c r="P1738" s="1" t="s">
        <v>3149</v>
      </c>
      <c r="Q1738" s="3">
        <v>0</v>
      </c>
      <c r="R1738" s="22" t="s">
        <v>2721</v>
      </c>
      <c r="S1738" s="42" t="s">
        <v>6910</v>
      </c>
      <c r="T1738" s="3" t="s">
        <v>4868</v>
      </c>
      <c r="U1738" s="45">
        <v>35</v>
      </c>
      <c r="V1738" t="s">
        <v>6919</v>
      </c>
      <c r="W1738" s="1" t="str">
        <f>HYPERLINK("http://ictvonline.org/taxonomy/p/taxonomy-history?taxnode_id=201900933","ICTVonline=201900933")</f>
        <v>ICTVonline=201900933</v>
      </c>
    </row>
    <row r="1739" spans="1:23">
      <c r="A1739" s="3">
        <v>1738</v>
      </c>
      <c r="B1739" s="1" t="s">
        <v>6915</v>
      </c>
      <c r="D1739" s="1" t="s">
        <v>6916</v>
      </c>
      <c r="F1739" s="1" t="s">
        <v>6920</v>
      </c>
      <c r="H1739" s="1" t="s">
        <v>6921</v>
      </c>
      <c r="J1739" s="1" t="s">
        <v>1324</v>
      </c>
      <c r="L1739" s="1" t="s">
        <v>895</v>
      </c>
      <c r="N1739" s="1" t="s">
        <v>6648</v>
      </c>
      <c r="P1739" s="1" t="s">
        <v>3150</v>
      </c>
      <c r="Q1739" s="3">
        <v>0</v>
      </c>
      <c r="R1739" s="22" t="s">
        <v>2721</v>
      </c>
      <c r="S1739" s="42" t="s">
        <v>6910</v>
      </c>
      <c r="T1739" s="3" t="s">
        <v>4868</v>
      </c>
      <c r="U1739" s="45">
        <v>35</v>
      </c>
      <c r="V1739" t="s">
        <v>6919</v>
      </c>
      <c r="W1739" s="1" t="str">
        <f>HYPERLINK("http://ictvonline.org/taxonomy/p/taxonomy-history?taxnode_id=201900934","ICTVonline=201900934")</f>
        <v>ICTVonline=201900934</v>
      </c>
    </row>
    <row r="1740" spans="1:23">
      <c r="A1740" s="3">
        <v>1739</v>
      </c>
      <c r="B1740" s="1" t="s">
        <v>6915</v>
      </c>
      <c r="D1740" s="1" t="s">
        <v>6916</v>
      </c>
      <c r="F1740" s="1" t="s">
        <v>6920</v>
      </c>
      <c r="H1740" s="1" t="s">
        <v>6921</v>
      </c>
      <c r="J1740" s="1" t="s">
        <v>1324</v>
      </c>
      <c r="L1740" s="1" t="s">
        <v>895</v>
      </c>
      <c r="N1740" s="1" t="s">
        <v>6648</v>
      </c>
      <c r="P1740" s="1" t="s">
        <v>3151</v>
      </c>
      <c r="Q1740" s="3">
        <v>0</v>
      </c>
      <c r="R1740" s="22" t="s">
        <v>2721</v>
      </c>
      <c r="S1740" s="42" t="s">
        <v>6910</v>
      </c>
      <c r="T1740" s="3" t="s">
        <v>4868</v>
      </c>
      <c r="U1740" s="45">
        <v>35</v>
      </c>
      <c r="V1740" t="s">
        <v>6919</v>
      </c>
      <c r="W1740" s="1" t="str">
        <f>HYPERLINK("http://ictvonline.org/taxonomy/p/taxonomy-history?taxnode_id=201900935","ICTVonline=201900935")</f>
        <v>ICTVonline=201900935</v>
      </c>
    </row>
    <row r="1741" spans="1:23">
      <c r="A1741" s="3">
        <v>1740</v>
      </c>
      <c r="B1741" s="1" t="s">
        <v>6915</v>
      </c>
      <c r="D1741" s="1" t="s">
        <v>6916</v>
      </c>
      <c r="F1741" s="1" t="s">
        <v>6920</v>
      </c>
      <c r="H1741" s="1" t="s">
        <v>6921</v>
      </c>
      <c r="J1741" s="1" t="s">
        <v>1324</v>
      </c>
      <c r="L1741" s="1" t="s">
        <v>895</v>
      </c>
      <c r="N1741" s="1" t="s">
        <v>6648</v>
      </c>
      <c r="P1741" s="1" t="s">
        <v>3152</v>
      </c>
      <c r="Q1741" s="3">
        <v>0</v>
      </c>
      <c r="R1741" s="22" t="s">
        <v>2721</v>
      </c>
      <c r="S1741" s="42" t="s">
        <v>6910</v>
      </c>
      <c r="T1741" s="3" t="s">
        <v>4868</v>
      </c>
      <c r="U1741" s="45">
        <v>35</v>
      </c>
      <c r="V1741" t="s">
        <v>6919</v>
      </c>
      <c r="W1741" s="1" t="str">
        <f>HYPERLINK("http://ictvonline.org/taxonomy/p/taxonomy-history?taxnode_id=201900936","ICTVonline=201900936")</f>
        <v>ICTVonline=201900936</v>
      </c>
    </row>
    <row r="1742" spans="1:23">
      <c r="A1742" s="3">
        <v>1741</v>
      </c>
      <c r="B1742" s="1" t="s">
        <v>6915</v>
      </c>
      <c r="D1742" s="1" t="s">
        <v>6916</v>
      </c>
      <c r="F1742" s="1" t="s">
        <v>6920</v>
      </c>
      <c r="H1742" s="1" t="s">
        <v>6921</v>
      </c>
      <c r="J1742" s="1" t="s">
        <v>1324</v>
      </c>
      <c r="L1742" s="1" t="s">
        <v>895</v>
      </c>
      <c r="N1742" s="1" t="s">
        <v>6648</v>
      </c>
      <c r="P1742" s="1" t="s">
        <v>3153</v>
      </c>
      <c r="Q1742" s="3">
        <v>0</v>
      </c>
      <c r="R1742" s="22" t="s">
        <v>2721</v>
      </c>
      <c r="S1742" s="42" t="s">
        <v>6910</v>
      </c>
      <c r="T1742" s="3" t="s">
        <v>4868</v>
      </c>
      <c r="U1742" s="45">
        <v>35</v>
      </c>
      <c r="V1742" t="s">
        <v>6919</v>
      </c>
      <c r="W1742" s="1" t="str">
        <f>HYPERLINK("http://ictvonline.org/taxonomy/p/taxonomy-history?taxnode_id=201900937","ICTVonline=201900937")</f>
        <v>ICTVonline=201900937</v>
      </c>
    </row>
    <row r="1743" spans="1:23">
      <c r="A1743" s="3">
        <v>1742</v>
      </c>
      <c r="B1743" s="1" t="s">
        <v>6915</v>
      </c>
      <c r="D1743" s="1" t="s">
        <v>6916</v>
      </c>
      <c r="F1743" s="1" t="s">
        <v>6920</v>
      </c>
      <c r="H1743" s="1" t="s">
        <v>6921</v>
      </c>
      <c r="J1743" s="1" t="s">
        <v>1324</v>
      </c>
      <c r="L1743" s="1" t="s">
        <v>895</v>
      </c>
      <c r="N1743" s="1" t="s">
        <v>6648</v>
      </c>
      <c r="P1743" s="1" t="s">
        <v>3154</v>
      </c>
      <c r="Q1743" s="3">
        <v>0</v>
      </c>
      <c r="R1743" s="22" t="s">
        <v>2721</v>
      </c>
      <c r="S1743" s="42" t="s">
        <v>6910</v>
      </c>
      <c r="T1743" s="3" t="s">
        <v>4868</v>
      </c>
      <c r="U1743" s="45">
        <v>35</v>
      </c>
      <c r="V1743" t="s">
        <v>6919</v>
      </c>
      <c r="W1743" s="1" t="str">
        <f>HYPERLINK("http://ictvonline.org/taxonomy/p/taxonomy-history?taxnode_id=201900938","ICTVonline=201900938")</f>
        <v>ICTVonline=201900938</v>
      </c>
    </row>
    <row r="1744" spans="1:23">
      <c r="A1744" s="3">
        <v>1743</v>
      </c>
      <c r="B1744" s="1" t="s">
        <v>6915</v>
      </c>
      <c r="D1744" s="1" t="s">
        <v>6916</v>
      </c>
      <c r="F1744" s="1" t="s">
        <v>6920</v>
      </c>
      <c r="H1744" s="1" t="s">
        <v>6921</v>
      </c>
      <c r="J1744" s="1" t="s">
        <v>1324</v>
      </c>
      <c r="L1744" s="1" t="s">
        <v>895</v>
      </c>
      <c r="N1744" s="1" t="s">
        <v>7885</v>
      </c>
      <c r="P1744" s="1" t="s">
        <v>7886</v>
      </c>
      <c r="Q1744" s="3">
        <v>1</v>
      </c>
      <c r="R1744" s="22" t="s">
        <v>2721</v>
      </c>
      <c r="S1744" s="42" t="s">
        <v>6914</v>
      </c>
      <c r="T1744" s="3" t="s">
        <v>4866</v>
      </c>
      <c r="U1744" s="45">
        <v>35</v>
      </c>
      <c r="V1744" t="s">
        <v>7887</v>
      </c>
      <c r="W1744" s="1" t="str">
        <f>HYPERLINK("http://ictvonline.org/taxonomy/p/taxonomy-history?taxnode_id=201907430","ICTVonline=201907430")</f>
        <v>ICTVonline=201907430</v>
      </c>
    </row>
    <row r="1745" spans="1:23">
      <c r="A1745" s="3">
        <v>1744</v>
      </c>
      <c r="B1745" s="1" t="s">
        <v>6915</v>
      </c>
      <c r="D1745" s="1" t="s">
        <v>6916</v>
      </c>
      <c r="F1745" s="1" t="s">
        <v>6920</v>
      </c>
      <c r="H1745" s="1" t="s">
        <v>6921</v>
      </c>
      <c r="J1745" s="1" t="s">
        <v>1324</v>
      </c>
      <c r="L1745" s="1" t="s">
        <v>895</v>
      </c>
      <c r="N1745" s="1" t="s">
        <v>6649</v>
      </c>
      <c r="P1745" s="1" t="s">
        <v>6650</v>
      </c>
      <c r="Q1745" s="3">
        <v>1</v>
      </c>
      <c r="R1745" s="22" t="s">
        <v>2721</v>
      </c>
      <c r="S1745" s="42" t="s">
        <v>6910</v>
      </c>
      <c r="T1745" s="3" t="s">
        <v>4868</v>
      </c>
      <c r="U1745" s="45">
        <v>35</v>
      </c>
      <c r="V1745" t="s">
        <v>6919</v>
      </c>
      <c r="W1745" s="1" t="str">
        <f>HYPERLINK("http://ictvonline.org/taxonomy/p/taxonomy-history?taxnode_id=201906845","ICTVonline=201906845")</f>
        <v>ICTVonline=201906845</v>
      </c>
    </row>
    <row r="1746" spans="1:23">
      <c r="A1746" s="3">
        <v>1745</v>
      </c>
      <c r="B1746" s="1" t="s">
        <v>6915</v>
      </c>
      <c r="D1746" s="1" t="s">
        <v>6916</v>
      </c>
      <c r="F1746" s="1" t="s">
        <v>6920</v>
      </c>
      <c r="H1746" s="1" t="s">
        <v>6921</v>
      </c>
      <c r="J1746" s="1" t="s">
        <v>1324</v>
      </c>
      <c r="L1746" s="1" t="s">
        <v>895</v>
      </c>
      <c r="N1746" s="1" t="s">
        <v>6649</v>
      </c>
      <c r="P1746" s="1" t="s">
        <v>6651</v>
      </c>
      <c r="Q1746" s="3">
        <v>0</v>
      </c>
      <c r="R1746" s="22" t="s">
        <v>2721</v>
      </c>
      <c r="S1746" s="42" t="s">
        <v>6910</v>
      </c>
      <c r="T1746" s="3" t="s">
        <v>4868</v>
      </c>
      <c r="U1746" s="45">
        <v>35</v>
      </c>
      <c r="V1746" t="s">
        <v>6919</v>
      </c>
      <c r="W1746" s="1" t="str">
        <f>HYPERLINK("http://ictvonline.org/taxonomy/p/taxonomy-history?taxnode_id=201906846","ICTVonline=201906846")</f>
        <v>ICTVonline=201906846</v>
      </c>
    </row>
    <row r="1747" spans="1:23">
      <c r="A1747" s="3">
        <v>1746</v>
      </c>
      <c r="B1747" s="1" t="s">
        <v>6915</v>
      </c>
      <c r="D1747" s="1" t="s">
        <v>6916</v>
      </c>
      <c r="F1747" s="1" t="s">
        <v>6920</v>
      </c>
      <c r="H1747" s="1" t="s">
        <v>6921</v>
      </c>
      <c r="J1747" s="1" t="s">
        <v>1324</v>
      </c>
      <c r="L1747" s="1" t="s">
        <v>895</v>
      </c>
      <c r="N1747" s="1" t="s">
        <v>6652</v>
      </c>
      <c r="P1747" s="1" t="s">
        <v>6653</v>
      </c>
      <c r="Q1747" s="3">
        <v>1</v>
      </c>
      <c r="R1747" s="22" t="s">
        <v>2721</v>
      </c>
      <c r="S1747" s="42" t="s">
        <v>6910</v>
      </c>
      <c r="T1747" s="3" t="s">
        <v>4868</v>
      </c>
      <c r="U1747" s="45">
        <v>35</v>
      </c>
      <c r="V1747" t="s">
        <v>6919</v>
      </c>
      <c r="W1747" s="1" t="str">
        <f>HYPERLINK("http://ictvonline.org/taxonomy/p/taxonomy-history?taxnode_id=201906848","ICTVonline=201906848")</f>
        <v>ICTVonline=201906848</v>
      </c>
    </row>
    <row r="1748" spans="1:23">
      <c r="A1748" s="3">
        <v>1747</v>
      </c>
      <c r="B1748" s="1" t="s">
        <v>6915</v>
      </c>
      <c r="D1748" s="1" t="s">
        <v>6916</v>
      </c>
      <c r="F1748" s="1" t="s">
        <v>6920</v>
      </c>
      <c r="H1748" s="1" t="s">
        <v>6921</v>
      </c>
      <c r="J1748" s="1" t="s">
        <v>1324</v>
      </c>
      <c r="L1748" s="1" t="s">
        <v>895</v>
      </c>
      <c r="N1748" s="1" t="s">
        <v>3236</v>
      </c>
      <c r="P1748" s="1" t="s">
        <v>5022</v>
      </c>
      <c r="Q1748" s="3">
        <v>0</v>
      </c>
      <c r="R1748" s="22" t="s">
        <v>2721</v>
      </c>
      <c r="S1748" s="42" t="s">
        <v>6910</v>
      </c>
      <c r="T1748" s="3" t="s">
        <v>4868</v>
      </c>
      <c r="U1748" s="45">
        <v>35</v>
      </c>
      <c r="V1748" t="s">
        <v>6919</v>
      </c>
      <c r="W1748" s="1" t="str">
        <f>HYPERLINK("http://ictvonline.org/taxonomy/p/taxonomy-history?taxnode_id=201905558","ICTVonline=201905558")</f>
        <v>ICTVonline=201905558</v>
      </c>
    </row>
    <row r="1749" spans="1:23">
      <c r="A1749" s="3">
        <v>1748</v>
      </c>
      <c r="B1749" s="1" t="s">
        <v>6915</v>
      </c>
      <c r="D1749" s="1" t="s">
        <v>6916</v>
      </c>
      <c r="F1749" s="1" t="s">
        <v>6920</v>
      </c>
      <c r="H1749" s="1" t="s">
        <v>6921</v>
      </c>
      <c r="J1749" s="1" t="s">
        <v>1324</v>
      </c>
      <c r="L1749" s="1" t="s">
        <v>895</v>
      </c>
      <c r="N1749" s="1" t="s">
        <v>3236</v>
      </c>
      <c r="P1749" s="1" t="s">
        <v>5023</v>
      </c>
      <c r="Q1749" s="3">
        <v>0</v>
      </c>
      <c r="R1749" s="22" t="s">
        <v>2721</v>
      </c>
      <c r="S1749" s="42" t="s">
        <v>6910</v>
      </c>
      <c r="T1749" s="3" t="s">
        <v>4868</v>
      </c>
      <c r="U1749" s="45">
        <v>35</v>
      </c>
      <c r="V1749" t="s">
        <v>6919</v>
      </c>
      <c r="W1749" s="1" t="str">
        <f>HYPERLINK("http://ictvonline.org/taxonomy/p/taxonomy-history?taxnode_id=201905559","ICTVonline=201905559")</f>
        <v>ICTVonline=201905559</v>
      </c>
    </row>
    <row r="1750" spans="1:23">
      <c r="A1750" s="3">
        <v>1749</v>
      </c>
      <c r="B1750" s="1" t="s">
        <v>6915</v>
      </c>
      <c r="D1750" s="1" t="s">
        <v>6916</v>
      </c>
      <c r="F1750" s="1" t="s">
        <v>6920</v>
      </c>
      <c r="H1750" s="1" t="s">
        <v>6921</v>
      </c>
      <c r="J1750" s="1" t="s">
        <v>1324</v>
      </c>
      <c r="L1750" s="1" t="s">
        <v>895</v>
      </c>
      <c r="N1750" s="1" t="s">
        <v>3236</v>
      </c>
      <c r="P1750" s="1" t="s">
        <v>5024</v>
      </c>
      <c r="Q1750" s="3">
        <v>0</v>
      </c>
      <c r="R1750" s="22" t="s">
        <v>2721</v>
      </c>
      <c r="S1750" s="42" t="s">
        <v>6910</v>
      </c>
      <c r="T1750" s="3" t="s">
        <v>4868</v>
      </c>
      <c r="U1750" s="45">
        <v>35</v>
      </c>
      <c r="V1750" t="s">
        <v>6919</v>
      </c>
      <c r="W1750" s="1" t="str">
        <f>HYPERLINK("http://ictvonline.org/taxonomy/p/taxonomy-history?taxnode_id=201905560","ICTVonline=201905560")</f>
        <v>ICTVonline=201905560</v>
      </c>
    </row>
    <row r="1751" spans="1:23">
      <c r="A1751" s="3">
        <v>1750</v>
      </c>
      <c r="B1751" s="1" t="s">
        <v>6915</v>
      </c>
      <c r="D1751" s="1" t="s">
        <v>6916</v>
      </c>
      <c r="F1751" s="1" t="s">
        <v>6920</v>
      </c>
      <c r="H1751" s="1" t="s">
        <v>6921</v>
      </c>
      <c r="J1751" s="1" t="s">
        <v>1324</v>
      </c>
      <c r="L1751" s="1" t="s">
        <v>895</v>
      </c>
      <c r="N1751" s="1" t="s">
        <v>3236</v>
      </c>
      <c r="P1751" s="1" t="s">
        <v>3239</v>
      </c>
      <c r="Q1751" s="3">
        <v>1</v>
      </c>
      <c r="R1751" s="22" t="s">
        <v>2721</v>
      </c>
      <c r="S1751" s="42" t="s">
        <v>6910</v>
      </c>
      <c r="T1751" s="3" t="s">
        <v>4868</v>
      </c>
      <c r="U1751" s="45">
        <v>35</v>
      </c>
      <c r="V1751" t="s">
        <v>6919</v>
      </c>
      <c r="W1751" s="1" t="str">
        <f>HYPERLINK("http://ictvonline.org/taxonomy/p/taxonomy-history?taxnode_id=201901072","ICTVonline=201901072")</f>
        <v>ICTVonline=201901072</v>
      </c>
    </row>
    <row r="1752" spans="1:23">
      <c r="A1752" s="3">
        <v>1751</v>
      </c>
      <c r="B1752" s="1" t="s">
        <v>6915</v>
      </c>
      <c r="D1752" s="1" t="s">
        <v>6916</v>
      </c>
      <c r="F1752" s="1" t="s">
        <v>6920</v>
      </c>
      <c r="H1752" s="1" t="s">
        <v>6921</v>
      </c>
      <c r="J1752" s="1" t="s">
        <v>1324</v>
      </c>
      <c r="L1752" s="1" t="s">
        <v>895</v>
      </c>
      <c r="N1752" s="1" t="s">
        <v>7888</v>
      </c>
      <c r="P1752" s="1" t="s">
        <v>7889</v>
      </c>
      <c r="Q1752" s="3">
        <v>1</v>
      </c>
      <c r="R1752" s="22" t="s">
        <v>2721</v>
      </c>
      <c r="S1752" s="42" t="s">
        <v>6914</v>
      </c>
      <c r="T1752" s="3" t="s">
        <v>4866</v>
      </c>
      <c r="U1752" s="45">
        <v>35</v>
      </c>
      <c r="V1752" t="s">
        <v>7890</v>
      </c>
      <c r="W1752" s="1" t="str">
        <f>HYPERLINK("http://ictvonline.org/taxonomy/p/taxonomy-history?taxnode_id=201907878","ICTVonline=201907878")</f>
        <v>ICTVonline=201907878</v>
      </c>
    </row>
    <row r="1753" spans="1:23">
      <c r="A1753" s="3">
        <v>1752</v>
      </c>
      <c r="B1753" s="1" t="s">
        <v>6915</v>
      </c>
      <c r="D1753" s="1" t="s">
        <v>6916</v>
      </c>
      <c r="F1753" s="1" t="s">
        <v>6920</v>
      </c>
      <c r="H1753" s="1" t="s">
        <v>6921</v>
      </c>
      <c r="J1753" s="1" t="s">
        <v>1324</v>
      </c>
      <c r="L1753" s="1" t="s">
        <v>895</v>
      </c>
      <c r="N1753" s="1" t="s">
        <v>4346</v>
      </c>
      <c r="P1753" s="1" t="s">
        <v>4347</v>
      </c>
      <c r="Q1753" s="3">
        <v>1</v>
      </c>
      <c r="R1753" s="22" t="s">
        <v>2721</v>
      </c>
      <c r="S1753" s="42" t="s">
        <v>6910</v>
      </c>
      <c r="T1753" s="3" t="s">
        <v>4868</v>
      </c>
      <c r="U1753" s="45">
        <v>35</v>
      </c>
      <c r="V1753" t="s">
        <v>6919</v>
      </c>
      <c r="W1753" s="1" t="str">
        <f>HYPERLINK("http://ictvonline.org/taxonomy/p/taxonomy-history?taxnode_id=201901074","ICTVonline=201901074")</f>
        <v>ICTVonline=201901074</v>
      </c>
    </row>
    <row r="1754" spans="1:23">
      <c r="A1754" s="3">
        <v>1753</v>
      </c>
      <c r="B1754" s="1" t="s">
        <v>6915</v>
      </c>
      <c r="D1754" s="1" t="s">
        <v>6916</v>
      </c>
      <c r="F1754" s="1" t="s">
        <v>6920</v>
      </c>
      <c r="H1754" s="1" t="s">
        <v>6921</v>
      </c>
      <c r="J1754" s="1" t="s">
        <v>1324</v>
      </c>
      <c r="L1754" s="1" t="s">
        <v>895</v>
      </c>
      <c r="N1754" s="1" t="s">
        <v>7891</v>
      </c>
      <c r="P1754" s="1" t="s">
        <v>7892</v>
      </c>
      <c r="Q1754" s="3">
        <v>1</v>
      </c>
      <c r="R1754" s="22" t="s">
        <v>2721</v>
      </c>
      <c r="S1754" s="42" t="s">
        <v>6914</v>
      </c>
      <c r="T1754" s="3" t="s">
        <v>4866</v>
      </c>
      <c r="U1754" s="45">
        <v>35</v>
      </c>
      <c r="V1754" t="s">
        <v>7893</v>
      </c>
      <c r="W1754" s="1" t="str">
        <f>HYPERLINK("http://ictvonline.org/taxonomy/p/taxonomy-history?taxnode_id=201907890","ICTVonline=201907890")</f>
        <v>ICTVonline=201907890</v>
      </c>
    </row>
    <row r="1755" spans="1:23">
      <c r="A1755" s="3">
        <v>1754</v>
      </c>
      <c r="B1755" s="1" t="s">
        <v>6915</v>
      </c>
      <c r="D1755" s="1" t="s">
        <v>6916</v>
      </c>
      <c r="F1755" s="1" t="s">
        <v>6920</v>
      </c>
      <c r="H1755" s="1" t="s">
        <v>6921</v>
      </c>
      <c r="J1755" s="1" t="s">
        <v>1324</v>
      </c>
      <c r="L1755" s="1" t="s">
        <v>895</v>
      </c>
      <c r="N1755" s="1" t="s">
        <v>7894</v>
      </c>
      <c r="P1755" s="1" t="s">
        <v>7895</v>
      </c>
      <c r="Q1755" s="3">
        <v>1</v>
      </c>
      <c r="R1755" s="22" t="s">
        <v>2721</v>
      </c>
      <c r="S1755" s="42" t="s">
        <v>6914</v>
      </c>
      <c r="T1755" s="3" t="s">
        <v>4866</v>
      </c>
      <c r="U1755" s="45">
        <v>35</v>
      </c>
      <c r="V1755" t="s">
        <v>7896</v>
      </c>
      <c r="W1755" s="1" t="str">
        <f>HYPERLINK("http://ictvonline.org/taxonomy/p/taxonomy-history?taxnode_id=201908063","ICTVonline=201908063")</f>
        <v>ICTVonline=201908063</v>
      </c>
    </row>
    <row r="1756" spans="1:23">
      <c r="A1756" s="3">
        <v>1755</v>
      </c>
      <c r="B1756" s="1" t="s">
        <v>6915</v>
      </c>
      <c r="D1756" s="1" t="s">
        <v>6916</v>
      </c>
      <c r="F1756" s="1" t="s">
        <v>6920</v>
      </c>
      <c r="H1756" s="1" t="s">
        <v>6921</v>
      </c>
      <c r="J1756" s="1" t="s">
        <v>1324</v>
      </c>
      <c r="L1756" s="1" t="s">
        <v>895</v>
      </c>
      <c r="N1756" s="1" t="s">
        <v>3240</v>
      </c>
      <c r="P1756" s="1" t="s">
        <v>3241</v>
      </c>
      <c r="Q1756" s="3">
        <v>1</v>
      </c>
      <c r="R1756" s="22" t="s">
        <v>2721</v>
      </c>
      <c r="S1756" s="42" t="s">
        <v>6910</v>
      </c>
      <c r="T1756" s="3" t="s">
        <v>4868</v>
      </c>
      <c r="U1756" s="45">
        <v>35</v>
      </c>
      <c r="V1756" t="s">
        <v>6919</v>
      </c>
      <c r="W1756" s="1" t="str">
        <f>HYPERLINK("http://ictvonline.org/taxonomy/p/taxonomy-history?taxnode_id=201901076","ICTVonline=201901076")</f>
        <v>ICTVonline=201901076</v>
      </c>
    </row>
    <row r="1757" spans="1:23">
      <c r="A1757" s="3">
        <v>1756</v>
      </c>
      <c r="B1757" s="1" t="s">
        <v>6915</v>
      </c>
      <c r="D1757" s="1" t="s">
        <v>6916</v>
      </c>
      <c r="F1757" s="1" t="s">
        <v>6920</v>
      </c>
      <c r="H1757" s="1" t="s">
        <v>6921</v>
      </c>
      <c r="J1757" s="1" t="s">
        <v>1324</v>
      </c>
      <c r="L1757" s="1" t="s">
        <v>895</v>
      </c>
      <c r="N1757" s="1" t="s">
        <v>3240</v>
      </c>
      <c r="P1757" s="1" t="s">
        <v>3242</v>
      </c>
      <c r="Q1757" s="3">
        <v>0</v>
      </c>
      <c r="R1757" s="22" t="s">
        <v>2721</v>
      </c>
      <c r="S1757" s="42" t="s">
        <v>6910</v>
      </c>
      <c r="T1757" s="3" t="s">
        <v>4868</v>
      </c>
      <c r="U1757" s="45">
        <v>35</v>
      </c>
      <c r="V1757" t="s">
        <v>6919</v>
      </c>
      <c r="W1757" s="1" t="str">
        <f>HYPERLINK("http://ictvonline.org/taxonomy/p/taxonomy-history?taxnode_id=201901077","ICTVonline=201901077")</f>
        <v>ICTVonline=201901077</v>
      </c>
    </row>
    <row r="1758" spans="1:23">
      <c r="A1758" s="3">
        <v>1757</v>
      </c>
      <c r="B1758" s="1" t="s">
        <v>6915</v>
      </c>
      <c r="D1758" s="1" t="s">
        <v>6916</v>
      </c>
      <c r="F1758" s="1" t="s">
        <v>6920</v>
      </c>
      <c r="H1758" s="1" t="s">
        <v>6921</v>
      </c>
      <c r="J1758" s="1" t="s">
        <v>1324</v>
      </c>
      <c r="L1758" s="1" t="s">
        <v>895</v>
      </c>
      <c r="N1758" s="1" t="s">
        <v>6656</v>
      </c>
      <c r="P1758" s="1" t="s">
        <v>6657</v>
      </c>
      <c r="Q1758" s="3">
        <v>0</v>
      </c>
      <c r="R1758" s="22" t="s">
        <v>2721</v>
      </c>
      <c r="S1758" s="42" t="s">
        <v>6910</v>
      </c>
      <c r="T1758" s="3" t="s">
        <v>4868</v>
      </c>
      <c r="U1758" s="45">
        <v>35</v>
      </c>
      <c r="V1758" t="s">
        <v>6919</v>
      </c>
      <c r="W1758" s="1" t="str">
        <f>HYPERLINK("http://ictvonline.org/taxonomy/p/taxonomy-history?taxnode_id=201906916","ICTVonline=201906916")</f>
        <v>ICTVonline=201906916</v>
      </c>
    </row>
    <row r="1759" spans="1:23">
      <c r="A1759" s="3">
        <v>1758</v>
      </c>
      <c r="B1759" s="1" t="s">
        <v>6915</v>
      </c>
      <c r="D1759" s="1" t="s">
        <v>6916</v>
      </c>
      <c r="F1759" s="1" t="s">
        <v>6920</v>
      </c>
      <c r="H1759" s="1" t="s">
        <v>6921</v>
      </c>
      <c r="J1759" s="1" t="s">
        <v>1324</v>
      </c>
      <c r="L1759" s="1" t="s">
        <v>895</v>
      </c>
      <c r="N1759" s="1" t="s">
        <v>6656</v>
      </c>
      <c r="P1759" s="1" t="s">
        <v>6658</v>
      </c>
      <c r="Q1759" s="3">
        <v>1</v>
      </c>
      <c r="R1759" s="22" t="s">
        <v>2721</v>
      </c>
      <c r="S1759" s="42" t="s">
        <v>6910</v>
      </c>
      <c r="T1759" s="3" t="s">
        <v>4868</v>
      </c>
      <c r="U1759" s="45">
        <v>35</v>
      </c>
      <c r="V1759" t="s">
        <v>6919</v>
      </c>
      <c r="W1759" s="1" t="str">
        <f>HYPERLINK("http://ictvonline.org/taxonomy/p/taxonomy-history?taxnode_id=201906915","ICTVonline=201906915")</f>
        <v>ICTVonline=201906915</v>
      </c>
    </row>
    <row r="1760" spans="1:23">
      <c r="A1760" s="3">
        <v>1759</v>
      </c>
      <c r="B1760" s="1" t="s">
        <v>6915</v>
      </c>
      <c r="D1760" s="1" t="s">
        <v>6916</v>
      </c>
      <c r="F1760" s="1" t="s">
        <v>6920</v>
      </c>
      <c r="H1760" s="1" t="s">
        <v>6921</v>
      </c>
      <c r="J1760" s="1" t="s">
        <v>1324</v>
      </c>
      <c r="L1760" s="1" t="s">
        <v>895</v>
      </c>
      <c r="N1760" s="1" t="s">
        <v>6659</v>
      </c>
      <c r="P1760" s="1" t="s">
        <v>3277</v>
      </c>
      <c r="Q1760" s="3">
        <v>0</v>
      </c>
      <c r="R1760" s="22" t="s">
        <v>2721</v>
      </c>
      <c r="S1760" s="42" t="s">
        <v>6910</v>
      </c>
      <c r="T1760" s="3" t="s">
        <v>4868</v>
      </c>
      <c r="U1760" s="45">
        <v>35</v>
      </c>
      <c r="V1760" t="s">
        <v>6919</v>
      </c>
      <c r="W1760" s="1" t="str">
        <f>HYPERLINK("http://ictvonline.org/taxonomy/p/taxonomy-history?taxnode_id=201901185","ICTVonline=201901185")</f>
        <v>ICTVonline=201901185</v>
      </c>
    </row>
    <row r="1761" spans="1:23">
      <c r="A1761" s="3">
        <v>1760</v>
      </c>
      <c r="B1761" s="1" t="s">
        <v>6915</v>
      </c>
      <c r="D1761" s="1" t="s">
        <v>6916</v>
      </c>
      <c r="F1761" s="1" t="s">
        <v>6920</v>
      </c>
      <c r="H1761" s="1" t="s">
        <v>6921</v>
      </c>
      <c r="J1761" s="1" t="s">
        <v>1324</v>
      </c>
      <c r="L1761" s="1" t="s">
        <v>895</v>
      </c>
      <c r="N1761" s="1" t="s">
        <v>6659</v>
      </c>
      <c r="P1761" s="1" t="s">
        <v>3278</v>
      </c>
      <c r="Q1761" s="3">
        <v>1</v>
      </c>
      <c r="R1761" s="22" t="s">
        <v>2721</v>
      </c>
      <c r="S1761" s="42" t="s">
        <v>6910</v>
      </c>
      <c r="T1761" s="3" t="s">
        <v>4868</v>
      </c>
      <c r="U1761" s="45">
        <v>35</v>
      </c>
      <c r="V1761" t="s">
        <v>6919</v>
      </c>
      <c r="W1761" s="1" t="str">
        <f>HYPERLINK("http://ictvonline.org/taxonomy/p/taxonomy-history?taxnode_id=201901186","ICTVonline=201901186")</f>
        <v>ICTVonline=201901186</v>
      </c>
    </row>
    <row r="1762" spans="1:23">
      <c r="A1762" s="3">
        <v>1761</v>
      </c>
      <c r="B1762" s="1" t="s">
        <v>6915</v>
      </c>
      <c r="D1762" s="1" t="s">
        <v>6916</v>
      </c>
      <c r="F1762" s="1" t="s">
        <v>6920</v>
      </c>
      <c r="H1762" s="1" t="s">
        <v>6921</v>
      </c>
      <c r="J1762" s="1" t="s">
        <v>1324</v>
      </c>
      <c r="L1762" s="1" t="s">
        <v>895</v>
      </c>
      <c r="N1762" s="1" t="s">
        <v>7897</v>
      </c>
      <c r="P1762" s="1" t="s">
        <v>7898</v>
      </c>
      <c r="Q1762" s="3">
        <v>1</v>
      </c>
      <c r="R1762" s="22" t="s">
        <v>2721</v>
      </c>
      <c r="S1762" s="42" t="s">
        <v>6914</v>
      </c>
      <c r="T1762" s="3" t="s">
        <v>4866</v>
      </c>
      <c r="U1762" s="45">
        <v>35</v>
      </c>
      <c r="V1762" t="s">
        <v>7899</v>
      </c>
      <c r="W1762" s="1" t="str">
        <f>HYPERLINK("http://ictvonline.org/taxonomy/p/taxonomy-history?taxnode_id=201907441","ICTVonline=201907441")</f>
        <v>ICTVonline=201907441</v>
      </c>
    </row>
    <row r="1763" spans="1:23">
      <c r="A1763" s="3">
        <v>1762</v>
      </c>
      <c r="B1763" s="1" t="s">
        <v>6915</v>
      </c>
      <c r="D1763" s="1" t="s">
        <v>6916</v>
      </c>
      <c r="F1763" s="1" t="s">
        <v>6920</v>
      </c>
      <c r="H1763" s="1" t="s">
        <v>6921</v>
      </c>
      <c r="J1763" s="1" t="s">
        <v>1324</v>
      </c>
      <c r="L1763" s="1" t="s">
        <v>895</v>
      </c>
      <c r="N1763" s="1" t="s">
        <v>7900</v>
      </c>
      <c r="P1763" s="1" t="s">
        <v>7901</v>
      </c>
      <c r="Q1763" s="3">
        <v>1</v>
      </c>
      <c r="R1763" s="22" t="s">
        <v>2721</v>
      </c>
      <c r="S1763" s="42" t="s">
        <v>6914</v>
      </c>
      <c r="T1763" s="3" t="s">
        <v>4866</v>
      </c>
      <c r="U1763" s="45">
        <v>35</v>
      </c>
      <c r="V1763" t="s">
        <v>7902</v>
      </c>
      <c r="W1763" s="1" t="str">
        <f>HYPERLINK("http://ictvonline.org/taxonomy/p/taxonomy-history?taxnode_id=201907448","ICTVonline=201907448")</f>
        <v>ICTVonline=201907448</v>
      </c>
    </row>
    <row r="1764" spans="1:23">
      <c r="A1764" s="3">
        <v>1763</v>
      </c>
      <c r="B1764" s="1" t="s">
        <v>6915</v>
      </c>
      <c r="D1764" s="1" t="s">
        <v>6916</v>
      </c>
      <c r="F1764" s="1" t="s">
        <v>6920</v>
      </c>
      <c r="H1764" s="1" t="s">
        <v>6921</v>
      </c>
      <c r="J1764" s="1" t="s">
        <v>1324</v>
      </c>
      <c r="L1764" s="1" t="s">
        <v>895</v>
      </c>
      <c r="N1764" s="1" t="s">
        <v>7903</v>
      </c>
      <c r="P1764" s="1" t="s">
        <v>7904</v>
      </c>
      <c r="Q1764" s="3">
        <v>1</v>
      </c>
      <c r="R1764" s="22" t="s">
        <v>2721</v>
      </c>
      <c r="S1764" s="42" t="s">
        <v>6914</v>
      </c>
      <c r="T1764" s="3" t="s">
        <v>4866</v>
      </c>
      <c r="U1764" s="45">
        <v>35</v>
      </c>
      <c r="V1764" t="s">
        <v>7602</v>
      </c>
      <c r="W1764" s="1" t="str">
        <f>HYPERLINK("http://ictvonline.org/taxonomy/p/taxonomy-history?taxnode_id=201908054","ICTVonline=201908054")</f>
        <v>ICTVonline=201908054</v>
      </c>
    </row>
    <row r="1765" spans="1:23">
      <c r="A1765" s="3">
        <v>1764</v>
      </c>
      <c r="B1765" s="1" t="s">
        <v>6915</v>
      </c>
      <c r="D1765" s="1" t="s">
        <v>6916</v>
      </c>
      <c r="F1765" s="1" t="s">
        <v>6920</v>
      </c>
      <c r="H1765" s="1" t="s">
        <v>6921</v>
      </c>
      <c r="J1765" s="1" t="s">
        <v>1324</v>
      </c>
      <c r="L1765" s="1" t="s">
        <v>895</v>
      </c>
      <c r="N1765" s="1" t="s">
        <v>6660</v>
      </c>
      <c r="P1765" s="1" t="s">
        <v>3400</v>
      </c>
      <c r="Q1765" s="3">
        <v>0</v>
      </c>
      <c r="R1765" s="22" t="s">
        <v>2721</v>
      </c>
      <c r="S1765" s="42" t="s">
        <v>6910</v>
      </c>
      <c r="T1765" s="3" t="s">
        <v>4868</v>
      </c>
      <c r="U1765" s="45">
        <v>35</v>
      </c>
      <c r="V1765" t="s">
        <v>6919</v>
      </c>
      <c r="W1765" s="1" t="str">
        <f>HYPERLINK("http://ictvonline.org/taxonomy/p/taxonomy-history?taxnode_id=201901353","ICTVonline=201901353")</f>
        <v>ICTVonline=201901353</v>
      </c>
    </row>
    <row r="1766" spans="1:23">
      <c r="A1766" s="3">
        <v>1765</v>
      </c>
      <c r="B1766" s="1" t="s">
        <v>6915</v>
      </c>
      <c r="D1766" s="1" t="s">
        <v>6916</v>
      </c>
      <c r="F1766" s="1" t="s">
        <v>6920</v>
      </c>
      <c r="H1766" s="1" t="s">
        <v>6921</v>
      </c>
      <c r="J1766" s="1" t="s">
        <v>1324</v>
      </c>
      <c r="L1766" s="1" t="s">
        <v>895</v>
      </c>
      <c r="N1766" s="1" t="s">
        <v>6660</v>
      </c>
      <c r="P1766" s="1" t="s">
        <v>3401</v>
      </c>
      <c r="Q1766" s="3">
        <v>1</v>
      </c>
      <c r="R1766" s="22" t="s">
        <v>2721</v>
      </c>
      <c r="S1766" s="42" t="s">
        <v>6910</v>
      </c>
      <c r="T1766" s="3" t="s">
        <v>4868</v>
      </c>
      <c r="U1766" s="45">
        <v>35</v>
      </c>
      <c r="V1766" t="s">
        <v>6919</v>
      </c>
      <c r="W1766" s="1" t="str">
        <f>HYPERLINK("http://ictvonline.org/taxonomy/p/taxonomy-history?taxnode_id=201901354","ICTVonline=201901354")</f>
        <v>ICTVonline=201901354</v>
      </c>
    </row>
    <row r="1767" spans="1:23">
      <c r="A1767" s="3">
        <v>1766</v>
      </c>
      <c r="B1767" s="1" t="s">
        <v>6915</v>
      </c>
      <c r="D1767" s="1" t="s">
        <v>6916</v>
      </c>
      <c r="F1767" s="1" t="s">
        <v>6920</v>
      </c>
      <c r="H1767" s="1" t="s">
        <v>6921</v>
      </c>
      <c r="J1767" s="1" t="s">
        <v>1324</v>
      </c>
      <c r="L1767" s="1" t="s">
        <v>895</v>
      </c>
      <c r="N1767" s="1" t="s">
        <v>6661</v>
      </c>
      <c r="P1767" s="1" t="s">
        <v>6662</v>
      </c>
      <c r="Q1767" s="3">
        <v>1</v>
      </c>
      <c r="R1767" s="22" t="s">
        <v>2721</v>
      </c>
      <c r="S1767" s="42" t="s">
        <v>6910</v>
      </c>
      <c r="T1767" s="3" t="s">
        <v>4868</v>
      </c>
      <c r="U1767" s="45">
        <v>35</v>
      </c>
      <c r="V1767" t="s">
        <v>6919</v>
      </c>
      <c r="W1767" s="1" t="str">
        <f>HYPERLINK("http://ictvonline.org/taxonomy/p/taxonomy-history?taxnode_id=201906987","ICTVonline=201906987")</f>
        <v>ICTVonline=201906987</v>
      </c>
    </row>
    <row r="1768" spans="1:23">
      <c r="A1768" s="3">
        <v>1767</v>
      </c>
      <c r="B1768" s="1" t="s">
        <v>6915</v>
      </c>
      <c r="D1768" s="1" t="s">
        <v>6916</v>
      </c>
      <c r="F1768" s="1" t="s">
        <v>6920</v>
      </c>
      <c r="H1768" s="1" t="s">
        <v>6921</v>
      </c>
      <c r="J1768" s="1" t="s">
        <v>1324</v>
      </c>
      <c r="L1768" s="1" t="s">
        <v>895</v>
      </c>
      <c r="N1768" s="1" t="s">
        <v>7905</v>
      </c>
      <c r="P1768" s="1" t="s">
        <v>7906</v>
      </c>
      <c r="Q1768" s="3">
        <v>1</v>
      </c>
      <c r="R1768" s="22" t="s">
        <v>2721</v>
      </c>
      <c r="S1768" s="42" t="s">
        <v>6914</v>
      </c>
      <c r="T1768" s="3" t="s">
        <v>4866</v>
      </c>
      <c r="U1768" s="45">
        <v>35</v>
      </c>
      <c r="V1768" t="s">
        <v>7907</v>
      </c>
      <c r="W1768" s="1" t="str">
        <f>HYPERLINK("http://ictvonline.org/taxonomy/p/taxonomy-history?taxnode_id=201907892","ICTVonline=201907892")</f>
        <v>ICTVonline=201907892</v>
      </c>
    </row>
    <row r="1769" spans="1:23">
      <c r="A1769" s="3">
        <v>1768</v>
      </c>
      <c r="B1769" s="1" t="s">
        <v>6915</v>
      </c>
      <c r="D1769" s="1" t="s">
        <v>6916</v>
      </c>
      <c r="F1769" s="1" t="s">
        <v>6920</v>
      </c>
      <c r="H1769" s="1" t="s">
        <v>6921</v>
      </c>
      <c r="J1769" s="1" t="s">
        <v>1324</v>
      </c>
      <c r="L1769" s="1" t="s">
        <v>895</v>
      </c>
      <c r="N1769" s="1" t="s">
        <v>7908</v>
      </c>
      <c r="P1769" s="1" t="s">
        <v>7909</v>
      </c>
      <c r="Q1769" s="3">
        <v>1</v>
      </c>
      <c r="R1769" s="22" t="s">
        <v>2721</v>
      </c>
      <c r="S1769" s="42" t="s">
        <v>6914</v>
      </c>
      <c r="T1769" s="3" t="s">
        <v>4866</v>
      </c>
      <c r="U1769" s="45">
        <v>35</v>
      </c>
      <c r="V1769" t="s">
        <v>7896</v>
      </c>
      <c r="W1769" s="1" t="str">
        <f>HYPERLINK("http://ictvonline.org/taxonomy/p/taxonomy-history?taxnode_id=201908065","ICTVonline=201908065")</f>
        <v>ICTVonline=201908065</v>
      </c>
    </row>
    <row r="1770" spans="1:23">
      <c r="A1770" s="3">
        <v>1769</v>
      </c>
      <c r="B1770" s="1" t="s">
        <v>6915</v>
      </c>
      <c r="D1770" s="1" t="s">
        <v>6916</v>
      </c>
      <c r="F1770" s="1" t="s">
        <v>6920</v>
      </c>
      <c r="H1770" s="1" t="s">
        <v>6921</v>
      </c>
      <c r="J1770" s="1" t="s">
        <v>1324</v>
      </c>
      <c r="L1770" s="1" t="s">
        <v>895</v>
      </c>
      <c r="N1770" s="1" t="s">
        <v>6663</v>
      </c>
      <c r="P1770" s="1" t="s">
        <v>2984</v>
      </c>
      <c r="Q1770" s="3">
        <v>1</v>
      </c>
      <c r="R1770" s="22" t="s">
        <v>2721</v>
      </c>
      <c r="S1770" s="42" t="s">
        <v>6910</v>
      </c>
      <c r="T1770" s="3" t="s">
        <v>4868</v>
      </c>
      <c r="U1770" s="45">
        <v>35</v>
      </c>
      <c r="V1770" t="s">
        <v>6919</v>
      </c>
      <c r="W1770" s="1" t="str">
        <f>HYPERLINK("http://ictvonline.org/taxonomy/p/taxonomy-history?taxnode_id=201900969","ICTVonline=201900969")</f>
        <v>ICTVonline=201900969</v>
      </c>
    </row>
    <row r="1771" spans="1:23">
      <c r="A1771" s="3">
        <v>1770</v>
      </c>
      <c r="B1771" s="1" t="s">
        <v>6915</v>
      </c>
      <c r="D1771" s="1" t="s">
        <v>6916</v>
      </c>
      <c r="F1771" s="1" t="s">
        <v>6920</v>
      </c>
      <c r="H1771" s="1" t="s">
        <v>6921</v>
      </c>
      <c r="J1771" s="1" t="s">
        <v>1324</v>
      </c>
      <c r="L1771" s="1" t="s">
        <v>895</v>
      </c>
      <c r="N1771" s="1" t="s">
        <v>6663</v>
      </c>
      <c r="P1771" s="1" t="s">
        <v>2985</v>
      </c>
      <c r="Q1771" s="3">
        <v>0</v>
      </c>
      <c r="R1771" s="22" t="s">
        <v>2721</v>
      </c>
      <c r="S1771" s="42" t="s">
        <v>6910</v>
      </c>
      <c r="T1771" s="3" t="s">
        <v>4868</v>
      </c>
      <c r="U1771" s="45">
        <v>35</v>
      </c>
      <c r="V1771" t="s">
        <v>6919</v>
      </c>
      <c r="W1771" s="1" t="str">
        <f>HYPERLINK("http://ictvonline.org/taxonomy/p/taxonomy-history?taxnode_id=201900970","ICTVonline=201900970")</f>
        <v>ICTVonline=201900970</v>
      </c>
    </row>
    <row r="1772" spans="1:23">
      <c r="A1772" s="3">
        <v>1771</v>
      </c>
      <c r="B1772" s="1" t="s">
        <v>6915</v>
      </c>
      <c r="D1772" s="1" t="s">
        <v>6916</v>
      </c>
      <c r="F1772" s="1" t="s">
        <v>6920</v>
      </c>
      <c r="H1772" s="1" t="s">
        <v>6921</v>
      </c>
      <c r="J1772" s="1" t="s">
        <v>1324</v>
      </c>
      <c r="L1772" s="1" t="s">
        <v>895</v>
      </c>
      <c r="N1772" s="1" t="s">
        <v>6664</v>
      </c>
      <c r="P1772" s="1" t="s">
        <v>3383</v>
      </c>
      <c r="Q1772" s="3">
        <v>0</v>
      </c>
      <c r="R1772" s="22" t="s">
        <v>2721</v>
      </c>
      <c r="S1772" s="42" t="s">
        <v>6910</v>
      </c>
      <c r="T1772" s="3" t="s">
        <v>4868</v>
      </c>
      <c r="U1772" s="45">
        <v>35</v>
      </c>
      <c r="V1772" t="s">
        <v>6919</v>
      </c>
      <c r="W1772" s="1" t="str">
        <f>HYPERLINK("http://ictvonline.org/taxonomy/p/taxonomy-history?taxnode_id=201901318","ICTVonline=201901318")</f>
        <v>ICTVonline=201901318</v>
      </c>
    </row>
    <row r="1773" spans="1:23">
      <c r="A1773" s="3">
        <v>1772</v>
      </c>
      <c r="B1773" s="1" t="s">
        <v>6915</v>
      </c>
      <c r="D1773" s="1" t="s">
        <v>6916</v>
      </c>
      <c r="F1773" s="1" t="s">
        <v>6920</v>
      </c>
      <c r="H1773" s="1" t="s">
        <v>6921</v>
      </c>
      <c r="J1773" s="1" t="s">
        <v>1324</v>
      </c>
      <c r="L1773" s="1" t="s">
        <v>895</v>
      </c>
      <c r="N1773" s="1" t="s">
        <v>6664</v>
      </c>
      <c r="P1773" s="1" t="s">
        <v>3384</v>
      </c>
      <c r="Q1773" s="3">
        <v>1</v>
      </c>
      <c r="R1773" s="22" t="s">
        <v>2721</v>
      </c>
      <c r="S1773" s="42" t="s">
        <v>6910</v>
      </c>
      <c r="T1773" s="3" t="s">
        <v>4868</v>
      </c>
      <c r="U1773" s="45">
        <v>35</v>
      </c>
      <c r="V1773" t="s">
        <v>6919</v>
      </c>
      <c r="W1773" s="1" t="str">
        <f>HYPERLINK("http://ictvonline.org/taxonomy/p/taxonomy-history?taxnode_id=201901319","ICTVonline=201901319")</f>
        <v>ICTVonline=201901319</v>
      </c>
    </row>
    <row r="1774" spans="1:23">
      <c r="A1774" s="3">
        <v>1773</v>
      </c>
      <c r="B1774" s="1" t="s">
        <v>6915</v>
      </c>
      <c r="D1774" s="1" t="s">
        <v>6916</v>
      </c>
      <c r="F1774" s="1" t="s">
        <v>6920</v>
      </c>
      <c r="H1774" s="1" t="s">
        <v>6921</v>
      </c>
      <c r="J1774" s="1" t="s">
        <v>1324</v>
      </c>
      <c r="L1774" s="1" t="s">
        <v>895</v>
      </c>
      <c r="N1774" s="1" t="s">
        <v>4348</v>
      </c>
      <c r="P1774" s="1" t="s">
        <v>4349</v>
      </c>
      <c r="Q1774" s="3">
        <v>1</v>
      </c>
      <c r="R1774" s="22" t="s">
        <v>2721</v>
      </c>
      <c r="S1774" s="42" t="s">
        <v>6910</v>
      </c>
      <c r="T1774" s="3" t="s">
        <v>4868</v>
      </c>
      <c r="U1774" s="45">
        <v>35</v>
      </c>
      <c r="V1774" t="s">
        <v>6919</v>
      </c>
      <c r="W1774" s="1" t="str">
        <f>HYPERLINK("http://ictvonline.org/taxonomy/p/taxonomy-history?taxnode_id=201901079","ICTVonline=201901079")</f>
        <v>ICTVonline=201901079</v>
      </c>
    </row>
    <row r="1775" spans="1:23">
      <c r="A1775" s="3">
        <v>1774</v>
      </c>
      <c r="B1775" s="1" t="s">
        <v>6915</v>
      </c>
      <c r="D1775" s="1" t="s">
        <v>6916</v>
      </c>
      <c r="F1775" s="1" t="s">
        <v>6920</v>
      </c>
      <c r="H1775" s="1" t="s">
        <v>6921</v>
      </c>
      <c r="J1775" s="1" t="s">
        <v>1324</v>
      </c>
      <c r="L1775" s="1" t="s">
        <v>895</v>
      </c>
      <c r="N1775" s="1" t="s">
        <v>4348</v>
      </c>
      <c r="P1775" s="1" t="s">
        <v>4350</v>
      </c>
      <c r="Q1775" s="3">
        <v>0</v>
      </c>
      <c r="R1775" s="22" t="s">
        <v>2721</v>
      </c>
      <c r="S1775" s="42" t="s">
        <v>6910</v>
      </c>
      <c r="T1775" s="3" t="s">
        <v>4868</v>
      </c>
      <c r="U1775" s="45">
        <v>35</v>
      </c>
      <c r="V1775" t="s">
        <v>6919</v>
      </c>
      <c r="W1775" s="1" t="str">
        <f>HYPERLINK("http://ictvonline.org/taxonomy/p/taxonomy-history?taxnode_id=201901080","ICTVonline=201901080")</f>
        <v>ICTVonline=201901080</v>
      </c>
    </row>
    <row r="1776" spans="1:23">
      <c r="A1776" s="3">
        <v>1775</v>
      </c>
      <c r="B1776" s="1" t="s">
        <v>6915</v>
      </c>
      <c r="D1776" s="1" t="s">
        <v>6916</v>
      </c>
      <c r="F1776" s="1" t="s">
        <v>6920</v>
      </c>
      <c r="H1776" s="1" t="s">
        <v>6921</v>
      </c>
      <c r="J1776" s="1" t="s">
        <v>1324</v>
      </c>
      <c r="L1776" s="1" t="s">
        <v>895</v>
      </c>
      <c r="N1776" s="1" t="s">
        <v>7910</v>
      </c>
      <c r="P1776" s="1" t="s">
        <v>7911</v>
      </c>
      <c r="Q1776" s="3">
        <v>1</v>
      </c>
      <c r="R1776" s="22" t="s">
        <v>2721</v>
      </c>
      <c r="S1776" s="42" t="s">
        <v>6914</v>
      </c>
      <c r="T1776" s="3" t="s">
        <v>4866</v>
      </c>
      <c r="U1776" s="45">
        <v>35</v>
      </c>
      <c r="V1776" t="s">
        <v>7912</v>
      </c>
      <c r="W1776" s="1" t="str">
        <f>HYPERLINK("http://ictvonline.org/taxonomy/p/taxonomy-history?taxnode_id=201907894","ICTVonline=201907894")</f>
        <v>ICTVonline=201907894</v>
      </c>
    </row>
    <row r="1777" spans="1:23">
      <c r="A1777" s="3">
        <v>1776</v>
      </c>
      <c r="B1777" s="1" t="s">
        <v>6915</v>
      </c>
      <c r="D1777" s="1" t="s">
        <v>6916</v>
      </c>
      <c r="F1777" s="1" t="s">
        <v>6920</v>
      </c>
      <c r="H1777" s="1" t="s">
        <v>6921</v>
      </c>
      <c r="J1777" s="1" t="s">
        <v>1324</v>
      </c>
      <c r="L1777" s="1" t="s">
        <v>895</v>
      </c>
      <c r="N1777" s="1" t="s">
        <v>7913</v>
      </c>
      <c r="P1777" s="1" t="s">
        <v>7914</v>
      </c>
      <c r="Q1777" s="3">
        <v>1</v>
      </c>
      <c r="R1777" s="22" t="s">
        <v>2721</v>
      </c>
      <c r="S1777" s="42" t="s">
        <v>6914</v>
      </c>
      <c r="T1777" s="3" t="s">
        <v>4866</v>
      </c>
      <c r="U1777" s="45">
        <v>35</v>
      </c>
      <c r="V1777" t="s">
        <v>7915</v>
      </c>
      <c r="W1777" s="1" t="str">
        <f>HYPERLINK("http://ictvonline.org/taxonomy/p/taxonomy-history?taxnode_id=201907453","ICTVonline=201907453")</f>
        <v>ICTVonline=201907453</v>
      </c>
    </row>
    <row r="1778" spans="1:23">
      <c r="A1778" s="3">
        <v>1777</v>
      </c>
      <c r="B1778" s="1" t="s">
        <v>6915</v>
      </c>
      <c r="D1778" s="1" t="s">
        <v>6916</v>
      </c>
      <c r="F1778" s="1" t="s">
        <v>6920</v>
      </c>
      <c r="H1778" s="1" t="s">
        <v>6921</v>
      </c>
      <c r="J1778" s="1" t="s">
        <v>1324</v>
      </c>
      <c r="L1778" s="1" t="s">
        <v>895</v>
      </c>
      <c r="N1778" s="1" t="s">
        <v>7916</v>
      </c>
      <c r="P1778" s="1" t="s">
        <v>7917</v>
      </c>
      <c r="Q1778" s="3">
        <v>0</v>
      </c>
      <c r="R1778" s="22" t="s">
        <v>2721</v>
      </c>
      <c r="S1778" s="42" t="s">
        <v>6914</v>
      </c>
      <c r="T1778" s="3" t="s">
        <v>4866</v>
      </c>
      <c r="U1778" s="45">
        <v>35</v>
      </c>
      <c r="V1778" t="s">
        <v>7918</v>
      </c>
      <c r="W1778" s="1" t="str">
        <f>HYPERLINK("http://ictvonline.org/taxonomy/p/taxonomy-history?taxnode_id=201907898","ICTVonline=201907898")</f>
        <v>ICTVonline=201907898</v>
      </c>
    </row>
    <row r="1779" spans="1:23">
      <c r="A1779" s="3">
        <v>1778</v>
      </c>
      <c r="B1779" s="1" t="s">
        <v>6915</v>
      </c>
      <c r="D1779" s="1" t="s">
        <v>6916</v>
      </c>
      <c r="F1779" s="1" t="s">
        <v>6920</v>
      </c>
      <c r="H1779" s="1" t="s">
        <v>6921</v>
      </c>
      <c r="J1779" s="1" t="s">
        <v>1324</v>
      </c>
      <c r="L1779" s="1" t="s">
        <v>895</v>
      </c>
      <c r="N1779" s="1" t="s">
        <v>7916</v>
      </c>
      <c r="P1779" s="1" t="s">
        <v>7919</v>
      </c>
      <c r="Q1779" s="3">
        <v>1</v>
      </c>
      <c r="R1779" s="22" t="s">
        <v>2721</v>
      </c>
      <c r="S1779" s="42" t="s">
        <v>6914</v>
      </c>
      <c r="T1779" s="3" t="s">
        <v>4866</v>
      </c>
      <c r="U1779" s="45">
        <v>35</v>
      </c>
      <c r="V1779" t="s">
        <v>7918</v>
      </c>
      <c r="W1779" s="1" t="str">
        <f>HYPERLINK("http://ictvonline.org/taxonomy/p/taxonomy-history?taxnode_id=201907896","ICTVonline=201907896")</f>
        <v>ICTVonline=201907896</v>
      </c>
    </row>
    <row r="1780" spans="1:23">
      <c r="A1780" s="3">
        <v>1779</v>
      </c>
      <c r="B1780" s="1" t="s">
        <v>6915</v>
      </c>
      <c r="D1780" s="1" t="s">
        <v>6916</v>
      </c>
      <c r="F1780" s="1" t="s">
        <v>6920</v>
      </c>
      <c r="H1780" s="1" t="s">
        <v>6921</v>
      </c>
      <c r="J1780" s="1" t="s">
        <v>1324</v>
      </c>
      <c r="L1780" s="1" t="s">
        <v>895</v>
      </c>
      <c r="N1780" s="1" t="s">
        <v>7916</v>
      </c>
      <c r="P1780" s="1" t="s">
        <v>7920</v>
      </c>
      <c r="Q1780" s="3">
        <v>0</v>
      </c>
      <c r="R1780" s="22" t="s">
        <v>2721</v>
      </c>
      <c r="S1780" s="42" t="s">
        <v>6914</v>
      </c>
      <c r="T1780" s="3" t="s">
        <v>4866</v>
      </c>
      <c r="U1780" s="45">
        <v>35</v>
      </c>
      <c r="V1780" t="s">
        <v>7918</v>
      </c>
      <c r="W1780" s="1" t="str">
        <f>HYPERLINK("http://ictvonline.org/taxonomy/p/taxonomy-history?taxnode_id=201907897","ICTVonline=201907897")</f>
        <v>ICTVonline=201907897</v>
      </c>
    </row>
    <row r="1781" spans="1:23">
      <c r="A1781" s="3">
        <v>1780</v>
      </c>
      <c r="B1781" s="1" t="s">
        <v>6915</v>
      </c>
      <c r="D1781" s="1" t="s">
        <v>6916</v>
      </c>
      <c r="F1781" s="1" t="s">
        <v>6920</v>
      </c>
      <c r="H1781" s="1" t="s">
        <v>6921</v>
      </c>
      <c r="J1781" s="1" t="s">
        <v>1324</v>
      </c>
      <c r="L1781" s="1" t="s">
        <v>895</v>
      </c>
      <c r="N1781" s="1" t="s">
        <v>6665</v>
      </c>
      <c r="P1781" s="1" t="s">
        <v>6666</v>
      </c>
      <c r="Q1781" s="3">
        <v>1</v>
      </c>
      <c r="R1781" s="22" t="s">
        <v>2721</v>
      </c>
      <c r="S1781" s="42" t="s">
        <v>6910</v>
      </c>
      <c r="T1781" s="3" t="s">
        <v>4868</v>
      </c>
      <c r="U1781" s="45">
        <v>35</v>
      </c>
      <c r="V1781" t="s">
        <v>6919</v>
      </c>
      <c r="W1781" s="1" t="str">
        <f>HYPERLINK("http://ictvonline.org/taxonomy/p/taxonomy-history?taxnode_id=201906747","ICTVonline=201906747")</f>
        <v>ICTVonline=201906747</v>
      </c>
    </row>
    <row r="1782" spans="1:23">
      <c r="A1782" s="3">
        <v>1781</v>
      </c>
      <c r="B1782" s="1" t="s">
        <v>6915</v>
      </c>
      <c r="D1782" s="1" t="s">
        <v>6916</v>
      </c>
      <c r="F1782" s="1" t="s">
        <v>6920</v>
      </c>
      <c r="H1782" s="1" t="s">
        <v>6921</v>
      </c>
      <c r="J1782" s="1" t="s">
        <v>1324</v>
      </c>
      <c r="L1782" s="1" t="s">
        <v>895</v>
      </c>
      <c r="N1782" s="1" t="s">
        <v>6667</v>
      </c>
      <c r="P1782" s="1" t="s">
        <v>3348</v>
      </c>
      <c r="Q1782" s="3">
        <v>0</v>
      </c>
      <c r="R1782" s="22" t="s">
        <v>2721</v>
      </c>
      <c r="S1782" s="42" t="s">
        <v>6910</v>
      </c>
      <c r="T1782" s="3" t="s">
        <v>4868</v>
      </c>
      <c r="U1782" s="45">
        <v>35</v>
      </c>
      <c r="V1782" t="s">
        <v>6919</v>
      </c>
      <c r="W1782" s="1" t="str">
        <f>HYPERLINK("http://ictvonline.org/taxonomy/p/taxonomy-history?taxnode_id=201901273","ICTVonline=201901273")</f>
        <v>ICTVonline=201901273</v>
      </c>
    </row>
    <row r="1783" spans="1:23">
      <c r="A1783" s="3">
        <v>1782</v>
      </c>
      <c r="B1783" s="1" t="s">
        <v>6915</v>
      </c>
      <c r="D1783" s="1" t="s">
        <v>6916</v>
      </c>
      <c r="F1783" s="1" t="s">
        <v>6920</v>
      </c>
      <c r="H1783" s="1" t="s">
        <v>6921</v>
      </c>
      <c r="J1783" s="1" t="s">
        <v>1324</v>
      </c>
      <c r="L1783" s="1" t="s">
        <v>895</v>
      </c>
      <c r="N1783" s="1" t="s">
        <v>6667</v>
      </c>
      <c r="P1783" s="1" t="s">
        <v>3349</v>
      </c>
      <c r="Q1783" s="3">
        <v>1</v>
      </c>
      <c r="R1783" s="22" t="s">
        <v>2721</v>
      </c>
      <c r="S1783" s="42" t="s">
        <v>6910</v>
      </c>
      <c r="T1783" s="3" t="s">
        <v>4868</v>
      </c>
      <c r="U1783" s="45">
        <v>35</v>
      </c>
      <c r="V1783" t="s">
        <v>6919</v>
      </c>
      <c r="W1783" s="1" t="str">
        <f>HYPERLINK("http://ictvonline.org/taxonomy/p/taxonomy-history?taxnode_id=201901274","ICTVonline=201901274")</f>
        <v>ICTVonline=201901274</v>
      </c>
    </row>
    <row r="1784" spans="1:23">
      <c r="A1784" s="3">
        <v>1783</v>
      </c>
      <c r="B1784" s="1" t="s">
        <v>6915</v>
      </c>
      <c r="D1784" s="1" t="s">
        <v>6916</v>
      </c>
      <c r="F1784" s="1" t="s">
        <v>6920</v>
      </c>
      <c r="H1784" s="1" t="s">
        <v>6921</v>
      </c>
      <c r="J1784" s="1" t="s">
        <v>1324</v>
      </c>
      <c r="L1784" s="1" t="s">
        <v>895</v>
      </c>
      <c r="N1784" s="1" t="s">
        <v>6667</v>
      </c>
      <c r="P1784" s="1" t="s">
        <v>3350</v>
      </c>
      <c r="Q1784" s="3">
        <v>0</v>
      </c>
      <c r="R1784" s="22" t="s">
        <v>2721</v>
      </c>
      <c r="S1784" s="42" t="s">
        <v>6910</v>
      </c>
      <c r="T1784" s="3" t="s">
        <v>4868</v>
      </c>
      <c r="U1784" s="45">
        <v>35</v>
      </c>
      <c r="V1784" t="s">
        <v>6919</v>
      </c>
      <c r="W1784" s="1" t="str">
        <f>HYPERLINK("http://ictvonline.org/taxonomy/p/taxonomy-history?taxnode_id=201901275","ICTVonline=201901275")</f>
        <v>ICTVonline=201901275</v>
      </c>
    </row>
    <row r="1785" spans="1:23">
      <c r="A1785" s="3">
        <v>1784</v>
      </c>
      <c r="B1785" s="1" t="s">
        <v>6915</v>
      </c>
      <c r="D1785" s="1" t="s">
        <v>6916</v>
      </c>
      <c r="F1785" s="1" t="s">
        <v>6920</v>
      </c>
      <c r="H1785" s="1" t="s">
        <v>6921</v>
      </c>
      <c r="J1785" s="1" t="s">
        <v>1324</v>
      </c>
      <c r="L1785" s="1" t="s">
        <v>895</v>
      </c>
      <c r="N1785" s="1" t="s">
        <v>6667</v>
      </c>
      <c r="P1785" s="1" t="s">
        <v>3351</v>
      </c>
      <c r="Q1785" s="3">
        <v>0</v>
      </c>
      <c r="R1785" s="22" t="s">
        <v>2721</v>
      </c>
      <c r="S1785" s="42" t="s">
        <v>6910</v>
      </c>
      <c r="T1785" s="3" t="s">
        <v>4868</v>
      </c>
      <c r="U1785" s="45">
        <v>35</v>
      </c>
      <c r="V1785" t="s">
        <v>6919</v>
      </c>
      <c r="W1785" s="1" t="str">
        <f>HYPERLINK("http://ictvonline.org/taxonomy/p/taxonomy-history?taxnode_id=201901276","ICTVonline=201901276")</f>
        <v>ICTVonline=201901276</v>
      </c>
    </row>
    <row r="1786" spans="1:23">
      <c r="A1786" s="3">
        <v>1785</v>
      </c>
      <c r="B1786" s="1" t="s">
        <v>6915</v>
      </c>
      <c r="D1786" s="1" t="s">
        <v>6916</v>
      </c>
      <c r="F1786" s="1" t="s">
        <v>6920</v>
      </c>
      <c r="H1786" s="1" t="s">
        <v>6921</v>
      </c>
      <c r="J1786" s="1" t="s">
        <v>1324</v>
      </c>
      <c r="L1786" s="1" t="s">
        <v>895</v>
      </c>
      <c r="N1786" s="1" t="s">
        <v>6667</v>
      </c>
      <c r="P1786" s="1" t="s">
        <v>3352</v>
      </c>
      <c r="Q1786" s="3">
        <v>0</v>
      </c>
      <c r="R1786" s="22" t="s">
        <v>2721</v>
      </c>
      <c r="S1786" s="42" t="s">
        <v>6910</v>
      </c>
      <c r="T1786" s="3" t="s">
        <v>4868</v>
      </c>
      <c r="U1786" s="45">
        <v>35</v>
      </c>
      <c r="V1786" t="s">
        <v>6919</v>
      </c>
      <c r="W1786" s="1" t="str">
        <f>HYPERLINK("http://ictvonline.org/taxonomy/p/taxonomy-history?taxnode_id=201901277","ICTVonline=201901277")</f>
        <v>ICTVonline=201901277</v>
      </c>
    </row>
    <row r="1787" spans="1:23">
      <c r="A1787" s="3">
        <v>1786</v>
      </c>
      <c r="B1787" s="1" t="s">
        <v>6915</v>
      </c>
      <c r="D1787" s="1" t="s">
        <v>6916</v>
      </c>
      <c r="F1787" s="1" t="s">
        <v>6920</v>
      </c>
      <c r="H1787" s="1" t="s">
        <v>6921</v>
      </c>
      <c r="J1787" s="1" t="s">
        <v>1324</v>
      </c>
      <c r="L1787" s="1" t="s">
        <v>895</v>
      </c>
      <c r="N1787" s="1" t="s">
        <v>7921</v>
      </c>
      <c r="P1787" s="1" t="s">
        <v>7922</v>
      </c>
      <c r="Q1787" s="3">
        <v>0</v>
      </c>
      <c r="R1787" s="22" t="s">
        <v>2721</v>
      </c>
      <c r="S1787" s="42" t="s">
        <v>6910</v>
      </c>
      <c r="T1787" s="3" t="s">
        <v>4866</v>
      </c>
      <c r="U1787" s="45">
        <v>35</v>
      </c>
      <c r="V1787" t="s">
        <v>7923</v>
      </c>
      <c r="W1787" s="1" t="str">
        <f>HYPERLINK("http://ictvonline.org/taxonomy/p/taxonomy-history?taxnode_id=201908659","ICTVonline=201908659")</f>
        <v>ICTVonline=201908659</v>
      </c>
    </row>
    <row r="1788" spans="1:23">
      <c r="A1788" s="3">
        <v>1787</v>
      </c>
      <c r="B1788" s="1" t="s">
        <v>6915</v>
      </c>
      <c r="D1788" s="1" t="s">
        <v>6916</v>
      </c>
      <c r="F1788" s="1" t="s">
        <v>6920</v>
      </c>
      <c r="H1788" s="1" t="s">
        <v>6921</v>
      </c>
      <c r="J1788" s="1" t="s">
        <v>1324</v>
      </c>
      <c r="L1788" s="1" t="s">
        <v>895</v>
      </c>
      <c r="N1788" s="1" t="s">
        <v>7921</v>
      </c>
      <c r="P1788" s="1" t="s">
        <v>7924</v>
      </c>
      <c r="Q1788" s="3">
        <v>0</v>
      </c>
      <c r="R1788" s="22" t="s">
        <v>2721</v>
      </c>
      <c r="S1788" s="42" t="s">
        <v>6910</v>
      </c>
      <c r="T1788" s="3" t="s">
        <v>4866</v>
      </c>
      <c r="U1788" s="45">
        <v>35</v>
      </c>
      <c r="V1788" t="s">
        <v>7923</v>
      </c>
      <c r="W1788" s="1" t="str">
        <f>HYPERLINK("http://ictvonline.org/taxonomy/p/taxonomy-history?taxnode_id=201908658","ICTVonline=201908658")</f>
        <v>ICTVonline=201908658</v>
      </c>
    </row>
    <row r="1789" spans="1:23">
      <c r="A1789" s="3">
        <v>1788</v>
      </c>
      <c r="B1789" s="1" t="s">
        <v>6915</v>
      </c>
      <c r="D1789" s="1" t="s">
        <v>6916</v>
      </c>
      <c r="F1789" s="1" t="s">
        <v>6920</v>
      </c>
      <c r="H1789" s="1" t="s">
        <v>6921</v>
      </c>
      <c r="J1789" s="1" t="s">
        <v>1324</v>
      </c>
      <c r="L1789" s="1" t="s">
        <v>895</v>
      </c>
      <c r="N1789" s="1" t="s">
        <v>7921</v>
      </c>
      <c r="P1789" s="1" t="s">
        <v>4452</v>
      </c>
      <c r="Q1789" s="3">
        <v>1</v>
      </c>
      <c r="R1789" s="22" t="s">
        <v>2721</v>
      </c>
      <c r="S1789" s="42" t="s">
        <v>6910</v>
      </c>
      <c r="T1789" s="3" t="s">
        <v>4871</v>
      </c>
      <c r="U1789" s="45">
        <v>35</v>
      </c>
      <c r="V1789" t="s">
        <v>7923</v>
      </c>
      <c r="W1789" s="1" t="str">
        <f>HYPERLINK("http://ictvonline.org/taxonomy/p/taxonomy-history?taxnode_id=201901374","ICTVonline=201901374")</f>
        <v>ICTVonline=201901374</v>
      </c>
    </row>
    <row r="1790" spans="1:23">
      <c r="A1790" s="3">
        <v>1789</v>
      </c>
      <c r="B1790" s="1" t="s">
        <v>6915</v>
      </c>
      <c r="D1790" s="1" t="s">
        <v>6916</v>
      </c>
      <c r="F1790" s="1" t="s">
        <v>6920</v>
      </c>
      <c r="H1790" s="1" t="s">
        <v>6921</v>
      </c>
      <c r="J1790" s="1" t="s">
        <v>1324</v>
      </c>
      <c r="L1790" s="1" t="s">
        <v>895</v>
      </c>
      <c r="N1790" s="1" t="s">
        <v>7921</v>
      </c>
      <c r="P1790" s="1" t="s">
        <v>7925</v>
      </c>
      <c r="Q1790" s="3">
        <v>0</v>
      </c>
      <c r="R1790" s="22" t="s">
        <v>2721</v>
      </c>
      <c r="S1790" s="42" t="s">
        <v>6910</v>
      </c>
      <c r="T1790" s="3" t="s">
        <v>4866</v>
      </c>
      <c r="U1790" s="45">
        <v>35</v>
      </c>
      <c r="V1790" t="s">
        <v>7923</v>
      </c>
      <c r="W1790" s="1" t="str">
        <f>HYPERLINK("http://ictvonline.org/taxonomy/p/taxonomy-history?taxnode_id=201908660","ICTVonline=201908660")</f>
        <v>ICTVonline=201908660</v>
      </c>
    </row>
    <row r="1791" spans="1:23">
      <c r="A1791" s="3">
        <v>1790</v>
      </c>
      <c r="B1791" s="1" t="s">
        <v>6915</v>
      </c>
      <c r="D1791" s="1" t="s">
        <v>6916</v>
      </c>
      <c r="F1791" s="1" t="s">
        <v>6920</v>
      </c>
      <c r="H1791" s="1" t="s">
        <v>6921</v>
      </c>
      <c r="J1791" s="1" t="s">
        <v>1324</v>
      </c>
      <c r="L1791" s="1" t="s">
        <v>895</v>
      </c>
      <c r="N1791" s="1" t="s">
        <v>4351</v>
      </c>
      <c r="P1791" s="1" t="s">
        <v>4352</v>
      </c>
      <c r="Q1791" s="3">
        <v>0</v>
      </c>
      <c r="R1791" s="22" t="s">
        <v>2721</v>
      </c>
      <c r="S1791" s="42" t="s">
        <v>6910</v>
      </c>
      <c r="T1791" s="3" t="s">
        <v>4868</v>
      </c>
      <c r="U1791" s="45">
        <v>35</v>
      </c>
      <c r="V1791" t="s">
        <v>6919</v>
      </c>
      <c r="W1791" s="1" t="str">
        <f>HYPERLINK("http://ictvonline.org/taxonomy/p/taxonomy-history?taxnode_id=201901082","ICTVonline=201901082")</f>
        <v>ICTVonline=201901082</v>
      </c>
    </row>
    <row r="1792" spans="1:23">
      <c r="A1792" s="3">
        <v>1791</v>
      </c>
      <c r="B1792" s="1" t="s">
        <v>6915</v>
      </c>
      <c r="D1792" s="1" t="s">
        <v>6916</v>
      </c>
      <c r="F1792" s="1" t="s">
        <v>6920</v>
      </c>
      <c r="H1792" s="1" t="s">
        <v>6921</v>
      </c>
      <c r="J1792" s="1" t="s">
        <v>1324</v>
      </c>
      <c r="L1792" s="1" t="s">
        <v>895</v>
      </c>
      <c r="N1792" s="1" t="s">
        <v>4351</v>
      </c>
      <c r="P1792" s="1" t="s">
        <v>4353</v>
      </c>
      <c r="Q1792" s="3">
        <v>1</v>
      </c>
      <c r="R1792" s="22" t="s">
        <v>2721</v>
      </c>
      <c r="S1792" s="42" t="s">
        <v>6910</v>
      </c>
      <c r="T1792" s="3" t="s">
        <v>4868</v>
      </c>
      <c r="U1792" s="45">
        <v>35</v>
      </c>
      <c r="V1792" t="s">
        <v>6919</v>
      </c>
      <c r="W1792" s="1" t="str">
        <f>HYPERLINK("http://ictvonline.org/taxonomy/p/taxonomy-history?taxnode_id=201901083","ICTVonline=201901083")</f>
        <v>ICTVonline=201901083</v>
      </c>
    </row>
    <row r="1793" spans="1:23">
      <c r="A1793" s="3">
        <v>1792</v>
      </c>
      <c r="B1793" s="1" t="s">
        <v>6915</v>
      </c>
      <c r="D1793" s="1" t="s">
        <v>6916</v>
      </c>
      <c r="F1793" s="1" t="s">
        <v>6920</v>
      </c>
      <c r="H1793" s="1" t="s">
        <v>6921</v>
      </c>
      <c r="J1793" s="1" t="s">
        <v>1324</v>
      </c>
      <c r="L1793" s="1" t="s">
        <v>895</v>
      </c>
      <c r="N1793" s="1" t="s">
        <v>7926</v>
      </c>
      <c r="P1793" s="1" t="s">
        <v>7927</v>
      </c>
      <c r="Q1793" s="3">
        <v>1</v>
      </c>
      <c r="R1793" s="22" t="s">
        <v>2721</v>
      </c>
      <c r="S1793" s="42" t="s">
        <v>6914</v>
      </c>
      <c r="T1793" s="3" t="s">
        <v>4866</v>
      </c>
      <c r="U1793" s="45">
        <v>35</v>
      </c>
      <c r="V1793" t="s">
        <v>7928</v>
      </c>
      <c r="W1793" s="1" t="str">
        <f>HYPERLINK("http://ictvonline.org/taxonomy/p/taxonomy-history?taxnode_id=201907905","ICTVonline=201907905")</f>
        <v>ICTVonline=201907905</v>
      </c>
    </row>
    <row r="1794" spans="1:23">
      <c r="A1794" s="3">
        <v>1793</v>
      </c>
      <c r="B1794" s="1" t="s">
        <v>6915</v>
      </c>
      <c r="D1794" s="1" t="s">
        <v>6916</v>
      </c>
      <c r="F1794" s="1" t="s">
        <v>6920</v>
      </c>
      <c r="H1794" s="1" t="s">
        <v>6921</v>
      </c>
      <c r="J1794" s="1" t="s">
        <v>1324</v>
      </c>
      <c r="L1794" s="1" t="s">
        <v>895</v>
      </c>
      <c r="N1794" s="1" t="s">
        <v>7926</v>
      </c>
      <c r="P1794" s="1" t="s">
        <v>7929</v>
      </c>
      <c r="Q1794" s="3">
        <v>0</v>
      </c>
      <c r="R1794" s="22" t="s">
        <v>2721</v>
      </c>
      <c r="S1794" s="42" t="s">
        <v>6914</v>
      </c>
      <c r="T1794" s="3" t="s">
        <v>4866</v>
      </c>
      <c r="U1794" s="45">
        <v>35</v>
      </c>
      <c r="V1794" t="s">
        <v>7928</v>
      </c>
      <c r="W1794" s="1" t="str">
        <f>HYPERLINK("http://ictvonline.org/taxonomy/p/taxonomy-history?taxnode_id=201907906","ICTVonline=201907906")</f>
        <v>ICTVonline=201907906</v>
      </c>
    </row>
    <row r="1795" spans="1:23">
      <c r="A1795" s="3">
        <v>1794</v>
      </c>
      <c r="B1795" s="1" t="s">
        <v>6915</v>
      </c>
      <c r="D1795" s="1" t="s">
        <v>6916</v>
      </c>
      <c r="F1795" s="1" t="s">
        <v>6920</v>
      </c>
      <c r="H1795" s="1" t="s">
        <v>6921</v>
      </c>
      <c r="J1795" s="1" t="s">
        <v>1324</v>
      </c>
      <c r="L1795" s="1" t="s">
        <v>895</v>
      </c>
      <c r="N1795" s="1" t="s">
        <v>6670</v>
      </c>
      <c r="P1795" s="1" t="s">
        <v>6671</v>
      </c>
      <c r="Q1795" s="3">
        <v>1</v>
      </c>
      <c r="R1795" s="22" t="s">
        <v>2721</v>
      </c>
      <c r="S1795" s="42" t="s">
        <v>6910</v>
      </c>
      <c r="T1795" s="3" t="s">
        <v>4868</v>
      </c>
      <c r="U1795" s="45">
        <v>35</v>
      </c>
      <c r="V1795" t="s">
        <v>6919</v>
      </c>
      <c r="W1795" s="1" t="str">
        <f>HYPERLINK("http://ictvonline.org/taxonomy/p/taxonomy-history?taxnode_id=201906879","ICTVonline=201906879")</f>
        <v>ICTVonline=201906879</v>
      </c>
    </row>
    <row r="1796" spans="1:23">
      <c r="A1796" s="3">
        <v>1795</v>
      </c>
      <c r="B1796" s="1" t="s">
        <v>6915</v>
      </c>
      <c r="D1796" s="1" t="s">
        <v>6916</v>
      </c>
      <c r="F1796" s="1" t="s">
        <v>6920</v>
      </c>
      <c r="H1796" s="1" t="s">
        <v>6921</v>
      </c>
      <c r="J1796" s="1" t="s">
        <v>1324</v>
      </c>
      <c r="L1796" s="1" t="s">
        <v>895</v>
      </c>
      <c r="N1796" s="1" t="s">
        <v>6365</v>
      </c>
      <c r="P1796" s="1" t="s">
        <v>6366</v>
      </c>
      <c r="Q1796" s="3">
        <v>1</v>
      </c>
      <c r="R1796" s="22" t="s">
        <v>2721</v>
      </c>
      <c r="S1796" s="42" t="s">
        <v>6910</v>
      </c>
      <c r="T1796" s="3" t="s">
        <v>4868</v>
      </c>
      <c r="U1796" s="45">
        <v>35</v>
      </c>
      <c r="V1796" t="s">
        <v>7599</v>
      </c>
      <c r="W1796" s="1" t="str">
        <f>HYPERLINK("http://ictvonline.org/taxonomy/p/taxonomy-history?taxnode_id=201906776","ICTVonline=201906776")</f>
        <v>ICTVonline=201906776</v>
      </c>
    </row>
    <row r="1797" spans="1:23">
      <c r="A1797" s="3">
        <v>1796</v>
      </c>
      <c r="B1797" s="1" t="s">
        <v>6915</v>
      </c>
      <c r="D1797" s="1" t="s">
        <v>6916</v>
      </c>
      <c r="F1797" s="1" t="s">
        <v>6920</v>
      </c>
      <c r="H1797" s="1" t="s">
        <v>6921</v>
      </c>
      <c r="J1797" s="1" t="s">
        <v>1324</v>
      </c>
      <c r="L1797" s="1" t="s">
        <v>895</v>
      </c>
      <c r="N1797" s="1" t="s">
        <v>7930</v>
      </c>
      <c r="P1797" s="1" t="s">
        <v>7931</v>
      </c>
      <c r="Q1797" s="3">
        <v>1</v>
      </c>
      <c r="R1797" s="22" t="s">
        <v>2721</v>
      </c>
      <c r="S1797" s="42" t="s">
        <v>6914</v>
      </c>
      <c r="T1797" s="3" t="s">
        <v>4866</v>
      </c>
      <c r="U1797" s="45">
        <v>35</v>
      </c>
      <c r="V1797" t="s">
        <v>7932</v>
      </c>
      <c r="W1797" s="1" t="str">
        <f>HYPERLINK("http://ictvonline.org/taxonomy/p/taxonomy-history?taxnode_id=201907931","ICTVonline=201907931")</f>
        <v>ICTVonline=201907931</v>
      </c>
    </row>
    <row r="1798" spans="1:23">
      <c r="A1798" s="3">
        <v>1797</v>
      </c>
      <c r="B1798" s="1" t="s">
        <v>6915</v>
      </c>
      <c r="D1798" s="1" t="s">
        <v>6916</v>
      </c>
      <c r="F1798" s="1" t="s">
        <v>6920</v>
      </c>
      <c r="H1798" s="1" t="s">
        <v>6921</v>
      </c>
      <c r="J1798" s="1" t="s">
        <v>1324</v>
      </c>
      <c r="L1798" s="1" t="s">
        <v>895</v>
      </c>
      <c r="N1798" s="1" t="s">
        <v>6672</v>
      </c>
      <c r="P1798" s="1" t="s">
        <v>6673</v>
      </c>
      <c r="Q1798" s="3">
        <v>1</v>
      </c>
      <c r="R1798" s="22" t="s">
        <v>2721</v>
      </c>
      <c r="S1798" s="42" t="s">
        <v>6910</v>
      </c>
      <c r="T1798" s="3" t="s">
        <v>4868</v>
      </c>
      <c r="U1798" s="45">
        <v>35</v>
      </c>
      <c r="V1798" t="s">
        <v>6919</v>
      </c>
      <c r="W1798" s="1" t="str">
        <f>HYPERLINK("http://ictvonline.org/taxonomy/p/taxonomy-history?taxnode_id=201906852","ICTVonline=201906852")</f>
        <v>ICTVonline=201906852</v>
      </c>
    </row>
    <row r="1799" spans="1:23">
      <c r="A1799" s="3">
        <v>1798</v>
      </c>
      <c r="B1799" s="1" t="s">
        <v>6915</v>
      </c>
      <c r="D1799" s="1" t="s">
        <v>6916</v>
      </c>
      <c r="F1799" s="1" t="s">
        <v>6920</v>
      </c>
      <c r="H1799" s="1" t="s">
        <v>6921</v>
      </c>
      <c r="J1799" s="1" t="s">
        <v>1324</v>
      </c>
      <c r="L1799" s="1" t="s">
        <v>895</v>
      </c>
      <c r="N1799" s="1" t="s">
        <v>6674</v>
      </c>
      <c r="P1799" s="1" t="s">
        <v>4354</v>
      </c>
      <c r="Q1799" s="3">
        <v>1</v>
      </c>
      <c r="R1799" s="22" t="s">
        <v>2721</v>
      </c>
      <c r="S1799" s="42" t="s">
        <v>6910</v>
      </c>
      <c r="T1799" s="3" t="s">
        <v>4868</v>
      </c>
      <c r="U1799" s="45">
        <v>35</v>
      </c>
      <c r="V1799" t="s">
        <v>6919</v>
      </c>
      <c r="W1799" s="1" t="str">
        <f>HYPERLINK("http://ictvonline.org/taxonomy/p/taxonomy-history?taxnode_id=201901092","ICTVonline=201901092")</f>
        <v>ICTVonline=201901092</v>
      </c>
    </row>
    <row r="1800" spans="1:23">
      <c r="A1800" s="3">
        <v>1799</v>
      </c>
      <c r="B1800" s="1" t="s">
        <v>6915</v>
      </c>
      <c r="D1800" s="1" t="s">
        <v>6916</v>
      </c>
      <c r="F1800" s="1" t="s">
        <v>6920</v>
      </c>
      <c r="H1800" s="1" t="s">
        <v>6921</v>
      </c>
      <c r="J1800" s="1" t="s">
        <v>1324</v>
      </c>
      <c r="L1800" s="1" t="s">
        <v>895</v>
      </c>
      <c r="N1800" s="1" t="s">
        <v>6674</v>
      </c>
      <c r="P1800" s="1" t="s">
        <v>4355</v>
      </c>
      <c r="Q1800" s="3">
        <v>0</v>
      </c>
      <c r="R1800" s="22" t="s">
        <v>2721</v>
      </c>
      <c r="S1800" s="42" t="s">
        <v>6910</v>
      </c>
      <c r="T1800" s="3" t="s">
        <v>4868</v>
      </c>
      <c r="U1800" s="45">
        <v>35</v>
      </c>
      <c r="V1800" t="s">
        <v>6919</v>
      </c>
      <c r="W1800" s="1" t="str">
        <f>HYPERLINK("http://ictvonline.org/taxonomy/p/taxonomy-history?taxnode_id=201901093","ICTVonline=201901093")</f>
        <v>ICTVonline=201901093</v>
      </c>
    </row>
    <row r="1801" spans="1:23">
      <c r="A1801" s="3">
        <v>1800</v>
      </c>
      <c r="B1801" s="1" t="s">
        <v>6915</v>
      </c>
      <c r="D1801" s="1" t="s">
        <v>6916</v>
      </c>
      <c r="F1801" s="1" t="s">
        <v>6920</v>
      </c>
      <c r="H1801" s="1" t="s">
        <v>6921</v>
      </c>
      <c r="J1801" s="1" t="s">
        <v>1324</v>
      </c>
      <c r="L1801" s="1" t="s">
        <v>895</v>
      </c>
      <c r="N1801" s="1" t="s">
        <v>3244</v>
      </c>
      <c r="P1801" s="1" t="s">
        <v>3245</v>
      </c>
      <c r="Q1801" s="3">
        <v>1</v>
      </c>
      <c r="R1801" s="22" t="s">
        <v>2721</v>
      </c>
      <c r="S1801" s="42" t="s">
        <v>6910</v>
      </c>
      <c r="T1801" s="3" t="s">
        <v>4868</v>
      </c>
      <c r="U1801" s="45">
        <v>35</v>
      </c>
      <c r="V1801" t="s">
        <v>6919</v>
      </c>
      <c r="W1801" s="1" t="str">
        <f>HYPERLINK("http://ictvonline.org/taxonomy/p/taxonomy-history?taxnode_id=201901087","ICTVonline=201901087")</f>
        <v>ICTVonline=201901087</v>
      </c>
    </row>
    <row r="1802" spans="1:23">
      <c r="A1802" s="3">
        <v>1801</v>
      </c>
      <c r="B1802" s="1" t="s">
        <v>6915</v>
      </c>
      <c r="D1802" s="1" t="s">
        <v>6916</v>
      </c>
      <c r="F1802" s="1" t="s">
        <v>6920</v>
      </c>
      <c r="H1802" s="1" t="s">
        <v>6921</v>
      </c>
      <c r="J1802" s="1" t="s">
        <v>1324</v>
      </c>
      <c r="L1802" s="1" t="s">
        <v>895</v>
      </c>
      <c r="N1802" s="1" t="s">
        <v>3244</v>
      </c>
      <c r="P1802" s="1" t="s">
        <v>3246</v>
      </c>
      <c r="Q1802" s="3">
        <v>0</v>
      </c>
      <c r="R1802" s="22" t="s">
        <v>2721</v>
      </c>
      <c r="S1802" s="42" t="s">
        <v>6910</v>
      </c>
      <c r="T1802" s="3" t="s">
        <v>4868</v>
      </c>
      <c r="U1802" s="45">
        <v>35</v>
      </c>
      <c r="V1802" t="s">
        <v>6919</v>
      </c>
      <c r="W1802" s="1" t="str">
        <f>HYPERLINK("http://ictvonline.org/taxonomy/p/taxonomy-history?taxnode_id=201901088","ICTVonline=201901088")</f>
        <v>ICTVonline=201901088</v>
      </c>
    </row>
    <row r="1803" spans="1:23">
      <c r="A1803" s="3">
        <v>1802</v>
      </c>
      <c r="B1803" s="1" t="s">
        <v>6915</v>
      </c>
      <c r="D1803" s="1" t="s">
        <v>6916</v>
      </c>
      <c r="F1803" s="1" t="s">
        <v>6920</v>
      </c>
      <c r="H1803" s="1" t="s">
        <v>6921</v>
      </c>
      <c r="J1803" s="1" t="s">
        <v>1324</v>
      </c>
      <c r="L1803" s="1" t="s">
        <v>895</v>
      </c>
      <c r="N1803" s="1" t="s">
        <v>3244</v>
      </c>
      <c r="P1803" s="1" t="s">
        <v>3247</v>
      </c>
      <c r="Q1803" s="3">
        <v>0</v>
      </c>
      <c r="R1803" s="22" t="s">
        <v>2721</v>
      </c>
      <c r="S1803" s="42" t="s">
        <v>6910</v>
      </c>
      <c r="T1803" s="3" t="s">
        <v>4868</v>
      </c>
      <c r="U1803" s="45">
        <v>35</v>
      </c>
      <c r="V1803" t="s">
        <v>6919</v>
      </c>
      <c r="W1803" s="1" t="str">
        <f>HYPERLINK("http://ictvonline.org/taxonomy/p/taxonomy-history?taxnode_id=201901089","ICTVonline=201901089")</f>
        <v>ICTVonline=201901089</v>
      </c>
    </row>
    <row r="1804" spans="1:23">
      <c r="A1804" s="3">
        <v>1803</v>
      </c>
      <c r="B1804" s="1" t="s">
        <v>6915</v>
      </c>
      <c r="D1804" s="1" t="s">
        <v>6916</v>
      </c>
      <c r="F1804" s="1" t="s">
        <v>6920</v>
      </c>
      <c r="H1804" s="1" t="s">
        <v>6921</v>
      </c>
      <c r="J1804" s="1" t="s">
        <v>1324</v>
      </c>
      <c r="L1804" s="1" t="s">
        <v>895</v>
      </c>
      <c r="N1804" s="1" t="s">
        <v>3244</v>
      </c>
      <c r="P1804" s="1" t="s">
        <v>3248</v>
      </c>
      <c r="Q1804" s="3">
        <v>0</v>
      </c>
      <c r="R1804" s="22" t="s">
        <v>2721</v>
      </c>
      <c r="S1804" s="42" t="s">
        <v>6910</v>
      </c>
      <c r="T1804" s="3" t="s">
        <v>4868</v>
      </c>
      <c r="U1804" s="45">
        <v>35</v>
      </c>
      <c r="V1804" t="s">
        <v>6919</v>
      </c>
      <c r="W1804" s="1" t="str">
        <f>HYPERLINK("http://ictvonline.org/taxonomy/p/taxonomy-history?taxnode_id=201901090","ICTVonline=201901090")</f>
        <v>ICTVonline=201901090</v>
      </c>
    </row>
    <row r="1805" spans="1:23">
      <c r="A1805" s="3">
        <v>1804</v>
      </c>
      <c r="B1805" s="1" t="s">
        <v>6915</v>
      </c>
      <c r="D1805" s="1" t="s">
        <v>6916</v>
      </c>
      <c r="F1805" s="1" t="s">
        <v>6920</v>
      </c>
      <c r="H1805" s="1" t="s">
        <v>6921</v>
      </c>
      <c r="J1805" s="1" t="s">
        <v>1324</v>
      </c>
      <c r="L1805" s="1" t="s">
        <v>895</v>
      </c>
      <c r="N1805" s="1" t="s">
        <v>3244</v>
      </c>
      <c r="P1805" s="1" t="s">
        <v>6675</v>
      </c>
      <c r="Q1805" s="3">
        <v>0</v>
      </c>
      <c r="R1805" s="22" t="s">
        <v>2721</v>
      </c>
      <c r="S1805" s="42" t="s">
        <v>6910</v>
      </c>
      <c r="T1805" s="3" t="s">
        <v>4868</v>
      </c>
      <c r="U1805" s="45">
        <v>35</v>
      </c>
      <c r="V1805" t="s">
        <v>6919</v>
      </c>
      <c r="W1805" s="1" t="str">
        <f>HYPERLINK("http://ictvonline.org/taxonomy/p/taxonomy-history?taxnode_id=201907077","ICTVonline=201907077")</f>
        <v>ICTVonline=201907077</v>
      </c>
    </row>
    <row r="1806" spans="1:23">
      <c r="A1806" s="3">
        <v>1805</v>
      </c>
      <c r="B1806" s="1" t="s">
        <v>6915</v>
      </c>
      <c r="D1806" s="1" t="s">
        <v>6916</v>
      </c>
      <c r="F1806" s="1" t="s">
        <v>6920</v>
      </c>
      <c r="H1806" s="1" t="s">
        <v>6921</v>
      </c>
      <c r="J1806" s="1" t="s">
        <v>1324</v>
      </c>
      <c r="L1806" s="1" t="s">
        <v>895</v>
      </c>
      <c r="N1806" s="1" t="s">
        <v>3005</v>
      </c>
      <c r="P1806" s="1" t="s">
        <v>3006</v>
      </c>
      <c r="Q1806" s="3">
        <v>1</v>
      </c>
      <c r="R1806" s="22" t="s">
        <v>2721</v>
      </c>
      <c r="S1806" s="42" t="s">
        <v>6910</v>
      </c>
      <c r="T1806" s="3" t="s">
        <v>4868</v>
      </c>
      <c r="U1806" s="45">
        <v>35</v>
      </c>
      <c r="V1806" t="s">
        <v>6919</v>
      </c>
      <c r="W1806" s="1" t="str">
        <f>HYPERLINK("http://ictvonline.org/taxonomy/p/taxonomy-history?taxnode_id=201900674","ICTVonline=201900674")</f>
        <v>ICTVonline=201900674</v>
      </c>
    </row>
    <row r="1807" spans="1:23">
      <c r="A1807" s="3">
        <v>1806</v>
      </c>
      <c r="B1807" s="1" t="s">
        <v>6915</v>
      </c>
      <c r="D1807" s="1" t="s">
        <v>6916</v>
      </c>
      <c r="F1807" s="1" t="s">
        <v>6920</v>
      </c>
      <c r="H1807" s="1" t="s">
        <v>6921</v>
      </c>
      <c r="J1807" s="1" t="s">
        <v>1324</v>
      </c>
      <c r="L1807" s="1" t="s">
        <v>895</v>
      </c>
      <c r="N1807" s="1" t="s">
        <v>3005</v>
      </c>
      <c r="P1807" s="1" t="s">
        <v>3007</v>
      </c>
      <c r="Q1807" s="3">
        <v>0</v>
      </c>
      <c r="R1807" s="22" t="s">
        <v>2721</v>
      </c>
      <c r="S1807" s="42" t="s">
        <v>6910</v>
      </c>
      <c r="T1807" s="3" t="s">
        <v>4868</v>
      </c>
      <c r="U1807" s="45">
        <v>35</v>
      </c>
      <c r="V1807" t="s">
        <v>6919</v>
      </c>
      <c r="W1807" s="1" t="str">
        <f>HYPERLINK("http://ictvonline.org/taxonomy/p/taxonomy-history?taxnode_id=201900675","ICTVonline=201900675")</f>
        <v>ICTVonline=201900675</v>
      </c>
    </row>
    <row r="1808" spans="1:23">
      <c r="A1808" s="3">
        <v>1807</v>
      </c>
      <c r="B1808" s="1" t="s">
        <v>6915</v>
      </c>
      <c r="D1808" s="1" t="s">
        <v>6916</v>
      </c>
      <c r="F1808" s="1" t="s">
        <v>6920</v>
      </c>
      <c r="H1808" s="1" t="s">
        <v>6921</v>
      </c>
      <c r="J1808" s="1" t="s">
        <v>1324</v>
      </c>
      <c r="L1808" s="1" t="s">
        <v>895</v>
      </c>
      <c r="N1808" s="1" t="s">
        <v>6678</v>
      </c>
      <c r="P1808" s="1" t="s">
        <v>6679</v>
      </c>
      <c r="Q1808" s="3">
        <v>1</v>
      </c>
      <c r="R1808" s="22" t="s">
        <v>2721</v>
      </c>
      <c r="S1808" s="42" t="s">
        <v>6910</v>
      </c>
      <c r="T1808" s="3" t="s">
        <v>4868</v>
      </c>
      <c r="U1808" s="45">
        <v>35</v>
      </c>
      <c r="V1808" t="s">
        <v>6919</v>
      </c>
      <c r="W1808" s="1" t="str">
        <f>HYPERLINK("http://ictvonline.org/taxonomy/p/taxonomy-history?taxnode_id=201906692","ICTVonline=201906692")</f>
        <v>ICTVonline=201906692</v>
      </c>
    </row>
    <row r="1809" spans="1:23">
      <c r="A1809" s="3">
        <v>1808</v>
      </c>
      <c r="B1809" s="1" t="s">
        <v>6915</v>
      </c>
      <c r="D1809" s="1" t="s">
        <v>6916</v>
      </c>
      <c r="F1809" s="1" t="s">
        <v>6920</v>
      </c>
      <c r="H1809" s="1" t="s">
        <v>6921</v>
      </c>
      <c r="J1809" s="1" t="s">
        <v>1324</v>
      </c>
      <c r="L1809" s="1" t="s">
        <v>895</v>
      </c>
      <c r="N1809" s="1" t="s">
        <v>7933</v>
      </c>
      <c r="P1809" s="1" t="s">
        <v>7934</v>
      </c>
      <c r="Q1809" s="3">
        <v>1</v>
      </c>
      <c r="R1809" s="22" t="s">
        <v>2721</v>
      </c>
      <c r="S1809" s="42" t="s">
        <v>6914</v>
      </c>
      <c r="T1809" s="3" t="s">
        <v>4866</v>
      </c>
      <c r="U1809" s="45">
        <v>35</v>
      </c>
      <c r="V1809" t="s">
        <v>7602</v>
      </c>
      <c r="W1809" s="1" t="str">
        <f>HYPERLINK("http://ictvonline.org/taxonomy/p/taxonomy-history?taxnode_id=201908056","ICTVonline=201908056")</f>
        <v>ICTVonline=201908056</v>
      </c>
    </row>
    <row r="1810" spans="1:23">
      <c r="A1810" s="3">
        <v>1809</v>
      </c>
      <c r="B1810" s="1" t="s">
        <v>6915</v>
      </c>
      <c r="D1810" s="1" t="s">
        <v>6916</v>
      </c>
      <c r="F1810" s="1" t="s">
        <v>6920</v>
      </c>
      <c r="H1810" s="1" t="s">
        <v>6921</v>
      </c>
      <c r="J1810" s="1" t="s">
        <v>1324</v>
      </c>
      <c r="L1810" s="1" t="s">
        <v>895</v>
      </c>
      <c r="N1810" s="1" t="s">
        <v>3249</v>
      </c>
      <c r="P1810" s="1" t="s">
        <v>3250</v>
      </c>
      <c r="Q1810" s="3">
        <v>0</v>
      </c>
      <c r="R1810" s="22" t="s">
        <v>2721</v>
      </c>
      <c r="S1810" s="42" t="s">
        <v>6910</v>
      </c>
      <c r="T1810" s="3" t="s">
        <v>4868</v>
      </c>
      <c r="U1810" s="45">
        <v>35</v>
      </c>
      <c r="V1810" t="s">
        <v>6919</v>
      </c>
      <c r="W1810" s="1" t="str">
        <f>HYPERLINK("http://ictvonline.org/taxonomy/p/taxonomy-history?taxnode_id=201901095","ICTVonline=201901095")</f>
        <v>ICTVonline=201901095</v>
      </c>
    </row>
    <row r="1811" spans="1:23">
      <c r="A1811" s="3">
        <v>1810</v>
      </c>
      <c r="B1811" s="1" t="s">
        <v>6915</v>
      </c>
      <c r="D1811" s="1" t="s">
        <v>6916</v>
      </c>
      <c r="F1811" s="1" t="s">
        <v>6920</v>
      </c>
      <c r="H1811" s="1" t="s">
        <v>6921</v>
      </c>
      <c r="J1811" s="1" t="s">
        <v>1324</v>
      </c>
      <c r="L1811" s="1" t="s">
        <v>895</v>
      </c>
      <c r="N1811" s="1" t="s">
        <v>3249</v>
      </c>
      <c r="P1811" s="1" t="s">
        <v>3251</v>
      </c>
      <c r="Q1811" s="3">
        <v>0</v>
      </c>
      <c r="R1811" s="22" t="s">
        <v>2721</v>
      </c>
      <c r="S1811" s="42" t="s">
        <v>6910</v>
      </c>
      <c r="T1811" s="3" t="s">
        <v>4868</v>
      </c>
      <c r="U1811" s="45">
        <v>35</v>
      </c>
      <c r="V1811" t="s">
        <v>6919</v>
      </c>
      <c r="W1811" s="1" t="str">
        <f>HYPERLINK("http://ictvonline.org/taxonomy/p/taxonomy-history?taxnode_id=201901096","ICTVonline=201901096")</f>
        <v>ICTVonline=201901096</v>
      </c>
    </row>
    <row r="1812" spans="1:23">
      <c r="A1812" s="3">
        <v>1811</v>
      </c>
      <c r="B1812" s="1" t="s">
        <v>6915</v>
      </c>
      <c r="D1812" s="1" t="s">
        <v>6916</v>
      </c>
      <c r="F1812" s="1" t="s">
        <v>6920</v>
      </c>
      <c r="H1812" s="1" t="s">
        <v>6921</v>
      </c>
      <c r="J1812" s="1" t="s">
        <v>1324</v>
      </c>
      <c r="L1812" s="1" t="s">
        <v>895</v>
      </c>
      <c r="N1812" s="1" t="s">
        <v>3249</v>
      </c>
      <c r="P1812" s="1" t="s">
        <v>3252</v>
      </c>
      <c r="Q1812" s="3">
        <v>0</v>
      </c>
      <c r="R1812" s="22" t="s">
        <v>2721</v>
      </c>
      <c r="S1812" s="42" t="s">
        <v>6910</v>
      </c>
      <c r="T1812" s="3" t="s">
        <v>4868</v>
      </c>
      <c r="U1812" s="45">
        <v>35</v>
      </c>
      <c r="V1812" t="s">
        <v>6919</v>
      </c>
      <c r="W1812" s="1" t="str">
        <f>HYPERLINK("http://ictvonline.org/taxonomy/p/taxonomy-history?taxnode_id=201901097","ICTVonline=201901097")</f>
        <v>ICTVonline=201901097</v>
      </c>
    </row>
    <row r="1813" spans="1:23">
      <c r="A1813" s="3">
        <v>1812</v>
      </c>
      <c r="B1813" s="1" t="s">
        <v>6915</v>
      </c>
      <c r="D1813" s="1" t="s">
        <v>6916</v>
      </c>
      <c r="F1813" s="1" t="s">
        <v>6920</v>
      </c>
      <c r="H1813" s="1" t="s">
        <v>6921</v>
      </c>
      <c r="J1813" s="1" t="s">
        <v>1324</v>
      </c>
      <c r="L1813" s="1" t="s">
        <v>895</v>
      </c>
      <c r="N1813" s="1" t="s">
        <v>3249</v>
      </c>
      <c r="P1813" s="1" t="s">
        <v>3253</v>
      </c>
      <c r="Q1813" s="3">
        <v>1</v>
      </c>
      <c r="R1813" s="22" t="s">
        <v>2721</v>
      </c>
      <c r="S1813" s="42" t="s">
        <v>6910</v>
      </c>
      <c r="T1813" s="3" t="s">
        <v>4868</v>
      </c>
      <c r="U1813" s="45">
        <v>35</v>
      </c>
      <c r="V1813" t="s">
        <v>6919</v>
      </c>
      <c r="W1813" s="1" t="str">
        <f>HYPERLINK("http://ictvonline.org/taxonomy/p/taxonomy-history?taxnode_id=201901098","ICTVonline=201901098")</f>
        <v>ICTVonline=201901098</v>
      </c>
    </row>
    <row r="1814" spans="1:23">
      <c r="A1814" s="3">
        <v>1813</v>
      </c>
      <c r="B1814" s="1" t="s">
        <v>6915</v>
      </c>
      <c r="D1814" s="1" t="s">
        <v>6916</v>
      </c>
      <c r="F1814" s="1" t="s">
        <v>6920</v>
      </c>
      <c r="H1814" s="1" t="s">
        <v>6921</v>
      </c>
      <c r="J1814" s="1" t="s">
        <v>1324</v>
      </c>
      <c r="L1814" s="1" t="s">
        <v>895</v>
      </c>
      <c r="N1814" s="1" t="s">
        <v>3249</v>
      </c>
      <c r="P1814" s="1" t="s">
        <v>3254</v>
      </c>
      <c r="Q1814" s="3">
        <v>0</v>
      </c>
      <c r="R1814" s="22" t="s">
        <v>2721</v>
      </c>
      <c r="S1814" s="42" t="s">
        <v>6910</v>
      </c>
      <c r="T1814" s="3" t="s">
        <v>4868</v>
      </c>
      <c r="U1814" s="45">
        <v>35</v>
      </c>
      <c r="V1814" t="s">
        <v>6919</v>
      </c>
      <c r="W1814" s="1" t="str">
        <f>HYPERLINK("http://ictvonline.org/taxonomy/p/taxonomy-history?taxnode_id=201901099","ICTVonline=201901099")</f>
        <v>ICTVonline=201901099</v>
      </c>
    </row>
    <row r="1815" spans="1:23">
      <c r="A1815" s="3">
        <v>1814</v>
      </c>
      <c r="B1815" s="1" t="s">
        <v>6915</v>
      </c>
      <c r="D1815" s="1" t="s">
        <v>6916</v>
      </c>
      <c r="F1815" s="1" t="s">
        <v>6920</v>
      </c>
      <c r="H1815" s="1" t="s">
        <v>6921</v>
      </c>
      <c r="J1815" s="1" t="s">
        <v>1324</v>
      </c>
      <c r="L1815" s="1" t="s">
        <v>895</v>
      </c>
      <c r="N1815" s="1" t="s">
        <v>3249</v>
      </c>
      <c r="P1815" s="1" t="s">
        <v>3255</v>
      </c>
      <c r="Q1815" s="3">
        <v>0</v>
      </c>
      <c r="R1815" s="22" t="s">
        <v>2721</v>
      </c>
      <c r="S1815" s="42" t="s">
        <v>6910</v>
      </c>
      <c r="T1815" s="3" t="s">
        <v>4868</v>
      </c>
      <c r="U1815" s="45">
        <v>35</v>
      </c>
      <c r="V1815" t="s">
        <v>6919</v>
      </c>
      <c r="W1815" s="1" t="str">
        <f>HYPERLINK("http://ictvonline.org/taxonomy/p/taxonomy-history?taxnode_id=201901100","ICTVonline=201901100")</f>
        <v>ICTVonline=201901100</v>
      </c>
    </row>
    <row r="1816" spans="1:23">
      <c r="A1816" s="3">
        <v>1815</v>
      </c>
      <c r="B1816" s="1" t="s">
        <v>6915</v>
      </c>
      <c r="D1816" s="1" t="s">
        <v>6916</v>
      </c>
      <c r="F1816" s="1" t="s">
        <v>6920</v>
      </c>
      <c r="H1816" s="1" t="s">
        <v>6921</v>
      </c>
      <c r="J1816" s="1" t="s">
        <v>1324</v>
      </c>
      <c r="L1816" s="1" t="s">
        <v>895</v>
      </c>
      <c r="N1816" s="1" t="s">
        <v>7935</v>
      </c>
      <c r="P1816" s="1" t="s">
        <v>7936</v>
      </c>
      <c r="Q1816" s="3">
        <v>0</v>
      </c>
      <c r="R1816" s="22" t="s">
        <v>2721</v>
      </c>
      <c r="S1816" s="42" t="s">
        <v>6914</v>
      </c>
      <c r="T1816" s="3" t="s">
        <v>4866</v>
      </c>
      <c r="U1816" s="45">
        <v>35</v>
      </c>
      <c r="V1816" t="s">
        <v>7937</v>
      </c>
      <c r="W1816" s="1" t="str">
        <f>HYPERLINK("http://ictvonline.org/taxonomy/p/taxonomy-history?taxnode_id=201907460","ICTVonline=201907460")</f>
        <v>ICTVonline=201907460</v>
      </c>
    </row>
    <row r="1817" spans="1:23">
      <c r="A1817" s="3">
        <v>1816</v>
      </c>
      <c r="B1817" s="1" t="s">
        <v>6915</v>
      </c>
      <c r="D1817" s="1" t="s">
        <v>6916</v>
      </c>
      <c r="F1817" s="1" t="s">
        <v>6920</v>
      </c>
      <c r="H1817" s="1" t="s">
        <v>6921</v>
      </c>
      <c r="J1817" s="1" t="s">
        <v>1324</v>
      </c>
      <c r="L1817" s="1" t="s">
        <v>895</v>
      </c>
      <c r="N1817" s="1" t="s">
        <v>7935</v>
      </c>
      <c r="P1817" s="1" t="s">
        <v>4430</v>
      </c>
      <c r="Q1817" s="3">
        <v>1</v>
      </c>
      <c r="R1817" s="22" t="s">
        <v>2721</v>
      </c>
      <c r="S1817" s="42" t="s">
        <v>6914</v>
      </c>
      <c r="T1817" s="3" t="s">
        <v>4871</v>
      </c>
      <c r="U1817" s="45">
        <v>35</v>
      </c>
      <c r="V1817" t="s">
        <v>7937</v>
      </c>
      <c r="W1817" s="1" t="str">
        <f>HYPERLINK("http://ictvonline.org/taxonomy/p/taxonomy-history?taxnode_id=201901311","ICTVonline=201901311")</f>
        <v>ICTVonline=201901311</v>
      </c>
    </row>
    <row r="1818" spans="1:23">
      <c r="A1818" s="3">
        <v>1817</v>
      </c>
      <c r="B1818" s="1" t="s">
        <v>6915</v>
      </c>
      <c r="D1818" s="1" t="s">
        <v>6916</v>
      </c>
      <c r="F1818" s="1" t="s">
        <v>6920</v>
      </c>
      <c r="H1818" s="1" t="s">
        <v>6921</v>
      </c>
      <c r="J1818" s="1" t="s">
        <v>1324</v>
      </c>
      <c r="L1818" s="1" t="s">
        <v>895</v>
      </c>
      <c r="N1818" s="1" t="s">
        <v>6680</v>
      </c>
      <c r="P1818" s="1" t="s">
        <v>6681</v>
      </c>
      <c r="Q1818" s="3">
        <v>1</v>
      </c>
      <c r="R1818" s="22" t="s">
        <v>2721</v>
      </c>
      <c r="S1818" s="42" t="s">
        <v>6910</v>
      </c>
      <c r="T1818" s="3" t="s">
        <v>4868</v>
      </c>
      <c r="U1818" s="45">
        <v>35</v>
      </c>
      <c r="V1818" t="s">
        <v>6919</v>
      </c>
      <c r="W1818" s="1" t="str">
        <f>HYPERLINK("http://ictvonline.org/taxonomy/p/taxonomy-history?taxnode_id=201906587","ICTVonline=201906587")</f>
        <v>ICTVonline=201906587</v>
      </c>
    </row>
    <row r="1819" spans="1:23">
      <c r="A1819" s="3">
        <v>1818</v>
      </c>
      <c r="B1819" s="1" t="s">
        <v>6915</v>
      </c>
      <c r="D1819" s="1" t="s">
        <v>6916</v>
      </c>
      <c r="F1819" s="1" t="s">
        <v>6920</v>
      </c>
      <c r="H1819" s="1" t="s">
        <v>6921</v>
      </c>
      <c r="J1819" s="1" t="s">
        <v>1324</v>
      </c>
      <c r="L1819" s="1" t="s">
        <v>895</v>
      </c>
      <c r="N1819" s="1" t="s">
        <v>6682</v>
      </c>
      <c r="P1819" s="1" t="s">
        <v>3256</v>
      </c>
      <c r="Q1819" s="3">
        <v>1</v>
      </c>
      <c r="R1819" s="22" t="s">
        <v>2721</v>
      </c>
      <c r="S1819" s="42" t="s">
        <v>6910</v>
      </c>
      <c r="T1819" s="3" t="s">
        <v>4868</v>
      </c>
      <c r="U1819" s="45">
        <v>35</v>
      </c>
      <c r="V1819" t="s">
        <v>6919</v>
      </c>
      <c r="W1819" s="1" t="str">
        <f>HYPERLINK("http://ictvonline.org/taxonomy/p/taxonomy-history?taxnode_id=201901108","ICTVonline=201901108")</f>
        <v>ICTVonline=201901108</v>
      </c>
    </row>
    <row r="1820" spans="1:23">
      <c r="A1820" s="3">
        <v>1819</v>
      </c>
      <c r="B1820" s="1" t="s">
        <v>6915</v>
      </c>
      <c r="D1820" s="1" t="s">
        <v>6916</v>
      </c>
      <c r="F1820" s="1" t="s">
        <v>6920</v>
      </c>
      <c r="H1820" s="1" t="s">
        <v>6921</v>
      </c>
      <c r="J1820" s="1" t="s">
        <v>1324</v>
      </c>
      <c r="L1820" s="1" t="s">
        <v>895</v>
      </c>
      <c r="N1820" s="1" t="s">
        <v>6682</v>
      </c>
      <c r="P1820" s="1" t="s">
        <v>3257</v>
      </c>
      <c r="Q1820" s="3">
        <v>0</v>
      </c>
      <c r="R1820" s="22" t="s">
        <v>2721</v>
      </c>
      <c r="S1820" s="42" t="s">
        <v>6910</v>
      </c>
      <c r="T1820" s="3" t="s">
        <v>4868</v>
      </c>
      <c r="U1820" s="45">
        <v>35</v>
      </c>
      <c r="V1820" t="s">
        <v>6919</v>
      </c>
      <c r="W1820" s="1" t="str">
        <f>HYPERLINK("http://ictvonline.org/taxonomy/p/taxonomy-history?taxnode_id=201901109","ICTVonline=201901109")</f>
        <v>ICTVonline=201901109</v>
      </c>
    </row>
    <row r="1821" spans="1:23">
      <c r="A1821" s="3">
        <v>1820</v>
      </c>
      <c r="B1821" s="1" t="s">
        <v>6915</v>
      </c>
      <c r="D1821" s="1" t="s">
        <v>6916</v>
      </c>
      <c r="F1821" s="1" t="s">
        <v>6920</v>
      </c>
      <c r="H1821" s="1" t="s">
        <v>6921</v>
      </c>
      <c r="J1821" s="1" t="s">
        <v>1324</v>
      </c>
      <c r="L1821" s="1" t="s">
        <v>895</v>
      </c>
      <c r="N1821" s="1" t="s">
        <v>6683</v>
      </c>
      <c r="P1821" s="1" t="s">
        <v>4360</v>
      </c>
      <c r="Q1821" s="3">
        <v>0</v>
      </c>
      <c r="R1821" s="22" t="s">
        <v>2721</v>
      </c>
      <c r="S1821" s="42" t="s">
        <v>6910</v>
      </c>
      <c r="T1821" s="3" t="s">
        <v>4868</v>
      </c>
      <c r="U1821" s="45">
        <v>35</v>
      </c>
      <c r="V1821" t="s">
        <v>6919</v>
      </c>
      <c r="W1821" s="1" t="str">
        <f>HYPERLINK("http://ictvonline.org/taxonomy/p/taxonomy-history?taxnode_id=201901117","ICTVonline=201901117")</f>
        <v>ICTVonline=201901117</v>
      </c>
    </row>
    <row r="1822" spans="1:23">
      <c r="A1822" s="3">
        <v>1821</v>
      </c>
      <c r="B1822" s="1" t="s">
        <v>6915</v>
      </c>
      <c r="D1822" s="1" t="s">
        <v>6916</v>
      </c>
      <c r="F1822" s="1" t="s">
        <v>6920</v>
      </c>
      <c r="H1822" s="1" t="s">
        <v>6921</v>
      </c>
      <c r="J1822" s="1" t="s">
        <v>1324</v>
      </c>
      <c r="L1822" s="1" t="s">
        <v>895</v>
      </c>
      <c r="N1822" s="1" t="s">
        <v>6683</v>
      </c>
      <c r="P1822" s="1" t="s">
        <v>4361</v>
      </c>
      <c r="Q1822" s="3">
        <v>0</v>
      </c>
      <c r="R1822" s="22" t="s">
        <v>2721</v>
      </c>
      <c r="S1822" s="42" t="s">
        <v>6910</v>
      </c>
      <c r="T1822" s="3" t="s">
        <v>4868</v>
      </c>
      <c r="U1822" s="45">
        <v>35</v>
      </c>
      <c r="V1822" t="s">
        <v>6919</v>
      </c>
      <c r="W1822" s="1" t="str">
        <f>HYPERLINK("http://ictvonline.org/taxonomy/p/taxonomy-history?taxnode_id=201901118","ICTVonline=201901118")</f>
        <v>ICTVonline=201901118</v>
      </c>
    </row>
    <row r="1823" spans="1:23">
      <c r="A1823" s="3">
        <v>1822</v>
      </c>
      <c r="B1823" s="1" t="s">
        <v>6915</v>
      </c>
      <c r="D1823" s="1" t="s">
        <v>6916</v>
      </c>
      <c r="F1823" s="1" t="s">
        <v>6920</v>
      </c>
      <c r="H1823" s="1" t="s">
        <v>6921</v>
      </c>
      <c r="J1823" s="1" t="s">
        <v>1324</v>
      </c>
      <c r="L1823" s="1" t="s">
        <v>895</v>
      </c>
      <c r="N1823" s="1" t="s">
        <v>6683</v>
      </c>
      <c r="P1823" s="1" t="s">
        <v>4362</v>
      </c>
      <c r="Q1823" s="3">
        <v>0</v>
      </c>
      <c r="R1823" s="22" t="s">
        <v>2721</v>
      </c>
      <c r="S1823" s="42" t="s">
        <v>6910</v>
      </c>
      <c r="T1823" s="3" t="s">
        <v>4868</v>
      </c>
      <c r="U1823" s="45">
        <v>35</v>
      </c>
      <c r="V1823" t="s">
        <v>6919</v>
      </c>
      <c r="W1823" s="1" t="str">
        <f>HYPERLINK("http://ictvonline.org/taxonomy/p/taxonomy-history?taxnode_id=201901119","ICTVonline=201901119")</f>
        <v>ICTVonline=201901119</v>
      </c>
    </row>
    <row r="1824" spans="1:23">
      <c r="A1824" s="3">
        <v>1823</v>
      </c>
      <c r="B1824" s="1" t="s">
        <v>6915</v>
      </c>
      <c r="D1824" s="1" t="s">
        <v>6916</v>
      </c>
      <c r="F1824" s="1" t="s">
        <v>6920</v>
      </c>
      <c r="H1824" s="1" t="s">
        <v>6921</v>
      </c>
      <c r="J1824" s="1" t="s">
        <v>1324</v>
      </c>
      <c r="L1824" s="1" t="s">
        <v>895</v>
      </c>
      <c r="N1824" s="1" t="s">
        <v>6683</v>
      </c>
      <c r="P1824" s="1" t="s">
        <v>4363</v>
      </c>
      <c r="Q1824" s="3">
        <v>0</v>
      </c>
      <c r="R1824" s="22" t="s">
        <v>2721</v>
      </c>
      <c r="S1824" s="42" t="s">
        <v>6910</v>
      </c>
      <c r="T1824" s="3" t="s">
        <v>4868</v>
      </c>
      <c r="U1824" s="45">
        <v>35</v>
      </c>
      <c r="V1824" t="s">
        <v>6919</v>
      </c>
      <c r="W1824" s="1" t="str">
        <f>HYPERLINK("http://ictvonline.org/taxonomy/p/taxonomy-history?taxnode_id=201901120","ICTVonline=201901120")</f>
        <v>ICTVonline=201901120</v>
      </c>
    </row>
    <row r="1825" spans="1:23">
      <c r="A1825" s="3">
        <v>1824</v>
      </c>
      <c r="B1825" s="1" t="s">
        <v>6915</v>
      </c>
      <c r="D1825" s="1" t="s">
        <v>6916</v>
      </c>
      <c r="F1825" s="1" t="s">
        <v>6920</v>
      </c>
      <c r="H1825" s="1" t="s">
        <v>6921</v>
      </c>
      <c r="J1825" s="1" t="s">
        <v>1324</v>
      </c>
      <c r="L1825" s="1" t="s">
        <v>895</v>
      </c>
      <c r="N1825" s="1" t="s">
        <v>6683</v>
      </c>
      <c r="P1825" s="1" t="s">
        <v>4364</v>
      </c>
      <c r="Q1825" s="3">
        <v>0</v>
      </c>
      <c r="R1825" s="22" t="s">
        <v>2721</v>
      </c>
      <c r="S1825" s="42" t="s">
        <v>6910</v>
      </c>
      <c r="T1825" s="3" t="s">
        <v>4868</v>
      </c>
      <c r="U1825" s="45">
        <v>35</v>
      </c>
      <c r="V1825" t="s">
        <v>6919</v>
      </c>
      <c r="W1825" s="1" t="str">
        <f>HYPERLINK("http://ictvonline.org/taxonomy/p/taxonomy-history?taxnode_id=201901121","ICTVonline=201901121")</f>
        <v>ICTVonline=201901121</v>
      </c>
    </row>
    <row r="1826" spans="1:23">
      <c r="A1826" s="3">
        <v>1825</v>
      </c>
      <c r="B1826" s="1" t="s">
        <v>6915</v>
      </c>
      <c r="D1826" s="1" t="s">
        <v>6916</v>
      </c>
      <c r="F1826" s="1" t="s">
        <v>6920</v>
      </c>
      <c r="H1826" s="1" t="s">
        <v>6921</v>
      </c>
      <c r="J1826" s="1" t="s">
        <v>1324</v>
      </c>
      <c r="L1826" s="1" t="s">
        <v>895</v>
      </c>
      <c r="N1826" s="1" t="s">
        <v>6683</v>
      </c>
      <c r="P1826" s="1" t="s">
        <v>4365</v>
      </c>
      <c r="Q1826" s="3">
        <v>0</v>
      </c>
      <c r="R1826" s="22" t="s">
        <v>2721</v>
      </c>
      <c r="S1826" s="42" t="s">
        <v>6910</v>
      </c>
      <c r="T1826" s="3" t="s">
        <v>4868</v>
      </c>
      <c r="U1826" s="45">
        <v>35</v>
      </c>
      <c r="V1826" t="s">
        <v>6919</v>
      </c>
      <c r="W1826" s="1" t="str">
        <f>HYPERLINK("http://ictvonline.org/taxonomy/p/taxonomy-history?taxnode_id=201901122","ICTVonline=201901122")</f>
        <v>ICTVonline=201901122</v>
      </c>
    </row>
    <row r="1827" spans="1:23">
      <c r="A1827" s="3">
        <v>1826</v>
      </c>
      <c r="B1827" s="1" t="s">
        <v>6915</v>
      </c>
      <c r="D1827" s="1" t="s">
        <v>6916</v>
      </c>
      <c r="F1827" s="1" t="s">
        <v>6920</v>
      </c>
      <c r="H1827" s="1" t="s">
        <v>6921</v>
      </c>
      <c r="J1827" s="1" t="s">
        <v>1324</v>
      </c>
      <c r="L1827" s="1" t="s">
        <v>895</v>
      </c>
      <c r="N1827" s="1" t="s">
        <v>6683</v>
      </c>
      <c r="P1827" s="1" t="s">
        <v>4366</v>
      </c>
      <c r="Q1827" s="3">
        <v>0</v>
      </c>
      <c r="R1827" s="22" t="s">
        <v>2721</v>
      </c>
      <c r="S1827" s="42" t="s">
        <v>6910</v>
      </c>
      <c r="T1827" s="3" t="s">
        <v>4868</v>
      </c>
      <c r="U1827" s="45">
        <v>35</v>
      </c>
      <c r="V1827" t="s">
        <v>6919</v>
      </c>
      <c r="W1827" s="1" t="str">
        <f>HYPERLINK("http://ictvonline.org/taxonomy/p/taxonomy-history?taxnode_id=201901123","ICTVonline=201901123")</f>
        <v>ICTVonline=201901123</v>
      </c>
    </row>
    <row r="1828" spans="1:23">
      <c r="A1828" s="3">
        <v>1827</v>
      </c>
      <c r="B1828" s="1" t="s">
        <v>6915</v>
      </c>
      <c r="D1828" s="1" t="s">
        <v>6916</v>
      </c>
      <c r="F1828" s="1" t="s">
        <v>6920</v>
      </c>
      <c r="H1828" s="1" t="s">
        <v>6921</v>
      </c>
      <c r="J1828" s="1" t="s">
        <v>1324</v>
      </c>
      <c r="L1828" s="1" t="s">
        <v>895</v>
      </c>
      <c r="N1828" s="1" t="s">
        <v>6683</v>
      </c>
      <c r="P1828" s="1" t="s">
        <v>4367</v>
      </c>
      <c r="Q1828" s="3">
        <v>0</v>
      </c>
      <c r="R1828" s="22" t="s">
        <v>2721</v>
      </c>
      <c r="S1828" s="42" t="s">
        <v>6910</v>
      </c>
      <c r="T1828" s="3" t="s">
        <v>4868</v>
      </c>
      <c r="U1828" s="45">
        <v>35</v>
      </c>
      <c r="V1828" t="s">
        <v>6919</v>
      </c>
      <c r="W1828" s="1" t="str">
        <f>HYPERLINK("http://ictvonline.org/taxonomy/p/taxonomy-history?taxnode_id=201901124","ICTVonline=201901124")</f>
        <v>ICTVonline=201901124</v>
      </c>
    </row>
    <row r="1829" spans="1:23">
      <c r="A1829" s="3">
        <v>1828</v>
      </c>
      <c r="B1829" s="1" t="s">
        <v>6915</v>
      </c>
      <c r="D1829" s="1" t="s">
        <v>6916</v>
      </c>
      <c r="F1829" s="1" t="s">
        <v>6920</v>
      </c>
      <c r="H1829" s="1" t="s">
        <v>6921</v>
      </c>
      <c r="J1829" s="1" t="s">
        <v>1324</v>
      </c>
      <c r="L1829" s="1" t="s">
        <v>895</v>
      </c>
      <c r="N1829" s="1" t="s">
        <v>6683</v>
      </c>
      <c r="P1829" s="1" t="s">
        <v>4368</v>
      </c>
      <c r="Q1829" s="3">
        <v>0</v>
      </c>
      <c r="R1829" s="22" t="s">
        <v>2721</v>
      </c>
      <c r="S1829" s="42" t="s">
        <v>6910</v>
      </c>
      <c r="T1829" s="3" t="s">
        <v>4868</v>
      </c>
      <c r="U1829" s="45">
        <v>35</v>
      </c>
      <c r="V1829" t="s">
        <v>6919</v>
      </c>
      <c r="W1829" s="1" t="str">
        <f>HYPERLINK("http://ictvonline.org/taxonomy/p/taxonomy-history?taxnode_id=201901125","ICTVonline=201901125")</f>
        <v>ICTVonline=201901125</v>
      </c>
    </row>
    <row r="1830" spans="1:23">
      <c r="A1830" s="3">
        <v>1829</v>
      </c>
      <c r="B1830" s="1" t="s">
        <v>6915</v>
      </c>
      <c r="D1830" s="1" t="s">
        <v>6916</v>
      </c>
      <c r="F1830" s="1" t="s">
        <v>6920</v>
      </c>
      <c r="H1830" s="1" t="s">
        <v>6921</v>
      </c>
      <c r="J1830" s="1" t="s">
        <v>1324</v>
      </c>
      <c r="L1830" s="1" t="s">
        <v>895</v>
      </c>
      <c r="N1830" s="1" t="s">
        <v>6683</v>
      </c>
      <c r="P1830" s="1" t="s">
        <v>4369</v>
      </c>
      <c r="Q1830" s="3">
        <v>0</v>
      </c>
      <c r="R1830" s="22" t="s">
        <v>2721</v>
      </c>
      <c r="S1830" s="42" t="s">
        <v>6910</v>
      </c>
      <c r="T1830" s="3" t="s">
        <v>4868</v>
      </c>
      <c r="U1830" s="45">
        <v>35</v>
      </c>
      <c r="V1830" t="s">
        <v>6919</v>
      </c>
      <c r="W1830" s="1" t="str">
        <f>HYPERLINK("http://ictvonline.org/taxonomy/p/taxonomy-history?taxnode_id=201901126","ICTVonline=201901126")</f>
        <v>ICTVonline=201901126</v>
      </c>
    </row>
    <row r="1831" spans="1:23">
      <c r="A1831" s="3">
        <v>1830</v>
      </c>
      <c r="B1831" s="1" t="s">
        <v>6915</v>
      </c>
      <c r="D1831" s="1" t="s">
        <v>6916</v>
      </c>
      <c r="F1831" s="1" t="s">
        <v>6920</v>
      </c>
      <c r="H1831" s="1" t="s">
        <v>6921</v>
      </c>
      <c r="J1831" s="1" t="s">
        <v>1324</v>
      </c>
      <c r="L1831" s="1" t="s">
        <v>895</v>
      </c>
      <c r="N1831" s="1" t="s">
        <v>6683</v>
      </c>
      <c r="P1831" s="1" t="s">
        <v>4370</v>
      </c>
      <c r="Q1831" s="3">
        <v>0</v>
      </c>
      <c r="R1831" s="22" t="s">
        <v>2721</v>
      </c>
      <c r="S1831" s="42" t="s">
        <v>6910</v>
      </c>
      <c r="T1831" s="3" t="s">
        <v>4868</v>
      </c>
      <c r="U1831" s="45">
        <v>35</v>
      </c>
      <c r="V1831" t="s">
        <v>6919</v>
      </c>
      <c r="W1831" s="1" t="str">
        <f>HYPERLINK("http://ictvonline.org/taxonomy/p/taxonomy-history?taxnode_id=201901127","ICTVonline=201901127")</f>
        <v>ICTVonline=201901127</v>
      </c>
    </row>
    <row r="1832" spans="1:23">
      <c r="A1832" s="3">
        <v>1831</v>
      </c>
      <c r="B1832" s="1" t="s">
        <v>6915</v>
      </c>
      <c r="D1832" s="1" t="s">
        <v>6916</v>
      </c>
      <c r="F1832" s="1" t="s">
        <v>6920</v>
      </c>
      <c r="H1832" s="1" t="s">
        <v>6921</v>
      </c>
      <c r="J1832" s="1" t="s">
        <v>1324</v>
      </c>
      <c r="L1832" s="1" t="s">
        <v>895</v>
      </c>
      <c r="N1832" s="1" t="s">
        <v>6683</v>
      </c>
      <c r="P1832" s="1" t="s">
        <v>4371</v>
      </c>
      <c r="Q1832" s="3">
        <v>0</v>
      </c>
      <c r="R1832" s="22" t="s">
        <v>2721</v>
      </c>
      <c r="S1832" s="42" t="s">
        <v>6910</v>
      </c>
      <c r="T1832" s="3" t="s">
        <v>4868</v>
      </c>
      <c r="U1832" s="45">
        <v>35</v>
      </c>
      <c r="V1832" t="s">
        <v>6919</v>
      </c>
      <c r="W1832" s="1" t="str">
        <f>HYPERLINK("http://ictvonline.org/taxonomy/p/taxonomy-history?taxnode_id=201901128","ICTVonline=201901128")</f>
        <v>ICTVonline=201901128</v>
      </c>
    </row>
    <row r="1833" spans="1:23">
      <c r="A1833" s="3">
        <v>1832</v>
      </c>
      <c r="B1833" s="1" t="s">
        <v>6915</v>
      </c>
      <c r="D1833" s="1" t="s">
        <v>6916</v>
      </c>
      <c r="F1833" s="1" t="s">
        <v>6920</v>
      </c>
      <c r="H1833" s="1" t="s">
        <v>6921</v>
      </c>
      <c r="J1833" s="1" t="s">
        <v>1324</v>
      </c>
      <c r="L1833" s="1" t="s">
        <v>895</v>
      </c>
      <c r="N1833" s="1" t="s">
        <v>6683</v>
      </c>
      <c r="P1833" s="1" t="s">
        <v>4372</v>
      </c>
      <c r="Q1833" s="3">
        <v>0</v>
      </c>
      <c r="R1833" s="22" t="s">
        <v>2721</v>
      </c>
      <c r="S1833" s="42" t="s">
        <v>6910</v>
      </c>
      <c r="T1833" s="3" t="s">
        <v>4868</v>
      </c>
      <c r="U1833" s="45">
        <v>35</v>
      </c>
      <c r="V1833" t="s">
        <v>6919</v>
      </c>
      <c r="W1833" s="1" t="str">
        <f>HYPERLINK("http://ictvonline.org/taxonomy/p/taxonomy-history?taxnode_id=201901129","ICTVonline=201901129")</f>
        <v>ICTVonline=201901129</v>
      </c>
    </row>
    <row r="1834" spans="1:23">
      <c r="A1834" s="3">
        <v>1833</v>
      </c>
      <c r="B1834" s="1" t="s">
        <v>6915</v>
      </c>
      <c r="D1834" s="1" t="s">
        <v>6916</v>
      </c>
      <c r="F1834" s="1" t="s">
        <v>6920</v>
      </c>
      <c r="H1834" s="1" t="s">
        <v>6921</v>
      </c>
      <c r="J1834" s="1" t="s">
        <v>1324</v>
      </c>
      <c r="L1834" s="1" t="s">
        <v>895</v>
      </c>
      <c r="N1834" s="1" t="s">
        <v>6683</v>
      </c>
      <c r="P1834" s="1" t="s">
        <v>4373</v>
      </c>
      <c r="Q1834" s="3">
        <v>0</v>
      </c>
      <c r="R1834" s="22" t="s">
        <v>2721</v>
      </c>
      <c r="S1834" s="42" t="s">
        <v>6910</v>
      </c>
      <c r="T1834" s="3" t="s">
        <v>4868</v>
      </c>
      <c r="U1834" s="45">
        <v>35</v>
      </c>
      <c r="V1834" t="s">
        <v>6919</v>
      </c>
      <c r="W1834" s="1" t="str">
        <f>HYPERLINK("http://ictvonline.org/taxonomy/p/taxonomy-history?taxnode_id=201901130","ICTVonline=201901130")</f>
        <v>ICTVonline=201901130</v>
      </c>
    </row>
    <row r="1835" spans="1:23">
      <c r="A1835" s="3">
        <v>1834</v>
      </c>
      <c r="B1835" s="1" t="s">
        <v>6915</v>
      </c>
      <c r="D1835" s="1" t="s">
        <v>6916</v>
      </c>
      <c r="F1835" s="1" t="s">
        <v>6920</v>
      </c>
      <c r="H1835" s="1" t="s">
        <v>6921</v>
      </c>
      <c r="J1835" s="1" t="s">
        <v>1324</v>
      </c>
      <c r="L1835" s="1" t="s">
        <v>895</v>
      </c>
      <c r="N1835" s="1" t="s">
        <v>6683</v>
      </c>
      <c r="P1835" s="1" t="s">
        <v>4374</v>
      </c>
      <c r="Q1835" s="3">
        <v>0</v>
      </c>
      <c r="R1835" s="22" t="s">
        <v>2721</v>
      </c>
      <c r="S1835" s="42" t="s">
        <v>6910</v>
      </c>
      <c r="T1835" s="3" t="s">
        <v>4868</v>
      </c>
      <c r="U1835" s="45">
        <v>35</v>
      </c>
      <c r="V1835" t="s">
        <v>6919</v>
      </c>
      <c r="W1835" s="1" t="str">
        <f>HYPERLINK("http://ictvonline.org/taxonomy/p/taxonomy-history?taxnode_id=201901131","ICTVonline=201901131")</f>
        <v>ICTVonline=201901131</v>
      </c>
    </row>
    <row r="1836" spans="1:23">
      <c r="A1836" s="3">
        <v>1835</v>
      </c>
      <c r="B1836" s="1" t="s">
        <v>6915</v>
      </c>
      <c r="D1836" s="1" t="s">
        <v>6916</v>
      </c>
      <c r="F1836" s="1" t="s">
        <v>6920</v>
      </c>
      <c r="H1836" s="1" t="s">
        <v>6921</v>
      </c>
      <c r="J1836" s="1" t="s">
        <v>1324</v>
      </c>
      <c r="L1836" s="1" t="s">
        <v>895</v>
      </c>
      <c r="N1836" s="1" t="s">
        <v>6683</v>
      </c>
      <c r="P1836" s="1" t="s">
        <v>4375</v>
      </c>
      <c r="Q1836" s="3">
        <v>0</v>
      </c>
      <c r="R1836" s="22" t="s">
        <v>2721</v>
      </c>
      <c r="S1836" s="42" t="s">
        <v>6910</v>
      </c>
      <c r="T1836" s="3" t="s">
        <v>4868</v>
      </c>
      <c r="U1836" s="45">
        <v>35</v>
      </c>
      <c r="V1836" t="s">
        <v>6919</v>
      </c>
      <c r="W1836" s="1" t="str">
        <f>HYPERLINK("http://ictvonline.org/taxonomy/p/taxonomy-history?taxnode_id=201901132","ICTVonline=201901132")</f>
        <v>ICTVonline=201901132</v>
      </c>
    </row>
    <row r="1837" spans="1:23">
      <c r="A1837" s="3">
        <v>1836</v>
      </c>
      <c r="B1837" s="1" t="s">
        <v>6915</v>
      </c>
      <c r="D1837" s="1" t="s">
        <v>6916</v>
      </c>
      <c r="F1837" s="1" t="s">
        <v>6920</v>
      </c>
      <c r="H1837" s="1" t="s">
        <v>6921</v>
      </c>
      <c r="J1837" s="1" t="s">
        <v>1324</v>
      </c>
      <c r="L1837" s="1" t="s">
        <v>895</v>
      </c>
      <c r="N1837" s="1" t="s">
        <v>6683</v>
      </c>
      <c r="P1837" s="1" t="s">
        <v>4376</v>
      </c>
      <c r="Q1837" s="3">
        <v>0</v>
      </c>
      <c r="R1837" s="22" t="s">
        <v>2721</v>
      </c>
      <c r="S1837" s="42" t="s">
        <v>6910</v>
      </c>
      <c r="T1837" s="3" t="s">
        <v>4868</v>
      </c>
      <c r="U1837" s="45">
        <v>35</v>
      </c>
      <c r="V1837" t="s">
        <v>6919</v>
      </c>
      <c r="W1837" s="1" t="str">
        <f>HYPERLINK("http://ictvonline.org/taxonomy/p/taxonomy-history?taxnode_id=201901133","ICTVonline=201901133")</f>
        <v>ICTVonline=201901133</v>
      </c>
    </row>
    <row r="1838" spans="1:23">
      <c r="A1838" s="3">
        <v>1837</v>
      </c>
      <c r="B1838" s="1" t="s">
        <v>6915</v>
      </c>
      <c r="D1838" s="1" t="s">
        <v>6916</v>
      </c>
      <c r="F1838" s="1" t="s">
        <v>6920</v>
      </c>
      <c r="H1838" s="1" t="s">
        <v>6921</v>
      </c>
      <c r="J1838" s="1" t="s">
        <v>1324</v>
      </c>
      <c r="L1838" s="1" t="s">
        <v>895</v>
      </c>
      <c r="N1838" s="1" t="s">
        <v>6683</v>
      </c>
      <c r="P1838" s="1" t="s">
        <v>4377</v>
      </c>
      <c r="Q1838" s="3">
        <v>1</v>
      </c>
      <c r="R1838" s="22" t="s">
        <v>2721</v>
      </c>
      <c r="S1838" s="42" t="s">
        <v>6910</v>
      </c>
      <c r="T1838" s="3" t="s">
        <v>4868</v>
      </c>
      <c r="U1838" s="45">
        <v>35</v>
      </c>
      <c r="V1838" t="s">
        <v>6919</v>
      </c>
      <c r="W1838" s="1" t="str">
        <f>HYPERLINK("http://ictvonline.org/taxonomy/p/taxonomy-history?taxnode_id=201901134","ICTVonline=201901134")</f>
        <v>ICTVonline=201901134</v>
      </c>
    </row>
    <row r="1839" spans="1:23">
      <c r="A1839" s="3">
        <v>1838</v>
      </c>
      <c r="B1839" s="1" t="s">
        <v>6915</v>
      </c>
      <c r="D1839" s="1" t="s">
        <v>6916</v>
      </c>
      <c r="F1839" s="1" t="s">
        <v>6920</v>
      </c>
      <c r="H1839" s="1" t="s">
        <v>6921</v>
      </c>
      <c r="J1839" s="1" t="s">
        <v>1324</v>
      </c>
      <c r="L1839" s="1" t="s">
        <v>895</v>
      </c>
      <c r="N1839" s="1" t="s">
        <v>6683</v>
      </c>
      <c r="P1839" s="1" t="s">
        <v>4378</v>
      </c>
      <c r="Q1839" s="3">
        <v>0</v>
      </c>
      <c r="R1839" s="22" t="s">
        <v>2721</v>
      </c>
      <c r="S1839" s="42" t="s">
        <v>6910</v>
      </c>
      <c r="T1839" s="3" t="s">
        <v>4868</v>
      </c>
      <c r="U1839" s="45">
        <v>35</v>
      </c>
      <c r="V1839" t="s">
        <v>6919</v>
      </c>
      <c r="W1839" s="1" t="str">
        <f>HYPERLINK("http://ictvonline.org/taxonomy/p/taxonomy-history?taxnode_id=201901135","ICTVonline=201901135")</f>
        <v>ICTVonline=201901135</v>
      </c>
    </row>
    <row r="1840" spans="1:23">
      <c r="A1840" s="3">
        <v>1839</v>
      </c>
      <c r="B1840" s="1" t="s">
        <v>6915</v>
      </c>
      <c r="D1840" s="1" t="s">
        <v>6916</v>
      </c>
      <c r="F1840" s="1" t="s">
        <v>6920</v>
      </c>
      <c r="H1840" s="1" t="s">
        <v>6921</v>
      </c>
      <c r="J1840" s="1" t="s">
        <v>1324</v>
      </c>
      <c r="L1840" s="1" t="s">
        <v>895</v>
      </c>
      <c r="N1840" s="1" t="s">
        <v>6683</v>
      </c>
      <c r="P1840" s="1" t="s">
        <v>4379</v>
      </c>
      <c r="Q1840" s="3">
        <v>0</v>
      </c>
      <c r="R1840" s="22" t="s">
        <v>2721</v>
      </c>
      <c r="S1840" s="42" t="s">
        <v>6910</v>
      </c>
      <c r="T1840" s="3" t="s">
        <v>4868</v>
      </c>
      <c r="U1840" s="45">
        <v>35</v>
      </c>
      <c r="V1840" t="s">
        <v>6919</v>
      </c>
      <c r="W1840" s="1" t="str">
        <f>HYPERLINK("http://ictvonline.org/taxonomy/p/taxonomy-history?taxnode_id=201901136","ICTVonline=201901136")</f>
        <v>ICTVonline=201901136</v>
      </c>
    </row>
    <row r="1841" spans="1:23">
      <c r="A1841" s="3">
        <v>1840</v>
      </c>
      <c r="B1841" s="1" t="s">
        <v>6915</v>
      </c>
      <c r="D1841" s="1" t="s">
        <v>6916</v>
      </c>
      <c r="F1841" s="1" t="s">
        <v>6920</v>
      </c>
      <c r="H1841" s="1" t="s">
        <v>6921</v>
      </c>
      <c r="J1841" s="1" t="s">
        <v>1324</v>
      </c>
      <c r="L1841" s="1" t="s">
        <v>895</v>
      </c>
      <c r="N1841" s="1" t="s">
        <v>6683</v>
      </c>
      <c r="P1841" s="1" t="s">
        <v>4380</v>
      </c>
      <c r="Q1841" s="3">
        <v>0</v>
      </c>
      <c r="R1841" s="22" t="s">
        <v>2721</v>
      </c>
      <c r="S1841" s="42" t="s">
        <v>6910</v>
      </c>
      <c r="T1841" s="3" t="s">
        <v>4868</v>
      </c>
      <c r="U1841" s="45">
        <v>35</v>
      </c>
      <c r="V1841" t="s">
        <v>6919</v>
      </c>
      <c r="W1841" s="1" t="str">
        <f>HYPERLINK("http://ictvonline.org/taxonomy/p/taxonomy-history?taxnode_id=201901137","ICTVonline=201901137")</f>
        <v>ICTVonline=201901137</v>
      </c>
    </row>
    <row r="1842" spans="1:23">
      <c r="A1842" s="3">
        <v>1841</v>
      </c>
      <c r="B1842" s="1" t="s">
        <v>6915</v>
      </c>
      <c r="D1842" s="1" t="s">
        <v>6916</v>
      </c>
      <c r="F1842" s="1" t="s">
        <v>6920</v>
      </c>
      <c r="H1842" s="1" t="s">
        <v>6921</v>
      </c>
      <c r="J1842" s="1" t="s">
        <v>1324</v>
      </c>
      <c r="L1842" s="1" t="s">
        <v>895</v>
      </c>
      <c r="N1842" s="1" t="s">
        <v>6683</v>
      </c>
      <c r="P1842" s="1" t="s">
        <v>4381</v>
      </c>
      <c r="Q1842" s="3">
        <v>0</v>
      </c>
      <c r="R1842" s="22" t="s">
        <v>2721</v>
      </c>
      <c r="S1842" s="42" t="s">
        <v>6910</v>
      </c>
      <c r="T1842" s="3" t="s">
        <v>4868</v>
      </c>
      <c r="U1842" s="45">
        <v>35</v>
      </c>
      <c r="V1842" t="s">
        <v>6919</v>
      </c>
      <c r="W1842" s="1" t="str">
        <f>HYPERLINK("http://ictvonline.org/taxonomy/p/taxonomy-history?taxnode_id=201901138","ICTVonline=201901138")</f>
        <v>ICTVonline=201901138</v>
      </c>
    </row>
    <row r="1843" spans="1:23">
      <c r="A1843" s="3">
        <v>1842</v>
      </c>
      <c r="B1843" s="1" t="s">
        <v>6915</v>
      </c>
      <c r="D1843" s="1" t="s">
        <v>6916</v>
      </c>
      <c r="F1843" s="1" t="s">
        <v>6920</v>
      </c>
      <c r="H1843" s="1" t="s">
        <v>6921</v>
      </c>
      <c r="J1843" s="1" t="s">
        <v>1324</v>
      </c>
      <c r="L1843" s="1" t="s">
        <v>895</v>
      </c>
      <c r="N1843" s="1" t="s">
        <v>6683</v>
      </c>
      <c r="P1843" s="1" t="s">
        <v>4382</v>
      </c>
      <c r="Q1843" s="3">
        <v>0</v>
      </c>
      <c r="R1843" s="22" t="s">
        <v>2721</v>
      </c>
      <c r="S1843" s="42" t="s">
        <v>6910</v>
      </c>
      <c r="T1843" s="3" t="s">
        <v>4868</v>
      </c>
      <c r="U1843" s="45">
        <v>35</v>
      </c>
      <c r="V1843" t="s">
        <v>6919</v>
      </c>
      <c r="W1843" s="1" t="str">
        <f>HYPERLINK("http://ictvonline.org/taxonomy/p/taxonomy-history?taxnode_id=201901139","ICTVonline=201901139")</f>
        <v>ICTVonline=201901139</v>
      </c>
    </row>
    <row r="1844" spans="1:23">
      <c r="A1844" s="3">
        <v>1843</v>
      </c>
      <c r="B1844" s="1" t="s">
        <v>6915</v>
      </c>
      <c r="D1844" s="1" t="s">
        <v>6916</v>
      </c>
      <c r="F1844" s="1" t="s">
        <v>6920</v>
      </c>
      <c r="H1844" s="1" t="s">
        <v>6921</v>
      </c>
      <c r="J1844" s="1" t="s">
        <v>1324</v>
      </c>
      <c r="L1844" s="1" t="s">
        <v>895</v>
      </c>
      <c r="N1844" s="1" t="s">
        <v>6683</v>
      </c>
      <c r="P1844" s="1" t="s">
        <v>4383</v>
      </c>
      <c r="Q1844" s="3">
        <v>0</v>
      </c>
      <c r="R1844" s="22" t="s">
        <v>2721</v>
      </c>
      <c r="S1844" s="42" t="s">
        <v>6910</v>
      </c>
      <c r="T1844" s="3" t="s">
        <v>4868</v>
      </c>
      <c r="U1844" s="45">
        <v>35</v>
      </c>
      <c r="V1844" t="s">
        <v>6919</v>
      </c>
      <c r="W1844" s="1" t="str">
        <f>HYPERLINK("http://ictvonline.org/taxonomy/p/taxonomy-history?taxnode_id=201901140","ICTVonline=201901140")</f>
        <v>ICTVonline=201901140</v>
      </c>
    </row>
    <row r="1845" spans="1:23">
      <c r="A1845" s="3">
        <v>1844</v>
      </c>
      <c r="B1845" s="1" t="s">
        <v>6915</v>
      </c>
      <c r="D1845" s="1" t="s">
        <v>6916</v>
      </c>
      <c r="F1845" s="1" t="s">
        <v>6920</v>
      </c>
      <c r="H1845" s="1" t="s">
        <v>6921</v>
      </c>
      <c r="J1845" s="1" t="s">
        <v>1324</v>
      </c>
      <c r="L1845" s="1" t="s">
        <v>895</v>
      </c>
      <c r="N1845" s="1" t="s">
        <v>6683</v>
      </c>
      <c r="P1845" s="1" t="s">
        <v>4384</v>
      </c>
      <c r="Q1845" s="3">
        <v>0</v>
      </c>
      <c r="R1845" s="22" t="s">
        <v>2721</v>
      </c>
      <c r="S1845" s="42" t="s">
        <v>6910</v>
      </c>
      <c r="T1845" s="3" t="s">
        <v>4868</v>
      </c>
      <c r="U1845" s="45">
        <v>35</v>
      </c>
      <c r="V1845" t="s">
        <v>6919</v>
      </c>
      <c r="W1845" s="1" t="str">
        <f>HYPERLINK("http://ictvonline.org/taxonomy/p/taxonomy-history?taxnode_id=201901141","ICTVonline=201901141")</f>
        <v>ICTVonline=201901141</v>
      </c>
    </row>
    <row r="1846" spans="1:23">
      <c r="A1846" s="3">
        <v>1845</v>
      </c>
      <c r="B1846" s="1" t="s">
        <v>6915</v>
      </c>
      <c r="D1846" s="1" t="s">
        <v>6916</v>
      </c>
      <c r="F1846" s="1" t="s">
        <v>6920</v>
      </c>
      <c r="H1846" s="1" t="s">
        <v>6921</v>
      </c>
      <c r="J1846" s="1" t="s">
        <v>1324</v>
      </c>
      <c r="L1846" s="1" t="s">
        <v>895</v>
      </c>
      <c r="N1846" s="1" t="s">
        <v>6683</v>
      </c>
      <c r="P1846" s="1" t="s">
        <v>4385</v>
      </c>
      <c r="Q1846" s="3">
        <v>0</v>
      </c>
      <c r="R1846" s="22" t="s">
        <v>2721</v>
      </c>
      <c r="S1846" s="42" t="s">
        <v>6910</v>
      </c>
      <c r="T1846" s="3" t="s">
        <v>4868</v>
      </c>
      <c r="U1846" s="45">
        <v>35</v>
      </c>
      <c r="V1846" t="s">
        <v>6919</v>
      </c>
      <c r="W1846" s="1" t="str">
        <f>HYPERLINK("http://ictvonline.org/taxonomy/p/taxonomy-history?taxnode_id=201901142","ICTVonline=201901142")</f>
        <v>ICTVonline=201901142</v>
      </c>
    </row>
    <row r="1847" spans="1:23">
      <c r="A1847" s="3">
        <v>1846</v>
      </c>
      <c r="B1847" s="1" t="s">
        <v>6915</v>
      </c>
      <c r="D1847" s="1" t="s">
        <v>6916</v>
      </c>
      <c r="F1847" s="1" t="s">
        <v>6920</v>
      </c>
      <c r="H1847" s="1" t="s">
        <v>6921</v>
      </c>
      <c r="J1847" s="1" t="s">
        <v>1324</v>
      </c>
      <c r="L1847" s="1" t="s">
        <v>895</v>
      </c>
      <c r="N1847" s="1" t="s">
        <v>6683</v>
      </c>
      <c r="P1847" s="1" t="s">
        <v>4386</v>
      </c>
      <c r="Q1847" s="3">
        <v>0</v>
      </c>
      <c r="R1847" s="22" t="s">
        <v>2721</v>
      </c>
      <c r="S1847" s="42" t="s">
        <v>6910</v>
      </c>
      <c r="T1847" s="3" t="s">
        <v>4868</v>
      </c>
      <c r="U1847" s="45">
        <v>35</v>
      </c>
      <c r="V1847" t="s">
        <v>6919</v>
      </c>
      <c r="W1847" s="1" t="str">
        <f>HYPERLINK("http://ictvonline.org/taxonomy/p/taxonomy-history?taxnode_id=201901143","ICTVonline=201901143")</f>
        <v>ICTVonline=201901143</v>
      </c>
    </row>
    <row r="1848" spans="1:23">
      <c r="A1848" s="3">
        <v>1847</v>
      </c>
      <c r="B1848" s="1" t="s">
        <v>6915</v>
      </c>
      <c r="D1848" s="1" t="s">
        <v>6916</v>
      </c>
      <c r="F1848" s="1" t="s">
        <v>6920</v>
      </c>
      <c r="H1848" s="1" t="s">
        <v>6921</v>
      </c>
      <c r="J1848" s="1" t="s">
        <v>1324</v>
      </c>
      <c r="L1848" s="1" t="s">
        <v>895</v>
      </c>
      <c r="N1848" s="1" t="s">
        <v>6683</v>
      </c>
      <c r="P1848" s="1" t="s">
        <v>4387</v>
      </c>
      <c r="Q1848" s="3">
        <v>0</v>
      </c>
      <c r="R1848" s="22" t="s">
        <v>2721</v>
      </c>
      <c r="S1848" s="42" t="s">
        <v>6910</v>
      </c>
      <c r="T1848" s="3" t="s">
        <v>4868</v>
      </c>
      <c r="U1848" s="45">
        <v>35</v>
      </c>
      <c r="V1848" t="s">
        <v>6919</v>
      </c>
      <c r="W1848" s="1" t="str">
        <f>HYPERLINK("http://ictvonline.org/taxonomy/p/taxonomy-history?taxnode_id=201901144","ICTVonline=201901144")</f>
        <v>ICTVonline=201901144</v>
      </c>
    </row>
    <row r="1849" spans="1:23">
      <c r="A1849" s="3">
        <v>1848</v>
      </c>
      <c r="B1849" s="1" t="s">
        <v>6915</v>
      </c>
      <c r="D1849" s="1" t="s">
        <v>6916</v>
      </c>
      <c r="F1849" s="1" t="s">
        <v>6920</v>
      </c>
      <c r="H1849" s="1" t="s">
        <v>6921</v>
      </c>
      <c r="J1849" s="1" t="s">
        <v>1324</v>
      </c>
      <c r="L1849" s="1" t="s">
        <v>895</v>
      </c>
      <c r="N1849" s="1" t="s">
        <v>6683</v>
      </c>
      <c r="P1849" s="1" t="s">
        <v>4388</v>
      </c>
      <c r="Q1849" s="3">
        <v>0</v>
      </c>
      <c r="R1849" s="22" t="s">
        <v>2721</v>
      </c>
      <c r="S1849" s="42" t="s">
        <v>6910</v>
      </c>
      <c r="T1849" s="3" t="s">
        <v>4868</v>
      </c>
      <c r="U1849" s="45">
        <v>35</v>
      </c>
      <c r="V1849" t="s">
        <v>6919</v>
      </c>
      <c r="W1849" s="1" t="str">
        <f>HYPERLINK("http://ictvonline.org/taxonomy/p/taxonomy-history?taxnode_id=201901145","ICTVonline=201901145")</f>
        <v>ICTVonline=201901145</v>
      </c>
    </row>
    <row r="1850" spans="1:23">
      <c r="A1850" s="3">
        <v>1849</v>
      </c>
      <c r="B1850" s="1" t="s">
        <v>6915</v>
      </c>
      <c r="D1850" s="1" t="s">
        <v>6916</v>
      </c>
      <c r="F1850" s="1" t="s">
        <v>6920</v>
      </c>
      <c r="H1850" s="1" t="s">
        <v>6921</v>
      </c>
      <c r="J1850" s="1" t="s">
        <v>1324</v>
      </c>
      <c r="L1850" s="1" t="s">
        <v>895</v>
      </c>
      <c r="N1850" s="1" t="s">
        <v>6683</v>
      </c>
      <c r="P1850" s="1" t="s">
        <v>4389</v>
      </c>
      <c r="Q1850" s="3">
        <v>0</v>
      </c>
      <c r="R1850" s="22" t="s">
        <v>2721</v>
      </c>
      <c r="S1850" s="42" t="s">
        <v>6910</v>
      </c>
      <c r="T1850" s="3" t="s">
        <v>4868</v>
      </c>
      <c r="U1850" s="45">
        <v>35</v>
      </c>
      <c r="V1850" t="s">
        <v>6919</v>
      </c>
      <c r="W1850" s="1" t="str">
        <f>HYPERLINK("http://ictvonline.org/taxonomy/p/taxonomy-history?taxnode_id=201901146","ICTVonline=201901146")</f>
        <v>ICTVonline=201901146</v>
      </c>
    </row>
    <row r="1851" spans="1:23">
      <c r="A1851" s="3">
        <v>1850</v>
      </c>
      <c r="B1851" s="1" t="s">
        <v>6915</v>
      </c>
      <c r="D1851" s="1" t="s">
        <v>6916</v>
      </c>
      <c r="F1851" s="1" t="s">
        <v>6920</v>
      </c>
      <c r="H1851" s="1" t="s">
        <v>6921</v>
      </c>
      <c r="J1851" s="1" t="s">
        <v>1324</v>
      </c>
      <c r="L1851" s="1" t="s">
        <v>895</v>
      </c>
      <c r="N1851" s="1" t="s">
        <v>6683</v>
      </c>
      <c r="P1851" s="1" t="s">
        <v>4390</v>
      </c>
      <c r="Q1851" s="3">
        <v>0</v>
      </c>
      <c r="R1851" s="22" t="s">
        <v>2721</v>
      </c>
      <c r="S1851" s="42" t="s">
        <v>6910</v>
      </c>
      <c r="T1851" s="3" t="s">
        <v>4868</v>
      </c>
      <c r="U1851" s="45">
        <v>35</v>
      </c>
      <c r="V1851" t="s">
        <v>6919</v>
      </c>
      <c r="W1851" s="1" t="str">
        <f>HYPERLINK("http://ictvonline.org/taxonomy/p/taxonomy-history?taxnode_id=201901147","ICTVonline=201901147")</f>
        <v>ICTVonline=201901147</v>
      </c>
    </row>
    <row r="1852" spans="1:23">
      <c r="A1852" s="3">
        <v>1851</v>
      </c>
      <c r="B1852" s="1" t="s">
        <v>6915</v>
      </c>
      <c r="D1852" s="1" t="s">
        <v>6916</v>
      </c>
      <c r="F1852" s="1" t="s">
        <v>6920</v>
      </c>
      <c r="H1852" s="1" t="s">
        <v>6921</v>
      </c>
      <c r="J1852" s="1" t="s">
        <v>1324</v>
      </c>
      <c r="L1852" s="1" t="s">
        <v>895</v>
      </c>
      <c r="N1852" s="1" t="s">
        <v>6683</v>
      </c>
      <c r="P1852" s="1" t="s">
        <v>4391</v>
      </c>
      <c r="Q1852" s="3">
        <v>0</v>
      </c>
      <c r="R1852" s="22" t="s">
        <v>2721</v>
      </c>
      <c r="S1852" s="42" t="s">
        <v>6910</v>
      </c>
      <c r="T1852" s="3" t="s">
        <v>4868</v>
      </c>
      <c r="U1852" s="45">
        <v>35</v>
      </c>
      <c r="V1852" t="s">
        <v>6919</v>
      </c>
      <c r="W1852" s="1" t="str">
        <f>HYPERLINK("http://ictvonline.org/taxonomy/p/taxonomy-history?taxnode_id=201901148","ICTVonline=201901148")</f>
        <v>ICTVonline=201901148</v>
      </c>
    </row>
    <row r="1853" spans="1:23">
      <c r="A1853" s="3">
        <v>1852</v>
      </c>
      <c r="B1853" s="1" t="s">
        <v>6915</v>
      </c>
      <c r="D1853" s="1" t="s">
        <v>6916</v>
      </c>
      <c r="F1853" s="1" t="s">
        <v>6920</v>
      </c>
      <c r="H1853" s="1" t="s">
        <v>6921</v>
      </c>
      <c r="J1853" s="1" t="s">
        <v>1324</v>
      </c>
      <c r="L1853" s="1" t="s">
        <v>895</v>
      </c>
      <c r="N1853" s="1" t="s">
        <v>6683</v>
      </c>
      <c r="P1853" s="1" t="s">
        <v>4392</v>
      </c>
      <c r="Q1853" s="3">
        <v>0</v>
      </c>
      <c r="R1853" s="22" t="s">
        <v>2721</v>
      </c>
      <c r="S1853" s="42" t="s">
        <v>6910</v>
      </c>
      <c r="T1853" s="3" t="s">
        <v>4868</v>
      </c>
      <c r="U1853" s="45">
        <v>35</v>
      </c>
      <c r="V1853" t="s">
        <v>6919</v>
      </c>
      <c r="W1853" s="1" t="str">
        <f>HYPERLINK("http://ictvonline.org/taxonomy/p/taxonomy-history?taxnode_id=201901149","ICTVonline=201901149")</f>
        <v>ICTVonline=201901149</v>
      </c>
    </row>
    <row r="1854" spans="1:23">
      <c r="A1854" s="3">
        <v>1853</v>
      </c>
      <c r="B1854" s="1" t="s">
        <v>6915</v>
      </c>
      <c r="D1854" s="1" t="s">
        <v>6916</v>
      </c>
      <c r="F1854" s="1" t="s">
        <v>6920</v>
      </c>
      <c r="H1854" s="1" t="s">
        <v>6921</v>
      </c>
      <c r="J1854" s="1" t="s">
        <v>1324</v>
      </c>
      <c r="L1854" s="1" t="s">
        <v>895</v>
      </c>
      <c r="N1854" s="1" t="s">
        <v>6683</v>
      </c>
      <c r="P1854" s="1" t="s">
        <v>4393</v>
      </c>
      <c r="Q1854" s="3">
        <v>0</v>
      </c>
      <c r="R1854" s="22" t="s">
        <v>2721</v>
      </c>
      <c r="S1854" s="42" t="s">
        <v>6910</v>
      </c>
      <c r="T1854" s="3" t="s">
        <v>4868</v>
      </c>
      <c r="U1854" s="45">
        <v>35</v>
      </c>
      <c r="V1854" t="s">
        <v>6919</v>
      </c>
      <c r="W1854" s="1" t="str">
        <f>HYPERLINK("http://ictvonline.org/taxonomy/p/taxonomy-history?taxnode_id=201901150","ICTVonline=201901150")</f>
        <v>ICTVonline=201901150</v>
      </c>
    </row>
    <row r="1855" spans="1:23">
      <c r="A1855" s="3">
        <v>1854</v>
      </c>
      <c r="B1855" s="1" t="s">
        <v>6915</v>
      </c>
      <c r="D1855" s="1" t="s">
        <v>6916</v>
      </c>
      <c r="F1855" s="1" t="s">
        <v>6920</v>
      </c>
      <c r="H1855" s="1" t="s">
        <v>6921</v>
      </c>
      <c r="J1855" s="1" t="s">
        <v>1324</v>
      </c>
      <c r="L1855" s="1" t="s">
        <v>895</v>
      </c>
      <c r="N1855" s="1" t="s">
        <v>6683</v>
      </c>
      <c r="P1855" s="1" t="s">
        <v>4394</v>
      </c>
      <c r="Q1855" s="3">
        <v>0</v>
      </c>
      <c r="R1855" s="22" t="s">
        <v>2721</v>
      </c>
      <c r="S1855" s="42" t="s">
        <v>6910</v>
      </c>
      <c r="T1855" s="3" t="s">
        <v>4868</v>
      </c>
      <c r="U1855" s="45">
        <v>35</v>
      </c>
      <c r="V1855" t="s">
        <v>6919</v>
      </c>
      <c r="W1855" s="1" t="str">
        <f>HYPERLINK("http://ictvonline.org/taxonomy/p/taxonomy-history?taxnode_id=201901151","ICTVonline=201901151")</f>
        <v>ICTVonline=201901151</v>
      </c>
    </row>
    <row r="1856" spans="1:23">
      <c r="A1856" s="3">
        <v>1855</v>
      </c>
      <c r="B1856" s="1" t="s">
        <v>6915</v>
      </c>
      <c r="D1856" s="1" t="s">
        <v>6916</v>
      </c>
      <c r="F1856" s="1" t="s">
        <v>6920</v>
      </c>
      <c r="H1856" s="1" t="s">
        <v>6921</v>
      </c>
      <c r="J1856" s="1" t="s">
        <v>1324</v>
      </c>
      <c r="L1856" s="1" t="s">
        <v>895</v>
      </c>
      <c r="N1856" s="1" t="s">
        <v>6683</v>
      </c>
      <c r="P1856" s="1" t="s">
        <v>4395</v>
      </c>
      <c r="Q1856" s="3">
        <v>0</v>
      </c>
      <c r="R1856" s="22" t="s">
        <v>2721</v>
      </c>
      <c r="S1856" s="42" t="s">
        <v>6910</v>
      </c>
      <c r="T1856" s="3" t="s">
        <v>4868</v>
      </c>
      <c r="U1856" s="45">
        <v>35</v>
      </c>
      <c r="V1856" t="s">
        <v>6919</v>
      </c>
      <c r="W1856" s="1" t="str">
        <f>HYPERLINK("http://ictvonline.org/taxonomy/p/taxonomy-history?taxnode_id=201901152","ICTVonline=201901152")</f>
        <v>ICTVonline=201901152</v>
      </c>
    </row>
    <row r="1857" spans="1:23">
      <c r="A1857" s="3">
        <v>1856</v>
      </c>
      <c r="B1857" s="1" t="s">
        <v>6915</v>
      </c>
      <c r="D1857" s="1" t="s">
        <v>6916</v>
      </c>
      <c r="F1857" s="1" t="s">
        <v>6920</v>
      </c>
      <c r="H1857" s="1" t="s">
        <v>6921</v>
      </c>
      <c r="J1857" s="1" t="s">
        <v>1324</v>
      </c>
      <c r="L1857" s="1" t="s">
        <v>895</v>
      </c>
      <c r="N1857" s="1" t="s">
        <v>6683</v>
      </c>
      <c r="P1857" s="1" t="s">
        <v>4396</v>
      </c>
      <c r="Q1857" s="3">
        <v>0</v>
      </c>
      <c r="R1857" s="22" t="s">
        <v>2721</v>
      </c>
      <c r="S1857" s="42" t="s">
        <v>6910</v>
      </c>
      <c r="T1857" s="3" t="s">
        <v>4868</v>
      </c>
      <c r="U1857" s="45">
        <v>35</v>
      </c>
      <c r="V1857" t="s">
        <v>6919</v>
      </c>
      <c r="W1857" s="1" t="str">
        <f>HYPERLINK("http://ictvonline.org/taxonomy/p/taxonomy-history?taxnode_id=201901153","ICTVonline=201901153")</f>
        <v>ICTVonline=201901153</v>
      </c>
    </row>
    <row r="1858" spans="1:23">
      <c r="A1858" s="3">
        <v>1857</v>
      </c>
      <c r="B1858" s="1" t="s">
        <v>6915</v>
      </c>
      <c r="D1858" s="1" t="s">
        <v>6916</v>
      </c>
      <c r="F1858" s="1" t="s">
        <v>6920</v>
      </c>
      <c r="H1858" s="1" t="s">
        <v>6921</v>
      </c>
      <c r="J1858" s="1" t="s">
        <v>1324</v>
      </c>
      <c r="L1858" s="1" t="s">
        <v>895</v>
      </c>
      <c r="N1858" s="1" t="s">
        <v>6683</v>
      </c>
      <c r="P1858" s="1" t="s">
        <v>4397</v>
      </c>
      <c r="Q1858" s="3">
        <v>0</v>
      </c>
      <c r="R1858" s="22" t="s">
        <v>2721</v>
      </c>
      <c r="S1858" s="42" t="s">
        <v>6910</v>
      </c>
      <c r="T1858" s="3" t="s">
        <v>4868</v>
      </c>
      <c r="U1858" s="45">
        <v>35</v>
      </c>
      <c r="V1858" t="s">
        <v>6919</v>
      </c>
      <c r="W1858" s="1" t="str">
        <f>HYPERLINK("http://ictvonline.org/taxonomy/p/taxonomy-history?taxnode_id=201901154","ICTVonline=201901154")</f>
        <v>ICTVonline=201901154</v>
      </c>
    </row>
    <row r="1859" spans="1:23">
      <c r="A1859" s="3">
        <v>1858</v>
      </c>
      <c r="B1859" s="1" t="s">
        <v>6915</v>
      </c>
      <c r="D1859" s="1" t="s">
        <v>6916</v>
      </c>
      <c r="F1859" s="1" t="s">
        <v>6920</v>
      </c>
      <c r="H1859" s="1" t="s">
        <v>6921</v>
      </c>
      <c r="J1859" s="1" t="s">
        <v>1324</v>
      </c>
      <c r="L1859" s="1" t="s">
        <v>895</v>
      </c>
      <c r="N1859" s="1" t="s">
        <v>6683</v>
      </c>
      <c r="P1859" s="1" t="s">
        <v>4398</v>
      </c>
      <c r="Q1859" s="3">
        <v>0</v>
      </c>
      <c r="R1859" s="22" t="s">
        <v>2721</v>
      </c>
      <c r="S1859" s="42" t="s">
        <v>6910</v>
      </c>
      <c r="T1859" s="3" t="s">
        <v>4868</v>
      </c>
      <c r="U1859" s="45">
        <v>35</v>
      </c>
      <c r="V1859" t="s">
        <v>6919</v>
      </c>
      <c r="W1859" s="1" t="str">
        <f>HYPERLINK("http://ictvonline.org/taxonomy/p/taxonomy-history?taxnode_id=201901155","ICTVonline=201901155")</f>
        <v>ICTVonline=201901155</v>
      </c>
    </row>
    <row r="1860" spans="1:23">
      <c r="A1860" s="3">
        <v>1859</v>
      </c>
      <c r="B1860" s="1" t="s">
        <v>6915</v>
      </c>
      <c r="D1860" s="1" t="s">
        <v>6916</v>
      </c>
      <c r="F1860" s="1" t="s">
        <v>6920</v>
      </c>
      <c r="H1860" s="1" t="s">
        <v>6921</v>
      </c>
      <c r="J1860" s="1" t="s">
        <v>1324</v>
      </c>
      <c r="L1860" s="1" t="s">
        <v>895</v>
      </c>
      <c r="N1860" s="1" t="s">
        <v>6683</v>
      </c>
      <c r="P1860" s="1" t="s">
        <v>4399</v>
      </c>
      <c r="Q1860" s="3">
        <v>0</v>
      </c>
      <c r="R1860" s="22" t="s">
        <v>2721</v>
      </c>
      <c r="S1860" s="42" t="s">
        <v>6910</v>
      </c>
      <c r="T1860" s="3" t="s">
        <v>4868</v>
      </c>
      <c r="U1860" s="45">
        <v>35</v>
      </c>
      <c r="V1860" t="s">
        <v>6919</v>
      </c>
      <c r="W1860" s="1" t="str">
        <f>HYPERLINK("http://ictvonline.org/taxonomy/p/taxonomy-history?taxnode_id=201901156","ICTVonline=201901156")</f>
        <v>ICTVonline=201901156</v>
      </c>
    </row>
    <row r="1861" spans="1:23">
      <c r="A1861" s="3">
        <v>1860</v>
      </c>
      <c r="B1861" s="1" t="s">
        <v>6915</v>
      </c>
      <c r="D1861" s="1" t="s">
        <v>6916</v>
      </c>
      <c r="F1861" s="1" t="s">
        <v>6920</v>
      </c>
      <c r="H1861" s="1" t="s">
        <v>6921</v>
      </c>
      <c r="J1861" s="1" t="s">
        <v>1324</v>
      </c>
      <c r="L1861" s="1" t="s">
        <v>895</v>
      </c>
      <c r="N1861" s="1" t="s">
        <v>6683</v>
      </c>
      <c r="P1861" s="1" t="s">
        <v>4400</v>
      </c>
      <c r="Q1861" s="3">
        <v>0</v>
      </c>
      <c r="R1861" s="22" t="s">
        <v>2721</v>
      </c>
      <c r="S1861" s="42" t="s">
        <v>6910</v>
      </c>
      <c r="T1861" s="3" t="s">
        <v>4868</v>
      </c>
      <c r="U1861" s="45">
        <v>35</v>
      </c>
      <c r="V1861" t="s">
        <v>6919</v>
      </c>
      <c r="W1861" s="1" t="str">
        <f>HYPERLINK("http://ictvonline.org/taxonomy/p/taxonomy-history?taxnode_id=201901157","ICTVonline=201901157")</f>
        <v>ICTVonline=201901157</v>
      </c>
    </row>
    <row r="1862" spans="1:23">
      <c r="A1862" s="3">
        <v>1861</v>
      </c>
      <c r="B1862" s="1" t="s">
        <v>6915</v>
      </c>
      <c r="D1862" s="1" t="s">
        <v>6916</v>
      </c>
      <c r="F1862" s="1" t="s">
        <v>6920</v>
      </c>
      <c r="H1862" s="1" t="s">
        <v>6921</v>
      </c>
      <c r="J1862" s="1" t="s">
        <v>1324</v>
      </c>
      <c r="L1862" s="1" t="s">
        <v>895</v>
      </c>
      <c r="N1862" s="1" t="s">
        <v>6683</v>
      </c>
      <c r="P1862" s="1" t="s">
        <v>4401</v>
      </c>
      <c r="Q1862" s="3">
        <v>0</v>
      </c>
      <c r="R1862" s="22" t="s">
        <v>2721</v>
      </c>
      <c r="S1862" s="42" t="s">
        <v>6910</v>
      </c>
      <c r="T1862" s="3" t="s">
        <v>4868</v>
      </c>
      <c r="U1862" s="45">
        <v>35</v>
      </c>
      <c r="V1862" t="s">
        <v>6919</v>
      </c>
      <c r="W1862" s="1" t="str">
        <f>HYPERLINK("http://ictvonline.org/taxonomy/p/taxonomy-history?taxnode_id=201901158","ICTVonline=201901158")</f>
        <v>ICTVonline=201901158</v>
      </c>
    </row>
    <row r="1863" spans="1:23">
      <c r="A1863" s="3">
        <v>1862</v>
      </c>
      <c r="B1863" s="1" t="s">
        <v>6915</v>
      </c>
      <c r="D1863" s="1" t="s">
        <v>6916</v>
      </c>
      <c r="F1863" s="1" t="s">
        <v>6920</v>
      </c>
      <c r="H1863" s="1" t="s">
        <v>6921</v>
      </c>
      <c r="J1863" s="1" t="s">
        <v>1324</v>
      </c>
      <c r="L1863" s="1" t="s">
        <v>895</v>
      </c>
      <c r="N1863" s="1" t="s">
        <v>6683</v>
      </c>
      <c r="P1863" s="1" t="s">
        <v>4402</v>
      </c>
      <c r="Q1863" s="3">
        <v>0</v>
      </c>
      <c r="R1863" s="22" t="s">
        <v>2721</v>
      </c>
      <c r="S1863" s="42" t="s">
        <v>6910</v>
      </c>
      <c r="T1863" s="3" t="s">
        <v>4868</v>
      </c>
      <c r="U1863" s="45">
        <v>35</v>
      </c>
      <c r="V1863" t="s">
        <v>6919</v>
      </c>
      <c r="W1863" s="1" t="str">
        <f>HYPERLINK("http://ictvonline.org/taxonomy/p/taxonomy-history?taxnode_id=201901159","ICTVonline=201901159")</f>
        <v>ICTVonline=201901159</v>
      </c>
    </row>
    <row r="1864" spans="1:23">
      <c r="A1864" s="3">
        <v>1863</v>
      </c>
      <c r="B1864" s="1" t="s">
        <v>6915</v>
      </c>
      <c r="D1864" s="1" t="s">
        <v>6916</v>
      </c>
      <c r="F1864" s="1" t="s">
        <v>6920</v>
      </c>
      <c r="H1864" s="1" t="s">
        <v>6921</v>
      </c>
      <c r="J1864" s="1" t="s">
        <v>1324</v>
      </c>
      <c r="L1864" s="1" t="s">
        <v>895</v>
      </c>
      <c r="N1864" s="1" t="s">
        <v>6683</v>
      </c>
      <c r="P1864" s="1" t="s">
        <v>4403</v>
      </c>
      <c r="Q1864" s="3">
        <v>0</v>
      </c>
      <c r="R1864" s="22" t="s">
        <v>2721</v>
      </c>
      <c r="S1864" s="42" t="s">
        <v>6910</v>
      </c>
      <c r="T1864" s="3" t="s">
        <v>4868</v>
      </c>
      <c r="U1864" s="45">
        <v>35</v>
      </c>
      <c r="V1864" t="s">
        <v>6919</v>
      </c>
      <c r="W1864" s="1" t="str">
        <f>HYPERLINK("http://ictvonline.org/taxonomy/p/taxonomy-history?taxnode_id=201901160","ICTVonline=201901160")</f>
        <v>ICTVonline=201901160</v>
      </c>
    </row>
    <row r="1865" spans="1:23">
      <c r="A1865" s="3">
        <v>1864</v>
      </c>
      <c r="B1865" s="1" t="s">
        <v>6915</v>
      </c>
      <c r="D1865" s="1" t="s">
        <v>6916</v>
      </c>
      <c r="F1865" s="1" t="s">
        <v>6920</v>
      </c>
      <c r="H1865" s="1" t="s">
        <v>6921</v>
      </c>
      <c r="J1865" s="1" t="s">
        <v>1324</v>
      </c>
      <c r="L1865" s="1" t="s">
        <v>895</v>
      </c>
      <c r="N1865" s="1" t="s">
        <v>6683</v>
      </c>
      <c r="P1865" s="1" t="s">
        <v>4404</v>
      </c>
      <c r="Q1865" s="3">
        <v>0</v>
      </c>
      <c r="R1865" s="22" t="s">
        <v>2721</v>
      </c>
      <c r="S1865" s="42" t="s">
        <v>6910</v>
      </c>
      <c r="T1865" s="3" t="s">
        <v>4868</v>
      </c>
      <c r="U1865" s="45">
        <v>35</v>
      </c>
      <c r="V1865" t="s">
        <v>6919</v>
      </c>
      <c r="W1865" s="1" t="str">
        <f>HYPERLINK("http://ictvonline.org/taxonomy/p/taxonomy-history?taxnode_id=201901161","ICTVonline=201901161")</f>
        <v>ICTVonline=201901161</v>
      </c>
    </row>
    <row r="1866" spans="1:23">
      <c r="A1866" s="3">
        <v>1865</v>
      </c>
      <c r="B1866" s="1" t="s">
        <v>6915</v>
      </c>
      <c r="D1866" s="1" t="s">
        <v>6916</v>
      </c>
      <c r="F1866" s="1" t="s">
        <v>6920</v>
      </c>
      <c r="H1866" s="1" t="s">
        <v>6921</v>
      </c>
      <c r="J1866" s="1" t="s">
        <v>1324</v>
      </c>
      <c r="L1866" s="1" t="s">
        <v>895</v>
      </c>
      <c r="N1866" s="1" t="s">
        <v>6683</v>
      </c>
      <c r="P1866" s="1" t="s">
        <v>4405</v>
      </c>
      <c r="Q1866" s="3">
        <v>0</v>
      </c>
      <c r="R1866" s="22" t="s">
        <v>2721</v>
      </c>
      <c r="S1866" s="42" t="s">
        <v>6910</v>
      </c>
      <c r="T1866" s="3" t="s">
        <v>4868</v>
      </c>
      <c r="U1866" s="45">
        <v>35</v>
      </c>
      <c r="V1866" t="s">
        <v>6919</v>
      </c>
      <c r="W1866" s="1" t="str">
        <f>HYPERLINK("http://ictvonline.org/taxonomy/p/taxonomy-history?taxnode_id=201901162","ICTVonline=201901162")</f>
        <v>ICTVonline=201901162</v>
      </c>
    </row>
    <row r="1867" spans="1:23">
      <c r="A1867" s="3">
        <v>1866</v>
      </c>
      <c r="B1867" s="1" t="s">
        <v>6915</v>
      </c>
      <c r="D1867" s="1" t="s">
        <v>6916</v>
      </c>
      <c r="F1867" s="1" t="s">
        <v>6920</v>
      </c>
      <c r="H1867" s="1" t="s">
        <v>6921</v>
      </c>
      <c r="J1867" s="1" t="s">
        <v>1324</v>
      </c>
      <c r="L1867" s="1" t="s">
        <v>895</v>
      </c>
      <c r="N1867" s="1" t="s">
        <v>6683</v>
      </c>
      <c r="P1867" s="1" t="s">
        <v>4406</v>
      </c>
      <c r="Q1867" s="3">
        <v>0</v>
      </c>
      <c r="R1867" s="22" t="s">
        <v>2721</v>
      </c>
      <c r="S1867" s="42" t="s">
        <v>6910</v>
      </c>
      <c r="T1867" s="3" t="s">
        <v>4868</v>
      </c>
      <c r="U1867" s="45">
        <v>35</v>
      </c>
      <c r="V1867" t="s">
        <v>6919</v>
      </c>
      <c r="W1867" s="1" t="str">
        <f>HYPERLINK("http://ictvonline.org/taxonomy/p/taxonomy-history?taxnode_id=201901163","ICTVonline=201901163")</f>
        <v>ICTVonline=201901163</v>
      </c>
    </row>
    <row r="1868" spans="1:23">
      <c r="A1868" s="3">
        <v>1867</v>
      </c>
      <c r="B1868" s="1" t="s">
        <v>6915</v>
      </c>
      <c r="D1868" s="1" t="s">
        <v>6916</v>
      </c>
      <c r="F1868" s="1" t="s">
        <v>6920</v>
      </c>
      <c r="H1868" s="1" t="s">
        <v>6921</v>
      </c>
      <c r="J1868" s="1" t="s">
        <v>1324</v>
      </c>
      <c r="L1868" s="1" t="s">
        <v>895</v>
      </c>
      <c r="N1868" s="1" t="s">
        <v>6683</v>
      </c>
      <c r="P1868" s="1" t="s">
        <v>4407</v>
      </c>
      <c r="Q1868" s="3">
        <v>0</v>
      </c>
      <c r="R1868" s="22" t="s">
        <v>2721</v>
      </c>
      <c r="S1868" s="42" t="s">
        <v>6910</v>
      </c>
      <c r="T1868" s="3" t="s">
        <v>4868</v>
      </c>
      <c r="U1868" s="45">
        <v>35</v>
      </c>
      <c r="V1868" t="s">
        <v>6919</v>
      </c>
      <c r="W1868" s="1" t="str">
        <f>HYPERLINK("http://ictvonline.org/taxonomy/p/taxonomy-history?taxnode_id=201901164","ICTVonline=201901164")</f>
        <v>ICTVonline=201901164</v>
      </c>
    </row>
    <row r="1869" spans="1:23">
      <c r="A1869" s="3">
        <v>1868</v>
      </c>
      <c r="B1869" s="1" t="s">
        <v>6915</v>
      </c>
      <c r="D1869" s="1" t="s">
        <v>6916</v>
      </c>
      <c r="F1869" s="1" t="s">
        <v>6920</v>
      </c>
      <c r="H1869" s="1" t="s">
        <v>6921</v>
      </c>
      <c r="J1869" s="1" t="s">
        <v>1324</v>
      </c>
      <c r="L1869" s="1" t="s">
        <v>895</v>
      </c>
      <c r="N1869" s="1" t="s">
        <v>6683</v>
      </c>
      <c r="P1869" s="1" t="s">
        <v>4408</v>
      </c>
      <c r="Q1869" s="3">
        <v>0</v>
      </c>
      <c r="R1869" s="22" t="s">
        <v>2721</v>
      </c>
      <c r="S1869" s="42" t="s">
        <v>6910</v>
      </c>
      <c r="T1869" s="3" t="s">
        <v>4868</v>
      </c>
      <c r="U1869" s="45">
        <v>35</v>
      </c>
      <c r="V1869" t="s">
        <v>6919</v>
      </c>
      <c r="W1869" s="1" t="str">
        <f>HYPERLINK("http://ictvonline.org/taxonomy/p/taxonomy-history?taxnode_id=201901165","ICTVonline=201901165")</f>
        <v>ICTVonline=201901165</v>
      </c>
    </row>
    <row r="1870" spans="1:23">
      <c r="A1870" s="3">
        <v>1869</v>
      </c>
      <c r="B1870" s="1" t="s">
        <v>6915</v>
      </c>
      <c r="D1870" s="1" t="s">
        <v>6916</v>
      </c>
      <c r="F1870" s="1" t="s">
        <v>6920</v>
      </c>
      <c r="H1870" s="1" t="s">
        <v>6921</v>
      </c>
      <c r="J1870" s="1" t="s">
        <v>1324</v>
      </c>
      <c r="L1870" s="1" t="s">
        <v>895</v>
      </c>
      <c r="N1870" s="1" t="s">
        <v>6683</v>
      </c>
      <c r="P1870" s="1" t="s">
        <v>4409</v>
      </c>
      <c r="Q1870" s="3">
        <v>0</v>
      </c>
      <c r="R1870" s="22" t="s">
        <v>2721</v>
      </c>
      <c r="S1870" s="42" t="s">
        <v>6910</v>
      </c>
      <c r="T1870" s="3" t="s">
        <v>4868</v>
      </c>
      <c r="U1870" s="45">
        <v>35</v>
      </c>
      <c r="V1870" t="s">
        <v>6919</v>
      </c>
      <c r="W1870" s="1" t="str">
        <f>HYPERLINK("http://ictvonline.org/taxonomy/p/taxonomy-history?taxnode_id=201901166","ICTVonline=201901166")</f>
        <v>ICTVonline=201901166</v>
      </c>
    </row>
    <row r="1871" spans="1:23">
      <c r="A1871" s="3">
        <v>1870</v>
      </c>
      <c r="B1871" s="1" t="s">
        <v>6915</v>
      </c>
      <c r="D1871" s="1" t="s">
        <v>6916</v>
      </c>
      <c r="F1871" s="1" t="s">
        <v>6920</v>
      </c>
      <c r="H1871" s="1" t="s">
        <v>6921</v>
      </c>
      <c r="J1871" s="1" t="s">
        <v>1324</v>
      </c>
      <c r="L1871" s="1" t="s">
        <v>895</v>
      </c>
      <c r="N1871" s="1" t="s">
        <v>6683</v>
      </c>
      <c r="P1871" s="1" t="s">
        <v>4410</v>
      </c>
      <c r="Q1871" s="3">
        <v>0</v>
      </c>
      <c r="R1871" s="22" t="s">
        <v>2721</v>
      </c>
      <c r="S1871" s="42" t="s">
        <v>6910</v>
      </c>
      <c r="T1871" s="3" t="s">
        <v>4868</v>
      </c>
      <c r="U1871" s="45">
        <v>35</v>
      </c>
      <c r="V1871" t="s">
        <v>6919</v>
      </c>
      <c r="W1871" s="1" t="str">
        <f>HYPERLINK("http://ictvonline.org/taxonomy/p/taxonomy-history?taxnode_id=201901167","ICTVonline=201901167")</f>
        <v>ICTVonline=201901167</v>
      </c>
    </row>
    <row r="1872" spans="1:23">
      <c r="A1872" s="3">
        <v>1871</v>
      </c>
      <c r="B1872" s="1" t="s">
        <v>6915</v>
      </c>
      <c r="D1872" s="1" t="s">
        <v>6916</v>
      </c>
      <c r="F1872" s="1" t="s">
        <v>6920</v>
      </c>
      <c r="H1872" s="1" t="s">
        <v>6921</v>
      </c>
      <c r="J1872" s="1" t="s">
        <v>1324</v>
      </c>
      <c r="L1872" s="1" t="s">
        <v>895</v>
      </c>
      <c r="N1872" s="1" t="s">
        <v>6683</v>
      </c>
      <c r="P1872" s="1" t="s">
        <v>4411</v>
      </c>
      <c r="Q1872" s="3">
        <v>0</v>
      </c>
      <c r="R1872" s="22" t="s">
        <v>2721</v>
      </c>
      <c r="S1872" s="42" t="s">
        <v>6910</v>
      </c>
      <c r="T1872" s="3" t="s">
        <v>4868</v>
      </c>
      <c r="U1872" s="45">
        <v>35</v>
      </c>
      <c r="V1872" t="s">
        <v>6919</v>
      </c>
      <c r="W1872" s="1" t="str">
        <f>HYPERLINK("http://ictvonline.org/taxonomy/p/taxonomy-history?taxnode_id=201901168","ICTVonline=201901168")</f>
        <v>ICTVonline=201901168</v>
      </c>
    </row>
    <row r="1873" spans="1:23">
      <c r="A1873" s="3">
        <v>1872</v>
      </c>
      <c r="B1873" s="1" t="s">
        <v>6915</v>
      </c>
      <c r="D1873" s="1" t="s">
        <v>6916</v>
      </c>
      <c r="F1873" s="1" t="s">
        <v>6920</v>
      </c>
      <c r="H1873" s="1" t="s">
        <v>6921</v>
      </c>
      <c r="J1873" s="1" t="s">
        <v>1324</v>
      </c>
      <c r="L1873" s="1" t="s">
        <v>895</v>
      </c>
      <c r="N1873" s="1" t="s">
        <v>6683</v>
      </c>
      <c r="P1873" s="1" t="s">
        <v>4412</v>
      </c>
      <c r="Q1873" s="3">
        <v>0</v>
      </c>
      <c r="R1873" s="22" t="s">
        <v>2721</v>
      </c>
      <c r="S1873" s="42" t="s">
        <v>6910</v>
      </c>
      <c r="T1873" s="3" t="s">
        <v>4868</v>
      </c>
      <c r="U1873" s="45">
        <v>35</v>
      </c>
      <c r="V1873" t="s">
        <v>6919</v>
      </c>
      <c r="W1873" s="1" t="str">
        <f>HYPERLINK("http://ictvonline.org/taxonomy/p/taxonomy-history?taxnode_id=201901169","ICTVonline=201901169")</f>
        <v>ICTVonline=201901169</v>
      </c>
    </row>
    <row r="1874" spans="1:23">
      <c r="A1874" s="3">
        <v>1873</v>
      </c>
      <c r="B1874" s="1" t="s">
        <v>6915</v>
      </c>
      <c r="D1874" s="1" t="s">
        <v>6916</v>
      </c>
      <c r="F1874" s="1" t="s">
        <v>6920</v>
      </c>
      <c r="H1874" s="1" t="s">
        <v>6921</v>
      </c>
      <c r="J1874" s="1" t="s">
        <v>1324</v>
      </c>
      <c r="L1874" s="1" t="s">
        <v>895</v>
      </c>
      <c r="N1874" s="1" t="s">
        <v>6683</v>
      </c>
      <c r="P1874" s="1" t="s">
        <v>4413</v>
      </c>
      <c r="Q1874" s="3">
        <v>0</v>
      </c>
      <c r="R1874" s="22" t="s">
        <v>2721</v>
      </c>
      <c r="S1874" s="42" t="s">
        <v>6910</v>
      </c>
      <c r="T1874" s="3" t="s">
        <v>4868</v>
      </c>
      <c r="U1874" s="45">
        <v>35</v>
      </c>
      <c r="V1874" t="s">
        <v>6919</v>
      </c>
      <c r="W1874" s="1" t="str">
        <f>HYPERLINK("http://ictvonline.org/taxonomy/p/taxonomy-history?taxnode_id=201901170","ICTVonline=201901170")</f>
        <v>ICTVonline=201901170</v>
      </c>
    </row>
    <row r="1875" spans="1:23">
      <c r="A1875" s="3">
        <v>1874</v>
      </c>
      <c r="B1875" s="1" t="s">
        <v>6915</v>
      </c>
      <c r="D1875" s="1" t="s">
        <v>6916</v>
      </c>
      <c r="F1875" s="1" t="s">
        <v>6920</v>
      </c>
      <c r="H1875" s="1" t="s">
        <v>6921</v>
      </c>
      <c r="J1875" s="1" t="s">
        <v>1324</v>
      </c>
      <c r="L1875" s="1" t="s">
        <v>895</v>
      </c>
      <c r="N1875" s="1" t="s">
        <v>6683</v>
      </c>
      <c r="P1875" s="1" t="s">
        <v>4414</v>
      </c>
      <c r="Q1875" s="3">
        <v>0</v>
      </c>
      <c r="R1875" s="22" t="s">
        <v>2721</v>
      </c>
      <c r="S1875" s="42" t="s">
        <v>6910</v>
      </c>
      <c r="T1875" s="3" t="s">
        <v>4868</v>
      </c>
      <c r="U1875" s="45">
        <v>35</v>
      </c>
      <c r="V1875" t="s">
        <v>6919</v>
      </c>
      <c r="W1875" s="1" t="str">
        <f>HYPERLINK("http://ictvonline.org/taxonomy/p/taxonomy-history?taxnode_id=201901171","ICTVonline=201901171")</f>
        <v>ICTVonline=201901171</v>
      </c>
    </row>
    <row r="1876" spans="1:23">
      <c r="A1876" s="3">
        <v>1875</v>
      </c>
      <c r="B1876" s="1" t="s">
        <v>6915</v>
      </c>
      <c r="D1876" s="1" t="s">
        <v>6916</v>
      </c>
      <c r="F1876" s="1" t="s">
        <v>6920</v>
      </c>
      <c r="H1876" s="1" t="s">
        <v>6921</v>
      </c>
      <c r="J1876" s="1" t="s">
        <v>1324</v>
      </c>
      <c r="L1876" s="1" t="s">
        <v>895</v>
      </c>
      <c r="N1876" s="1" t="s">
        <v>6683</v>
      </c>
      <c r="P1876" s="1" t="s">
        <v>4415</v>
      </c>
      <c r="Q1876" s="3">
        <v>0</v>
      </c>
      <c r="R1876" s="22" t="s">
        <v>2721</v>
      </c>
      <c r="S1876" s="42" t="s">
        <v>6910</v>
      </c>
      <c r="T1876" s="3" t="s">
        <v>4868</v>
      </c>
      <c r="U1876" s="45">
        <v>35</v>
      </c>
      <c r="V1876" t="s">
        <v>6919</v>
      </c>
      <c r="W1876" s="1" t="str">
        <f>HYPERLINK("http://ictvonline.org/taxonomy/p/taxonomy-history?taxnode_id=201901172","ICTVonline=201901172")</f>
        <v>ICTVonline=201901172</v>
      </c>
    </row>
    <row r="1877" spans="1:23">
      <c r="A1877" s="3">
        <v>1876</v>
      </c>
      <c r="B1877" s="1" t="s">
        <v>6915</v>
      </c>
      <c r="D1877" s="1" t="s">
        <v>6916</v>
      </c>
      <c r="F1877" s="1" t="s">
        <v>6920</v>
      </c>
      <c r="H1877" s="1" t="s">
        <v>6921</v>
      </c>
      <c r="J1877" s="1" t="s">
        <v>1324</v>
      </c>
      <c r="L1877" s="1" t="s">
        <v>895</v>
      </c>
      <c r="N1877" s="1" t="s">
        <v>6683</v>
      </c>
      <c r="P1877" s="1" t="s">
        <v>4416</v>
      </c>
      <c r="Q1877" s="3">
        <v>0</v>
      </c>
      <c r="R1877" s="22" t="s">
        <v>2721</v>
      </c>
      <c r="S1877" s="42" t="s">
        <v>6910</v>
      </c>
      <c r="T1877" s="3" t="s">
        <v>4868</v>
      </c>
      <c r="U1877" s="45">
        <v>35</v>
      </c>
      <c r="V1877" t="s">
        <v>6919</v>
      </c>
      <c r="W1877" s="1" t="str">
        <f>HYPERLINK("http://ictvonline.org/taxonomy/p/taxonomy-history?taxnode_id=201901173","ICTVonline=201901173")</f>
        <v>ICTVonline=201901173</v>
      </c>
    </row>
    <row r="1878" spans="1:23">
      <c r="A1878" s="3">
        <v>1877</v>
      </c>
      <c r="B1878" s="1" t="s">
        <v>6915</v>
      </c>
      <c r="D1878" s="1" t="s">
        <v>6916</v>
      </c>
      <c r="F1878" s="1" t="s">
        <v>6920</v>
      </c>
      <c r="H1878" s="1" t="s">
        <v>6921</v>
      </c>
      <c r="J1878" s="1" t="s">
        <v>1324</v>
      </c>
      <c r="L1878" s="1" t="s">
        <v>895</v>
      </c>
      <c r="N1878" s="1" t="s">
        <v>6684</v>
      </c>
      <c r="P1878" s="1" t="s">
        <v>4417</v>
      </c>
      <c r="Q1878" s="3">
        <v>0</v>
      </c>
      <c r="R1878" s="22" t="s">
        <v>2721</v>
      </c>
      <c r="S1878" s="42" t="s">
        <v>6910</v>
      </c>
      <c r="T1878" s="3" t="s">
        <v>4868</v>
      </c>
      <c r="U1878" s="45">
        <v>35</v>
      </c>
      <c r="V1878" t="s">
        <v>6919</v>
      </c>
      <c r="W1878" s="1" t="str">
        <f>HYPERLINK("http://ictvonline.org/taxonomy/p/taxonomy-history?taxnode_id=201901175","ICTVonline=201901175")</f>
        <v>ICTVonline=201901175</v>
      </c>
    </row>
    <row r="1879" spans="1:23">
      <c r="A1879" s="3">
        <v>1878</v>
      </c>
      <c r="B1879" s="1" t="s">
        <v>6915</v>
      </c>
      <c r="D1879" s="1" t="s">
        <v>6916</v>
      </c>
      <c r="F1879" s="1" t="s">
        <v>6920</v>
      </c>
      <c r="H1879" s="1" t="s">
        <v>6921</v>
      </c>
      <c r="J1879" s="1" t="s">
        <v>1324</v>
      </c>
      <c r="L1879" s="1" t="s">
        <v>895</v>
      </c>
      <c r="N1879" s="1" t="s">
        <v>6684</v>
      </c>
      <c r="P1879" s="1" t="s">
        <v>4418</v>
      </c>
      <c r="Q1879" s="3">
        <v>1</v>
      </c>
      <c r="R1879" s="22" t="s">
        <v>2721</v>
      </c>
      <c r="S1879" s="42" t="s">
        <v>6910</v>
      </c>
      <c r="T1879" s="3" t="s">
        <v>4868</v>
      </c>
      <c r="U1879" s="45">
        <v>35</v>
      </c>
      <c r="V1879" t="s">
        <v>6919</v>
      </c>
      <c r="W1879" s="1" t="str">
        <f>HYPERLINK("http://ictvonline.org/taxonomy/p/taxonomy-history?taxnode_id=201901176","ICTVonline=201901176")</f>
        <v>ICTVonline=201901176</v>
      </c>
    </row>
    <row r="1880" spans="1:23">
      <c r="A1880" s="3">
        <v>1879</v>
      </c>
      <c r="B1880" s="1" t="s">
        <v>6915</v>
      </c>
      <c r="D1880" s="1" t="s">
        <v>6916</v>
      </c>
      <c r="F1880" s="1" t="s">
        <v>6920</v>
      </c>
      <c r="H1880" s="1" t="s">
        <v>6921</v>
      </c>
      <c r="J1880" s="1" t="s">
        <v>1324</v>
      </c>
      <c r="L1880" s="1" t="s">
        <v>895</v>
      </c>
      <c r="N1880" s="1" t="s">
        <v>6685</v>
      </c>
      <c r="P1880" s="1" t="s">
        <v>4424</v>
      </c>
      <c r="Q1880" s="3">
        <v>0</v>
      </c>
      <c r="R1880" s="22" t="s">
        <v>2721</v>
      </c>
      <c r="S1880" s="42" t="s">
        <v>6910</v>
      </c>
      <c r="T1880" s="3" t="s">
        <v>4868</v>
      </c>
      <c r="U1880" s="45">
        <v>35</v>
      </c>
      <c r="V1880" t="s">
        <v>6919</v>
      </c>
      <c r="W1880" s="1" t="str">
        <f>HYPERLINK("http://ictvonline.org/taxonomy/p/taxonomy-history?taxnode_id=201901253","ICTVonline=201901253")</f>
        <v>ICTVonline=201901253</v>
      </c>
    </row>
    <row r="1881" spans="1:23">
      <c r="A1881" s="3">
        <v>1880</v>
      </c>
      <c r="B1881" s="1" t="s">
        <v>6915</v>
      </c>
      <c r="D1881" s="1" t="s">
        <v>6916</v>
      </c>
      <c r="F1881" s="1" t="s">
        <v>6920</v>
      </c>
      <c r="H1881" s="1" t="s">
        <v>6921</v>
      </c>
      <c r="J1881" s="1" t="s">
        <v>1324</v>
      </c>
      <c r="L1881" s="1" t="s">
        <v>895</v>
      </c>
      <c r="N1881" s="1" t="s">
        <v>6685</v>
      </c>
      <c r="P1881" s="1" t="s">
        <v>4425</v>
      </c>
      <c r="Q1881" s="3">
        <v>1</v>
      </c>
      <c r="R1881" s="22" t="s">
        <v>2721</v>
      </c>
      <c r="S1881" s="42" t="s">
        <v>6910</v>
      </c>
      <c r="T1881" s="3" t="s">
        <v>4868</v>
      </c>
      <c r="U1881" s="45">
        <v>35</v>
      </c>
      <c r="V1881" t="s">
        <v>6919</v>
      </c>
      <c r="W1881" s="1" t="str">
        <f>HYPERLINK("http://ictvonline.org/taxonomy/p/taxonomy-history?taxnode_id=201901254","ICTVonline=201901254")</f>
        <v>ICTVonline=201901254</v>
      </c>
    </row>
    <row r="1882" spans="1:23">
      <c r="A1882" s="3">
        <v>1881</v>
      </c>
      <c r="B1882" s="1" t="s">
        <v>6915</v>
      </c>
      <c r="D1882" s="1" t="s">
        <v>6916</v>
      </c>
      <c r="F1882" s="1" t="s">
        <v>6920</v>
      </c>
      <c r="H1882" s="1" t="s">
        <v>6921</v>
      </c>
      <c r="J1882" s="1" t="s">
        <v>1324</v>
      </c>
      <c r="L1882" s="1" t="s">
        <v>895</v>
      </c>
      <c r="N1882" s="1" t="s">
        <v>4072</v>
      </c>
      <c r="P1882" s="1" t="s">
        <v>3085</v>
      </c>
      <c r="Q1882" s="3">
        <v>1</v>
      </c>
      <c r="R1882" s="22" t="s">
        <v>2721</v>
      </c>
      <c r="S1882" s="42" t="s">
        <v>6910</v>
      </c>
      <c r="T1882" s="3" t="s">
        <v>4868</v>
      </c>
      <c r="U1882" s="45">
        <v>35</v>
      </c>
      <c r="V1882" t="s">
        <v>6919</v>
      </c>
      <c r="W1882" s="1" t="str">
        <f>HYPERLINK("http://ictvonline.org/taxonomy/p/taxonomy-history?taxnode_id=201901178","ICTVonline=201901178")</f>
        <v>ICTVonline=201901178</v>
      </c>
    </row>
    <row r="1883" spans="1:23">
      <c r="A1883" s="3">
        <v>1882</v>
      </c>
      <c r="B1883" s="1" t="s">
        <v>6915</v>
      </c>
      <c r="D1883" s="1" t="s">
        <v>6916</v>
      </c>
      <c r="F1883" s="1" t="s">
        <v>6920</v>
      </c>
      <c r="H1883" s="1" t="s">
        <v>6921</v>
      </c>
      <c r="J1883" s="1" t="s">
        <v>1324</v>
      </c>
      <c r="L1883" s="1" t="s">
        <v>895</v>
      </c>
      <c r="N1883" s="1" t="s">
        <v>3263</v>
      </c>
      <c r="P1883" s="1" t="s">
        <v>3264</v>
      </c>
      <c r="Q1883" s="3">
        <v>1</v>
      </c>
      <c r="R1883" s="22" t="s">
        <v>2721</v>
      </c>
      <c r="S1883" s="42" t="s">
        <v>6910</v>
      </c>
      <c r="T1883" s="3" t="s">
        <v>4868</v>
      </c>
      <c r="U1883" s="45">
        <v>35</v>
      </c>
      <c r="V1883" t="s">
        <v>6919</v>
      </c>
      <c r="W1883" s="1" t="str">
        <f>HYPERLINK("http://ictvonline.org/taxonomy/p/taxonomy-history?taxnode_id=201901180","ICTVonline=201901180")</f>
        <v>ICTVonline=201901180</v>
      </c>
    </row>
    <row r="1884" spans="1:23">
      <c r="A1884" s="3">
        <v>1883</v>
      </c>
      <c r="B1884" s="1" t="s">
        <v>6915</v>
      </c>
      <c r="D1884" s="1" t="s">
        <v>6916</v>
      </c>
      <c r="F1884" s="1" t="s">
        <v>6920</v>
      </c>
      <c r="H1884" s="1" t="s">
        <v>6921</v>
      </c>
      <c r="J1884" s="1" t="s">
        <v>1324</v>
      </c>
      <c r="L1884" s="1" t="s">
        <v>895</v>
      </c>
      <c r="N1884" s="1" t="s">
        <v>6686</v>
      </c>
      <c r="P1884" s="1" t="s">
        <v>4419</v>
      </c>
      <c r="Q1884" s="3">
        <v>1</v>
      </c>
      <c r="R1884" s="22" t="s">
        <v>2721</v>
      </c>
      <c r="S1884" s="42" t="s">
        <v>6910</v>
      </c>
      <c r="T1884" s="3" t="s">
        <v>4868</v>
      </c>
      <c r="U1884" s="45">
        <v>35</v>
      </c>
      <c r="V1884" t="s">
        <v>6919</v>
      </c>
      <c r="W1884" s="1" t="str">
        <f>HYPERLINK("http://ictvonline.org/taxonomy/p/taxonomy-history?taxnode_id=201901182","ICTVonline=201901182")</f>
        <v>ICTVonline=201901182</v>
      </c>
    </row>
    <row r="1885" spans="1:23">
      <c r="A1885" s="3">
        <v>1884</v>
      </c>
      <c r="B1885" s="1" t="s">
        <v>6915</v>
      </c>
      <c r="D1885" s="1" t="s">
        <v>6916</v>
      </c>
      <c r="F1885" s="1" t="s">
        <v>6920</v>
      </c>
      <c r="H1885" s="1" t="s">
        <v>6921</v>
      </c>
      <c r="J1885" s="1" t="s">
        <v>1324</v>
      </c>
      <c r="L1885" s="1" t="s">
        <v>895</v>
      </c>
      <c r="N1885" s="1" t="s">
        <v>6686</v>
      </c>
      <c r="P1885" s="1" t="s">
        <v>4420</v>
      </c>
      <c r="Q1885" s="3">
        <v>0</v>
      </c>
      <c r="R1885" s="22" t="s">
        <v>2721</v>
      </c>
      <c r="S1885" s="42" t="s">
        <v>6910</v>
      </c>
      <c r="T1885" s="3" t="s">
        <v>4868</v>
      </c>
      <c r="U1885" s="45">
        <v>35</v>
      </c>
      <c r="V1885" t="s">
        <v>6919</v>
      </c>
      <c r="W1885" s="1" t="str">
        <f>HYPERLINK("http://ictvonline.org/taxonomy/p/taxonomy-history?taxnode_id=201901183","ICTVonline=201901183")</f>
        <v>ICTVonline=201901183</v>
      </c>
    </row>
    <row r="1886" spans="1:23">
      <c r="A1886" s="3">
        <v>1885</v>
      </c>
      <c r="B1886" s="1" t="s">
        <v>6915</v>
      </c>
      <c r="D1886" s="1" t="s">
        <v>6916</v>
      </c>
      <c r="F1886" s="1" t="s">
        <v>6920</v>
      </c>
      <c r="H1886" s="1" t="s">
        <v>6921</v>
      </c>
      <c r="J1886" s="1" t="s">
        <v>1324</v>
      </c>
      <c r="L1886" s="1" t="s">
        <v>895</v>
      </c>
      <c r="N1886" s="1" t="s">
        <v>3282</v>
      </c>
      <c r="P1886" s="1" t="s">
        <v>3283</v>
      </c>
      <c r="Q1886" s="3">
        <v>0</v>
      </c>
      <c r="R1886" s="22" t="s">
        <v>2721</v>
      </c>
      <c r="S1886" s="42" t="s">
        <v>6910</v>
      </c>
      <c r="T1886" s="3" t="s">
        <v>4868</v>
      </c>
      <c r="U1886" s="45">
        <v>35</v>
      </c>
      <c r="V1886" t="s">
        <v>6919</v>
      </c>
      <c r="W1886" s="1" t="str">
        <f>HYPERLINK("http://ictvonline.org/taxonomy/p/taxonomy-history?taxnode_id=201901195","ICTVonline=201901195")</f>
        <v>ICTVonline=201901195</v>
      </c>
    </row>
    <row r="1887" spans="1:23">
      <c r="A1887" s="3">
        <v>1886</v>
      </c>
      <c r="B1887" s="1" t="s">
        <v>6915</v>
      </c>
      <c r="D1887" s="1" t="s">
        <v>6916</v>
      </c>
      <c r="F1887" s="1" t="s">
        <v>6920</v>
      </c>
      <c r="H1887" s="1" t="s">
        <v>6921</v>
      </c>
      <c r="J1887" s="1" t="s">
        <v>1324</v>
      </c>
      <c r="L1887" s="1" t="s">
        <v>895</v>
      </c>
      <c r="N1887" s="1" t="s">
        <v>3282</v>
      </c>
      <c r="P1887" s="1" t="s">
        <v>3284</v>
      </c>
      <c r="Q1887" s="3">
        <v>0</v>
      </c>
      <c r="R1887" s="22" t="s">
        <v>2721</v>
      </c>
      <c r="S1887" s="42" t="s">
        <v>6910</v>
      </c>
      <c r="T1887" s="3" t="s">
        <v>4868</v>
      </c>
      <c r="U1887" s="45">
        <v>35</v>
      </c>
      <c r="V1887" t="s">
        <v>6919</v>
      </c>
      <c r="W1887" s="1" t="str">
        <f>HYPERLINK("http://ictvonline.org/taxonomy/p/taxonomy-history?taxnode_id=201901196","ICTVonline=201901196")</f>
        <v>ICTVonline=201901196</v>
      </c>
    </row>
    <row r="1888" spans="1:23">
      <c r="A1888" s="3">
        <v>1887</v>
      </c>
      <c r="B1888" s="1" t="s">
        <v>6915</v>
      </c>
      <c r="D1888" s="1" t="s">
        <v>6916</v>
      </c>
      <c r="F1888" s="1" t="s">
        <v>6920</v>
      </c>
      <c r="H1888" s="1" t="s">
        <v>6921</v>
      </c>
      <c r="J1888" s="1" t="s">
        <v>1324</v>
      </c>
      <c r="L1888" s="1" t="s">
        <v>895</v>
      </c>
      <c r="N1888" s="1" t="s">
        <v>3282</v>
      </c>
      <c r="P1888" s="1" t="s">
        <v>3285</v>
      </c>
      <c r="Q1888" s="3">
        <v>0</v>
      </c>
      <c r="R1888" s="22" t="s">
        <v>2721</v>
      </c>
      <c r="S1888" s="42" t="s">
        <v>6910</v>
      </c>
      <c r="T1888" s="3" t="s">
        <v>4868</v>
      </c>
      <c r="U1888" s="45">
        <v>35</v>
      </c>
      <c r="V1888" t="s">
        <v>6919</v>
      </c>
      <c r="W1888" s="1" t="str">
        <f>HYPERLINK("http://ictvonline.org/taxonomy/p/taxonomy-history?taxnode_id=201901197","ICTVonline=201901197")</f>
        <v>ICTVonline=201901197</v>
      </c>
    </row>
    <row r="1889" spans="1:23">
      <c r="A1889" s="3">
        <v>1888</v>
      </c>
      <c r="B1889" s="1" t="s">
        <v>6915</v>
      </c>
      <c r="D1889" s="1" t="s">
        <v>6916</v>
      </c>
      <c r="F1889" s="1" t="s">
        <v>6920</v>
      </c>
      <c r="H1889" s="1" t="s">
        <v>6921</v>
      </c>
      <c r="J1889" s="1" t="s">
        <v>1324</v>
      </c>
      <c r="L1889" s="1" t="s">
        <v>895</v>
      </c>
      <c r="N1889" s="1" t="s">
        <v>3282</v>
      </c>
      <c r="P1889" s="1" t="s">
        <v>3286</v>
      </c>
      <c r="Q1889" s="3">
        <v>0</v>
      </c>
      <c r="R1889" s="22" t="s">
        <v>2721</v>
      </c>
      <c r="S1889" s="42" t="s">
        <v>6910</v>
      </c>
      <c r="T1889" s="3" t="s">
        <v>4868</v>
      </c>
      <c r="U1889" s="45">
        <v>35</v>
      </c>
      <c r="V1889" t="s">
        <v>6919</v>
      </c>
      <c r="W1889" s="1" t="str">
        <f>HYPERLINK("http://ictvonline.org/taxonomy/p/taxonomy-history?taxnode_id=201901198","ICTVonline=201901198")</f>
        <v>ICTVonline=201901198</v>
      </c>
    </row>
    <row r="1890" spans="1:23">
      <c r="A1890" s="3">
        <v>1889</v>
      </c>
      <c r="B1890" s="1" t="s">
        <v>6915</v>
      </c>
      <c r="D1890" s="1" t="s">
        <v>6916</v>
      </c>
      <c r="F1890" s="1" t="s">
        <v>6920</v>
      </c>
      <c r="H1890" s="1" t="s">
        <v>6921</v>
      </c>
      <c r="J1890" s="1" t="s">
        <v>1324</v>
      </c>
      <c r="L1890" s="1" t="s">
        <v>895</v>
      </c>
      <c r="N1890" s="1" t="s">
        <v>3282</v>
      </c>
      <c r="P1890" s="1" t="s">
        <v>3287</v>
      </c>
      <c r="Q1890" s="3">
        <v>0</v>
      </c>
      <c r="R1890" s="22" t="s">
        <v>2721</v>
      </c>
      <c r="S1890" s="42" t="s">
        <v>6910</v>
      </c>
      <c r="T1890" s="3" t="s">
        <v>4868</v>
      </c>
      <c r="U1890" s="45">
        <v>35</v>
      </c>
      <c r="V1890" t="s">
        <v>6919</v>
      </c>
      <c r="W1890" s="1" t="str">
        <f>HYPERLINK("http://ictvonline.org/taxonomy/p/taxonomy-history?taxnode_id=201901199","ICTVonline=201901199")</f>
        <v>ICTVonline=201901199</v>
      </c>
    </row>
    <row r="1891" spans="1:23">
      <c r="A1891" s="3">
        <v>1890</v>
      </c>
      <c r="B1891" s="1" t="s">
        <v>6915</v>
      </c>
      <c r="D1891" s="1" t="s">
        <v>6916</v>
      </c>
      <c r="F1891" s="1" t="s">
        <v>6920</v>
      </c>
      <c r="H1891" s="1" t="s">
        <v>6921</v>
      </c>
      <c r="J1891" s="1" t="s">
        <v>1324</v>
      </c>
      <c r="L1891" s="1" t="s">
        <v>895</v>
      </c>
      <c r="N1891" s="1" t="s">
        <v>3282</v>
      </c>
      <c r="P1891" s="1" t="s">
        <v>3288</v>
      </c>
      <c r="Q1891" s="3">
        <v>0</v>
      </c>
      <c r="R1891" s="22" t="s">
        <v>2721</v>
      </c>
      <c r="S1891" s="42" t="s">
        <v>6910</v>
      </c>
      <c r="T1891" s="3" t="s">
        <v>4868</v>
      </c>
      <c r="U1891" s="45">
        <v>35</v>
      </c>
      <c r="V1891" t="s">
        <v>6919</v>
      </c>
      <c r="W1891" s="1" t="str">
        <f>HYPERLINK("http://ictvonline.org/taxonomy/p/taxonomy-history?taxnode_id=201901200","ICTVonline=201901200")</f>
        <v>ICTVonline=201901200</v>
      </c>
    </row>
    <row r="1892" spans="1:23">
      <c r="A1892" s="3">
        <v>1891</v>
      </c>
      <c r="B1892" s="1" t="s">
        <v>6915</v>
      </c>
      <c r="D1892" s="1" t="s">
        <v>6916</v>
      </c>
      <c r="F1892" s="1" t="s">
        <v>6920</v>
      </c>
      <c r="H1892" s="1" t="s">
        <v>6921</v>
      </c>
      <c r="J1892" s="1" t="s">
        <v>1324</v>
      </c>
      <c r="L1892" s="1" t="s">
        <v>895</v>
      </c>
      <c r="N1892" s="1" t="s">
        <v>3282</v>
      </c>
      <c r="P1892" s="1" t="s">
        <v>3289</v>
      </c>
      <c r="Q1892" s="3">
        <v>0</v>
      </c>
      <c r="R1892" s="22" t="s">
        <v>2721</v>
      </c>
      <c r="S1892" s="42" t="s">
        <v>6910</v>
      </c>
      <c r="T1892" s="3" t="s">
        <v>4868</v>
      </c>
      <c r="U1892" s="45">
        <v>35</v>
      </c>
      <c r="V1892" t="s">
        <v>6919</v>
      </c>
      <c r="W1892" s="1" t="str">
        <f>HYPERLINK("http://ictvonline.org/taxonomy/p/taxonomy-history?taxnode_id=201901201","ICTVonline=201901201")</f>
        <v>ICTVonline=201901201</v>
      </c>
    </row>
    <row r="1893" spans="1:23">
      <c r="A1893" s="3">
        <v>1892</v>
      </c>
      <c r="B1893" s="1" t="s">
        <v>6915</v>
      </c>
      <c r="D1893" s="1" t="s">
        <v>6916</v>
      </c>
      <c r="F1893" s="1" t="s">
        <v>6920</v>
      </c>
      <c r="H1893" s="1" t="s">
        <v>6921</v>
      </c>
      <c r="J1893" s="1" t="s">
        <v>1324</v>
      </c>
      <c r="L1893" s="1" t="s">
        <v>895</v>
      </c>
      <c r="N1893" s="1" t="s">
        <v>3282</v>
      </c>
      <c r="P1893" s="1" t="s">
        <v>3290</v>
      </c>
      <c r="Q1893" s="3">
        <v>0</v>
      </c>
      <c r="R1893" s="22" t="s">
        <v>2721</v>
      </c>
      <c r="S1893" s="42" t="s">
        <v>6910</v>
      </c>
      <c r="T1893" s="3" t="s">
        <v>4868</v>
      </c>
      <c r="U1893" s="45">
        <v>35</v>
      </c>
      <c r="V1893" t="s">
        <v>6919</v>
      </c>
      <c r="W1893" s="1" t="str">
        <f>HYPERLINK("http://ictvonline.org/taxonomy/p/taxonomy-history?taxnode_id=201901202","ICTVonline=201901202")</f>
        <v>ICTVonline=201901202</v>
      </c>
    </row>
    <row r="1894" spans="1:23">
      <c r="A1894" s="3">
        <v>1893</v>
      </c>
      <c r="B1894" s="1" t="s">
        <v>6915</v>
      </c>
      <c r="D1894" s="1" t="s">
        <v>6916</v>
      </c>
      <c r="F1894" s="1" t="s">
        <v>6920</v>
      </c>
      <c r="H1894" s="1" t="s">
        <v>6921</v>
      </c>
      <c r="J1894" s="1" t="s">
        <v>1324</v>
      </c>
      <c r="L1894" s="1" t="s">
        <v>895</v>
      </c>
      <c r="N1894" s="1" t="s">
        <v>3282</v>
      </c>
      <c r="P1894" s="1" t="s">
        <v>3291</v>
      </c>
      <c r="Q1894" s="3">
        <v>0</v>
      </c>
      <c r="R1894" s="22" t="s">
        <v>2721</v>
      </c>
      <c r="S1894" s="42" t="s">
        <v>6910</v>
      </c>
      <c r="T1894" s="3" t="s">
        <v>4868</v>
      </c>
      <c r="U1894" s="45">
        <v>35</v>
      </c>
      <c r="V1894" t="s">
        <v>6919</v>
      </c>
      <c r="W1894" s="1" t="str">
        <f>HYPERLINK("http://ictvonline.org/taxonomy/p/taxonomy-history?taxnode_id=201901203","ICTVonline=201901203")</f>
        <v>ICTVonline=201901203</v>
      </c>
    </row>
    <row r="1895" spans="1:23">
      <c r="A1895" s="3">
        <v>1894</v>
      </c>
      <c r="B1895" s="1" t="s">
        <v>6915</v>
      </c>
      <c r="D1895" s="1" t="s">
        <v>6916</v>
      </c>
      <c r="F1895" s="1" t="s">
        <v>6920</v>
      </c>
      <c r="H1895" s="1" t="s">
        <v>6921</v>
      </c>
      <c r="J1895" s="1" t="s">
        <v>1324</v>
      </c>
      <c r="L1895" s="1" t="s">
        <v>895</v>
      </c>
      <c r="N1895" s="1" t="s">
        <v>3282</v>
      </c>
      <c r="P1895" s="1" t="s">
        <v>3292</v>
      </c>
      <c r="Q1895" s="3">
        <v>0</v>
      </c>
      <c r="R1895" s="22" t="s">
        <v>2721</v>
      </c>
      <c r="S1895" s="42" t="s">
        <v>6910</v>
      </c>
      <c r="T1895" s="3" t="s">
        <v>4868</v>
      </c>
      <c r="U1895" s="45">
        <v>35</v>
      </c>
      <c r="V1895" t="s">
        <v>6919</v>
      </c>
      <c r="W1895" s="1" t="str">
        <f>HYPERLINK("http://ictvonline.org/taxonomy/p/taxonomy-history?taxnode_id=201901204","ICTVonline=201901204")</f>
        <v>ICTVonline=201901204</v>
      </c>
    </row>
    <row r="1896" spans="1:23">
      <c r="A1896" s="3">
        <v>1895</v>
      </c>
      <c r="B1896" s="1" t="s">
        <v>6915</v>
      </c>
      <c r="D1896" s="1" t="s">
        <v>6916</v>
      </c>
      <c r="F1896" s="1" t="s">
        <v>6920</v>
      </c>
      <c r="H1896" s="1" t="s">
        <v>6921</v>
      </c>
      <c r="J1896" s="1" t="s">
        <v>1324</v>
      </c>
      <c r="L1896" s="1" t="s">
        <v>895</v>
      </c>
      <c r="N1896" s="1" t="s">
        <v>3282</v>
      </c>
      <c r="P1896" s="1" t="s">
        <v>3293</v>
      </c>
      <c r="Q1896" s="3">
        <v>0</v>
      </c>
      <c r="R1896" s="22" t="s">
        <v>2721</v>
      </c>
      <c r="S1896" s="42" t="s">
        <v>6910</v>
      </c>
      <c r="T1896" s="3" t="s">
        <v>4868</v>
      </c>
      <c r="U1896" s="45">
        <v>35</v>
      </c>
      <c r="V1896" t="s">
        <v>6919</v>
      </c>
      <c r="W1896" s="1" t="str">
        <f>HYPERLINK("http://ictvonline.org/taxonomy/p/taxonomy-history?taxnode_id=201901205","ICTVonline=201901205")</f>
        <v>ICTVonline=201901205</v>
      </c>
    </row>
    <row r="1897" spans="1:23">
      <c r="A1897" s="3">
        <v>1896</v>
      </c>
      <c r="B1897" s="1" t="s">
        <v>6915</v>
      </c>
      <c r="D1897" s="1" t="s">
        <v>6916</v>
      </c>
      <c r="F1897" s="1" t="s">
        <v>6920</v>
      </c>
      <c r="H1897" s="1" t="s">
        <v>6921</v>
      </c>
      <c r="J1897" s="1" t="s">
        <v>1324</v>
      </c>
      <c r="L1897" s="1" t="s">
        <v>895</v>
      </c>
      <c r="N1897" s="1" t="s">
        <v>3282</v>
      </c>
      <c r="P1897" s="1" t="s">
        <v>3294</v>
      </c>
      <c r="Q1897" s="3">
        <v>0</v>
      </c>
      <c r="R1897" s="22" t="s">
        <v>2721</v>
      </c>
      <c r="S1897" s="42" t="s">
        <v>6910</v>
      </c>
      <c r="T1897" s="3" t="s">
        <v>4868</v>
      </c>
      <c r="U1897" s="45">
        <v>35</v>
      </c>
      <c r="V1897" t="s">
        <v>6919</v>
      </c>
      <c r="W1897" s="1" t="str">
        <f>HYPERLINK("http://ictvonline.org/taxonomy/p/taxonomy-history?taxnode_id=201901206","ICTVonline=201901206")</f>
        <v>ICTVonline=201901206</v>
      </c>
    </row>
    <row r="1898" spans="1:23">
      <c r="A1898" s="3">
        <v>1897</v>
      </c>
      <c r="B1898" s="1" t="s">
        <v>6915</v>
      </c>
      <c r="D1898" s="1" t="s">
        <v>6916</v>
      </c>
      <c r="F1898" s="1" t="s">
        <v>6920</v>
      </c>
      <c r="H1898" s="1" t="s">
        <v>6921</v>
      </c>
      <c r="J1898" s="1" t="s">
        <v>1324</v>
      </c>
      <c r="L1898" s="1" t="s">
        <v>895</v>
      </c>
      <c r="N1898" s="1" t="s">
        <v>3282</v>
      </c>
      <c r="P1898" s="1" t="s">
        <v>3295</v>
      </c>
      <c r="Q1898" s="3">
        <v>0</v>
      </c>
      <c r="R1898" s="22" t="s">
        <v>2721</v>
      </c>
      <c r="S1898" s="42" t="s">
        <v>6910</v>
      </c>
      <c r="T1898" s="3" t="s">
        <v>4868</v>
      </c>
      <c r="U1898" s="45">
        <v>35</v>
      </c>
      <c r="V1898" t="s">
        <v>6919</v>
      </c>
      <c r="W1898" s="1" t="str">
        <f>HYPERLINK("http://ictvonline.org/taxonomy/p/taxonomy-history?taxnode_id=201901207","ICTVonline=201901207")</f>
        <v>ICTVonline=201901207</v>
      </c>
    </row>
    <row r="1899" spans="1:23">
      <c r="A1899" s="3">
        <v>1898</v>
      </c>
      <c r="B1899" s="1" t="s">
        <v>6915</v>
      </c>
      <c r="D1899" s="1" t="s">
        <v>6916</v>
      </c>
      <c r="F1899" s="1" t="s">
        <v>6920</v>
      </c>
      <c r="H1899" s="1" t="s">
        <v>6921</v>
      </c>
      <c r="J1899" s="1" t="s">
        <v>1324</v>
      </c>
      <c r="L1899" s="1" t="s">
        <v>895</v>
      </c>
      <c r="N1899" s="1" t="s">
        <v>3282</v>
      </c>
      <c r="P1899" s="1" t="s">
        <v>3296</v>
      </c>
      <c r="Q1899" s="3">
        <v>0</v>
      </c>
      <c r="R1899" s="22" t="s">
        <v>2721</v>
      </c>
      <c r="S1899" s="42" t="s">
        <v>6910</v>
      </c>
      <c r="T1899" s="3" t="s">
        <v>4868</v>
      </c>
      <c r="U1899" s="45">
        <v>35</v>
      </c>
      <c r="V1899" t="s">
        <v>6919</v>
      </c>
      <c r="W1899" s="1" t="str">
        <f>HYPERLINK("http://ictvonline.org/taxonomy/p/taxonomy-history?taxnode_id=201901208","ICTVonline=201901208")</f>
        <v>ICTVonline=201901208</v>
      </c>
    </row>
    <row r="1900" spans="1:23">
      <c r="A1900" s="3">
        <v>1899</v>
      </c>
      <c r="B1900" s="1" t="s">
        <v>6915</v>
      </c>
      <c r="D1900" s="1" t="s">
        <v>6916</v>
      </c>
      <c r="F1900" s="1" t="s">
        <v>6920</v>
      </c>
      <c r="H1900" s="1" t="s">
        <v>6921</v>
      </c>
      <c r="J1900" s="1" t="s">
        <v>1324</v>
      </c>
      <c r="L1900" s="1" t="s">
        <v>895</v>
      </c>
      <c r="N1900" s="1" t="s">
        <v>3282</v>
      </c>
      <c r="P1900" s="1" t="s">
        <v>3297</v>
      </c>
      <c r="Q1900" s="3">
        <v>0</v>
      </c>
      <c r="R1900" s="22" t="s">
        <v>2721</v>
      </c>
      <c r="S1900" s="42" t="s">
        <v>6910</v>
      </c>
      <c r="T1900" s="3" t="s">
        <v>4868</v>
      </c>
      <c r="U1900" s="45">
        <v>35</v>
      </c>
      <c r="V1900" t="s">
        <v>6919</v>
      </c>
      <c r="W1900" s="1" t="str">
        <f>HYPERLINK("http://ictvonline.org/taxonomy/p/taxonomy-history?taxnode_id=201901209","ICTVonline=201901209")</f>
        <v>ICTVonline=201901209</v>
      </c>
    </row>
    <row r="1901" spans="1:23">
      <c r="A1901" s="3">
        <v>1900</v>
      </c>
      <c r="B1901" s="1" t="s">
        <v>6915</v>
      </c>
      <c r="D1901" s="1" t="s">
        <v>6916</v>
      </c>
      <c r="F1901" s="1" t="s">
        <v>6920</v>
      </c>
      <c r="H1901" s="1" t="s">
        <v>6921</v>
      </c>
      <c r="J1901" s="1" t="s">
        <v>1324</v>
      </c>
      <c r="L1901" s="1" t="s">
        <v>895</v>
      </c>
      <c r="N1901" s="1" t="s">
        <v>3282</v>
      </c>
      <c r="P1901" s="1" t="s">
        <v>3298</v>
      </c>
      <c r="Q1901" s="3">
        <v>0</v>
      </c>
      <c r="R1901" s="22" t="s">
        <v>2721</v>
      </c>
      <c r="S1901" s="42" t="s">
        <v>6910</v>
      </c>
      <c r="T1901" s="3" t="s">
        <v>4868</v>
      </c>
      <c r="U1901" s="45">
        <v>35</v>
      </c>
      <c r="V1901" t="s">
        <v>6919</v>
      </c>
      <c r="W1901" s="1" t="str">
        <f>HYPERLINK("http://ictvonline.org/taxonomy/p/taxonomy-history?taxnode_id=201901210","ICTVonline=201901210")</f>
        <v>ICTVonline=201901210</v>
      </c>
    </row>
    <row r="1902" spans="1:23">
      <c r="A1902" s="3">
        <v>1901</v>
      </c>
      <c r="B1902" s="1" t="s">
        <v>6915</v>
      </c>
      <c r="D1902" s="1" t="s">
        <v>6916</v>
      </c>
      <c r="F1902" s="1" t="s">
        <v>6920</v>
      </c>
      <c r="H1902" s="1" t="s">
        <v>6921</v>
      </c>
      <c r="J1902" s="1" t="s">
        <v>1324</v>
      </c>
      <c r="L1902" s="1" t="s">
        <v>895</v>
      </c>
      <c r="N1902" s="1" t="s">
        <v>3282</v>
      </c>
      <c r="P1902" s="1" t="s">
        <v>3299</v>
      </c>
      <c r="Q1902" s="3">
        <v>0</v>
      </c>
      <c r="R1902" s="22" t="s">
        <v>2721</v>
      </c>
      <c r="S1902" s="42" t="s">
        <v>6910</v>
      </c>
      <c r="T1902" s="3" t="s">
        <v>4868</v>
      </c>
      <c r="U1902" s="45">
        <v>35</v>
      </c>
      <c r="V1902" t="s">
        <v>6919</v>
      </c>
      <c r="W1902" s="1" t="str">
        <f>HYPERLINK("http://ictvonline.org/taxonomy/p/taxonomy-history?taxnode_id=201901211","ICTVonline=201901211")</f>
        <v>ICTVonline=201901211</v>
      </c>
    </row>
    <row r="1903" spans="1:23">
      <c r="A1903" s="3">
        <v>1902</v>
      </c>
      <c r="B1903" s="1" t="s">
        <v>6915</v>
      </c>
      <c r="D1903" s="1" t="s">
        <v>6916</v>
      </c>
      <c r="F1903" s="1" t="s">
        <v>6920</v>
      </c>
      <c r="H1903" s="1" t="s">
        <v>6921</v>
      </c>
      <c r="J1903" s="1" t="s">
        <v>1324</v>
      </c>
      <c r="L1903" s="1" t="s">
        <v>895</v>
      </c>
      <c r="N1903" s="1" t="s">
        <v>3282</v>
      </c>
      <c r="P1903" s="1" t="s">
        <v>3300</v>
      </c>
      <c r="Q1903" s="3">
        <v>0</v>
      </c>
      <c r="R1903" s="22" t="s">
        <v>2721</v>
      </c>
      <c r="S1903" s="42" t="s">
        <v>6910</v>
      </c>
      <c r="T1903" s="3" t="s">
        <v>4868</v>
      </c>
      <c r="U1903" s="45">
        <v>35</v>
      </c>
      <c r="V1903" t="s">
        <v>6919</v>
      </c>
      <c r="W1903" s="1" t="str">
        <f>HYPERLINK("http://ictvonline.org/taxonomy/p/taxonomy-history?taxnode_id=201901212","ICTVonline=201901212")</f>
        <v>ICTVonline=201901212</v>
      </c>
    </row>
    <row r="1904" spans="1:23">
      <c r="A1904" s="3">
        <v>1903</v>
      </c>
      <c r="B1904" s="1" t="s">
        <v>6915</v>
      </c>
      <c r="D1904" s="1" t="s">
        <v>6916</v>
      </c>
      <c r="F1904" s="1" t="s">
        <v>6920</v>
      </c>
      <c r="H1904" s="1" t="s">
        <v>6921</v>
      </c>
      <c r="J1904" s="1" t="s">
        <v>1324</v>
      </c>
      <c r="L1904" s="1" t="s">
        <v>895</v>
      </c>
      <c r="N1904" s="1" t="s">
        <v>3282</v>
      </c>
      <c r="P1904" s="1" t="s">
        <v>3301</v>
      </c>
      <c r="Q1904" s="3">
        <v>0</v>
      </c>
      <c r="R1904" s="22" t="s">
        <v>2721</v>
      </c>
      <c r="S1904" s="42" t="s">
        <v>6910</v>
      </c>
      <c r="T1904" s="3" t="s">
        <v>4868</v>
      </c>
      <c r="U1904" s="45">
        <v>35</v>
      </c>
      <c r="V1904" t="s">
        <v>6919</v>
      </c>
      <c r="W1904" s="1" t="str">
        <f>HYPERLINK("http://ictvonline.org/taxonomy/p/taxonomy-history?taxnode_id=201901213","ICTVonline=201901213")</f>
        <v>ICTVonline=201901213</v>
      </c>
    </row>
    <row r="1905" spans="1:23">
      <c r="A1905" s="3">
        <v>1904</v>
      </c>
      <c r="B1905" s="1" t="s">
        <v>6915</v>
      </c>
      <c r="D1905" s="1" t="s">
        <v>6916</v>
      </c>
      <c r="F1905" s="1" t="s">
        <v>6920</v>
      </c>
      <c r="H1905" s="1" t="s">
        <v>6921</v>
      </c>
      <c r="J1905" s="1" t="s">
        <v>1324</v>
      </c>
      <c r="L1905" s="1" t="s">
        <v>895</v>
      </c>
      <c r="N1905" s="1" t="s">
        <v>3282</v>
      </c>
      <c r="P1905" s="1" t="s">
        <v>3302</v>
      </c>
      <c r="Q1905" s="3">
        <v>0</v>
      </c>
      <c r="R1905" s="22" t="s">
        <v>2721</v>
      </c>
      <c r="S1905" s="42" t="s">
        <v>6910</v>
      </c>
      <c r="T1905" s="3" t="s">
        <v>4868</v>
      </c>
      <c r="U1905" s="45">
        <v>35</v>
      </c>
      <c r="V1905" t="s">
        <v>6919</v>
      </c>
      <c r="W1905" s="1" t="str">
        <f>HYPERLINK("http://ictvonline.org/taxonomy/p/taxonomy-history?taxnode_id=201901214","ICTVonline=201901214")</f>
        <v>ICTVonline=201901214</v>
      </c>
    </row>
    <row r="1906" spans="1:23">
      <c r="A1906" s="3">
        <v>1905</v>
      </c>
      <c r="B1906" s="1" t="s">
        <v>6915</v>
      </c>
      <c r="D1906" s="1" t="s">
        <v>6916</v>
      </c>
      <c r="F1906" s="1" t="s">
        <v>6920</v>
      </c>
      <c r="H1906" s="1" t="s">
        <v>6921</v>
      </c>
      <c r="J1906" s="1" t="s">
        <v>1324</v>
      </c>
      <c r="L1906" s="1" t="s">
        <v>895</v>
      </c>
      <c r="N1906" s="1" t="s">
        <v>3282</v>
      </c>
      <c r="P1906" s="1" t="s">
        <v>3303</v>
      </c>
      <c r="Q1906" s="3">
        <v>0</v>
      </c>
      <c r="R1906" s="22" t="s">
        <v>2721</v>
      </c>
      <c r="S1906" s="42" t="s">
        <v>6910</v>
      </c>
      <c r="T1906" s="3" t="s">
        <v>4868</v>
      </c>
      <c r="U1906" s="45">
        <v>35</v>
      </c>
      <c r="V1906" t="s">
        <v>6919</v>
      </c>
      <c r="W1906" s="1" t="str">
        <f>HYPERLINK("http://ictvonline.org/taxonomy/p/taxonomy-history?taxnode_id=201901215","ICTVonline=201901215")</f>
        <v>ICTVonline=201901215</v>
      </c>
    </row>
    <row r="1907" spans="1:23">
      <c r="A1907" s="3">
        <v>1906</v>
      </c>
      <c r="B1907" s="1" t="s">
        <v>6915</v>
      </c>
      <c r="D1907" s="1" t="s">
        <v>6916</v>
      </c>
      <c r="F1907" s="1" t="s">
        <v>6920</v>
      </c>
      <c r="H1907" s="1" t="s">
        <v>6921</v>
      </c>
      <c r="J1907" s="1" t="s">
        <v>1324</v>
      </c>
      <c r="L1907" s="1" t="s">
        <v>895</v>
      </c>
      <c r="N1907" s="1" t="s">
        <v>3282</v>
      </c>
      <c r="P1907" s="1" t="s">
        <v>3304</v>
      </c>
      <c r="Q1907" s="3">
        <v>1</v>
      </c>
      <c r="R1907" s="22" t="s">
        <v>2721</v>
      </c>
      <c r="S1907" s="42" t="s">
        <v>6910</v>
      </c>
      <c r="T1907" s="3" t="s">
        <v>4868</v>
      </c>
      <c r="U1907" s="45">
        <v>35</v>
      </c>
      <c r="V1907" t="s">
        <v>6919</v>
      </c>
      <c r="W1907" s="1" t="str">
        <f>HYPERLINK("http://ictvonline.org/taxonomy/p/taxonomy-history?taxnode_id=201901216","ICTVonline=201901216")</f>
        <v>ICTVonline=201901216</v>
      </c>
    </row>
    <row r="1908" spans="1:23">
      <c r="A1908" s="3">
        <v>1907</v>
      </c>
      <c r="B1908" s="1" t="s">
        <v>6915</v>
      </c>
      <c r="D1908" s="1" t="s">
        <v>6916</v>
      </c>
      <c r="F1908" s="1" t="s">
        <v>6920</v>
      </c>
      <c r="H1908" s="1" t="s">
        <v>6921</v>
      </c>
      <c r="J1908" s="1" t="s">
        <v>1324</v>
      </c>
      <c r="L1908" s="1" t="s">
        <v>895</v>
      </c>
      <c r="N1908" s="1" t="s">
        <v>3282</v>
      </c>
      <c r="P1908" s="1" t="s">
        <v>3305</v>
      </c>
      <c r="Q1908" s="3">
        <v>0</v>
      </c>
      <c r="R1908" s="22" t="s">
        <v>2721</v>
      </c>
      <c r="S1908" s="42" t="s">
        <v>6910</v>
      </c>
      <c r="T1908" s="3" t="s">
        <v>4868</v>
      </c>
      <c r="U1908" s="45">
        <v>35</v>
      </c>
      <c r="V1908" t="s">
        <v>6919</v>
      </c>
      <c r="W1908" s="1" t="str">
        <f>HYPERLINK("http://ictvonline.org/taxonomy/p/taxonomy-history?taxnode_id=201901217","ICTVonline=201901217")</f>
        <v>ICTVonline=201901217</v>
      </c>
    </row>
    <row r="1909" spans="1:23">
      <c r="A1909" s="3">
        <v>1908</v>
      </c>
      <c r="B1909" s="1" t="s">
        <v>6915</v>
      </c>
      <c r="D1909" s="1" t="s">
        <v>6916</v>
      </c>
      <c r="F1909" s="1" t="s">
        <v>6920</v>
      </c>
      <c r="H1909" s="1" t="s">
        <v>6921</v>
      </c>
      <c r="J1909" s="1" t="s">
        <v>1324</v>
      </c>
      <c r="L1909" s="1" t="s">
        <v>895</v>
      </c>
      <c r="N1909" s="1" t="s">
        <v>3282</v>
      </c>
      <c r="P1909" s="1" t="s">
        <v>3306</v>
      </c>
      <c r="Q1909" s="3">
        <v>0</v>
      </c>
      <c r="R1909" s="22" t="s">
        <v>2721</v>
      </c>
      <c r="S1909" s="42" t="s">
        <v>6910</v>
      </c>
      <c r="T1909" s="3" t="s">
        <v>4868</v>
      </c>
      <c r="U1909" s="45">
        <v>35</v>
      </c>
      <c r="V1909" t="s">
        <v>6919</v>
      </c>
      <c r="W1909" s="1" t="str">
        <f>HYPERLINK("http://ictvonline.org/taxonomy/p/taxonomy-history?taxnode_id=201901218","ICTVonline=201901218")</f>
        <v>ICTVonline=201901218</v>
      </c>
    </row>
    <row r="1910" spans="1:23">
      <c r="A1910" s="3">
        <v>1909</v>
      </c>
      <c r="B1910" s="1" t="s">
        <v>6915</v>
      </c>
      <c r="D1910" s="1" t="s">
        <v>6916</v>
      </c>
      <c r="F1910" s="1" t="s">
        <v>6920</v>
      </c>
      <c r="H1910" s="1" t="s">
        <v>6921</v>
      </c>
      <c r="J1910" s="1" t="s">
        <v>1324</v>
      </c>
      <c r="L1910" s="1" t="s">
        <v>895</v>
      </c>
      <c r="N1910" s="1" t="s">
        <v>3282</v>
      </c>
      <c r="P1910" s="1" t="s">
        <v>3307</v>
      </c>
      <c r="Q1910" s="3">
        <v>0</v>
      </c>
      <c r="R1910" s="22" t="s">
        <v>2721</v>
      </c>
      <c r="S1910" s="42" t="s">
        <v>6910</v>
      </c>
      <c r="T1910" s="3" t="s">
        <v>4868</v>
      </c>
      <c r="U1910" s="45">
        <v>35</v>
      </c>
      <c r="V1910" t="s">
        <v>6919</v>
      </c>
      <c r="W1910" s="1" t="str">
        <f>HYPERLINK("http://ictvonline.org/taxonomy/p/taxonomy-history?taxnode_id=201901219","ICTVonline=201901219")</f>
        <v>ICTVonline=201901219</v>
      </c>
    </row>
    <row r="1911" spans="1:23">
      <c r="A1911" s="3">
        <v>1910</v>
      </c>
      <c r="B1911" s="1" t="s">
        <v>6915</v>
      </c>
      <c r="D1911" s="1" t="s">
        <v>6916</v>
      </c>
      <c r="F1911" s="1" t="s">
        <v>6920</v>
      </c>
      <c r="H1911" s="1" t="s">
        <v>6921</v>
      </c>
      <c r="J1911" s="1" t="s">
        <v>1324</v>
      </c>
      <c r="L1911" s="1" t="s">
        <v>895</v>
      </c>
      <c r="N1911" s="1" t="s">
        <v>3282</v>
      </c>
      <c r="P1911" s="1" t="s">
        <v>3308</v>
      </c>
      <c r="Q1911" s="3">
        <v>0</v>
      </c>
      <c r="R1911" s="22" t="s">
        <v>2721</v>
      </c>
      <c r="S1911" s="42" t="s">
        <v>6910</v>
      </c>
      <c r="T1911" s="3" t="s">
        <v>4868</v>
      </c>
      <c r="U1911" s="45">
        <v>35</v>
      </c>
      <c r="V1911" t="s">
        <v>6919</v>
      </c>
      <c r="W1911" s="1" t="str">
        <f>HYPERLINK("http://ictvonline.org/taxonomy/p/taxonomy-history?taxnode_id=201901220","ICTVonline=201901220")</f>
        <v>ICTVonline=201901220</v>
      </c>
    </row>
    <row r="1912" spans="1:23">
      <c r="A1912" s="3">
        <v>1911</v>
      </c>
      <c r="B1912" s="1" t="s">
        <v>6915</v>
      </c>
      <c r="D1912" s="1" t="s">
        <v>6916</v>
      </c>
      <c r="F1912" s="1" t="s">
        <v>6920</v>
      </c>
      <c r="H1912" s="1" t="s">
        <v>6921</v>
      </c>
      <c r="J1912" s="1" t="s">
        <v>1324</v>
      </c>
      <c r="L1912" s="1" t="s">
        <v>895</v>
      </c>
      <c r="N1912" s="1" t="s">
        <v>3282</v>
      </c>
      <c r="P1912" s="1" t="s">
        <v>3309</v>
      </c>
      <c r="Q1912" s="3">
        <v>0</v>
      </c>
      <c r="R1912" s="22" t="s">
        <v>2721</v>
      </c>
      <c r="S1912" s="42" t="s">
        <v>6910</v>
      </c>
      <c r="T1912" s="3" t="s">
        <v>4868</v>
      </c>
      <c r="U1912" s="45">
        <v>35</v>
      </c>
      <c r="V1912" t="s">
        <v>6919</v>
      </c>
      <c r="W1912" s="1" t="str">
        <f>HYPERLINK("http://ictvonline.org/taxonomy/p/taxonomy-history?taxnode_id=201901221","ICTVonline=201901221")</f>
        <v>ICTVonline=201901221</v>
      </c>
    </row>
    <row r="1913" spans="1:23">
      <c r="A1913" s="3">
        <v>1912</v>
      </c>
      <c r="B1913" s="1" t="s">
        <v>6915</v>
      </c>
      <c r="D1913" s="1" t="s">
        <v>6916</v>
      </c>
      <c r="F1913" s="1" t="s">
        <v>6920</v>
      </c>
      <c r="H1913" s="1" t="s">
        <v>6921</v>
      </c>
      <c r="J1913" s="1" t="s">
        <v>1324</v>
      </c>
      <c r="L1913" s="1" t="s">
        <v>895</v>
      </c>
      <c r="N1913" s="1" t="s">
        <v>3282</v>
      </c>
      <c r="P1913" s="1" t="s">
        <v>3310</v>
      </c>
      <c r="Q1913" s="3">
        <v>0</v>
      </c>
      <c r="R1913" s="22" t="s">
        <v>2721</v>
      </c>
      <c r="S1913" s="42" t="s">
        <v>6910</v>
      </c>
      <c r="T1913" s="3" t="s">
        <v>4868</v>
      </c>
      <c r="U1913" s="45">
        <v>35</v>
      </c>
      <c r="V1913" t="s">
        <v>6919</v>
      </c>
      <c r="W1913" s="1" t="str">
        <f>HYPERLINK("http://ictvonline.org/taxonomy/p/taxonomy-history?taxnode_id=201901222","ICTVonline=201901222")</f>
        <v>ICTVonline=201901222</v>
      </c>
    </row>
    <row r="1914" spans="1:23">
      <c r="A1914" s="3">
        <v>1913</v>
      </c>
      <c r="B1914" s="1" t="s">
        <v>6915</v>
      </c>
      <c r="D1914" s="1" t="s">
        <v>6916</v>
      </c>
      <c r="F1914" s="1" t="s">
        <v>6920</v>
      </c>
      <c r="H1914" s="1" t="s">
        <v>6921</v>
      </c>
      <c r="J1914" s="1" t="s">
        <v>1324</v>
      </c>
      <c r="L1914" s="1" t="s">
        <v>895</v>
      </c>
      <c r="N1914" s="1" t="s">
        <v>3282</v>
      </c>
      <c r="P1914" s="1" t="s">
        <v>3311</v>
      </c>
      <c r="Q1914" s="3">
        <v>0</v>
      </c>
      <c r="R1914" s="22" t="s">
        <v>2721</v>
      </c>
      <c r="S1914" s="42" t="s">
        <v>6910</v>
      </c>
      <c r="T1914" s="3" t="s">
        <v>4868</v>
      </c>
      <c r="U1914" s="45">
        <v>35</v>
      </c>
      <c r="V1914" t="s">
        <v>6919</v>
      </c>
      <c r="W1914" s="1" t="str">
        <f>HYPERLINK("http://ictvonline.org/taxonomy/p/taxonomy-history?taxnode_id=201901223","ICTVonline=201901223")</f>
        <v>ICTVonline=201901223</v>
      </c>
    </row>
    <row r="1915" spans="1:23">
      <c r="A1915" s="3">
        <v>1914</v>
      </c>
      <c r="B1915" s="1" t="s">
        <v>6915</v>
      </c>
      <c r="D1915" s="1" t="s">
        <v>6916</v>
      </c>
      <c r="F1915" s="1" t="s">
        <v>6920</v>
      </c>
      <c r="H1915" s="1" t="s">
        <v>6921</v>
      </c>
      <c r="J1915" s="1" t="s">
        <v>1324</v>
      </c>
      <c r="L1915" s="1" t="s">
        <v>895</v>
      </c>
      <c r="N1915" s="1" t="s">
        <v>3282</v>
      </c>
      <c r="P1915" s="1" t="s">
        <v>3312</v>
      </c>
      <c r="Q1915" s="3">
        <v>0</v>
      </c>
      <c r="R1915" s="22" t="s">
        <v>2721</v>
      </c>
      <c r="S1915" s="42" t="s">
        <v>6910</v>
      </c>
      <c r="T1915" s="3" t="s">
        <v>4868</v>
      </c>
      <c r="U1915" s="45">
        <v>35</v>
      </c>
      <c r="V1915" t="s">
        <v>6919</v>
      </c>
      <c r="W1915" s="1" t="str">
        <f>HYPERLINK("http://ictvonline.org/taxonomy/p/taxonomy-history?taxnode_id=201901224","ICTVonline=201901224")</f>
        <v>ICTVonline=201901224</v>
      </c>
    </row>
    <row r="1916" spans="1:23">
      <c r="A1916" s="3">
        <v>1915</v>
      </c>
      <c r="B1916" s="1" t="s">
        <v>6915</v>
      </c>
      <c r="D1916" s="1" t="s">
        <v>6916</v>
      </c>
      <c r="F1916" s="1" t="s">
        <v>6920</v>
      </c>
      <c r="H1916" s="1" t="s">
        <v>6921</v>
      </c>
      <c r="J1916" s="1" t="s">
        <v>1324</v>
      </c>
      <c r="L1916" s="1" t="s">
        <v>895</v>
      </c>
      <c r="N1916" s="1" t="s">
        <v>3282</v>
      </c>
      <c r="P1916" s="1" t="s">
        <v>3313</v>
      </c>
      <c r="Q1916" s="3">
        <v>0</v>
      </c>
      <c r="R1916" s="22" t="s">
        <v>2721</v>
      </c>
      <c r="S1916" s="42" t="s">
        <v>6910</v>
      </c>
      <c r="T1916" s="3" t="s">
        <v>4868</v>
      </c>
      <c r="U1916" s="45">
        <v>35</v>
      </c>
      <c r="V1916" t="s">
        <v>6919</v>
      </c>
      <c r="W1916" s="1" t="str">
        <f>HYPERLINK("http://ictvonline.org/taxonomy/p/taxonomy-history?taxnode_id=201901225","ICTVonline=201901225")</f>
        <v>ICTVonline=201901225</v>
      </c>
    </row>
    <row r="1917" spans="1:23">
      <c r="A1917" s="3">
        <v>1916</v>
      </c>
      <c r="B1917" s="1" t="s">
        <v>6915</v>
      </c>
      <c r="D1917" s="1" t="s">
        <v>6916</v>
      </c>
      <c r="F1917" s="1" t="s">
        <v>6920</v>
      </c>
      <c r="H1917" s="1" t="s">
        <v>6921</v>
      </c>
      <c r="J1917" s="1" t="s">
        <v>1324</v>
      </c>
      <c r="L1917" s="1" t="s">
        <v>895</v>
      </c>
      <c r="N1917" s="1" t="s">
        <v>3314</v>
      </c>
      <c r="P1917" s="1" t="s">
        <v>3315</v>
      </c>
      <c r="Q1917" s="3">
        <v>1</v>
      </c>
      <c r="R1917" s="22" t="s">
        <v>2721</v>
      </c>
      <c r="S1917" s="42" t="s">
        <v>6910</v>
      </c>
      <c r="T1917" s="3" t="s">
        <v>4868</v>
      </c>
      <c r="U1917" s="45">
        <v>35</v>
      </c>
      <c r="V1917" t="s">
        <v>6919</v>
      </c>
      <c r="W1917" s="1" t="str">
        <f>HYPERLINK("http://ictvonline.org/taxonomy/p/taxonomy-history?taxnode_id=201901227","ICTVonline=201901227")</f>
        <v>ICTVonline=201901227</v>
      </c>
    </row>
    <row r="1918" spans="1:23">
      <c r="A1918" s="3">
        <v>1917</v>
      </c>
      <c r="B1918" s="1" t="s">
        <v>6915</v>
      </c>
      <c r="D1918" s="1" t="s">
        <v>6916</v>
      </c>
      <c r="F1918" s="1" t="s">
        <v>6920</v>
      </c>
      <c r="H1918" s="1" t="s">
        <v>6921</v>
      </c>
      <c r="J1918" s="1" t="s">
        <v>1324</v>
      </c>
      <c r="L1918" s="1" t="s">
        <v>895</v>
      </c>
      <c r="N1918" s="1" t="s">
        <v>3314</v>
      </c>
      <c r="P1918" s="1" t="s">
        <v>3316</v>
      </c>
      <c r="Q1918" s="3">
        <v>0</v>
      </c>
      <c r="R1918" s="22" t="s">
        <v>2721</v>
      </c>
      <c r="S1918" s="42" t="s">
        <v>6910</v>
      </c>
      <c r="T1918" s="3" t="s">
        <v>4868</v>
      </c>
      <c r="U1918" s="45">
        <v>35</v>
      </c>
      <c r="V1918" t="s">
        <v>6919</v>
      </c>
      <c r="W1918" s="1" t="str">
        <f>HYPERLINK("http://ictvonline.org/taxonomy/p/taxonomy-history?taxnode_id=201901228","ICTVonline=201901228")</f>
        <v>ICTVonline=201901228</v>
      </c>
    </row>
    <row r="1919" spans="1:23">
      <c r="A1919" s="3">
        <v>1918</v>
      </c>
      <c r="B1919" s="1" t="s">
        <v>6915</v>
      </c>
      <c r="D1919" s="1" t="s">
        <v>6916</v>
      </c>
      <c r="F1919" s="1" t="s">
        <v>6920</v>
      </c>
      <c r="H1919" s="1" t="s">
        <v>6921</v>
      </c>
      <c r="J1919" s="1" t="s">
        <v>1324</v>
      </c>
      <c r="L1919" s="1" t="s">
        <v>895</v>
      </c>
      <c r="N1919" s="1" t="s">
        <v>3314</v>
      </c>
      <c r="P1919" s="1" t="s">
        <v>3317</v>
      </c>
      <c r="Q1919" s="3">
        <v>0</v>
      </c>
      <c r="R1919" s="22" t="s">
        <v>2721</v>
      </c>
      <c r="S1919" s="42" t="s">
        <v>6910</v>
      </c>
      <c r="T1919" s="3" t="s">
        <v>4868</v>
      </c>
      <c r="U1919" s="45">
        <v>35</v>
      </c>
      <c r="V1919" t="s">
        <v>6919</v>
      </c>
      <c r="W1919" s="1" t="str">
        <f>HYPERLINK("http://ictvonline.org/taxonomy/p/taxonomy-history?taxnode_id=201901229","ICTVonline=201901229")</f>
        <v>ICTVonline=201901229</v>
      </c>
    </row>
    <row r="1920" spans="1:23">
      <c r="A1920" s="3">
        <v>1919</v>
      </c>
      <c r="B1920" s="1" t="s">
        <v>6915</v>
      </c>
      <c r="D1920" s="1" t="s">
        <v>6916</v>
      </c>
      <c r="F1920" s="1" t="s">
        <v>6920</v>
      </c>
      <c r="H1920" s="1" t="s">
        <v>6921</v>
      </c>
      <c r="J1920" s="1" t="s">
        <v>1324</v>
      </c>
      <c r="L1920" s="1" t="s">
        <v>895</v>
      </c>
      <c r="N1920" s="1" t="s">
        <v>7938</v>
      </c>
      <c r="P1920" s="1" t="s">
        <v>7939</v>
      </c>
      <c r="Q1920" s="3">
        <v>1</v>
      </c>
      <c r="R1920" s="22" t="s">
        <v>2721</v>
      </c>
      <c r="S1920" s="42" t="s">
        <v>6914</v>
      </c>
      <c r="T1920" s="3" t="s">
        <v>4866</v>
      </c>
      <c r="U1920" s="45">
        <v>35</v>
      </c>
      <c r="V1920" t="s">
        <v>7940</v>
      </c>
      <c r="W1920" s="1" t="str">
        <f>HYPERLINK("http://ictvonline.org/taxonomy/p/taxonomy-history?taxnode_id=201907512","ICTVonline=201907512")</f>
        <v>ICTVonline=201907512</v>
      </c>
    </row>
    <row r="1921" spans="1:23">
      <c r="A1921" s="3">
        <v>1920</v>
      </c>
      <c r="B1921" s="1" t="s">
        <v>6915</v>
      </c>
      <c r="D1921" s="1" t="s">
        <v>6916</v>
      </c>
      <c r="F1921" s="1" t="s">
        <v>6920</v>
      </c>
      <c r="H1921" s="1" t="s">
        <v>6921</v>
      </c>
      <c r="J1921" s="1" t="s">
        <v>1324</v>
      </c>
      <c r="L1921" s="1" t="s">
        <v>895</v>
      </c>
      <c r="N1921" s="1" t="s">
        <v>6687</v>
      </c>
      <c r="P1921" s="1" t="s">
        <v>6688</v>
      </c>
      <c r="Q1921" s="3">
        <v>1</v>
      </c>
      <c r="R1921" s="22" t="s">
        <v>2721</v>
      </c>
      <c r="S1921" s="42" t="s">
        <v>6910</v>
      </c>
      <c r="T1921" s="3" t="s">
        <v>4868</v>
      </c>
      <c r="U1921" s="45">
        <v>35</v>
      </c>
      <c r="V1921" t="s">
        <v>6919</v>
      </c>
      <c r="W1921" s="1" t="str">
        <f>HYPERLINK("http://ictvonline.org/taxonomy/p/taxonomy-history?taxnode_id=201906749","ICTVonline=201906749")</f>
        <v>ICTVonline=201906749</v>
      </c>
    </row>
    <row r="1922" spans="1:23">
      <c r="A1922" s="3">
        <v>1921</v>
      </c>
      <c r="B1922" s="1" t="s">
        <v>6915</v>
      </c>
      <c r="D1922" s="1" t="s">
        <v>6916</v>
      </c>
      <c r="F1922" s="1" t="s">
        <v>6920</v>
      </c>
      <c r="H1922" s="1" t="s">
        <v>6921</v>
      </c>
      <c r="J1922" s="1" t="s">
        <v>1324</v>
      </c>
      <c r="L1922" s="1" t="s">
        <v>895</v>
      </c>
      <c r="N1922" s="1" t="s">
        <v>6689</v>
      </c>
      <c r="P1922" s="1" t="s">
        <v>6690</v>
      </c>
      <c r="Q1922" s="3">
        <v>1</v>
      </c>
      <c r="R1922" s="22" t="s">
        <v>2721</v>
      </c>
      <c r="S1922" s="42" t="s">
        <v>6910</v>
      </c>
      <c r="T1922" s="3" t="s">
        <v>4868</v>
      </c>
      <c r="U1922" s="45">
        <v>35</v>
      </c>
      <c r="V1922" t="s">
        <v>6919</v>
      </c>
      <c r="W1922" s="1" t="str">
        <f>HYPERLINK("http://ictvonline.org/taxonomy/p/taxonomy-history?taxnode_id=201906592","ICTVonline=201906592")</f>
        <v>ICTVonline=201906592</v>
      </c>
    </row>
    <row r="1923" spans="1:23">
      <c r="A1923" s="3">
        <v>1922</v>
      </c>
      <c r="B1923" s="1" t="s">
        <v>6915</v>
      </c>
      <c r="D1923" s="1" t="s">
        <v>6916</v>
      </c>
      <c r="F1923" s="1" t="s">
        <v>6920</v>
      </c>
      <c r="H1923" s="1" t="s">
        <v>6921</v>
      </c>
      <c r="J1923" s="1" t="s">
        <v>1324</v>
      </c>
      <c r="L1923" s="1" t="s">
        <v>895</v>
      </c>
      <c r="N1923" s="1" t="s">
        <v>6691</v>
      </c>
      <c r="P1923" s="1" t="s">
        <v>6692</v>
      </c>
      <c r="Q1923" s="3">
        <v>1</v>
      </c>
      <c r="R1923" s="22" t="s">
        <v>2721</v>
      </c>
      <c r="S1923" s="42" t="s">
        <v>6910</v>
      </c>
      <c r="T1923" s="3" t="s">
        <v>4868</v>
      </c>
      <c r="U1923" s="45">
        <v>35</v>
      </c>
      <c r="V1923" t="s">
        <v>6919</v>
      </c>
      <c r="W1923" s="1" t="str">
        <f>HYPERLINK("http://ictvonline.org/taxonomy/p/taxonomy-history?taxnode_id=201907062","ICTVonline=201907062")</f>
        <v>ICTVonline=201907062</v>
      </c>
    </row>
    <row r="1924" spans="1:23">
      <c r="A1924" s="3">
        <v>1923</v>
      </c>
      <c r="B1924" s="1" t="s">
        <v>6915</v>
      </c>
      <c r="D1924" s="1" t="s">
        <v>6916</v>
      </c>
      <c r="F1924" s="1" t="s">
        <v>6920</v>
      </c>
      <c r="H1924" s="1" t="s">
        <v>6921</v>
      </c>
      <c r="J1924" s="1" t="s">
        <v>1324</v>
      </c>
      <c r="L1924" s="1" t="s">
        <v>895</v>
      </c>
      <c r="N1924" s="1" t="s">
        <v>3321</v>
      </c>
      <c r="P1924" s="1" t="s">
        <v>3322</v>
      </c>
      <c r="Q1924" s="3">
        <v>0</v>
      </c>
      <c r="R1924" s="22" t="s">
        <v>2721</v>
      </c>
      <c r="S1924" s="42" t="s">
        <v>6910</v>
      </c>
      <c r="T1924" s="3" t="s">
        <v>4868</v>
      </c>
      <c r="U1924" s="45">
        <v>35</v>
      </c>
      <c r="V1924" t="s">
        <v>6919</v>
      </c>
      <c r="W1924" s="1" t="str">
        <f>HYPERLINK("http://ictvonline.org/taxonomy/p/taxonomy-history?taxnode_id=201901237","ICTVonline=201901237")</f>
        <v>ICTVonline=201901237</v>
      </c>
    </row>
    <row r="1925" spans="1:23">
      <c r="A1925" s="3">
        <v>1924</v>
      </c>
      <c r="B1925" s="1" t="s">
        <v>6915</v>
      </c>
      <c r="D1925" s="1" t="s">
        <v>6916</v>
      </c>
      <c r="F1925" s="1" t="s">
        <v>6920</v>
      </c>
      <c r="H1925" s="1" t="s">
        <v>6921</v>
      </c>
      <c r="J1925" s="1" t="s">
        <v>1324</v>
      </c>
      <c r="L1925" s="1" t="s">
        <v>895</v>
      </c>
      <c r="N1925" s="1" t="s">
        <v>3321</v>
      </c>
      <c r="P1925" s="1" t="s">
        <v>3323</v>
      </c>
      <c r="Q1925" s="3">
        <v>1</v>
      </c>
      <c r="R1925" s="22" t="s">
        <v>2721</v>
      </c>
      <c r="S1925" s="42" t="s">
        <v>6910</v>
      </c>
      <c r="T1925" s="3" t="s">
        <v>4868</v>
      </c>
      <c r="U1925" s="45">
        <v>35</v>
      </c>
      <c r="V1925" t="s">
        <v>6919</v>
      </c>
      <c r="W1925" s="1" t="str">
        <f>HYPERLINK("http://ictvonline.org/taxonomy/p/taxonomy-history?taxnode_id=201901238","ICTVonline=201901238")</f>
        <v>ICTVonline=201901238</v>
      </c>
    </row>
    <row r="1926" spans="1:23">
      <c r="A1926" s="3">
        <v>1925</v>
      </c>
      <c r="B1926" s="1" t="s">
        <v>6915</v>
      </c>
      <c r="D1926" s="1" t="s">
        <v>6916</v>
      </c>
      <c r="F1926" s="1" t="s">
        <v>6920</v>
      </c>
      <c r="H1926" s="1" t="s">
        <v>6921</v>
      </c>
      <c r="J1926" s="1" t="s">
        <v>1324</v>
      </c>
      <c r="L1926" s="1" t="s">
        <v>895</v>
      </c>
      <c r="N1926" s="1" t="s">
        <v>3324</v>
      </c>
      <c r="P1926" s="1" t="s">
        <v>7941</v>
      </c>
      <c r="Q1926" s="3">
        <v>1</v>
      </c>
      <c r="R1926" s="22" t="s">
        <v>2721</v>
      </c>
      <c r="S1926" s="42" t="s">
        <v>6914</v>
      </c>
      <c r="T1926" s="3" t="s">
        <v>4866</v>
      </c>
      <c r="U1926" s="45">
        <v>35</v>
      </c>
      <c r="V1926" t="s">
        <v>7942</v>
      </c>
      <c r="W1926" s="1" t="str">
        <f>HYPERLINK("http://ictvonline.org/taxonomy/p/taxonomy-history?taxnode_id=201907999","ICTVonline=201907999")</f>
        <v>ICTVonline=201907999</v>
      </c>
    </row>
    <row r="1927" spans="1:23">
      <c r="A1927" s="3">
        <v>1926</v>
      </c>
      <c r="B1927" s="1" t="s">
        <v>6915</v>
      </c>
      <c r="D1927" s="1" t="s">
        <v>6916</v>
      </c>
      <c r="F1927" s="1" t="s">
        <v>6920</v>
      </c>
      <c r="H1927" s="1" t="s">
        <v>6921</v>
      </c>
      <c r="J1927" s="1" t="s">
        <v>1324</v>
      </c>
      <c r="L1927" s="1" t="s">
        <v>895</v>
      </c>
      <c r="N1927" s="1" t="s">
        <v>6693</v>
      </c>
      <c r="P1927" s="1" t="s">
        <v>5025</v>
      </c>
      <c r="Q1927" s="3">
        <v>1</v>
      </c>
      <c r="R1927" s="22" t="s">
        <v>2721</v>
      </c>
      <c r="S1927" s="42" t="s">
        <v>6910</v>
      </c>
      <c r="T1927" s="3" t="s">
        <v>4868</v>
      </c>
      <c r="U1927" s="45">
        <v>35</v>
      </c>
      <c r="V1927" t="s">
        <v>6919</v>
      </c>
      <c r="W1927" s="1" t="str">
        <f>HYPERLINK("http://ictvonline.org/taxonomy/p/taxonomy-history?taxnode_id=201905561","ICTVonline=201905561")</f>
        <v>ICTVonline=201905561</v>
      </c>
    </row>
    <row r="1928" spans="1:23">
      <c r="A1928" s="3">
        <v>1927</v>
      </c>
      <c r="B1928" s="1" t="s">
        <v>6915</v>
      </c>
      <c r="D1928" s="1" t="s">
        <v>6916</v>
      </c>
      <c r="F1928" s="1" t="s">
        <v>6920</v>
      </c>
      <c r="H1928" s="1" t="s">
        <v>6921</v>
      </c>
      <c r="J1928" s="1" t="s">
        <v>1324</v>
      </c>
      <c r="L1928" s="1" t="s">
        <v>895</v>
      </c>
      <c r="N1928" s="1" t="s">
        <v>7943</v>
      </c>
      <c r="P1928" s="1" t="s">
        <v>7944</v>
      </c>
      <c r="Q1928" s="3">
        <v>0</v>
      </c>
      <c r="R1928" s="22" t="s">
        <v>2721</v>
      </c>
      <c r="S1928" s="42" t="s">
        <v>6914</v>
      </c>
      <c r="T1928" s="3" t="s">
        <v>4866</v>
      </c>
      <c r="U1928" s="45">
        <v>35</v>
      </c>
      <c r="V1928" t="s">
        <v>7945</v>
      </c>
      <c r="W1928" s="1" t="str">
        <f>HYPERLINK("http://ictvonline.org/taxonomy/p/taxonomy-history?taxnode_id=201907537","ICTVonline=201907537")</f>
        <v>ICTVonline=201907537</v>
      </c>
    </row>
    <row r="1929" spans="1:23">
      <c r="A1929" s="3">
        <v>1928</v>
      </c>
      <c r="B1929" s="1" t="s">
        <v>6915</v>
      </c>
      <c r="D1929" s="1" t="s">
        <v>6916</v>
      </c>
      <c r="F1929" s="1" t="s">
        <v>6920</v>
      </c>
      <c r="H1929" s="1" t="s">
        <v>6921</v>
      </c>
      <c r="J1929" s="1" t="s">
        <v>1324</v>
      </c>
      <c r="L1929" s="1" t="s">
        <v>895</v>
      </c>
      <c r="N1929" s="1" t="s">
        <v>7943</v>
      </c>
      <c r="P1929" s="1" t="s">
        <v>7946</v>
      </c>
      <c r="Q1929" s="3">
        <v>0</v>
      </c>
      <c r="R1929" s="22" t="s">
        <v>2721</v>
      </c>
      <c r="S1929" s="42" t="s">
        <v>6914</v>
      </c>
      <c r="T1929" s="3" t="s">
        <v>4866</v>
      </c>
      <c r="U1929" s="45">
        <v>35</v>
      </c>
      <c r="V1929" t="s">
        <v>7945</v>
      </c>
      <c r="W1929" s="1" t="str">
        <f>HYPERLINK("http://ictvonline.org/taxonomy/p/taxonomy-history?taxnode_id=201907536","ICTVonline=201907536")</f>
        <v>ICTVonline=201907536</v>
      </c>
    </row>
    <row r="1930" spans="1:23">
      <c r="A1930" s="3">
        <v>1929</v>
      </c>
      <c r="B1930" s="1" t="s">
        <v>6915</v>
      </c>
      <c r="D1930" s="1" t="s">
        <v>6916</v>
      </c>
      <c r="F1930" s="1" t="s">
        <v>6920</v>
      </c>
      <c r="H1930" s="1" t="s">
        <v>6921</v>
      </c>
      <c r="J1930" s="1" t="s">
        <v>1324</v>
      </c>
      <c r="L1930" s="1" t="s">
        <v>895</v>
      </c>
      <c r="N1930" s="1" t="s">
        <v>7943</v>
      </c>
      <c r="P1930" s="1" t="s">
        <v>7947</v>
      </c>
      <c r="Q1930" s="3">
        <v>1</v>
      </c>
      <c r="R1930" s="22" t="s">
        <v>2721</v>
      </c>
      <c r="S1930" s="42" t="s">
        <v>6914</v>
      </c>
      <c r="T1930" s="3" t="s">
        <v>4866</v>
      </c>
      <c r="U1930" s="45">
        <v>35</v>
      </c>
      <c r="V1930" t="s">
        <v>7945</v>
      </c>
      <c r="W1930" s="1" t="str">
        <f>HYPERLINK("http://ictvonline.org/taxonomy/p/taxonomy-history?taxnode_id=201907535","ICTVonline=201907535")</f>
        <v>ICTVonline=201907535</v>
      </c>
    </row>
    <row r="1931" spans="1:23">
      <c r="A1931" s="3">
        <v>1930</v>
      </c>
      <c r="B1931" s="1" t="s">
        <v>6915</v>
      </c>
      <c r="D1931" s="1" t="s">
        <v>6916</v>
      </c>
      <c r="F1931" s="1" t="s">
        <v>6920</v>
      </c>
      <c r="H1931" s="1" t="s">
        <v>6921</v>
      </c>
      <c r="J1931" s="1" t="s">
        <v>1324</v>
      </c>
      <c r="L1931" s="1" t="s">
        <v>895</v>
      </c>
      <c r="N1931" s="1" t="s">
        <v>7948</v>
      </c>
      <c r="P1931" s="1" t="s">
        <v>7949</v>
      </c>
      <c r="Q1931" s="3">
        <v>0</v>
      </c>
      <c r="R1931" s="22" t="s">
        <v>2721</v>
      </c>
      <c r="S1931" s="42" t="s">
        <v>6914</v>
      </c>
      <c r="T1931" s="3" t="s">
        <v>4866</v>
      </c>
      <c r="U1931" s="45">
        <v>35</v>
      </c>
      <c r="V1931" t="s">
        <v>7950</v>
      </c>
      <c r="W1931" s="1" t="str">
        <f>HYPERLINK("http://ictvonline.org/taxonomy/p/taxonomy-history?taxnode_id=201908018","ICTVonline=201908018")</f>
        <v>ICTVonline=201908018</v>
      </c>
    </row>
    <row r="1932" spans="1:23">
      <c r="A1932" s="3">
        <v>1931</v>
      </c>
      <c r="B1932" s="1" t="s">
        <v>6915</v>
      </c>
      <c r="D1932" s="1" t="s">
        <v>6916</v>
      </c>
      <c r="F1932" s="1" t="s">
        <v>6920</v>
      </c>
      <c r="H1932" s="1" t="s">
        <v>6921</v>
      </c>
      <c r="J1932" s="1" t="s">
        <v>1324</v>
      </c>
      <c r="L1932" s="1" t="s">
        <v>895</v>
      </c>
      <c r="N1932" s="1" t="s">
        <v>7948</v>
      </c>
      <c r="P1932" s="1" t="s">
        <v>7951</v>
      </c>
      <c r="Q1932" s="3">
        <v>1</v>
      </c>
      <c r="R1932" s="22" t="s">
        <v>2721</v>
      </c>
      <c r="S1932" s="42" t="s">
        <v>6914</v>
      </c>
      <c r="T1932" s="3" t="s">
        <v>4866</v>
      </c>
      <c r="U1932" s="45">
        <v>35</v>
      </c>
      <c r="V1932" t="s">
        <v>7950</v>
      </c>
      <c r="W1932" s="1" t="str">
        <f>HYPERLINK("http://ictvonline.org/taxonomy/p/taxonomy-history?taxnode_id=201908017","ICTVonline=201908017")</f>
        <v>ICTVonline=201908017</v>
      </c>
    </row>
    <row r="1933" spans="1:23">
      <c r="A1933" s="3">
        <v>1932</v>
      </c>
      <c r="B1933" s="1" t="s">
        <v>6915</v>
      </c>
      <c r="D1933" s="1" t="s">
        <v>6916</v>
      </c>
      <c r="F1933" s="1" t="s">
        <v>6920</v>
      </c>
      <c r="H1933" s="1" t="s">
        <v>6921</v>
      </c>
      <c r="J1933" s="1" t="s">
        <v>1324</v>
      </c>
      <c r="L1933" s="1" t="s">
        <v>895</v>
      </c>
      <c r="N1933" s="1" t="s">
        <v>6694</v>
      </c>
      <c r="P1933" s="1" t="s">
        <v>3243</v>
      </c>
      <c r="Q1933" s="3">
        <v>1</v>
      </c>
      <c r="R1933" s="22" t="s">
        <v>2721</v>
      </c>
      <c r="S1933" s="42" t="s">
        <v>6910</v>
      </c>
      <c r="T1933" s="3" t="s">
        <v>4868</v>
      </c>
      <c r="U1933" s="45">
        <v>35</v>
      </c>
      <c r="V1933" t="s">
        <v>6919</v>
      </c>
      <c r="W1933" s="1" t="str">
        <f>HYPERLINK("http://ictvonline.org/taxonomy/p/taxonomy-history?taxnode_id=201901085","ICTVonline=201901085")</f>
        <v>ICTVonline=201901085</v>
      </c>
    </row>
    <row r="1934" spans="1:23">
      <c r="A1934" s="3">
        <v>1933</v>
      </c>
      <c r="B1934" s="1" t="s">
        <v>6915</v>
      </c>
      <c r="D1934" s="1" t="s">
        <v>6916</v>
      </c>
      <c r="F1934" s="1" t="s">
        <v>6920</v>
      </c>
      <c r="H1934" s="1" t="s">
        <v>6921</v>
      </c>
      <c r="J1934" s="1" t="s">
        <v>1324</v>
      </c>
      <c r="L1934" s="1" t="s">
        <v>895</v>
      </c>
      <c r="N1934" s="1" t="s">
        <v>6695</v>
      </c>
      <c r="P1934" s="1" t="s">
        <v>3234</v>
      </c>
      <c r="Q1934" s="3">
        <v>1</v>
      </c>
      <c r="R1934" s="22" t="s">
        <v>2721</v>
      </c>
      <c r="S1934" s="42" t="s">
        <v>6910</v>
      </c>
      <c r="T1934" s="3" t="s">
        <v>4868</v>
      </c>
      <c r="U1934" s="45">
        <v>35</v>
      </c>
      <c r="V1934" t="s">
        <v>6919</v>
      </c>
      <c r="W1934" s="1" t="str">
        <f>HYPERLINK("http://ictvonline.org/taxonomy/p/taxonomy-history?taxnode_id=201901245","ICTVonline=201901245")</f>
        <v>ICTVonline=201901245</v>
      </c>
    </row>
    <row r="1935" spans="1:23">
      <c r="A1935" s="3">
        <v>1934</v>
      </c>
      <c r="B1935" s="1" t="s">
        <v>6915</v>
      </c>
      <c r="D1935" s="1" t="s">
        <v>6916</v>
      </c>
      <c r="F1935" s="1" t="s">
        <v>6920</v>
      </c>
      <c r="H1935" s="1" t="s">
        <v>6921</v>
      </c>
      <c r="J1935" s="1" t="s">
        <v>1324</v>
      </c>
      <c r="L1935" s="1" t="s">
        <v>895</v>
      </c>
      <c r="N1935" s="1" t="s">
        <v>6696</v>
      </c>
      <c r="P1935" s="1" t="s">
        <v>6697</v>
      </c>
      <c r="Q1935" s="3">
        <v>1</v>
      </c>
      <c r="R1935" s="22" t="s">
        <v>2721</v>
      </c>
      <c r="S1935" s="42" t="s">
        <v>6910</v>
      </c>
      <c r="T1935" s="3" t="s">
        <v>4868</v>
      </c>
      <c r="U1935" s="45">
        <v>35</v>
      </c>
      <c r="V1935" t="s">
        <v>6919</v>
      </c>
      <c r="W1935" s="1" t="str">
        <f>HYPERLINK("http://ictvonline.org/taxonomy/p/taxonomy-history?taxnode_id=201906863","ICTVonline=201906863")</f>
        <v>ICTVonline=201906863</v>
      </c>
    </row>
    <row r="1936" spans="1:23">
      <c r="A1936" s="3">
        <v>1935</v>
      </c>
      <c r="B1936" s="1" t="s">
        <v>6915</v>
      </c>
      <c r="D1936" s="1" t="s">
        <v>6916</v>
      </c>
      <c r="F1936" s="1" t="s">
        <v>6920</v>
      </c>
      <c r="H1936" s="1" t="s">
        <v>6921</v>
      </c>
      <c r="J1936" s="1" t="s">
        <v>1324</v>
      </c>
      <c r="L1936" s="1" t="s">
        <v>895</v>
      </c>
      <c r="N1936" s="1" t="s">
        <v>6698</v>
      </c>
      <c r="P1936" s="1" t="s">
        <v>6699</v>
      </c>
      <c r="Q1936" s="3">
        <v>0</v>
      </c>
      <c r="R1936" s="22" t="s">
        <v>2721</v>
      </c>
      <c r="S1936" s="42" t="s">
        <v>6910</v>
      </c>
      <c r="T1936" s="3" t="s">
        <v>4868</v>
      </c>
      <c r="U1936" s="45">
        <v>35</v>
      </c>
      <c r="V1936" t="s">
        <v>6919</v>
      </c>
      <c r="W1936" s="1" t="str">
        <f>HYPERLINK("http://ictvonline.org/taxonomy/p/taxonomy-history?taxnode_id=201906752","ICTVonline=201906752")</f>
        <v>ICTVonline=201906752</v>
      </c>
    </row>
    <row r="1937" spans="1:23">
      <c r="A1937" s="3">
        <v>1936</v>
      </c>
      <c r="B1937" s="1" t="s">
        <v>6915</v>
      </c>
      <c r="D1937" s="1" t="s">
        <v>6916</v>
      </c>
      <c r="F1937" s="1" t="s">
        <v>6920</v>
      </c>
      <c r="H1937" s="1" t="s">
        <v>6921</v>
      </c>
      <c r="J1937" s="1" t="s">
        <v>1324</v>
      </c>
      <c r="L1937" s="1" t="s">
        <v>895</v>
      </c>
      <c r="N1937" s="1" t="s">
        <v>6698</v>
      </c>
      <c r="P1937" s="1" t="s">
        <v>6700</v>
      </c>
      <c r="Q1937" s="3">
        <v>1</v>
      </c>
      <c r="R1937" s="22" t="s">
        <v>2721</v>
      </c>
      <c r="S1937" s="42" t="s">
        <v>6910</v>
      </c>
      <c r="T1937" s="3" t="s">
        <v>4868</v>
      </c>
      <c r="U1937" s="45">
        <v>35</v>
      </c>
      <c r="V1937" t="s">
        <v>6919</v>
      </c>
      <c r="W1937" s="1" t="str">
        <f>HYPERLINK("http://ictvonline.org/taxonomy/p/taxonomy-history?taxnode_id=201906751","ICTVonline=201906751")</f>
        <v>ICTVonline=201906751</v>
      </c>
    </row>
    <row r="1938" spans="1:23">
      <c r="A1938" s="3">
        <v>1937</v>
      </c>
      <c r="B1938" s="1" t="s">
        <v>6915</v>
      </c>
      <c r="D1938" s="1" t="s">
        <v>6916</v>
      </c>
      <c r="F1938" s="1" t="s">
        <v>6920</v>
      </c>
      <c r="H1938" s="1" t="s">
        <v>6921</v>
      </c>
      <c r="J1938" s="1" t="s">
        <v>1324</v>
      </c>
      <c r="L1938" s="1" t="s">
        <v>895</v>
      </c>
      <c r="N1938" s="1" t="s">
        <v>7952</v>
      </c>
      <c r="P1938" s="1" t="s">
        <v>7953</v>
      </c>
      <c r="Q1938" s="3">
        <v>1</v>
      </c>
      <c r="R1938" s="22" t="s">
        <v>2721</v>
      </c>
      <c r="S1938" s="42" t="s">
        <v>6914</v>
      </c>
      <c r="T1938" s="3" t="s">
        <v>4866</v>
      </c>
      <c r="U1938" s="45">
        <v>35</v>
      </c>
      <c r="V1938" t="s">
        <v>7954</v>
      </c>
      <c r="W1938" s="1" t="str">
        <f>HYPERLINK("http://ictvonline.org/taxonomy/p/taxonomy-history?taxnode_id=201907546","ICTVonline=201907546")</f>
        <v>ICTVonline=201907546</v>
      </c>
    </row>
    <row r="1939" spans="1:23">
      <c r="A1939" s="3">
        <v>1938</v>
      </c>
      <c r="B1939" s="1" t="s">
        <v>6915</v>
      </c>
      <c r="D1939" s="1" t="s">
        <v>6916</v>
      </c>
      <c r="F1939" s="1" t="s">
        <v>6920</v>
      </c>
      <c r="H1939" s="1" t="s">
        <v>6921</v>
      </c>
      <c r="J1939" s="1" t="s">
        <v>1324</v>
      </c>
      <c r="L1939" s="1" t="s">
        <v>895</v>
      </c>
      <c r="N1939" s="1" t="s">
        <v>7955</v>
      </c>
      <c r="P1939" s="1" t="s">
        <v>7956</v>
      </c>
      <c r="Q1939" s="3">
        <v>0</v>
      </c>
      <c r="R1939" s="22" t="s">
        <v>2721</v>
      </c>
      <c r="S1939" s="42" t="s">
        <v>6914</v>
      </c>
      <c r="T1939" s="3" t="s">
        <v>4866</v>
      </c>
      <c r="U1939" s="45">
        <v>35</v>
      </c>
      <c r="V1939" t="s">
        <v>7957</v>
      </c>
      <c r="W1939" s="1" t="str">
        <f>HYPERLINK("http://ictvonline.org/taxonomy/p/taxonomy-history?taxnode_id=201907556","ICTVonline=201907556")</f>
        <v>ICTVonline=201907556</v>
      </c>
    </row>
    <row r="1940" spans="1:23">
      <c r="A1940" s="3">
        <v>1939</v>
      </c>
      <c r="B1940" s="1" t="s">
        <v>6915</v>
      </c>
      <c r="D1940" s="1" t="s">
        <v>6916</v>
      </c>
      <c r="F1940" s="1" t="s">
        <v>6920</v>
      </c>
      <c r="H1940" s="1" t="s">
        <v>6921</v>
      </c>
      <c r="J1940" s="1" t="s">
        <v>1324</v>
      </c>
      <c r="L1940" s="1" t="s">
        <v>895</v>
      </c>
      <c r="N1940" s="1" t="s">
        <v>7955</v>
      </c>
      <c r="P1940" s="1" t="s">
        <v>7958</v>
      </c>
      <c r="Q1940" s="3">
        <v>1</v>
      </c>
      <c r="R1940" s="22" t="s">
        <v>2721</v>
      </c>
      <c r="S1940" s="42" t="s">
        <v>6914</v>
      </c>
      <c r="T1940" s="3" t="s">
        <v>4866</v>
      </c>
      <c r="U1940" s="45">
        <v>35</v>
      </c>
      <c r="V1940" t="s">
        <v>7957</v>
      </c>
      <c r="W1940" s="1" t="str">
        <f>HYPERLINK("http://ictvonline.org/taxonomy/p/taxonomy-history?taxnode_id=201907555","ICTVonline=201907555")</f>
        <v>ICTVonline=201907555</v>
      </c>
    </row>
    <row r="1941" spans="1:23">
      <c r="A1941" s="3">
        <v>1940</v>
      </c>
      <c r="B1941" s="1" t="s">
        <v>6915</v>
      </c>
      <c r="D1941" s="1" t="s">
        <v>6916</v>
      </c>
      <c r="F1941" s="1" t="s">
        <v>6920</v>
      </c>
      <c r="H1941" s="1" t="s">
        <v>6921</v>
      </c>
      <c r="J1941" s="1" t="s">
        <v>1324</v>
      </c>
      <c r="L1941" s="1" t="s">
        <v>895</v>
      </c>
      <c r="N1941" s="1" t="s">
        <v>6701</v>
      </c>
      <c r="P1941" s="1" t="s">
        <v>4421</v>
      </c>
      <c r="Q1941" s="3">
        <v>1</v>
      </c>
      <c r="R1941" s="22" t="s">
        <v>2721</v>
      </c>
      <c r="S1941" s="42" t="s">
        <v>6910</v>
      </c>
      <c r="T1941" s="3" t="s">
        <v>4868</v>
      </c>
      <c r="U1941" s="45">
        <v>35</v>
      </c>
      <c r="V1941" t="s">
        <v>6919</v>
      </c>
      <c r="W1941" s="1" t="str">
        <f>HYPERLINK("http://ictvonline.org/taxonomy/p/taxonomy-history?taxnode_id=201901235","ICTVonline=201901235")</f>
        <v>ICTVonline=201901235</v>
      </c>
    </row>
    <row r="1942" spans="1:23">
      <c r="A1942" s="3">
        <v>1941</v>
      </c>
      <c r="B1942" s="1" t="s">
        <v>6915</v>
      </c>
      <c r="D1942" s="1" t="s">
        <v>6916</v>
      </c>
      <c r="F1942" s="1" t="s">
        <v>6920</v>
      </c>
      <c r="H1942" s="1" t="s">
        <v>6921</v>
      </c>
      <c r="J1942" s="1" t="s">
        <v>1324</v>
      </c>
      <c r="L1942" s="1" t="s">
        <v>895</v>
      </c>
      <c r="N1942" s="1" t="s">
        <v>7959</v>
      </c>
      <c r="P1942" s="1" t="s">
        <v>7960</v>
      </c>
      <c r="Q1942" s="3">
        <v>1</v>
      </c>
      <c r="R1942" s="22" t="s">
        <v>2721</v>
      </c>
      <c r="S1942" s="42" t="s">
        <v>6914</v>
      </c>
      <c r="T1942" s="3" t="s">
        <v>4866</v>
      </c>
      <c r="U1942" s="45">
        <v>35</v>
      </c>
      <c r="V1942" t="s">
        <v>7961</v>
      </c>
      <c r="W1942" s="1" t="str">
        <f>HYPERLINK("http://ictvonline.org/taxonomy/p/taxonomy-history?taxnode_id=201908025","ICTVonline=201908025")</f>
        <v>ICTVonline=201908025</v>
      </c>
    </row>
    <row r="1943" spans="1:23">
      <c r="A1943" s="3">
        <v>1942</v>
      </c>
      <c r="B1943" s="1" t="s">
        <v>6915</v>
      </c>
      <c r="D1943" s="1" t="s">
        <v>6916</v>
      </c>
      <c r="F1943" s="1" t="s">
        <v>6920</v>
      </c>
      <c r="H1943" s="1" t="s">
        <v>6921</v>
      </c>
      <c r="J1943" s="1" t="s">
        <v>1324</v>
      </c>
      <c r="L1943" s="1" t="s">
        <v>895</v>
      </c>
      <c r="N1943" s="1" t="s">
        <v>7962</v>
      </c>
      <c r="P1943" s="1" t="s">
        <v>7963</v>
      </c>
      <c r="Q1943" s="3">
        <v>1</v>
      </c>
      <c r="R1943" s="22" t="s">
        <v>2721</v>
      </c>
      <c r="S1943" s="42" t="s">
        <v>6914</v>
      </c>
      <c r="T1943" s="3" t="s">
        <v>4866</v>
      </c>
      <c r="U1943" s="45">
        <v>35</v>
      </c>
      <c r="V1943" t="s">
        <v>7964</v>
      </c>
      <c r="W1943" s="1" t="str">
        <f>HYPERLINK("http://ictvonline.org/taxonomy/p/taxonomy-history?taxnode_id=201907568","ICTVonline=201907568")</f>
        <v>ICTVonline=201907568</v>
      </c>
    </row>
    <row r="1944" spans="1:23">
      <c r="A1944" s="3">
        <v>1943</v>
      </c>
      <c r="B1944" s="1" t="s">
        <v>6915</v>
      </c>
      <c r="D1944" s="1" t="s">
        <v>6916</v>
      </c>
      <c r="F1944" s="1" t="s">
        <v>6920</v>
      </c>
      <c r="H1944" s="1" t="s">
        <v>6921</v>
      </c>
      <c r="J1944" s="1" t="s">
        <v>1324</v>
      </c>
      <c r="L1944" s="1" t="s">
        <v>895</v>
      </c>
      <c r="N1944" s="1" t="s">
        <v>6702</v>
      </c>
      <c r="P1944" s="1" t="s">
        <v>6703</v>
      </c>
      <c r="Q1944" s="3">
        <v>0</v>
      </c>
      <c r="R1944" s="22" t="s">
        <v>2721</v>
      </c>
      <c r="S1944" s="42" t="s">
        <v>6910</v>
      </c>
      <c r="T1944" s="3" t="s">
        <v>4868</v>
      </c>
      <c r="U1944" s="45">
        <v>35</v>
      </c>
      <c r="V1944" t="s">
        <v>6919</v>
      </c>
      <c r="W1944" s="1" t="str">
        <f>HYPERLINK("http://ictvonline.org/taxonomy/p/taxonomy-history?taxnode_id=201906783","ICTVonline=201906783")</f>
        <v>ICTVonline=201906783</v>
      </c>
    </row>
    <row r="1945" spans="1:23">
      <c r="A1945" s="3">
        <v>1944</v>
      </c>
      <c r="B1945" s="1" t="s">
        <v>6915</v>
      </c>
      <c r="D1945" s="1" t="s">
        <v>6916</v>
      </c>
      <c r="F1945" s="1" t="s">
        <v>6920</v>
      </c>
      <c r="H1945" s="1" t="s">
        <v>6921</v>
      </c>
      <c r="J1945" s="1" t="s">
        <v>1324</v>
      </c>
      <c r="L1945" s="1" t="s">
        <v>895</v>
      </c>
      <c r="N1945" s="1" t="s">
        <v>6702</v>
      </c>
      <c r="P1945" s="1" t="s">
        <v>6704</v>
      </c>
      <c r="Q1945" s="3">
        <v>0</v>
      </c>
      <c r="R1945" s="22" t="s">
        <v>2721</v>
      </c>
      <c r="S1945" s="42" t="s">
        <v>6910</v>
      </c>
      <c r="T1945" s="3" t="s">
        <v>4868</v>
      </c>
      <c r="U1945" s="45">
        <v>35</v>
      </c>
      <c r="V1945" t="s">
        <v>6919</v>
      </c>
      <c r="W1945" s="1" t="str">
        <f>HYPERLINK("http://ictvonline.org/taxonomy/p/taxonomy-history?taxnode_id=201906785","ICTVonline=201906785")</f>
        <v>ICTVonline=201906785</v>
      </c>
    </row>
    <row r="1946" spans="1:23">
      <c r="A1946" s="3">
        <v>1945</v>
      </c>
      <c r="B1946" s="1" t="s">
        <v>6915</v>
      </c>
      <c r="D1946" s="1" t="s">
        <v>6916</v>
      </c>
      <c r="F1946" s="1" t="s">
        <v>6920</v>
      </c>
      <c r="H1946" s="1" t="s">
        <v>6921</v>
      </c>
      <c r="J1946" s="1" t="s">
        <v>1324</v>
      </c>
      <c r="L1946" s="1" t="s">
        <v>895</v>
      </c>
      <c r="N1946" s="1" t="s">
        <v>6702</v>
      </c>
      <c r="P1946" s="1" t="s">
        <v>6705</v>
      </c>
      <c r="Q1946" s="3">
        <v>0</v>
      </c>
      <c r="R1946" s="22" t="s">
        <v>2721</v>
      </c>
      <c r="S1946" s="42" t="s">
        <v>6910</v>
      </c>
      <c r="T1946" s="3" t="s">
        <v>4868</v>
      </c>
      <c r="U1946" s="45">
        <v>35</v>
      </c>
      <c r="V1946" t="s">
        <v>6919</v>
      </c>
      <c r="W1946" s="1" t="str">
        <f>HYPERLINK("http://ictvonline.org/taxonomy/p/taxonomy-history?taxnode_id=201906784","ICTVonline=201906784")</f>
        <v>ICTVonline=201906784</v>
      </c>
    </row>
    <row r="1947" spans="1:23">
      <c r="A1947" s="3">
        <v>1946</v>
      </c>
      <c r="B1947" s="1" t="s">
        <v>6915</v>
      </c>
      <c r="D1947" s="1" t="s">
        <v>6916</v>
      </c>
      <c r="F1947" s="1" t="s">
        <v>6920</v>
      </c>
      <c r="H1947" s="1" t="s">
        <v>6921</v>
      </c>
      <c r="J1947" s="1" t="s">
        <v>1324</v>
      </c>
      <c r="L1947" s="1" t="s">
        <v>895</v>
      </c>
      <c r="N1947" s="1" t="s">
        <v>6702</v>
      </c>
      <c r="P1947" s="1" t="s">
        <v>6706</v>
      </c>
      <c r="Q1947" s="3">
        <v>0</v>
      </c>
      <c r="R1947" s="22" t="s">
        <v>2721</v>
      </c>
      <c r="S1947" s="42" t="s">
        <v>6910</v>
      </c>
      <c r="T1947" s="3" t="s">
        <v>4868</v>
      </c>
      <c r="U1947" s="45">
        <v>35</v>
      </c>
      <c r="V1947" t="s">
        <v>6919</v>
      </c>
      <c r="W1947" s="1" t="str">
        <f>HYPERLINK("http://ictvonline.org/taxonomy/p/taxonomy-history?taxnode_id=201906782","ICTVonline=201906782")</f>
        <v>ICTVonline=201906782</v>
      </c>
    </row>
    <row r="1948" spans="1:23">
      <c r="A1948" s="3">
        <v>1947</v>
      </c>
      <c r="B1948" s="1" t="s">
        <v>6915</v>
      </c>
      <c r="D1948" s="1" t="s">
        <v>6916</v>
      </c>
      <c r="F1948" s="1" t="s">
        <v>6920</v>
      </c>
      <c r="H1948" s="1" t="s">
        <v>6921</v>
      </c>
      <c r="J1948" s="1" t="s">
        <v>1324</v>
      </c>
      <c r="L1948" s="1" t="s">
        <v>895</v>
      </c>
      <c r="N1948" s="1" t="s">
        <v>6702</v>
      </c>
      <c r="P1948" s="1" t="s">
        <v>6707</v>
      </c>
      <c r="Q1948" s="3">
        <v>0</v>
      </c>
      <c r="R1948" s="22" t="s">
        <v>2721</v>
      </c>
      <c r="S1948" s="42" t="s">
        <v>6910</v>
      </c>
      <c r="T1948" s="3" t="s">
        <v>4868</v>
      </c>
      <c r="U1948" s="45">
        <v>35</v>
      </c>
      <c r="V1948" t="s">
        <v>6919</v>
      </c>
      <c r="W1948" s="1" t="str">
        <f>HYPERLINK("http://ictvonline.org/taxonomy/p/taxonomy-history?taxnode_id=201906781","ICTVonline=201906781")</f>
        <v>ICTVonline=201906781</v>
      </c>
    </row>
    <row r="1949" spans="1:23">
      <c r="A1949" s="3">
        <v>1948</v>
      </c>
      <c r="B1949" s="1" t="s">
        <v>6915</v>
      </c>
      <c r="D1949" s="1" t="s">
        <v>6916</v>
      </c>
      <c r="F1949" s="1" t="s">
        <v>6920</v>
      </c>
      <c r="H1949" s="1" t="s">
        <v>6921</v>
      </c>
      <c r="J1949" s="1" t="s">
        <v>1324</v>
      </c>
      <c r="L1949" s="1" t="s">
        <v>895</v>
      </c>
      <c r="N1949" s="1" t="s">
        <v>6702</v>
      </c>
      <c r="P1949" s="1" t="s">
        <v>6708</v>
      </c>
      <c r="Q1949" s="3">
        <v>1</v>
      </c>
      <c r="R1949" s="22" t="s">
        <v>2721</v>
      </c>
      <c r="S1949" s="42" t="s">
        <v>6910</v>
      </c>
      <c r="T1949" s="3" t="s">
        <v>4868</v>
      </c>
      <c r="U1949" s="45">
        <v>35</v>
      </c>
      <c r="V1949" t="s">
        <v>6919</v>
      </c>
      <c r="W1949" s="1" t="str">
        <f>HYPERLINK("http://ictvonline.org/taxonomy/p/taxonomy-history?taxnode_id=201906780","ICTVonline=201906780")</f>
        <v>ICTVonline=201906780</v>
      </c>
    </row>
    <row r="1950" spans="1:23">
      <c r="A1950" s="3">
        <v>1949</v>
      </c>
      <c r="B1950" s="1" t="s">
        <v>6915</v>
      </c>
      <c r="D1950" s="1" t="s">
        <v>6916</v>
      </c>
      <c r="F1950" s="1" t="s">
        <v>6920</v>
      </c>
      <c r="H1950" s="1" t="s">
        <v>6921</v>
      </c>
      <c r="J1950" s="1" t="s">
        <v>1324</v>
      </c>
      <c r="L1950" s="1" t="s">
        <v>895</v>
      </c>
      <c r="N1950" s="1" t="s">
        <v>6709</v>
      </c>
      <c r="P1950" s="1" t="s">
        <v>6710</v>
      </c>
      <c r="Q1950" s="3">
        <v>1</v>
      </c>
      <c r="R1950" s="22" t="s">
        <v>2721</v>
      </c>
      <c r="S1950" s="42" t="s">
        <v>6910</v>
      </c>
      <c r="T1950" s="3" t="s">
        <v>4868</v>
      </c>
      <c r="U1950" s="45">
        <v>35</v>
      </c>
      <c r="V1950" t="s">
        <v>6919</v>
      </c>
      <c r="W1950" s="1" t="str">
        <f>HYPERLINK("http://ictvonline.org/taxonomy/p/taxonomy-history?taxnode_id=201906869","ICTVonline=201906869")</f>
        <v>ICTVonline=201906869</v>
      </c>
    </row>
    <row r="1951" spans="1:23">
      <c r="A1951" s="3">
        <v>1950</v>
      </c>
      <c r="B1951" s="1" t="s">
        <v>6915</v>
      </c>
      <c r="D1951" s="1" t="s">
        <v>6916</v>
      </c>
      <c r="F1951" s="1" t="s">
        <v>6920</v>
      </c>
      <c r="H1951" s="1" t="s">
        <v>6921</v>
      </c>
      <c r="J1951" s="1" t="s">
        <v>1324</v>
      </c>
      <c r="L1951" s="1" t="s">
        <v>895</v>
      </c>
      <c r="N1951" s="1" t="s">
        <v>7965</v>
      </c>
      <c r="P1951" s="1" t="s">
        <v>7966</v>
      </c>
      <c r="Q1951" s="3">
        <v>1</v>
      </c>
      <c r="R1951" s="22" t="s">
        <v>2721</v>
      </c>
      <c r="S1951" s="42" t="s">
        <v>6914</v>
      </c>
      <c r="T1951" s="3" t="s">
        <v>4866</v>
      </c>
      <c r="U1951" s="45">
        <v>35</v>
      </c>
      <c r="V1951" t="s">
        <v>7967</v>
      </c>
      <c r="W1951" s="1" t="str">
        <f>HYPERLINK("http://ictvonline.org/taxonomy/p/taxonomy-history?taxnode_id=201907653","ICTVonline=201907653")</f>
        <v>ICTVonline=201907653</v>
      </c>
    </row>
    <row r="1952" spans="1:23">
      <c r="A1952" s="3">
        <v>1951</v>
      </c>
      <c r="B1952" s="1" t="s">
        <v>6915</v>
      </c>
      <c r="D1952" s="1" t="s">
        <v>6916</v>
      </c>
      <c r="F1952" s="1" t="s">
        <v>6920</v>
      </c>
      <c r="H1952" s="1" t="s">
        <v>6921</v>
      </c>
      <c r="J1952" s="1" t="s">
        <v>1324</v>
      </c>
      <c r="L1952" s="1" t="s">
        <v>895</v>
      </c>
      <c r="N1952" s="1" t="s">
        <v>6711</v>
      </c>
      <c r="P1952" s="1" t="s">
        <v>6712</v>
      </c>
      <c r="Q1952" s="3">
        <v>0</v>
      </c>
      <c r="R1952" s="22" t="s">
        <v>2721</v>
      </c>
      <c r="S1952" s="42" t="s">
        <v>6910</v>
      </c>
      <c r="T1952" s="3" t="s">
        <v>4868</v>
      </c>
      <c r="U1952" s="45">
        <v>35</v>
      </c>
      <c r="V1952" t="s">
        <v>6919</v>
      </c>
      <c r="W1952" s="1" t="str">
        <f>HYPERLINK("http://ictvonline.org/taxonomy/p/taxonomy-history?taxnode_id=201906884","ICTVonline=201906884")</f>
        <v>ICTVonline=201906884</v>
      </c>
    </row>
    <row r="1953" spans="1:23">
      <c r="A1953" s="3">
        <v>1952</v>
      </c>
      <c r="B1953" s="1" t="s">
        <v>6915</v>
      </c>
      <c r="D1953" s="1" t="s">
        <v>6916</v>
      </c>
      <c r="F1953" s="1" t="s">
        <v>6920</v>
      </c>
      <c r="H1953" s="1" t="s">
        <v>6921</v>
      </c>
      <c r="J1953" s="1" t="s">
        <v>1324</v>
      </c>
      <c r="L1953" s="1" t="s">
        <v>895</v>
      </c>
      <c r="N1953" s="1" t="s">
        <v>6711</v>
      </c>
      <c r="P1953" s="1" t="s">
        <v>6713</v>
      </c>
      <c r="Q1953" s="3">
        <v>1</v>
      </c>
      <c r="R1953" s="22" t="s">
        <v>2721</v>
      </c>
      <c r="S1953" s="42" t="s">
        <v>6910</v>
      </c>
      <c r="T1953" s="3" t="s">
        <v>4868</v>
      </c>
      <c r="U1953" s="45">
        <v>35</v>
      </c>
      <c r="V1953" t="s">
        <v>6919</v>
      </c>
      <c r="W1953" s="1" t="str">
        <f>HYPERLINK("http://ictvonline.org/taxonomy/p/taxonomy-history?taxnode_id=201906883","ICTVonline=201906883")</f>
        <v>ICTVonline=201906883</v>
      </c>
    </row>
    <row r="1954" spans="1:23">
      <c r="A1954" s="3">
        <v>1953</v>
      </c>
      <c r="B1954" s="1" t="s">
        <v>6915</v>
      </c>
      <c r="D1954" s="1" t="s">
        <v>6916</v>
      </c>
      <c r="F1954" s="1" t="s">
        <v>6920</v>
      </c>
      <c r="H1954" s="1" t="s">
        <v>6921</v>
      </c>
      <c r="J1954" s="1" t="s">
        <v>1324</v>
      </c>
      <c r="L1954" s="1" t="s">
        <v>895</v>
      </c>
      <c r="N1954" s="1" t="s">
        <v>7968</v>
      </c>
      <c r="P1954" s="1" t="s">
        <v>7969</v>
      </c>
      <c r="Q1954" s="3">
        <v>1</v>
      </c>
      <c r="R1954" s="22" t="s">
        <v>2721</v>
      </c>
      <c r="S1954" s="42" t="s">
        <v>6914</v>
      </c>
      <c r="T1954" s="3" t="s">
        <v>4866</v>
      </c>
      <c r="U1954" s="45">
        <v>35</v>
      </c>
      <c r="V1954" t="s">
        <v>7970</v>
      </c>
      <c r="W1954" s="1" t="str">
        <f>HYPERLINK("http://ictvonline.org/taxonomy/p/taxonomy-history?taxnode_id=201907658","ICTVonline=201907658")</f>
        <v>ICTVonline=201907658</v>
      </c>
    </row>
    <row r="1955" spans="1:23">
      <c r="A1955" s="3">
        <v>1954</v>
      </c>
      <c r="B1955" s="1" t="s">
        <v>6915</v>
      </c>
      <c r="D1955" s="1" t="s">
        <v>6916</v>
      </c>
      <c r="F1955" s="1" t="s">
        <v>6920</v>
      </c>
      <c r="H1955" s="1" t="s">
        <v>6921</v>
      </c>
      <c r="J1955" s="1" t="s">
        <v>1324</v>
      </c>
      <c r="L1955" s="1" t="s">
        <v>895</v>
      </c>
      <c r="N1955" s="1" t="s">
        <v>6714</v>
      </c>
      <c r="P1955" s="1" t="s">
        <v>3328</v>
      </c>
      <c r="Q1955" s="3">
        <v>0</v>
      </c>
      <c r="R1955" s="22" t="s">
        <v>2721</v>
      </c>
      <c r="S1955" s="42" t="s">
        <v>6910</v>
      </c>
      <c r="T1955" s="3" t="s">
        <v>4868</v>
      </c>
      <c r="U1955" s="45">
        <v>35</v>
      </c>
      <c r="V1955" t="s">
        <v>6919</v>
      </c>
      <c r="W1955" s="1" t="str">
        <f>HYPERLINK("http://ictvonline.org/taxonomy/p/taxonomy-history?taxnode_id=201901247","ICTVonline=201901247")</f>
        <v>ICTVonline=201901247</v>
      </c>
    </row>
    <row r="1956" spans="1:23">
      <c r="A1956" s="3">
        <v>1955</v>
      </c>
      <c r="B1956" s="1" t="s">
        <v>6915</v>
      </c>
      <c r="D1956" s="1" t="s">
        <v>6916</v>
      </c>
      <c r="F1956" s="1" t="s">
        <v>6920</v>
      </c>
      <c r="H1956" s="1" t="s">
        <v>6921</v>
      </c>
      <c r="J1956" s="1" t="s">
        <v>1324</v>
      </c>
      <c r="L1956" s="1" t="s">
        <v>895</v>
      </c>
      <c r="N1956" s="1" t="s">
        <v>6714</v>
      </c>
      <c r="P1956" s="1" t="s">
        <v>3329</v>
      </c>
      <c r="Q1956" s="3">
        <v>0</v>
      </c>
      <c r="R1956" s="22" t="s">
        <v>2721</v>
      </c>
      <c r="S1956" s="42" t="s">
        <v>6910</v>
      </c>
      <c r="T1956" s="3" t="s">
        <v>4868</v>
      </c>
      <c r="U1956" s="45">
        <v>35</v>
      </c>
      <c r="V1956" t="s">
        <v>6919</v>
      </c>
      <c r="W1956" s="1" t="str">
        <f>HYPERLINK("http://ictvonline.org/taxonomy/p/taxonomy-history?taxnode_id=201901248","ICTVonline=201901248")</f>
        <v>ICTVonline=201901248</v>
      </c>
    </row>
    <row r="1957" spans="1:23">
      <c r="A1957" s="3">
        <v>1956</v>
      </c>
      <c r="B1957" s="1" t="s">
        <v>6915</v>
      </c>
      <c r="D1957" s="1" t="s">
        <v>6916</v>
      </c>
      <c r="F1957" s="1" t="s">
        <v>6920</v>
      </c>
      <c r="H1957" s="1" t="s">
        <v>6921</v>
      </c>
      <c r="J1957" s="1" t="s">
        <v>1324</v>
      </c>
      <c r="L1957" s="1" t="s">
        <v>895</v>
      </c>
      <c r="N1957" s="1" t="s">
        <v>6714</v>
      </c>
      <c r="P1957" s="1" t="s">
        <v>3330</v>
      </c>
      <c r="Q1957" s="3">
        <v>1</v>
      </c>
      <c r="R1957" s="22" t="s">
        <v>2721</v>
      </c>
      <c r="S1957" s="42" t="s">
        <v>6910</v>
      </c>
      <c r="T1957" s="3" t="s">
        <v>4868</v>
      </c>
      <c r="U1957" s="45">
        <v>35</v>
      </c>
      <c r="V1957" t="s">
        <v>6919</v>
      </c>
      <c r="W1957" s="1" t="str">
        <f>HYPERLINK("http://ictvonline.org/taxonomy/p/taxonomy-history?taxnode_id=201901249","ICTVonline=201901249")</f>
        <v>ICTVonline=201901249</v>
      </c>
    </row>
    <row r="1958" spans="1:23">
      <c r="A1958" s="3">
        <v>1957</v>
      </c>
      <c r="B1958" s="1" t="s">
        <v>6915</v>
      </c>
      <c r="D1958" s="1" t="s">
        <v>6916</v>
      </c>
      <c r="F1958" s="1" t="s">
        <v>6920</v>
      </c>
      <c r="H1958" s="1" t="s">
        <v>6921</v>
      </c>
      <c r="J1958" s="1" t="s">
        <v>1324</v>
      </c>
      <c r="L1958" s="1" t="s">
        <v>895</v>
      </c>
      <c r="N1958" s="1" t="s">
        <v>6714</v>
      </c>
      <c r="P1958" s="1" t="s">
        <v>3331</v>
      </c>
      <c r="Q1958" s="3">
        <v>0</v>
      </c>
      <c r="R1958" s="22" t="s">
        <v>2721</v>
      </c>
      <c r="S1958" s="42" t="s">
        <v>6910</v>
      </c>
      <c r="T1958" s="3" t="s">
        <v>4868</v>
      </c>
      <c r="U1958" s="45">
        <v>35</v>
      </c>
      <c r="V1958" t="s">
        <v>6919</v>
      </c>
      <c r="W1958" s="1" t="str">
        <f>HYPERLINK("http://ictvonline.org/taxonomy/p/taxonomy-history?taxnode_id=201901250","ICTVonline=201901250")</f>
        <v>ICTVonline=201901250</v>
      </c>
    </row>
    <row r="1959" spans="1:23">
      <c r="A1959" s="3">
        <v>1958</v>
      </c>
      <c r="B1959" s="1" t="s">
        <v>6915</v>
      </c>
      <c r="D1959" s="1" t="s">
        <v>6916</v>
      </c>
      <c r="F1959" s="1" t="s">
        <v>6920</v>
      </c>
      <c r="H1959" s="1" t="s">
        <v>6921</v>
      </c>
      <c r="J1959" s="1" t="s">
        <v>1324</v>
      </c>
      <c r="L1959" s="1" t="s">
        <v>895</v>
      </c>
      <c r="N1959" s="1" t="s">
        <v>6714</v>
      </c>
      <c r="P1959" s="1" t="s">
        <v>3332</v>
      </c>
      <c r="Q1959" s="3">
        <v>0</v>
      </c>
      <c r="R1959" s="22" t="s">
        <v>2721</v>
      </c>
      <c r="S1959" s="42" t="s">
        <v>6910</v>
      </c>
      <c r="T1959" s="3" t="s">
        <v>4868</v>
      </c>
      <c r="U1959" s="45">
        <v>35</v>
      </c>
      <c r="V1959" t="s">
        <v>6919</v>
      </c>
      <c r="W1959" s="1" t="str">
        <f>HYPERLINK("http://ictvonline.org/taxonomy/p/taxonomy-history?taxnode_id=201901251","ICTVonline=201901251")</f>
        <v>ICTVonline=201901251</v>
      </c>
    </row>
    <row r="1960" spans="1:23">
      <c r="A1960" s="3">
        <v>1959</v>
      </c>
      <c r="B1960" s="1" t="s">
        <v>6915</v>
      </c>
      <c r="D1960" s="1" t="s">
        <v>6916</v>
      </c>
      <c r="F1960" s="1" t="s">
        <v>6920</v>
      </c>
      <c r="H1960" s="1" t="s">
        <v>6921</v>
      </c>
      <c r="J1960" s="1" t="s">
        <v>1324</v>
      </c>
      <c r="L1960" s="1" t="s">
        <v>895</v>
      </c>
      <c r="N1960" s="1" t="s">
        <v>7971</v>
      </c>
      <c r="P1960" s="1" t="s">
        <v>7972</v>
      </c>
      <c r="Q1960" s="3">
        <v>1</v>
      </c>
      <c r="R1960" s="22" t="s">
        <v>2721</v>
      </c>
      <c r="S1960" s="42" t="s">
        <v>6914</v>
      </c>
      <c r="T1960" s="3" t="s">
        <v>4866</v>
      </c>
      <c r="U1960" s="45">
        <v>35</v>
      </c>
      <c r="V1960" t="s">
        <v>7973</v>
      </c>
      <c r="W1960" s="1" t="str">
        <f>HYPERLINK("http://ictvonline.org/taxonomy/p/taxonomy-history?taxnode_id=201908027","ICTVonline=201908027")</f>
        <v>ICTVonline=201908027</v>
      </c>
    </row>
    <row r="1961" spans="1:23">
      <c r="A1961" s="3">
        <v>1960</v>
      </c>
      <c r="B1961" s="1" t="s">
        <v>6915</v>
      </c>
      <c r="D1961" s="1" t="s">
        <v>6916</v>
      </c>
      <c r="F1961" s="1" t="s">
        <v>6920</v>
      </c>
      <c r="H1961" s="1" t="s">
        <v>6921</v>
      </c>
      <c r="J1961" s="1" t="s">
        <v>1324</v>
      </c>
      <c r="L1961" s="1" t="s">
        <v>895</v>
      </c>
      <c r="N1961" s="1" t="s">
        <v>6715</v>
      </c>
      <c r="P1961" s="1" t="s">
        <v>6716</v>
      </c>
      <c r="Q1961" s="3">
        <v>1</v>
      </c>
      <c r="R1961" s="22" t="s">
        <v>2721</v>
      </c>
      <c r="S1961" s="42" t="s">
        <v>6910</v>
      </c>
      <c r="T1961" s="3" t="s">
        <v>4868</v>
      </c>
      <c r="U1961" s="45">
        <v>35</v>
      </c>
      <c r="V1961" t="s">
        <v>6919</v>
      </c>
      <c r="W1961" s="1" t="str">
        <f>HYPERLINK("http://ictvonline.org/taxonomy/p/taxonomy-history?taxnode_id=201906834","ICTVonline=201906834")</f>
        <v>ICTVonline=201906834</v>
      </c>
    </row>
    <row r="1962" spans="1:23">
      <c r="A1962" s="3">
        <v>1961</v>
      </c>
      <c r="B1962" s="1" t="s">
        <v>6915</v>
      </c>
      <c r="D1962" s="1" t="s">
        <v>6916</v>
      </c>
      <c r="F1962" s="1" t="s">
        <v>6920</v>
      </c>
      <c r="H1962" s="1" t="s">
        <v>6921</v>
      </c>
      <c r="J1962" s="1" t="s">
        <v>1324</v>
      </c>
      <c r="L1962" s="1" t="s">
        <v>895</v>
      </c>
      <c r="N1962" s="1" t="s">
        <v>6717</v>
      </c>
      <c r="P1962" s="1" t="s">
        <v>5026</v>
      </c>
      <c r="Q1962" s="3">
        <v>1</v>
      </c>
      <c r="R1962" s="22" t="s">
        <v>2721</v>
      </c>
      <c r="S1962" s="42" t="s">
        <v>6910</v>
      </c>
      <c r="T1962" s="3" t="s">
        <v>4868</v>
      </c>
      <c r="U1962" s="45">
        <v>35</v>
      </c>
      <c r="V1962" t="s">
        <v>6919</v>
      </c>
      <c r="W1962" s="1" t="str">
        <f>HYPERLINK("http://ictvonline.org/taxonomy/p/taxonomy-history?taxnode_id=201905563","ICTVonline=201905563")</f>
        <v>ICTVonline=201905563</v>
      </c>
    </row>
    <row r="1963" spans="1:23">
      <c r="A1963" s="3">
        <v>1962</v>
      </c>
      <c r="B1963" s="1" t="s">
        <v>6915</v>
      </c>
      <c r="D1963" s="1" t="s">
        <v>6916</v>
      </c>
      <c r="F1963" s="1" t="s">
        <v>6920</v>
      </c>
      <c r="H1963" s="1" t="s">
        <v>6921</v>
      </c>
      <c r="J1963" s="1" t="s">
        <v>1324</v>
      </c>
      <c r="L1963" s="1" t="s">
        <v>895</v>
      </c>
      <c r="N1963" s="1" t="s">
        <v>6718</v>
      </c>
      <c r="P1963" s="1" t="s">
        <v>6719</v>
      </c>
      <c r="Q1963" s="3">
        <v>1</v>
      </c>
      <c r="R1963" s="22" t="s">
        <v>2721</v>
      </c>
      <c r="S1963" s="42" t="s">
        <v>6910</v>
      </c>
      <c r="T1963" s="3" t="s">
        <v>4868</v>
      </c>
      <c r="U1963" s="45">
        <v>35</v>
      </c>
      <c r="V1963" t="s">
        <v>6919</v>
      </c>
      <c r="W1963" s="1" t="str">
        <f>HYPERLINK("http://ictvonline.org/taxonomy/p/taxonomy-history?taxnode_id=201906754","ICTVonline=201906754")</f>
        <v>ICTVonline=201906754</v>
      </c>
    </row>
    <row r="1964" spans="1:23">
      <c r="A1964" s="3">
        <v>1963</v>
      </c>
      <c r="B1964" s="1" t="s">
        <v>6915</v>
      </c>
      <c r="D1964" s="1" t="s">
        <v>6916</v>
      </c>
      <c r="F1964" s="1" t="s">
        <v>6920</v>
      </c>
      <c r="H1964" s="1" t="s">
        <v>6921</v>
      </c>
      <c r="J1964" s="1" t="s">
        <v>1324</v>
      </c>
      <c r="L1964" s="1" t="s">
        <v>895</v>
      </c>
      <c r="N1964" s="1" t="s">
        <v>7974</v>
      </c>
      <c r="P1964" s="1" t="s">
        <v>7975</v>
      </c>
      <c r="Q1964" s="3">
        <v>1</v>
      </c>
      <c r="R1964" s="22" t="s">
        <v>2721</v>
      </c>
      <c r="S1964" s="42" t="s">
        <v>6914</v>
      </c>
      <c r="T1964" s="3" t="s">
        <v>4866</v>
      </c>
      <c r="U1964" s="45">
        <v>35</v>
      </c>
      <c r="V1964" t="s">
        <v>7976</v>
      </c>
      <c r="W1964" s="1" t="str">
        <f>HYPERLINK("http://ictvonline.org/taxonomy/p/taxonomy-history?taxnode_id=201908031","ICTVonline=201908031")</f>
        <v>ICTVonline=201908031</v>
      </c>
    </row>
    <row r="1965" spans="1:23">
      <c r="A1965" s="3">
        <v>1964</v>
      </c>
      <c r="B1965" s="1" t="s">
        <v>6915</v>
      </c>
      <c r="D1965" s="1" t="s">
        <v>6916</v>
      </c>
      <c r="F1965" s="1" t="s">
        <v>6920</v>
      </c>
      <c r="H1965" s="1" t="s">
        <v>6921</v>
      </c>
      <c r="J1965" s="1" t="s">
        <v>1324</v>
      </c>
      <c r="L1965" s="1" t="s">
        <v>895</v>
      </c>
      <c r="N1965" s="1" t="s">
        <v>7977</v>
      </c>
      <c r="P1965" s="1" t="s">
        <v>7978</v>
      </c>
      <c r="Q1965" s="3">
        <v>1</v>
      </c>
      <c r="R1965" s="22" t="s">
        <v>2721</v>
      </c>
      <c r="S1965" s="42" t="s">
        <v>6914</v>
      </c>
      <c r="T1965" s="3" t="s">
        <v>4866</v>
      </c>
      <c r="U1965" s="45">
        <v>35</v>
      </c>
      <c r="V1965" t="s">
        <v>7979</v>
      </c>
      <c r="W1965" s="1" t="str">
        <f>HYPERLINK("http://ictvonline.org/taxonomy/p/taxonomy-history?taxnode_id=201907665","ICTVonline=201907665")</f>
        <v>ICTVonline=201907665</v>
      </c>
    </row>
    <row r="1966" spans="1:23">
      <c r="A1966" s="3">
        <v>1965</v>
      </c>
      <c r="B1966" s="1" t="s">
        <v>6915</v>
      </c>
      <c r="D1966" s="1" t="s">
        <v>6916</v>
      </c>
      <c r="F1966" s="1" t="s">
        <v>6920</v>
      </c>
      <c r="H1966" s="1" t="s">
        <v>6921</v>
      </c>
      <c r="J1966" s="1" t="s">
        <v>1324</v>
      </c>
      <c r="L1966" s="1" t="s">
        <v>895</v>
      </c>
      <c r="N1966" s="1" t="s">
        <v>6720</v>
      </c>
      <c r="P1966" s="1" t="s">
        <v>3334</v>
      </c>
      <c r="Q1966" s="3">
        <v>1</v>
      </c>
      <c r="R1966" s="22" t="s">
        <v>2721</v>
      </c>
      <c r="S1966" s="42" t="s">
        <v>6910</v>
      </c>
      <c r="T1966" s="3" t="s">
        <v>4868</v>
      </c>
      <c r="U1966" s="45">
        <v>35</v>
      </c>
      <c r="V1966" t="s">
        <v>6919</v>
      </c>
      <c r="W1966" s="1" t="str">
        <f>HYPERLINK("http://ictvonline.org/taxonomy/p/taxonomy-history?taxnode_id=201901257","ICTVonline=201901257")</f>
        <v>ICTVonline=201901257</v>
      </c>
    </row>
    <row r="1967" spans="1:23">
      <c r="A1967" s="3">
        <v>1966</v>
      </c>
      <c r="B1967" s="1" t="s">
        <v>6915</v>
      </c>
      <c r="D1967" s="1" t="s">
        <v>6916</v>
      </c>
      <c r="F1967" s="1" t="s">
        <v>6920</v>
      </c>
      <c r="H1967" s="1" t="s">
        <v>6921</v>
      </c>
      <c r="J1967" s="1" t="s">
        <v>1324</v>
      </c>
      <c r="L1967" s="1" t="s">
        <v>895</v>
      </c>
      <c r="N1967" s="1" t="s">
        <v>6720</v>
      </c>
      <c r="P1967" s="1" t="s">
        <v>3335</v>
      </c>
      <c r="Q1967" s="3">
        <v>0</v>
      </c>
      <c r="R1967" s="22" t="s">
        <v>2721</v>
      </c>
      <c r="S1967" s="42" t="s">
        <v>6910</v>
      </c>
      <c r="T1967" s="3" t="s">
        <v>4868</v>
      </c>
      <c r="U1967" s="45">
        <v>35</v>
      </c>
      <c r="V1967" t="s">
        <v>6919</v>
      </c>
      <c r="W1967" s="1" t="str">
        <f>HYPERLINK("http://ictvonline.org/taxonomy/p/taxonomy-history?taxnode_id=201901258","ICTVonline=201901258")</f>
        <v>ICTVonline=201901258</v>
      </c>
    </row>
    <row r="1968" spans="1:23">
      <c r="A1968" s="3">
        <v>1967</v>
      </c>
      <c r="B1968" s="1" t="s">
        <v>6915</v>
      </c>
      <c r="D1968" s="1" t="s">
        <v>6916</v>
      </c>
      <c r="F1968" s="1" t="s">
        <v>6920</v>
      </c>
      <c r="H1968" s="1" t="s">
        <v>6921</v>
      </c>
      <c r="J1968" s="1" t="s">
        <v>1324</v>
      </c>
      <c r="L1968" s="1" t="s">
        <v>895</v>
      </c>
      <c r="N1968" s="1" t="s">
        <v>6720</v>
      </c>
      <c r="P1968" s="1" t="s">
        <v>3336</v>
      </c>
      <c r="Q1968" s="3">
        <v>0</v>
      </c>
      <c r="R1968" s="22" t="s">
        <v>2721</v>
      </c>
      <c r="S1968" s="42" t="s">
        <v>6910</v>
      </c>
      <c r="T1968" s="3" t="s">
        <v>4868</v>
      </c>
      <c r="U1968" s="45">
        <v>35</v>
      </c>
      <c r="V1968" t="s">
        <v>6919</v>
      </c>
      <c r="W1968" s="1" t="str">
        <f>HYPERLINK("http://ictvonline.org/taxonomy/p/taxonomy-history?taxnode_id=201901259","ICTVonline=201901259")</f>
        <v>ICTVonline=201901259</v>
      </c>
    </row>
    <row r="1969" spans="1:23">
      <c r="A1969" s="3">
        <v>1968</v>
      </c>
      <c r="B1969" s="1" t="s">
        <v>6915</v>
      </c>
      <c r="D1969" s="1" t="s">
        <v>6916</v>
      </c>
      <c r="F1969" s="1" t="s">
        <v>6920</v>
      </c>
      <c r="H1969" s="1" t="s">
        <v>6921</v>
      </c>
      <c r="J1969" s="1" t="s">
        <v>1324</v>
      </c>
      <c r="L1969" s="1" t="s">
        <v>895</v>
      </c>
      <c r="N1969" s="1" t="s">
        <v>3337</v>
      </c>
      <c r="P1969" s="1" t="s">
        <v>3338</v>
      </c>
      <c r="Q1969" s="3">
        <v>0</v>
      </c>
      <c r="R1969" s="22" t="s">
        <v>2721</v>
      </c>
      <c r="S1969" s="42" t="s">
        <v>6910</v>
      </c>
      <c r="T1969" s="3" t="s">
        <v>4868</v>
      </c>
      <c r="U1969" s="45">
        <v>35</v>
      </c>
      <c r="V1969" t="s">
        <v>6919</v>
      </c>
      <c r="W1969" s="1" t="str">
        <f>HYPERLINK("http://ictvonline.org/taxonomy/p/taxonomy-history?taxnode_id=201901261","ICTVonline=201901261")</f>
        <v>ICTVonline=201901261</v>
      </c>
    </row>
    <row r="1970" spans="1:23">
      <c r="A1970" s="3">
        <v>1969</v>
      </c>
      <c r="B1970" s="1" t="s">
        <v>6915</v>
      </c>
      <c r="D1970" s="1" t="s">
        <v>6916</v>
      </c>
      <c r="F1970" s="1" t="s">
        <v>6920</v>
      </c>
      <c r="H1970" s="1" t="s">
        <v>6921</v>
      </c>
      <c r="J1970" s="1" t="s">
        <v>1324</v>
      </c>
      <c r="L1970" s="1" t="s">
        <v>895</v>
      </c>
      <c r="N1970" s="1" t="s">
        <v>3337</v>
      </c>
      <c r="P1970" s="1" t="s">
        <v>3339</v>
      </c>
      <c r="Q1970" s="3">
        <v>1</v>
      </c>
      <c r="R1970" s="22" t="s">
        <v>2721</v>
      </c>
      <c r="S1970" s="42" t="s">
        <v>6910</v>
      </c>
      <c r="T1970" s="3" t="s">
        <v>4868</v>
      </c>
      <c r="U1970" s="45">
        <v>35</v>
      </c>
      <c r="V1970" t="s">
        <v>6919</v>
      </c>
      <c r="W1970" s="1" t="str">
        <f>HYPERLINK("http://ictvonline.org/taxonomy/p/taxonomy-history?taxnode_id=201901262","ICTVonline=201901262")</f>
        <v>ICTVonline=201901262</v>
      </c>
    </row>
    <row r="1971" spans="1:23">
      <c r="A1971" s="3">
        <v>1970</v>
      </c>
      <c r="B1971" s="1" t="s">
        <v>6915</v>
      </c>
      <c r="D1971" s="1" t="s">
        <v>6916</v>
      </c>
      <c r="F1971" s="1" t="s">
        <v>6920</v>
      </c>
      <c r="H1971" s="1" t="s">
        <v>6921</v>
      </c>
      <c r="J1971" s="1" t="s">
        <v>1324</v>
      </c>
      <c r="L1971" s="1" t="s">
        <v>895</v>
      </c>
      <c r="N1971" s="1" t="s">
        <v>7980</v>
      </c>
      <c r="P1971" s="1" t="s">
        <v>7981</v>
      </c>
      <c r="Q1971" s="3">
        <v>1</v>
      </c>
      <c r="R1971" s="22" t="s">
        <v>2721</v>
      </c>
      <c r="S1971" s="42" t="s">
        <v>6914</v>
      </c>
      <c r="T1971" s="3" t="s">
        <v>4866</v>
      </c>
      <c r="U1971" s="45">
        <v>35</v>
      </c>
      <c r="V1971" t="s">
        <v>7982</v>
      </c>
      <c r="W1971" s="1" t="str">
        <f>HYPERLINK("http://ictvonline.org/taxonomy/p/taxonomy-history?taxnode_id=201908035","ICTVonline=201908035")</f>
        <v>ICTVonline=201908035</v>
      </c>
    </row>
    <row r="1972" spans="1:23">
      <c r="A1972" s="3">
        <v>1971</v>
      </c>
      <c r="B1972" s="1" t="s">
        <v>6915</v>
      </c>
      <c r="D1972" s="1" t="s">
        <v>6916</v>
      </c>
      <c r="F1972" s="1" t="s">
        <v>6920</v>
      </c>
      <c r="H1972" s="1" t="s">
        <v>6921</v>
      </c>
      <c r="J1972" s="1" t="s">
        <v>1324</v>
      </c>
      <c r="L1972" s="1" t="s">
        <v>895</v>
      </c>
      <c r="N1972" s="1" t="s">
        <v>3340</v>
      </c>
      <c r="P1972" s="1" t="s">
        <v>3341</v>
      </c>
      <c r="Q1972" s="3">
        <v>0</v>
      </c>
      <c r="R1972" s="22" t="s">
        <v>2721</v>
      </c>
      <c r="S1972" s="42" t="s">
        <v>6910</v>
      </c>
      <c r="T1972" s="3" t="s">
        <v>4868</v>
      </c>
      <c r="U1972" s="45">
        <v>35</v>
      </c>
      <c r="V1972" t="s">
        <v>6919</v>
      </c>
      <c r="W1972" s="1" t="str">
        <f>HYPERLINK("http://ictvonline.org/taxonomy/p/taxonomy-history?taxnode_id=201901264","ICTVonline=201901264")</f>
        <v>ICTVonline=201901264</v>
      </c>
    </row>
    <row r="1973" spans="1:23">
      <c r="A1973" s="3">
        <v>1972</v>
      </c>
      <c r="B1973" s="1" t="s">
        <v>6915</v>
      </c>
      <c r="D1973" s="1" t="s">
        <v>6916</v>
      </c>
      <c r="F1973" s="1" t="s">
        <v>6920</v>
      </c>
      <c r="H1973" s="1" t="s">
        <v>6921</v>
      </c>
      <c r="J1973" s="1" t="s">
        <v>1324</v>
      </c>
      <c r="L1973" s="1" t="s">
        <v>895</v>
      </c>
      <c r="N1973" s="1" t="s">
        <v>3340</v>
      </c>
      <c r="P1973" s="1" t="s">
        <v>3342</v>
      </c>
      <c r="Q1973" s="3">
        <v>1</v>
      </c>
      <c r="R1973" s="22" t="s">
        <v>2721</v>
      </c>
      <c r="S1973" s="42" t="s">
        <v>6910</v>
      </c>
      <c r="T1973" s="3" t="s">
        <v>4868</v>
      </c>
      <c r="U1973" s="45">
        <v>35</v>
      </c>
      <c r="V1973" t="s">
        <v>6919</v>
      </c>
      <c r="W1973" s="1" t="str">
        <f>HYPERLINK("http://ictvonline.org/taxonomy/p/taxonomy-history?taxnode_id=201901265","ICTVonline=201901265")</f>
        <v>ICTVonline=201901265</v>
      </c>
    </row>
    <row r="1974" spans="1:23">
      <c r="A1974" s="3">
        <v>1973</v>
      </c>
      <c r="B1974" s="1" t="s">
        <v>6915</v>
      </c>
      <c r="D1974" s="1" t="s">
        <v>6916</v>
      </c>
      <c r="F1974" s="1" t="s">
        <v>6920</v>
      </c>
      <c r="H1974" s="1" t="s">
        <v>6921</v>
      </c>
      <c r="J1974" s="1" t="s">
        <v>1324</v>
      </c>
      <c r="L1974" s="1" t="s">
        <v>895</v>
      </c>
      <c r="N1974" s="1" t="s">
        <v>3353</v>
      </c>
      <c r="P1974" s="1" t="s">
        <v>3354</v>
      </c>
      <c r="Q1974" s="3">
        <v>1</v>
      </c>
      <c r="R1974" s="22" t="s">
        <v>2721</v>
      </c>
      <c r="S1974" s="42" t="s">
        <v>6910</v>
      </c>
      <c r="T1974" s="3" t="s">
        <v>4868</v>
      </c>
      <c r="U1974" s="45">
        <v>35</v>
      </c>
      <c r="V1974" t="s">
        <v>6919</v>
      </c>
      <c r="W1974" s="1" t="str">
        <f>HYPERLINK("http://ictvonline.org/taxonomy/p/taxonomy-history?taxnode_id=201901279","ICTVonline=201901279")</f>
        <v>ICTVonline=201901279</v>
      </c>
    </row>
    <row r="1975" spans="1:23">
      <c r="A1975" s="3">
        <v>1974</v>
      </c>
      <c r="B1975" s="1" t="s">
        <v>6915</v>
      </c>
      <c r="D1975" s="1" t="s">
        <v>6916</v>
      </c>
      <c r="F1975" s="1" t="s">
        <v>6920</v>
      </c>
      <c r="H1975" s="1" t="s">
        <v>6921</v>
      </c>
      <c r="J1975" s="1" t="s">
        <v>1324</v>
      </c>
      <c r="L1975" s="1" t="s">
        <v>895</v>
      </c>
      <c r="N1975" s="1" t="s">
        <v>3353</v>
      </c>
      <c r="P1975" s="1" t="s">
        <v>3355</v>
      </c>
      <c r="Q1975" s="3">
        <v>0</v>
      </c>
      <c r="R1975" s="22" t="s">
        <v>2721</v>
      </c>
      <c r="S1975" s="42" t="s">
        <v>6910</v>
      </c>
      <c r="T1975" s="3" t="s">
        <v>4868</v>
      </c>
      <c r="U1975" s="45">
        <v>35</v>
      </c>
      <c r="V1975" t="s">
        <v>6919</v>
      </c>
      <c r="W1975" s="1" t="str">
        <f>HYPERLINK("http://ictvonline.org/taxonomy/p/taxonomy-history?taxnode_id=201901280","ICTVonline=201901280")</f>
        <v>ICTVonline=201901280</v>
      </c>
    </row>
    <row r="1976" spans="1:23">
      <c r="A1976" s="3">
        <v>1975</v>
      </c>
      <c r="B1976" s="1" t="s">
        <v>6915</v>
      </c>
      <c r="D1976" s="1" t="s">
        <v>6916</v>
      </c>
      <c r="F1976" s="1" t="s">
        <v>6920</v>
      </c>
      <c r="H1976" s="1" t="s">
        <v>6921</v>
      </c>
      <c r="J1976" s="1" t="s">
        <v>1324</v>
      </c>
      <c r="L1976" s="1" t="s">
        <v>895</v>
      </c>
      <c r="N1976" s="1" t="s">
        <v>3353</v>
      </c>
      <c r="P1976" s="1" t="s">
        <v>3356</v>
      </c>
      <c r="Q1976" s="3">
        <v>0</v>
      </c>
      <c r="R1976" s="22" t="s">
        <v>2721</v>
      </c>
      <c r="S1976" s="42" t="s">
        <v>6910</v>
      </c>
      <c r="T1976" s="3" t="s">
        <v>4868</v>
      </c>
      <c r="U1976" s="45">
        <v>35</v>
      </c>
      <c r="V1976" t="s">
        <v>6919</v>
      </c>
      <c r="W1976" s="1" t="str">
        <f>HYPERLINK("http://ictvonline.org/taxonomy/p/taxonomy-history?taxnode_id=201901281","ICTVonline=201901281")</f>
        <v>ICTVonline=201901281</v>
      </c>
    </row>
    <row r="1977" spans="1:23">
      <c r="A1977" s="3">
        <v>1976</v>
      </c>
      <c r="B1977" s="1" t="s">
        <v>6915</v>
      </c>
      <c r="D1977" s="1" t="s">
        <v>6916</v>
      </c>
      <c r="F1977" s="1" t="s">
        <v>6920</v>
      </c>
      <c r="H1977" s="1" t="s">
        <v>6921</v>
      </c>
      <c r="J1977" s="1" t="s">
        <v>1324</v>
      </c>
      <c r="L1977" s="1" t="s">
        <v>895</v>
      </c>
      <c r="N1977" s="1" t="s">
        <v>3353</v>
      </c>
      <c r="P1977" s="1" t="s">
        <v>3357</v>
      </c>
      <c r="Q1977" s="3">
        <v>0</v>
      </c>
      <c r="R1977" s="22" t="s">
        <v>2721</v>
      </c>
      <c r="S1977" s="42" t="s">
        <v>6910</v>
      </c>
      <c r="T1977" s="3" t="s">
        <v>4868</v>
      </c>
      <c r="U1977" s="45">
        <v>35</v>
      </c>
      <c r="V1977" t="s">
        <v>6919</v>
      </c>
      <c r="W1977" s="1" t="str">
        <f>HYPERLINK("http://ictvonline.org/taxonomy/p/taxonomy-history?taxnode_id=201901282","ICTVonline=201901282")</f>
        <v>ICTVonline=201901282</v>
      </c>
    </row>
    <row r="1978" spans="1:23">
      <c r="A1978" s="3">
        <v>1977</v>
      </c>
      <c r="B1978" s="1" t="s">
        <v>6915</v>
      </c>
      <c r="D1978" s="1" t="s">
        <v>6916</v>
      </c>
      <c r="F1978" s="1" t="s">
        <v>6920</v>
      </c>
      <c r="H1978" s="1" t="s">
        <v>6921</v>
      </c>
      <c r="J1978" s="1" t="s">
        <v>1324</v>
      </c>
      <c r="L1978" s="1" t="s">
        <v>895</v>
      </c>
      <c r="N1978" s="1" t="s">
        <v>3353</v>
      </c>
      <c r="P1978" s="1" t="s">
        <v>3358</v>
      </c>
      <c r="Q1978" s="3">
        <v>0</v>
      </c>
      <c r="R1978" s="22" t="s">
        <v>2721</v>
      </c>
      <c r="S1978" s="42" t="s">
        <v>6910</v>
      </c>
      <c r="T1978" s="3" t="s">
        <v>4868</v>
      </c>
      <c r="U1978" s="45">
        <v>35</v>
      </c>
      <c r="V1978" t="s">
        <v>6919</v>
      </c>
      <c r="W1978" s="1" t="str">
        <f>HYPERLINK("http://ictvonline.org/taxonomy/p/taxonomy-history?taxnode_id=201901283","ICTVonline=201901283")</f>
        <v>ICTVonline=201901283</v>
      </c>
    </row>
    <row r="1979" spans="1:23">
      <c r="A1979" s="3">
        <v>1978</v>
      </c>
      <c r="B1979" s="1" t="s">
        <v>6915</v>
      </c>
      <c r="D1979" s="1" t="s">
        <v>6916</v>
      </c>
      <c r="F1979" s="1" t="s">
        <v>6920</v>
      </c>
      <c r="H1979" s="1" t="s">
        <v>6921</v>
      </c>
      <c r="J1979" s="1" t="s">
        <v>1324</v>
      </c>
      <c r="L1979" s="1" t="s">
        <v>895</v>
      </c>
      <c r="N1979" s="1" t="s">
        <v>3353</v>
      </c>
      <c r="P1979" s="1" t="s">
        <v>4426</v>
      </c>
      <c r="Q1979" s="3">
        <v>0</v>
      </c>
      <c r="R1979" s="22" t="s">
        <v>2721</v>
      </c>
      <c r="S1979" s="42" t="s">
        <v>6910</v>
      </c>
      <c r="T1979" s="3" t="s">
        <v>4868</v>
      </c>
      <c r="U1979" s="45">
        <v>35</v>
      </c>
      <c r="V1979" t="s">
        <v>6919</v>
      </c>
      <c r="W1979" s="1" t="str">
        <f>HYPERLINK("http://ictvonline.org/taxonomy/p/taxonomy-history?taxnode_id=201901284","ICTVonline=201901284")</f>
        <v>ICTVonline=201901284</v>
      </c>
    </row>
    <row r="1980" spans="1:23">
      <c r="A1980" s="3">
        <v>1979</v>
      </c>
      <c r="B1980" s="1" t="s">
        <v>6915</v>
      </c>
      <c r="D1980" s="1" t="s">
        <v>6916</v>
      </c>
      <c r="F1980" s="1" t="s">
        <v>6920</v>
      </c>
      <c r="H1980" s="1" t="s">
        <v>6921</v>
      </c>
      <c r="J1980" s="1" t="s">
        <v>1324</v>
      </c>
      <c r="L1980" s="1" t="s">
        <v>895</v>
      </c>
      <c r="N1980" s="1" t="s">
        <v>6721</v>
      </c>
      <c r="P1980" s="1" t="s">
        <v>3359</v>
      </c>
      <c r="Q1980" s="3">
        <v>0</v>
      </c>
      <c r="R1980" s="22" t="s">
        <v>2721</v>
      </c>
      <c r="S1980" s="42" t="s">
        <v>6910</v>
      </c>
      <c r="T1980" s="3" t="s">
        <v>4868</v>
      </c>
      <c r="U1980" s="45">
        <v>35</v>
      </c>
      <c r="V1980" t="s">
        <v>6919</v>
      </c>
      <c r="W1980" s="1" t="str">
        <f>HYPERLINK("http://ictvonline.org/taxonomy/p/taxonomy-history?taxnode_id=201901286","ICTVonline=201901286")</f>
        <v>ICTVonline=201901286</v>
      </c>
    </row>
    <row r="1981" spans="1:23">
      <c r="A1981" s="3">
        <v>1980</v>
      </c>
      <c r="B1981" s="1" t="s">
        <v>6915</v>
      </c>
      <c r="D1981" s="1" t="s">
        <v>6916</v>
      </c>
      <c r="F1981" s="1" t="s">
        <v>6920</v>
      </c>
      <c r="H1981" s="1" t="s">
        <v>6921</v>
      </c>
      <c r="J1981" s="1" t="s">
        <v>1324</v>
      </c>
      <c r="L1981" s="1" t="s">
        <v>895</v>
      </c>
      <c r="N1981" s="1" t="s">
        <v>6721</v>
      </c>
      <c r="P1981" s="1" t="s">
        <v>3360</v>
      </c>
      <c r="Q1981" s="3">
        <v>0</v>
      </c>
      <c r="R1981" s="22" t="s">
        <v>2721</v>
      </c>
      <c r="S1981" s="42" t="s">
        <v>6910</v>
      </c>
      <c r="T1981" s="3" t="s">
        <v>4868</v>
      </c>
      <c r="U1981" s="45">
        <v>35</v>
      </c>
      <c r="V1981" t="s">
        <v>6919</v>
      </c>
      <c r="W1981" s="1" t="str">
        <f>HYPERLINK("http://ictvonline.org/taxonomy/p/taxonomy-history?taxnode_id=201901287","ICTVonline=201901287")</f>
        <v>ICTVonline=201901287</v>
      </c>
    </row>
    <row r="1982" spans="1:23">
      <c r="A1982" s="3">
        <v>1981</v>
      </c>
      <c r="B1982" s="1" t="s">
        <v>6915</v>
      </c>
      <c r="D1982" s="1" t="s">
        <v>6916</v>
      </c>
      <c r="F1982" s="1" t="s">
        <v>6920</v>
      </c>
      <c r="H1982" s="1" t="s">
        <v>6921</v>
      </c>
      <c r="J1982" s="1" t="s">
        <v>1324</v>
      </c>
      <c r="L1982" s="1" t="s">
        <v>895</v>
      </c>
      <c r="N1982" s="1" t="s">
        <v>6721</v>
      </c>
      <c r="P1982" s="1" t="s">
        <v>3361</v>
      </c>
      <c r="Q1982" s="3">
        <v>0</v>
      </c>
      <c r="R1982" s="22" t="s">
        <v>2721</v>
      </c>
      <c r="S1982" s="42" t="s">
        <v>6910</v>
      </c>
      <c r="T1982" s="3" t="s">
        <v>4868</v>
      </c>
      <c r="U1982" s="45">
        <v>35</v>
      </c>
      <c r="V1982" t="s">
        <v>6919</v>
      </c>
      <c r="W1982" s="1" t="str">
        <f>HYPERLINK("http://ictvonline.org/taxonomy/p/taxonomy-history?taxnode_id=201901288","ICTVonline=201901288")</f>
        <v>ICTVonline=201901288</v>
      </c>
    </row>
    <row r="1983" spans="1:23">
      <c r="A1983" s="3">
        <v>1982</v>
      </c>
      <c r="B1983" s="1" t="s">
        <v>6915</v>
      </c>
      <c r="D1983" s="1" t="s">
        <v>6916</v>
      </c>
      <c r="F1983" s="1" t="s">
        <v>6920</v>
      </c>
      <c r="H1983" s="1" t="s">
        <v>6921</v>
      </c>
      <c r="J1983" s="1" t="s">
        <v>1324</v>
      </c>
      <c r="L1983" s="1" t="s">
        <v>895</v>
      </c>
      <c r="N1983" s="1" t="s">
        <v>6721</v>
      </c>
      <c r="P1983" s="1" t="s">
        <v>3362</v>
      </c>
      <c r="Q1983" s="3">
        <v>0</v>
      </c>
      <c r="R1983" s="22" t="s">
        <v>2721</v>
      </c>
      <c r="S1983" s="42" t="s">
        <v>6910</v>
      </c>
      <c r="T1983" s="3" t="s">
        <v>4868</v>
      </c>
      <c r="U1983" s="45">
        <v>35</v>
      </c>
      <c r="V1983" t="s">
        <v>6919</v>
      </c>
      <c r="W1983" s="1" t="str">
        <f>HYPERLINK("http://ictvonline.org/taxonomy/p/taxonomy-history?taxnode_id=201901289","ICTVonline=201901289")</f>
        <v>ICTVonline=201901289</v>
      </c>
    </row>
    <row r="1984" spans="1:23">
      <c r="A1984" s="3">
        <v>1983</v>
      </c>
      <c r="B1984" s="1" t="s">
        <v>6915</v>
      </c>
      <c r="D1984" s="1" t="s">
        <v>6916</v>
      </c>
      <c r="F1984" s="1" t="s">
        <v>6920</v>
      </c>
      <c r="H1984" s="1" t="s">
        <v>6921</v>
      </c>
      <c r="J1984" s="1" t="s">
        <v>1324</v>
      </c>
      <c r="L1984" s="1" t="s">
        <v>895</v>
      </c>
      <c r="N1984" s="1" t="s">
        <v>6721</v>
      </c>
      <c r="P1984" s="1" t="s">
        <v>3363</v>
      </c>
      <c r="Q1984" s="3">
        <v>0</v>
      </c>
      <c r="R1984" s="22" t="s">
        <v>2721</v>
      </c>
      <c r="S1984" s="42" t="s">
        <v>6910</v>
      </c>
      <c r="T1984" s="3" t="s">
        <v>4868</v>
      </c>
      <c r="U1984" s="45">
        <v>35</v>
      </c>
      <c r="V1984" t="s">
        <v>6919</v>
      </c>
      <c r="W1984" s="1" t="str">
        <f>HYPERLINK("http://ictvonline.org/taxonomy/p/taxonomy-history?taxnode_id=201901290","ICTVonline=201901290")</f>
        <v>ICTVonline=201901290</v>
      </c>
    </row>
    <row r="1985" spans="1:23">
      <c r="A1985" s="3">
        <v>1984</v>
      </c>
      <c r="B1985" s="1" t="s">
        <v>6915</v>
      </c>
      <c r="D1985" s="1" t="s">
        <v>6916</v>
      </c>
      <c r="F1985" s="1" t="s">
        <v>6920</v>
      </c>
      <c r="H1985" s="1" t="s">
        <v>6921</v>
      </c>
      <c r="J1985" s="1" t="s">
        <v>1324</v>
      </c>
      <c r="L1985" s="1" t="s">
        <v>895</v>
      </c>
      <c r="N1985" s="1" t="s">
        <v>6721</v>
      </c>
      <c r="P1985" s="1" t="s">
        <v>3364</v>
      </c>
      <c r="Q1985" s="3">
        <v>0</v>
      </c>
      <c r="R1985" s="22" t="s">
        <v>2721</v>
      </c>
      <c r="S1985" s="42" t="s">
        <v>6910</v>
      </c>
      <c r="T1985" s="3" t="s">
        <v>4868</v>
      </c>
      <c r="U1985" s="45">
        <v>35</v>
      </c>
      <c r="V1985" t="s">
        <v>6919</v>
      </c>
      <c r="W1985" s="1" t="str">
        <f>HYPERLINK("http://ictvonline.org/taxonomy/p/taxonomy-history?taxnode_id=201901291","ICTVonline=201901291")</f>
        <v>ICTVonline=201901291</v>
      </c>
    </row>
    <row r="1986" spans="1:23">
      <c r="A1986" s="3">
        <v>1985</v>
      </c>
      <c r="B1986" s="1" t="s">
        <v>6915</v>
      </c>
      <c r="D1986" s="1" t="s">
        <v>6916</v>
      </c>
      <c r="F1986" s="1" t="s">
        <v>6920</v>
      </c>
      <c r="H1986" s="1" t="s">
        <v>6921</v>
      </c>
      <c r="J1986" s="1" t="s">
        <v>1324</v>
      </c>
      <c r="L1986" s="1" t="s">
        <v>895</v>
      </c>
      <c r="N1986" s="1" t="s">
        <v>6721</v>
      </c>
      <c r="P1986" s="1" t="s">
        <v>3365</v>
      </c>
      <c r="Q1986" s="3">
        <v>0</v>
      </c>
      <c r="R1986" s="22" t="s">
        <v>2721</v>
      </c>
      <c r="S1986" s="42" t="s">
        <v>6910</v>
      </c>
      <c r="T1986" s="3" t="s">
        <v>4868</v>
      </c>
      <c r="U1986" s="45">
        <v>35</v>
      </c>
      <c r="V1986" t="s">
        <v>6919</v>
      </c>
      <c r="W1986" s="1" t="str">
        <f>HYPERLINK("http://ictvonline.org/taxonomy/p/taxonomy-history?taxnode_id=201901292","ICTVonline=201901292")</f>
        <v>ICTVonline=201901292</v>
      </c>
    </row>
    <row r="1987" spans="1:23">
      <c r="A1987" s="3">
        <v>1986</v>
      </c>
      <c r="B1987" s="1" t="s">
        <v>6915</v>
      </c>
      <c r="D1987" s="1" t="s">
        <v>6916</v>
      </c>
      <c r="F1987" s="1" t="s">
        <v>6920</v>
      </c>
      <c r="H1987" s="1" t="s">
        <v>6921</v>
      </c>
      <c r="J1987" s="1" t="s">
        <v>1324</v>
      </c>
      <c r="L1987" s="1" t="s">
        <v>895</v>
      </c>
      <c r="N1987" s="1" t="s">
        <v>6721</v>
      </c>
      <c r="P1987" s="1" t="s">
        <v>3366</v>
      </c>
      <c r="Q1987" s="3">
        <v>0</v>
      </c>
      <c r="R1987" s="22" t="s">
        <v>2721</v>
      </c>
      <c r="S1987" s="42" t="s">
        <v>6910</v>
      </c>
      <c r="T1987" s="3" t="s">
        <v>4868</v>
      </c>
      <c r="U1987" s="45">
        <v>35</v>
      </c>
      <c r="V1987" t="s">
        <v>6919</v>
      </c>
      <c r="W1987" s="1" t="str">
        <f>HYPERLINK("http://ictvonline.org/taxonomy/p/taxonomy-history?taxnode_id=201901293","ICTVonline=201901293")</f>
        <v>ICTVonline=201901293</v>
      </c>
    </row>
    <row r="1988" spans="1:23">
      <c r="A1988" s="3">
        <v>1987</v>
      </c>
      <c r="B1988" s="1" t="s">
        <v>6915</v>
      </c>
      <c r="D1988" s="1" t="s">
        <v>6916</v>
      </c>
      <c r="F1988" s="1" t="s">
        <v>6920</v>
      </c>
      <c r="H1988" s="1" t="s">
        <v>6921</v>
      </c>
      <c r="J1988" s="1" t="s">
        <v>1324</v>
      </c>
      <c r="L1988" s="1" t="s">
        <v>895</v>
      </c>
      <c r="N1988" s="1" t="s">
        <v>6721</v>
      </c>
      <c r="P1988" s="1" t="s">
        <v>3367</v>
      </c>
      <c r="Q1988" s="3">
        <v>0</v>
      </c>
      <c r="R1988" s="22" t="s">
        <v>2721</v>
      </c>
      <c r="S1988" s="42" t="s">
        <v>6910</v>
      </c>
      <c r="T1988" s="3" t="s">
        <v>4868</v>
      </c>
      <c r="U1988" s="45">
        <v>35</v>
      </c>
      <c r="V1988" t="s">
        <v>6919</v>
      </c>
      <c r="W1988" s="1" t="str">
        <f>HYPERLINK("http://ictvonline.org/taxonomy/p/taxonomy-history?taxnode_id=201901294","ICTVonline=201901294")</f>
        <v>ICTVonline=201901294</v>
      </c>
    </row>
    <row r="1989" spans="1:23">
      <c r="A1989" s="3">
        <v>1988</v>
      </c>
      <c r="B1989" s="1" t="s">
        <v>6915</v>
      </c>
      <c r="D1989" s="1" t="s">
        <v>6916</v>
      </c>
      <c r="F1989" s="1" t="s">
        <v>6920</v>
      </c>
      <c r="H1989" s="1" t="s">
        <v>6921</v>
      </c>
      <c r="J1989" s="1" t="s">
        <v>1324</v>
      </c>
      <c r="L1989" s="1" t="s">
        <v>895</v>
      </c>
      <c r="N1989" s="1" t="s">
        <v>6721</v>
      </c>
      <c r="P1989" s="1" t="s">
        <v>3368</v>
      </c>
      <c r="Q1989" s="3">
        <v>0</v>
      </c>
      <c r="R1989" s="22" t="s">
        <v>2721</v>
      </c>
      <c r="S1989" s="42" t="s">
        <v>6910</v>
      </c>
      <c r="T1989" s="3" t="s">
        <v>4868</v>
      </c>
      <c r="U1989" s="45">
        <v>35</v>
      </c>
      <c r="V1989" t="s">
        <v>6919</v>
      </c>
      <c r="W1989" s="1" t="str">
        <f>HYPERLINK("http://ictvonline.org/taxonomy/p/taxonomy-history?taxnode_id=201901295","ICTVonline=201901295")</f>
        <v>ICTVonline=201901295</v>
      </c>
    </row>
    <row r="1990" spans="1:23">
      <c r="A1990" s="3">
        <v>1989</v>
      </c>
      <c r="B1990" s="1" t="s">
        <v>6915</v>
      </c>
      <c r="D1990" s="1" t="s">
        <v>6916</v>
      </c>
      <c r="F1990" s="1" t="s">
        <v>6920</v>
      </c>
      <c r="H1990" s="1" t="s">
        <v>6921</v>
      </c>
      <c r="J1990" s="1" t="s">
        <v>1324</v>
      </c>
      <c r="L1990" s="1" t="s">
        <v>895</v>
      </c>
      <c r="N1990" s="1" t="s">
        <v>6721</v>
      </c>
      <c r="P1990" s="1" t="s">
        <v>3369</v>
      </c>
      <c r="Q1990" s="3">
        <v>0</v>
      </c>
      <c r="R1990" s="22" t="s">
        <v>2721</v>
      </c>
      <c r="S1990" s="42" t="s">
        <v>6910</v>
      </c>
      <c r="T1990" s="3" t="s">
        <v>4868</v>
      </c>
      <c r="U1990" s="45">
        <v>35</v>
      </c>
      <c r="V1990" t="s">
        <v>6919</v>
      </c>
      <c r="W1990" s="1" t="str">
        <f>HYPERLINK("http://ictvonline.org/taxonomy/p/taxonomy-history?taxnode_id=201901296","ICTVonline=201901296")</f>
        <v>ICTVonline=201901296</v>
      </c>
    </row>
    <row r="1991" spans="1:23">
      <c r="A1991" s="3">
        <v>1990</v>
      </c>
      <c r="B1991" s="1" t="s">
        <v>6915</v>
      </c>
      <c r="D1991" s="1" t="s">
        <v>6916</v>
      </c>
      <c r="F1991" s="1" t="s">
        <v>6920</v>
      </c>
      <c r="H1991" s="1" t="s">
        <v>6921</v>
      </c>
      <c r="J1991" s="1" t="s">
        <v>1324</v>
      </c>
      <c r="L1991" s="1" t="s">
        <v>895</v>
      </c>
      <c r="N1991" s="1" t="s">
        <v>6721</v>
      </c>
      <c r="P1991" s="1" t="s">
        <v>3370</v>
      </c>
      <c r="Q1991" s="3">
        <v>0</v>
      </c>
      <c r="R1991" s="22" t="s">
        <v>2721</v>
      </c>
      <c r="S1991" s="42" t="s">
        <v>6910</v>
      </c>
      <c r="T1991" s="3" t="s">
        <v>4868</v>
      </c>
      <c r="U1991" s="45">
        <v>35</v>
      </c>
      <c r="V1991" t="s">
        <v>6919</v>
      </c>
      <c r="W1991" s="1" t="str">
        <f>HYPERLINK("http://ictvonline.org/taxonomy/p/taxonomy-history?taxnode_id=201901297","ICTVonline=201901297")</f>
        <v>ICTVonline=201901297</v>
      </c>
    </row>
    <row r="1992" spans="1:23">
      <c r="A1992" s="3">
        <v>1991</v>
      </c>
      <c r="B1992" s="1" t="s">
        <v>6915</v>
      </c>
      <c r="D1992" s="1" t="s">
        <v>6916</v>
      </c>
      <c r="F1992" s="1" t="s">
        <v>6920</v>
      </c>
      <c r="H1992" s="1" t="s">
        <v>6921</v>
      </c>
      <c r="J1992" s="1" t="s">
        <v>1324</v>
      </c>
      <c r="L1992" s="1" t="s">
        <v>895</v>
      </c>
      <c r="N1992" s="1" t="s">
        <v>6721</v>
      </c>
      <c r="P1992" s="1" t="s">
        <v>3371</v>
      </c>
      <c r="Q1992" s="3">
        <v>0</v>
      </c>
      <c r="R1992" s="22" t="s">
        <v>2721</v>
      </c>
      <c r="S1992" s="42" t="s">
        <v>6910</v>
      </c>
      <c r="T1992" s="3" t="s">
        <v>4868</v>
      </c>
      <c r="U1992" s="45">
        <v>35</v>
      </c>
      <c r="V1992" t="s">
        <v>6919</v>
      </c>
      <c r="W1992" s="1" t="str">
        <f>HYPERLINK("http://ictvonline.org/taxonomy/p/taxonomy-history?taxnode_id=201901298","ICTVonline=201901298")</f>
        <v>ICTVonline=201901298</v>
      </c>
    </row>
    <row r="1993" spans="1:23">
      <c r="A1993" s="3">
        <v>1992</v>
      </c>
      <c r="B1993" s="1" t="s">
        <v>6915</v>
      </c>
      <c r="D1993" s="1" t="s">
        <v>6916</v>
      </c>
      <c r="F1993" s="1" t="s">
        <v>6920</v>
      </c>
      <c r="H1993" s="1" t="s">
        <v>6921</v>
      </c>
      <c r="J1993" s="1" t="s">
        <v>1324</v>
      </c>
      <c r="L1993" s="1" t="s">
        <v>895</v>
      </c>
      <c r="N1993" s="1" t="s">
        <v>6721</v>
      </c>
      <c r="P1993" s="1" t="s">
        <v>3372</v>
      </c>
      <c r="Q1993" s="3">
        <v>0</v>
      </c>
      <c r="R1993" s="22" t="s">
        <v>2721</v>
      </c>
      <c r="S1993" s="42" t="s">
        <v>6910</v>
      </c>
      <c r="T1993" s="3" t="s">
        <v>4868</v>
      </c>
      <c r="U1993" s="45">
        <v>35</v>
      </c>
      <c r="V1993" t="s">
        <v>6919</v>
      </c>
      <c r="W1993" s="1" t="str">
        <f>HYPERLINK("http://ictvonline.org/taxonomy/p/taxonomy-history?taxnode_id=201901299","ICTVonline=201901299")</f>
        <v>ICTVonline=201901299</v>
      </c>
    </row>
    <row r="1994" spans="1:23">
      <c r="A1994" s="3">
        <v>1993</v>
      </c>
      <c r="B1994" s="1" t="s">
        <v>6915</v>
      </c>
      <c r="D1994" s="1" t="s">
        <v>6916</v>
      </c>
      <c r="F1994" s="1" t="s">
        <v>6920</v>
      </c>
      <c r="H1994" s="1" t="s">
        <v>6921</v>
      </c>
      <c r="J1994" s="1" t="s">
        <v>1324</v>
      </c>
      <c r="L1994" s="1" t="s">
        <v>895</v>
      </c>
      <c r="N1994" s="1" t="s">
        <v>6721</v>
      </c>
      <c r="P1994" s="1" t="s">
        <v>3373</v>
      </c>
      <c r="Q1994" s="3">
        <v>0</v>
      </c>
      <c r="R1994" s="22" t="s">
        <v>2721</v>
      </c>
      <c r="S1994" s="42" t="s">
        <v>6910</v>
      </c>
      <c r="T1994" s="3" t="s">
        <v>4868</v>
      </c>
      <c r="U1994" s="45">
        <v>35</v>
      </c>
      <c r="V1994" t="s">
        <v>6919</v>
      </c>
      <c r="W1994" s="1" t="str">
        <f>HYPERLINK("http://ictvonline.org/taxonomy/p/taxonomy-history?taxnode_id=201901300","ICTVonline=201901300")</f>
        <v>ICTVonline=201901300</v>
      </c>
    </row>
    <row r="1995" spans="1:23">
      <c r="A1995" s="3">
        <v>1994</v>
      </c>
      <c r="B1995" s="1" t="s">
        <v>6915</v>
      </c>
      <c r="D1995" s="1" t="s">
        <v>6916</v>
      </c>
      <c r="F1995" s="1" t="s">
        <v>6920</v>
      </c>
      <c r="H1995" s="1" t="s">
        <v>6921</v>
      </c>
      <c r="J1995" s="1" t="s">
        <v>1324</v>
      </c>
      <c r="L1995" s="1" t="s">
        <v>895</v>
      </c>
      <c r="N1995" s="1" t="s">
        <v>6721</v>
      </c>
      <c r="P1995" s="1" t="s">
        <v>3374</v>
      </c>
      <c r="Q1995" s="3">
        <v>1</v>
      </c>
      <c r="R1995" s="22" t="s">
        <v>2721</v>
      </c>
      <c r="S1995" s="42" t="s">
        <v>6910</v>
      </c>
      <c r="T1995" s="3" t="s">
        <v>4868</v>
      </c>
      <c r="U1995" s="45">
        <v>35</v>
      </c>
      <c r="V1995" t="s">
        <v>6919</v>
      </c>
      <c r="W1995" s="1" t="str">
        <f>HYPERLINK("http://ictvonline.org/taxonomy/p/taxonomy-history?taxnode_id=201901301","ICTVonline=201901301")</f>
        <v>ICTVonline=201901301</v>
      </c>
    </row>
    <row r="1996" spans="1:23">
      <c r="A1996" s="3">
        <v>1995</v>
      </c>
      <c r="B1996" s="1" t="s">
        <v>6915</v>
      </c>
      <c r="D1996" s="1" t="s">
        <v>6916</v>
      </c>
      <c r="F1996" s="1" t="s">
        <v>6920</v>
      </c>
      <c r="H1996" s="1" t="s">
        <v>6921</v>
      </c>
      <c r="J1996" s="1" t="s">
        <v>1324</v>
      </c>
      <c r="L1996" s="1" t="s">
        <v>895</v>
      </c>
      <c r="N1996" s="1" t="s">
        <v>6721</v>
      </c>
      <c r="P1996" s="1" t="s">
        <v>3375</v>
      </c>
      <c r="Q1996" s="3">
        <v>0</v>
      </c>
      <c r="R1996" s="22" t="s">
        <v>2721</v>
      </c>
      <c r="S1996" s="42" t="s">
        <v>6910</v>
      </c>
      <c r="T1996" s="3" t="s">
        <v>4868</v>
      </c>
      <c r="U1996" s="45">
        <v>35</v>
      </c>
      <c r="V1996" t="s">
        <v>6919</v>
      </c>
      <c r="W1996" s="1" t="str">
        <f>HYPERLINK("http://ictvonline.org/taxonomy/p/taxonomy-history?taxnode_id=201901302","ICTVonline=201901302")</f>
        <v>ICTVonline=201901302</v>
      </c>
    </row>
    <row r="1997" spans="1:23">
      <c r="A1997" s="3">
        <v>1996</v>
      </c>
      <c r="B1997" s="1" t="s">
        <v>6915</v>
      </c>
      <c r="D1997" s="1" t="s">
        <v>6916</v>
      </c>
      <c r="F1997" s="1" t="s">
        <v>6920</v>
      </c>
      <c r="H1997" s="1" t="s">
        <v>6921</v>
      </c>
      <c r="J1997" s="1" t="s">
        <v>1324</v>
      </c>
      <c r="L1997" s="1" t="s">
        <v>895</v>
      </c>
      <c r="N1997" s="1" t="s">
        <v>3376</v>
      </c>
      <c r="P1997" s="1" t="s">
        <v>3377</v>
      </c>
      <c r="Q1997" s="3">
        <v>1</v>
      </c>
      <c r="R1997" s="22" t="s">
        <v>2721</v>
      </c>
      <c r="S1997" s="42" t="s">
        <v>6910</v>
      </c>
      <c r="T1997" s="3" t="s">
        <v>4868</v>
      </c>
      <c r="U1997" s="45">
        <v>35</v>
      </c>
      <c r="V1997" t="s">
        <v>6919</v>
      </c>
      <c r="W1997" s="1" t="str">
        <f>HYPERLINK("http://ictvonline.org/taxonomy/p/taxonomy-history?taxnode_id=201901304","ICTVonline=201901304")</f>
        <v>ICTVonline=201901304</v>
      </c>
    </row>
    <row r="1998" spans="1:23">
      <c r="A1998" s="3">
        <v>1997</v>
      </c>
      <c r="B1998" s="1" t="s">
        <v>6915</v>
      </c>
      <c r="D1998" s="1" t="s">
        <v>6916</v>
      </c>
      <c r="F1998" s="1" t="s">
        <v>6920</v>
      </c>
      <c r="H1998" s="1" t="s">
        <v>6921</v>
      </c>
      <c r="J1998" s="1" t="s">
        <v>1324</v>
      </c>
      <c r="L1998" s="1" t="s">
        <v>895</v>
      </c>
      <c r="N1998" s="1" t="s">
        <v>3376</v>
      </c>
      <c r="P1998" s="1" t="s">
        <v>3378</v>
      </c>
      <c r="Q1998" s="3">
        <v>0</v>
      </c>
      <c r="R1998" s="22" t="s">
        <v>2721</v>
      </c>
      <c r="S1998" s="42" t="s">
        <v>6910</v>
      </c>
      <c r="T1998" s="3" t="s">
        <v>4868</v>
      </c>
      <c r="U1998" s="45">
        <v>35</v>
      </c>
      <c r="V1998" t="s">
        <v>6919</v>
      </c>
      <c r="W1998" s="1" t="str">
        <f>HYPERLINK("http://ictvonline.org/taxonomy/p/taxonomy-history?taxnode_id=201901305","ICTVonline=201901305")</f>
        <v>ICTVonline=201901305</v>
      </c>
    </row>
    <row r="1999" spans="1:23">
      <c r="A1999" s="3">
        <v>1998</v>
      </c>
      <c r="B1999" s="1" t="s">
        <v>6915</v>
      </c>
      <c r="D1999" s="1" t="s">
        <v>6916</v>
      </c>
      <c r="F1999" s="1" t="s">
        <v>6920</v>
      </c>
      <c r="H1999" s="1" t="s">
        <v>6921</v>
      </c>
      <c r="J1999" s="1" t="s">
        <v>1324</v>
      </c>
      <c r="L1999" s="1" t="s">
        <v>895</v>
      </c>
      <c r="N1999" s="1" t="s">
        <v>3376</v>
      </c>
      <c r="P1999" s="1" t="s">
        <v>3379</v>
      </c>
      <c r="Q1999" s="3">
        <v>0</v>
      </c>
      <c r="R1999" s="22" t="s">
        <v>2721</v>
      </c>
      <c r="S1999" s="42" t="s">
        <v>6910</v>
      </c>
      <c r="T1999" s="3" t="s">
        <v>4868</v>
      </c>
      <c r="U1999" s="45">
        <v>35</v>
      </c>
      <c r="V1999" t="s">
        <v>6919</v>
      </c>
      <c r="W1999" s="1" t="str">
        <f>HYPERLINK("http://ictvonline.org/taxonomy/p/taxonomy-history?taxnode_id=201901306","ICTVonline=201901306")</f>
        <v>ICTVonline=201901306</v>
      </c>
    </row>
    <row r="2000" spans="1:23">
      <c r="A2000" s="3">
        <v>1999</v>
      </c>
      <c r="B2000" s="1" t="s">
        <v>6915</v>
      </c>
      <c r="D2000" s="1" t="s">
        <v>6916</v>
      </c>
      <c r="F2000" s="1" t="s">
        <v>6920</v>
      </c>
      <c r="H2000" s="1" t="s">
        <v>6921</v>
      </c>
      <c r="J2000" s="1" t="s">
        <v>1324</v>
      </c>
      <c r="L2000" s="1" t="s">
        <v>895</v>
      </c>
      <c r="N2000" s="1" t="s">
        <v>3376</v>
      </c>
      <c r="P2000" s="1" t="s">
        <v>3380</v>
      </c>
      <c r="Q2000" s="3">
        <v>0</v>
      </c>
      <c r="R2000" s="22" t="s">
        <v>2721</v>
      </c>
      <c r="S2000" s="42" t="s">
        <v>6910</v>
      </c>
      <c r="T2000" s="3" t="s">
        <v>4868</v>
      </c>
      <c r="U2000" s="45">
        <v>35</v>
      </c>
      <c r="V2000" t="s">
        <v>6919</v>
      </c>
      <c r="W2000" s="1" t="str">
        <f>HYPERLINK("http://ictvonline.org/taxonomy/p/taxonomy-history?taxnode_id=201901307","ICTVonline=201901307")</f>
        <v>ICTVonline=201901307</v>
      </c>
    </row>
    <row r="2001" spans="1:23">
      <c r="A2001" s="3">
        <v>2000</v>
      </c>
      <c r="B2001" s="1" t="s">
        <v>6915</v>
      </c>
      <c r="D2001" s="1" t="s">
        <v>6916</v>
      </c>
      <c r="F2001" s="1" t="s">
        <v>6920</v>
      </c>
      <c r="H2001" s="1" t="s">
        <v>6921</v>
      </c>
      <c r="J2001" s="1" t="s">
        <v>1324</v>
      </c>
      <c r="L2001" s="1" t="s">
        <v>895</v>
      </c>
      <c r="N2001" s="1" t="s">
        <v>4427</v>
      </c>
      <c r="P2001" s="1" t="s">
        <v>4428</v>
      </c>
      <c r="Q2001" s="3">
        <v>0</v>
      </c>
      <c r="R2001" s="22" t="s">
        <v>2721</v>
      </c>
      <c r="S2001" s="42" t="s">
        <v>6910</v>
      </c>
      <c r="T2001" s="3" t="s">
        <v>4868</v>
      </c>
      <c r="U2001" s="45">
        <v>35</v>
      </c>
      <c r="V2001" t="s">
        <v>6919</v>
      </c>
      <c r="W2001" s="1" t="str">
        <f>HYPERLINK("http://ictvonline.org/taxonomy/p/taxonomy-history?taxnode_id=201901309","ICTVonline=201901309")</f>
        <v>ICTVonline=201901309</v>
      </c>
    </row>
    <row r="2002" spans="1:23">
      <c r="A2002" s="3">
        <v>2001</v>
      </c>
      <c r="B2002" s="1" t="s">
        <v>6915</v>
      </c>
      <c r="D2002" s="1" t="s">
        <v>6916</v>
      </c>
      <c r="F2002" s="1" t="s">
        <v>6920</v>
      </c>
      <c r="H2002" s="1" t="s">
        <v>6921</v>
      </c>
      <c r="J2002" s="1" t="s">
        <v>1324</v>
      </c>
      <c r="L2002" s="1" t="s">
        <v>895</v>
      </c>
      <c r="N2002" s="1" t="s">
        <v>4427</v>
      </c>
      <c r="P2002" s="1" t="s">
        <v>4429</v>
      </c>
      <c r="Q2002" s="3">
        <v>0</v>
      </c>
      <c r="R2002" s="22" t="s">
        <v>2721</v>
      </c>
      <c r="S2002" s="42" t="s">
        <v>6910</v>
      </c>
      <c r="T2002" s="3" t="s">
        <v>4868</v>
      </c>
      <c r="U2002" s="45">
        <v>35</v>
      </c>
      <c r="V2002" t="s">
        <v>6919</v>
      </c>
      <c r="W2002" s="1" t="str">
        <f>HYPERLINK("http://ictvonline.org/taxonomy/p/taxonomy-history?taxnode_id=201901310","ICTVonline=201901310")</f>
        <v>ICTVonline=201901310</v>
      </c>
    </row>
    <row r="2003" spans="1:23">
      <c r="A2003" s="3">
        <v>2002</v>
      </c>
      <c r="B2003" s="1" t="s">
        <v>6915</v>
      </c>
      <c r="D2003" s="1" t="s">
        <v>6916</v>
      </c>
      <c r="F2003" s="1" t="s">
        <v>6920</v>
      </c>
      <c r="H2003" s="1" t="s">
        <v>6921</v>
      </c>
      <c r="J2003" s="1" t="s">
        <v>1324</v>
      </c>
      <c r="L2003" s="1" t="s">
        <v>895</v>
      </c>
      <c r="N2003" s="1" t="s">
        <v>4427</v>
      </c>
      <c r="P2003" s="1" t="s">
        <v>4431</v>
      </c>
      <c r="Q2003" s="3">
        <v>1</v>
      </c>
      <c r="R2003" s="22" t="s">
        <v>2721</v>
      </c>
      <c r="S2003" s="42" t="s">
        <v>6910</v>
      </c>
      <c r="T2003" s="3" t="s">
        <v>4868</v>
      </c>
      <c r="U2003" s="45">
        <v>35</v>
      </c>
      <c r="V2003" t="s">
        <v>6919</v>
      </c>
      <c r="W2003" s="1" t="str">
        <f>HYPERLINK("http://ictvonline.org/taxonomy/p/taxonomy-history?taxnode_id=201901312","ICTVonline=201901312")</f>
        <v>ICTVonline=201901312</v>
      </c>
    </row>
    <row r="2004" spans="1:23">
      <c r="A2004" s="3">
        <v>2003</v>
      </c>
      <c r="B2004" s="1" t="s">
        <v>6915</v>
      </c>
      <c r="D2004" s="1" t="s">
        <v>6916</v>
      </c>
      <c r="F2004" s="1" t="s">
        <v>6920</v>
      </c>
      <c r="H2004" s="1" t="s">
        <v>6921</v>
      </c>
      <c r="J2004" s="1" t="s">
        <v>1324</v>
      </c>
      <c r="L2004" s="1" t="s">
        <v>895</v>
      </c>
      <c r="N2004" s="1" t="s">
        <v>7983</v>
      </c>
      <c r="P2004" s="1" t="s">
        <v>7984</v>
      </c>
      <c r="Q2004" s="3">
        <v>1</v>
      </c>
      <c r="R2004" s="22" t="s">
        <v>2721</v>
      </c>
      <c r="S2004" s="42" t="s">
        <v>6914</v>
      </c>
      <c r="T2004" s="3" t="s">
        <v>4866</v>
      </c>
      <c r="U2004" s="45">
        <v>35</v>
      </c>
      <c r="V2004" t="s">
        <v>7985</v>
      </c>
      <c r="W2004" s="1" t="str">
        <f>HYPERLINK("http://ictvonline.org/taxonomy/p/taxonomy-history?taxnode_id=201907699","ICTVonline=201907699")</f>
        <v>ICTVonline=201907699</v>
      </c>
    </row>
    <row r="2005" spans="1:23">
      <c r="A2005" s="3">
        <v>2004</v>
      </c>
      <c r="B2005" s="1" t="s">
        <v>6915</v>
      </c>
      <c r="D2005" s="1" t="s">
        <v>6916</v>
      </c>
      <c r="F2005" s="1" t="s">
        <v>6920</v>
      </c>
      <c r="H2005" s="1" t="s">
        <v>6921</v>
      </c>
      <c r="J2005" s="1" t="s">
        <v>1324</v>
      </c>
      <c r="L2005" s="1" t="s">
        <v>895</v>
      </c>
      <c r="N2005" s="1" t="s">
        <v>4432</v>
      </c>
      <c r="P2005" s="1" t="s">
        <v>4433</v>
      </c>
      <c r="Q2005" s="3">
        <v>1</v>
      </c>
      <c r="R2005" s="22" t="s">
        <v>2721</v>
      </c>
      <c r="S2005" s="42" t="s">
        <v>6910</v>
      </c>
      <c r="T2005" s="3" t="s">
        <v>4868</v>
      </c>
      <c r="U2005" s="45">
        <v>35</v>
      </c>
      <c r="V2005" t="s">
        <v>6919</v>
      </c>
      <c r="W2005" s="1" t="str">
        <f>HYPERLINK("http://ictvonline.org/taxonomy/p/taxonomy-history?taxnode_id=201901314","ICTVonline=201901314")</f>
        <v>ICTVonline=201901314</v>
      </c>
    </row>
    <row r="2006" spans="1:23">
      <c r="A2006" s="3">
        <v>2005</v>
      </c>
      <c r="B2006" s="1" t="s">
        <v>6915</v>
      </c>
      <c r="D2006" s="1" t="s">
        <v>6916</v>
      </c>
      <c r="F2006" s="1" t="s">
        <v>6920</v>
      </c>
      <c r="H2006" s="1" t="s">
        <v>6921</v>
      </c>
      <c r="J2006" s="1" t="s">
        <v>1324</v>
      </c>
      <c r="L2006" s="1" t="s">
        <v>895</v>
      </c>
      <c r="N2006" s="1" t="s">
        <v>4432</v>
      </c>
      <c r="P2006" s="1" t="s">
        <v>6722</v>
      </c>
      <c r="Q2006" s="3">
        <v>0</v>
      </c>
      <c r="R2006" s="22" t="s">
        <v>2721</v>
      </c>
      <c r="S2006" s="42" t="s">
        <v>6910</v>
      </c>
      <c r="T2006" s="3" t="s">
        <v>4868</v>
      </c>
      <c r="U2006" s="45">
        <v>35</v>
      </c>
      <c r="V2006" t="s">
        <v>6919</v>
      </c>
      <c r="W2006" s="1" t="str">
        <f>HYPERLINK("http://ictvonline.org/taxonomy/p/taxonomy-history?taxnode_id=201906886","ICTVonline=201906886")</f>
        <v>ICTVonline=201906886</v>
      </c>
    </row>
    <row r="2007" spans="1:23">
      <c r="A2007" s="3">
        <v>2006</v>
      </c>
      <c r="B2007" s="1" t="s">
        <v>6915</v>
      </c>
      <c r="D2007" s="1" t="s">
        <v>6916</v>
      </c>
      <c r="F2007" s="1" t="s">
        <v>6920</v>
      </c>
      <c r="H2007" s="1" t="s">
        <v>6921</v>
      </c>
      <c r="J2007" s="1" t="s">
        <v>1324</v>
      </c>
      <c r="L2007" s="1" t="s">
        <v>895</v>
      </c>
      <c r="N2007" s="1" t="s">
        <v>4432</v>
      </c>
      <c r="P2007" s="1" t="s">
        <v>6723</v>
      </c>
      <c r="Q2007" s="3">
        <v>0</v>
      </c>
      <c r="R2007" s="22" t="s">
        <v>2721</v>
      </c>
      <c r="S2007" s="42" t="s">
        <v>6910</v>
      </c>
      <c r="T2007" s="3" t="s">
        <v>4868</v>
      </c>
      <c r="U2007" s="45">
        <v>35</v>
      </c>
      <c r="V2007" t="s">
        <v>6919</v>
      </c>
      <c r="W2007" s="1" t="str">
        <f>HYPERLINK("http://ictvonline.org/taxonomy/p/taxonomy-history?taxnode_id=201906885","ICTVonline=201906885")</f>
        <v>ICTVonline=201906885</v>
      </c>
    </row>
    <row r="2008" spans="1:23">
      <c r="A2008" s="3">
        <v>2007</v>
      </c>
      <c r="B2008" s="1" t="s">
        <v>6915</v>
      </c>
      <c r="D2008" s="1" t="s">
        <v>6916</v>
      </c>
      <c r="F2008" s="1" t="s">
        <v>6920</v>
      </c>
      <c r="H2008" s="1" t="s">
        <v>6921</v>
      </c>
      <c r="J2008" s="1" t="s">
        <v>1324</v>
      </c>
      <c r="L2008" s="1" t="s">
        <v>895</v>
      </c>
      <c r="N2008" s="1" t="s">
        <v>6724</v>
      </c>
      <c r="P2008" s="1" t="s">
        <v>6725</v>
      </c>
      <c r="Q2008" s="3">
        <v>1</v>
      </c>
      <c r="R2008" s="22" t="s">
        <v>2721</v>
      </c>
      <c r="S2008" s="42" t="s">
        <v>6910</v>
      </c>
      <c r="T2008" s="3" t="s">
        <v>4868</v>
      </c>
      <c r="U2008" s="45">
        <v>35</v>
      </c>
      <c r="V2008" t="s">
        <v>6919</v>
      </c>
      <c r="W2008" s="1" t="str">
        <f>HYPERLINK("http://ictvonline.org/taxonomy/p/taxonomy-history?taxnode_id=201906991","ICTVonline=201906991")</f>
        <v>ICTVonline=201906991</v>
      </c>
    </row>
    <row r="2009" spans="1:23">
      <c r="A2009" s="3">
        <v>2008</v>
      </c>
      <c r="B2009" s="1" t="s">
        <v>6915</v>
      </c>
      <c r="D2009" s="1" t="s">
        <v>6916</v>
      </c>
      <c r="F2009" s="1" t="s">
        <v>6920</v>
      </c>
      <c r="H2009" s="1" t="s">
        <v>6921</v>
      </c>
      <c r="J2009" s="1" t="s">
        <v>1324</v>
      </c>
      <c r="L2009" s="1" t="s">
        <v>895</v>
      </c>
      <c r="N2009" s="1" t="s">
        <v>3381</v>
      </c>
      <c r="P2009" s="1" t="s">
        <v>3382</v>
      </c>
      <c r="Q2009" s="3">
        <v>1</v>
      </c>
      <c r="R2009" s="22" t="s">
        <v>2721</v>
      </c>
      <c r="S2009" s="42" t="s">
        <v>6910</v>
      </c>
      <c r="T2009" s="3" t="s">
        <v>4868</v>
      </c>
      <c r="U2009" s="45">
        <v>35</v>
      </c>
      <c r="V2009" t="s">
        <v>6919</v>
      </c>
      <c r="W2009" s="1" t="str">
        <f>HYPERLINK("http://ictvonline.org/taxonomy/p/taxonomy-history?taxnode_id=201901316","ICTVonline=201901316")</f>
        <v>ICTVonline=201901316</v>
      </c>
    </row>
    <row r="2010" spans="1:23">
      <c r="A2010" s="3">
        <v>2009</v>
      </c>
      <c r="B2010" s="1" t="s">
        <v>6915</v>
      </c>
      <c r="D2010" s="1" t="s">
        <v>6916</v>
      </c>
      <c r="F2010" s="1" t="s">
        <v>6920</v>
      </c>
      <c r="H2010" s="1" t="s">
        <v>6921</v>
      </c>
      <c r="J2010" s="1" t="s">
        <v>1324</v>
      </c>
      <c r="L2010" s="1" t="s">
        <v>895</v>
      </c>
      <c r="N2010" s="1" t="s">
        <v>7986</v>
      </c>
      <c r="P2010" s="1" t="s">
        <v>7987</v>
      </c>
      <c r="Q2010" s="3">
        <v>0</v>
      </c>
      <c r="R2010" s="22" t="s">
        <v>2721</v>
      </c>
      <c r="S2010" s="42" t="s">
        <v>6914</v>
      </c>
      <c r="T2010" s="3" t="s">
        <v>4866</v>
      </c>
      <c r="U2010" s="45">
        <v>35</v>
      </c>
      <c r="V2010" t="s">
        <v>7988</v>
      </c>
      <c r="W2010" s="1" t="str">
        <f>HYPERLINK("http://ictvonline.org/taxonomy/p/taxonomy-history?taxnode_id=201907703","ICTVonline=201907703")</f>
        <v>ICTVonline=201907703</v>
      </c>
    </row>
    <row r="2011" spans="1:23">
      <c r="A2011" s="3">
        <v>2010</v>
      </c>
      <c r="B2011" s="1" t="s">
        <v>6915</v>
      </c>
      <c r="D2011" s="1" t="s">
        <v>6916</v>
      </c>
      <c r="F2011" s="1" t="s">
        <v>6920</v>
      </c>
      <c r="H2011" s="1" t="s">
        <v>6921</v>
      </c>
      <c r="J2011" s="1" t="s">
        <v>1324</v>
      </c>
      <c r="L2011" s="1" t="s">
        <v>895</v>
      </c>
      <c r="N2011" s="1" t="s">
        <v>7986</v>
      </c>
      <c r="P2011" s="1" t="s">
        <v>7989</v>
      </c>
      <c r="Q2011" s="3">
        <v>1</v>
      </c>
      <c r="R2011" s="22" t="s">
        <v>2721</v>
      </c>
      <c r="S2011" s="42" t="s">
        <v>6914</v>
      </c>
      <c r="T2011" s="3" t="s">
        <v>4866</v>
      </c>
      <c r="U2011" s="45">
        <v>35</v>
      </c>
      <c r="V2011" t="s">
        <v>7988</v>
      </c>
      <c r="W2011" s="1" t="str">
        <f>HYPERLINK("http://ictvonline.org/taxonomy/p/taxonomy-history?taxnode_id=201907702","ICTVonline=201907702")</f>
        <v>ICTVonline=201907702</v>
      </c>
    </row>
    <row r="2012" spans="1:23">
      <c r="A2012" s="3">
        <v>2011</v>
      </c>
      <c r="B2012" s="1" t="s">
        <v>6915</v>
      </c>
      <c r="D2012" s="1" t="s">
        <v>6916</v>
      </c>
      <c r="F2012" s="1" t="s">
        <v>6920</v>
      </c>
      <c r="H2012" s="1" t="s">
        <v>6921</v>
      </c>
      <c r="J2012" s="1" t="s">
        <v>1324</v>
      </c>
      <c r="L2012" s="1" t="s">
        <v>895</v>
      </c>
      <c r="N2012" s="1" t="s">
        <v>6726</v>
      </c>
      <c r="P2012" s="1" t="s">
        <v>3168</v>
      </c>
      <c r="Q2012" s="3">
        <v>0</v>
      </c>
      <c r="R2012" s="22" t="s">
        <v>2721</v>
      </c>
      <c r="S2012" s="42" t="s">
        <v>6910</v>
      </c>
      <c r="T2012" s="3" t="s">
        <v>4868</v>
      </c>
      <c r="U2012" s="45">
        <v>35</v>
      </c>
      <c r="V2012" t="s">
        <v>6919</v>
      </c>
      <c r="W2012" s="1" t="str">
        <f>HYPERLINK("http://ictvonline.org/taxonomy/p/taxonomy-history?taxnode_id=201900963","ICTVonline=201900963")</f>
        <v>ICTVonline=201900963</v>
      </c>
    </row>
    <row r="2013" spans="1:23">
      <c r="A2013" s="3">
        <v>2012</v>
      </c>
      <c r="B2013" s="1" t="s">
        <v>6915</v>
      </c>
      <c r="D2013" s="1" t="s">
        <v>6916</v>
      </c>
      <c r="F2013" s="1" t="s">
        <v>6920</v>
      </c>
      <c r="H2013" s="1" t="s">
        <v>6921</v>
      </c>
      <c r="J2013" s="1" t="s">
        <v>1324</v>
      </c>
      <c r="L2013" s="1" t="s">
        <v>895</v>
      </c>
      <c r="N2013" s="1" t="s">
        <v>6726</v>
      </c>
      <c r="P2013" s="1" t="s">
        <v>3169</v>
      </c>
      <c r="Q2013" s="3">
        <v>0</v>
      </c>
      <c r="R2013" s="22" t="s">
        <v>2721</v>
      </c>
      <c r="S2013" s="42" t="s">
        <v>6910</v>
      </c>
      <c r="T2013" s="3" t="s">
        <v>4868</v>
      </c>
      <c r="U2013" s="45">
        <v>35</v>
      </c>
      <c r="V2013" t="s">
        <v>6919</v>
      </c>
      <c r="W2013" s="1" t="str">
        <f>HYPERLINK("http://ictvonline.org/taxonomy/p/taxonomy-history?taxnode_id=201900964","ICTVonline=201900964")</f>
        <v>ICTVonline=201900964</v>
      </c>
    </row>
    <row r="2014" spans="1:23">
      <c r="A2014" s="3">
        <v>2013</v>
      </c>
      <c r="B2014" s="1" t="s">
        <v>6915</v>
      </c>
      <c r="D2014" s="1" t="s">
        <v>6916</v>
      </c>
      <c r="F2014" s="1" t="s">
        <v>6920</v>
      </c>
      <c r="H2014" s="1" t="s">
        <v>6921</v>
      </c>
      <c r="J2014" s="1" t="s">
        <v>1324</v>
      </c>
      <c r="L2014" s="1" t="s">
        <v>895</v>
      </c>
      <c r="N2014" s="1" t="s">
        <v>6726</v>
      </c>
      <c r="P2014" s="1" t="s">
        <v>3170</v>
      </c>
      <c r="Q2014" s="3">
        <v>1</v>
      </c>
      <c r="R2014" s="22" t="s">
        <v>2721</v>
      </c>
      <c r="S2014" s="42" t="s">
        <v>6910</v>
      </c>
      <c r="T2014" s="3" t="s">
        <v>4868</v>
      </c>
      <c r="U2014" s="45">
        <v>35</v>
      </c>
      <c r="V2014" t="s">
        <v>6919</v>
      </c>
      <c r="W2014" s="1" t="str">
        <f>HYPERLINK("http://ictvonline.org/taxonomy/p/taxonomy-history?taxnode_id=201900965","ICTVonline=201900965")</f>
        <v>ICTVonline=201900965</v>
      </c>
    </row>
    <row r="2015" spans="1:23">
      <c r="A2015" s="3">
        <v>2014</v>
      </c>
      <c r="B2015" s="1" t="s">
        <v>6915</v>
      </c>
      <c r="D2015" s="1" t="s">
        <v>6916</v>
      </c>
      <c r="F2015" s="1" t="s">
        <v>6920</v>
      </c>
      <c r="H2015" s="1" t="s">
        <v>6921</v>
      </c>
      <c r="J2015" s="1" t="s">
        <v>1324</v>
      </c>
      <c r="L2015" s="1" t="s">
        <v>895</v>
      </c>
      <c r="N2015" s="1" t="s">
        <v>6727</v>
      </c>
      <c r="P2015" s="1" t="s">
        <v>4331</v>
      </c>
      <c r="Q2015" s="3">
        <v>0</v>
      </c>
      <c r="R2015" s="22" t="s">
        <v>2721</v>
      </c>
      <c r="S2015" s="42" t="s">
        <v>6910</v>
      </c>
      <c r="T2015" s="3" t="s">
        <v>4868</v>
      </c>
      <c r="U2015" s="45">
        <v>35</v>
      </c>
      <c r="V2015" t="s">
        <v>6919</v>
      </c>
      <c r="W2015" s="1" t="str">
        <f>HYPERLINK("http://ictvonline.org/taxonomy/p/taxonomy-history?taxnode_id=201900993","ICTVonline=201900993")</f>
        <v>ICTVonline=201900993</v>
      </c>
    </row>
    <row r="2016" spans="1:23">
      <c r="A2016" s="3">
        <v>2015</v>
      </c>
      <c r="B2016" s="1" t="s">
        <v>6915</v>
      </c>
      <c r="D2016" s="1" t="s">
        <v>6916</v>
      </c>
      <c r="F2016" s="1" t="s">
        <v>6920</v>
      </c>
      <c r="H2016" s="1" t="s">
        <v>6921</v>
      </c>
      <c r="J2016" s="1" t="s">
        <v>1324</v>
      </c>
      <c r="L2016" s="1" t="s">
        <v>895</v>
      </c>
      <c r="N2016" s="1" t="s">
        <v>6727</v>
      </c>
      <c r="P2016" s="1" t="s">
        <v>4332</v>
      </c>
      <c r="Q2016" s="3">
        <v>1</v>
      </c>
      <c r="R2016" s="22" t="s">
        <v>2721</v>
      </c>
      <c r="S2016" s="42" t="s">
        <v>6910</v>
      </c>
      <c r="T2016" s="3" t="s">
        <v>4868</v>
      </c>
      <c r="U2016" s="45">
        <v>35</v>
      </c>
      <c r="V2016" t="s">
        <v>6919</v>
      </c>
      <c r="W2016" s="1" t="str">
        <f>HYPERLINK("http://ictvonline.org/taxonomy/p/taxonomy-history?taxnode_id=201900994","ICTVonline=201900994")</f>
        <v>ICTVonline=201900994</v>
      </c>
    </row>
    <row r="2017" spans="1:23">
      <c r="A2017" s="3">
        <v>2016</v>
      </c>
      <c r="B2017" s="1" t="s">
        <v>6915</v>
      </c>
      <c r="D2017" s="1" t="s">
        <v>6916</v>
      </c>
      <c r="F2017" s="1" t="s">
        <v>6920</v>
      </c>
      <c r="H2017" s="1" t="s">
        <v>6921</v>
      </c>
      <c r="J2017" s="1" t="s">
        <v>1324</v>
      </c>
      <c r="L2017" s="1" t="s">
        <v>895</v>
      </c>
      <c r="N2017" s="1" t="s">
        <v>4436</v>
      </c>
      <c r="P2017" s="1" t="s">
        <v>4437</v>
      </c>
      <c r="Q2017" s="3">
        <v>1</v>
      </c>
      <c r="R2017" s="22" t="s">
        <v>2721</v>
      </c>
      <c r="S2017" s="42" t="s">
        <v>6910</v>
      </c>
      <c r="T2017" s="3" t="s">
        <v>4868</v>
      </c>
      <c r="U2017" s="45">
        <v>35</v>
      </c>
      <c r="V2017" t="s">
        <v>6919</v>
      </c>
      <c r="W2017" s="1" t="str">
        <f>HYPERLINK("http://ictvonline.org/taxonomy/p/taxonomy-history?taxnode_id=201901334","ICTVonline=201901334")</f>
        <v>ICTVonline=201901334</v>
      </c>
    </row>
    <row r="2018" spans="1:23">
      <c r="A2018" s="3">
        <v>2017</v>
      </c>
      <c r="B2018" s="1" t="s">
        <v>6915</v>
      </c>
      <c r="D2018" s="1" t="s">
        <v>6916</v>
      </c>
      <c r="F2018" s="1" t="s">
        <v>6920</v>
      </c>
      <c r="H2018" s="1" t="s">
        <v>6921</v>
      </c>
      <c r="J2018" s="1" t="s">
        <v>1324</v>
      </c>
      <c r="L2018" s="1" t="s">
        <v>895</v>
      </c>
      <c r="N2018" s="1" t="s">
        <v>7990</v>
      </c>
      <c r="P2018" s="1" t="s">
        <v>7991</v>
      </c>
      <c r="Q2018" s="3">
        <v>0</v>
      </c>
      <c r="R2018" s="22" t="s">
        <v>2721</v>
      </c>
      <c r="S2018" s="42" t="s">
        <v>6914</v>
      </c>
      <c r="T2018" s="3" t="s">
        <v>4866</v>
      </c>
      <c r="U2018" s="45">
        <v>35</v>
      </c>
      <c r="V2018" t="s">
        <v>7992</v>
      </c>
      <c r="W2018" s="1" t="str">
        <f>HYPERLINK("http://ictvonline.org/taxonomy/p/taxonomy-history?taxnode_id=201907706","ICTVonline=201907706")</f>
        <v>ICTVonline=201907706</v>
      </c>
    </row>
    <row r="2019" spans="1:23">
      <c r="A2019" s="3">
        <v>2018</v>
      </c>
      <c r="B2019" s="1" t="s">
        <v>6915</v>
      </c>
      <c r="D2019" s="1" t="s">
        <v>6916</v>
      </c>
      <c r="F2019" s="1" t="s">
        <v>6920</v>
      </c>
      <c r="H2019" s="1" t="s">
        <v>6921</v>
      </c>
      <c r="J2019" s="1" t="s">
        <v>1324</v>
      </c>
      <c r="L2019" s="1" t="s">
        <v>895</v>
      </c>
      <c r="N2019" s="1" t="s">
        <v>7990</v>
      </c>
      <c r="P2019" s="1" t="s">
        <v>7993</v>
      </c>
      <c r="Q2019" s="3">
        <v>1</v>
      </c>
      <c r="R2019" s="22" t="s">
        <v>2721</v>
      </c>
      <c r="S2019" s="42" t="s">
        <v>6914</v>
      </c>
      <c r="T2019" s="3" t="s">
        <v>4866</v>
      </c>
      <c r="U2019" s="45">
        <v>35</v>
      </c>
      <c r="V2019" t="s">
        <v>7992</v>
      </c>
      <c r="W2019" s="1" t="str">
        <f>HYPERLINK("http://ictvonline.org/taxonomy/p/taxonomy-history?taxnode_id=201907705","ICTVonline=201907705")</f>
        <v>ICTVonline=201907705</v>
      </c>
    </row>
    <row r="2020" spans="1:23">
      <c r="A2020" s="3">
        <v>2019</v>
      </c>
      <c r="B2020" s="1" t="s">
        <v>6915</v>
      </c>
      <c r="D2020" s="1" t="s">
        <v>6916</v>
      </c>
      <c r="F2020" s="1" t="s">
        <v>6920</v>
      </c>
      <c r="H2020" s="1" t="s">
        <v>6921</v>
      </c>
      <c r="J2020" s="1" t="s">
        <v>1324</v>
      </c>
      <c r="L2020" s="1" t="s">
        <v>895</v>
      </c>
      <c r="N2020" s="1" t="s">
        <v>7994</v>
      </c>
      <c r="P2020" s="1" t="s">
        <v>3279</v>
      </c>
      <c r="Q2020" s="3">
        <v>1</v>
      </c>
      <c r="R2020" s="22" t="s">
        <v>2721</v>
      </c>
      <c r="S2020" s="42" t="s">
        <v>6914</v>
      </c>
      <c r="T2020" s="3" t="s">
        <v>4871</v>
      </c>
      <c r="U2020" s="45">
        <v>35</v>
      </c>
      <c r="V2020" t="s">
        <v>7995</v>
      </c>
      <c r="W2020" s="1" t="str">
        <f>HYPERLINK("http://ictvonline.org/taxonomy/p/taxonomy-history?taxnode_id=201901187","ICTVonline=201901187")</f>
        <v>ICTVonline=201901187</v>
      </c>
    </row>
    <row r="2021" spans="1:23">
      <c r="A2021" s="3">
        <v>2020</v>
      </c>
      <c r="B2021" s="1" t="s">
        <v>6915</v>
      </c>
      <c r="D2021" s="1" t="s">
        <v>6916</v>
      </c>
      <c r="F2021" s="1" t="s">
        <v>6920</v>
      </c>
      <c r="H2021" s="1" t="s">
        <v>6921</v>
      </c>
      <c r="J2021" s="1" t="s">
        <v>1324</v>
      </c>
      <c r="L2021" s="1" t="s">
        <v>895</v>
      </c>
      <c r="N2021" s="1" t="s">
        <v>6732</v>
      </c>
      <c r="P2021" s="1" t="s">
        <v>3395</v>
      </c>
      <c r="Q2021" s="3">
        <v>0</v>
      </c>
      <c r="R2021" s="22" t="s">
        <v>2721</v>
      </c>
      <c r="S2021" s="42" t="s">
        <v>6910</v>
      </c>
      <c r="T2021" s="3" t="s">
        <v>4868</v>
      </c>
      <c r="U2021" s="45">
        <v>35</v>
      </c>
      <c r="V2021" t="s">
        <v>6919</v>
      </c>
      <c r="W2021" s="1" t="str">
        <f>HYPERLINK("http://ictvonline.org/taxonomy/p/taxonomy-history?taxnode_id=201901343","ICTVonline=201901343")</f>
        <v>ICTVonline=201901343</v>
      </c>
    </row>
    <row r="2022" spans="1:23">
      <c r="A2022" s="3">
        <v>2021</v>
      </c>
      <c r="B2022" s="1" t="s">
        <v>6915</v>
      </c>
      <c r="D2022" s="1" t="s">
        <v>6916</v>
      </c>
      <c r="F2022" s="1" t="s">
        <v>6920</v>
      </c>
      <c r="H2022" s="1" t="s">
        <v>6921</v>
      </c>
      <c r="J2022" s="1" t="s">
        <v>1324</v>
      </c>
      <c r="L2022" s="1" t="s">
        <v>895</v>
      </c>
      <c r="N2022" s="1" t="s">
        <v>6732</v>
      </c>
      <c r="P2022" s="1" t="s">
        <v>3396</v>
      </c>
      <c r="Q2022" s="3">
        <v>0</v>
      </c>
      <c r="R2022" s="22" t="s">
        <v>2721</v>
      </c>
      <c r="S2022" s="42" t="s">
        <v>6910</v>
      </c>
      <c r="T2022" s="3" t="s">
        <v>4868</v>
      </c>
      <c r="U2022" s="45">
        <v>35</v>
      </c>
      <c r="V2022" t="s">
        <v>6919</v>
      </c>
      <c r="W2022" s="1" t="str">
        <f>HYPERLINK("http://ictvonline.org/taxonomy/p/taxonomy-history?taxnode_id=201901344","ICTVonline=201901344")</f>
        <v>ICTVonline=201901344</v>
      </c>
    </row>
    <row r="2023" spans="1:23">
      <c r="A2023" s="3">
        <v>2022</v>
      </c>
      <c r="B2023" s="1" t="s">
        <v>6915</v>
      </c>
      <c r="D2023" s="1" t="s">
        <v>6916</v>
      </c>
      <c r="F2023" s="1" t="s">
        <v>6920</v>
      </c>
      <c r="H2023" s="1" t="s">
        <v>6921</v>
      </c>
      <c r="J2023" s="1" t="s">
        <v>1324</v>
      </c>
      <c r="L2023" s="1" t="s">
        <v>895</v>
      </c>
      <c r="N2023" s="1" t="s">
        <v>6732</v>
      </c>
      <c r="P2023" s="1" t="s">
        <v>7996</v>
      </c>
      <c r="Q2023" s="3">
        <v>0</v>
      </c>
      <c r="R2023" s="22" t="s">
        <v>2721</v>
      </c>
      <c r="S2023" s="42" t="s">
        <v>6914</v>
      </c>
      <c r="T2023" s="3" t="s">
        <v>4868</v>
      </c>
      <c r="U2023" s="45">
        <v>35</v>
      </c>
      <c r="V2023" t="s">
        <v>7836</v>
      </c>
      <c r="W2023" s="1" t="str">
        <f>HYPERLINK("http://ictvonline.org/taxonomy/p/taxonomy-history?taxnode_id=201901345","ICTVonline=201901345")</f>
        <v>ICTVonline=201901345</v>
      </c>
    </row>
    <row r="2024" spans="1:23">
      <c r="A2024" s="3">
        <v>2023</v>
      </c>
      <c r="B2024" s="1" t="s">
        <v>6915</v>
      </c>
      <c r="D2024" s="1" t="s">
        <v>6916</v>
      </c>
      <c r="F2024" s="1" t="s">
        <v>6920</v>
      </c>
      <c r="H2024" s="1" t="s">
        <v>6921</v>
      </c>
      <c r="J2024" s="1" t="s">
        <v>1324</v>
      </c>
      <c r="L2024" s="1" t="s">
        <v>895</v>
      </c>
      <c r="N2024" s="1" t="s">
        <v>6732</v>
      </c>
      <c r="P2024" s="1" t="s">
        <v>6733</v>
      </c>
      <c r="Q2024" s="3">
        <v>0</v>
      </c>
      <c r="R2024" s="22" t="s">
        <v>2721</v>
      </c>
      <c r="S2024" s="42" t="s">
        <v>6910</v>
      </c>
      <c r="T2024" s="3" t="s">
        <v>4868</v>
      </c>
      <c r="U2024" s="45">
        <v>35</v>
      </c>
      <c r="V2024" t="s">
        <v>6919</v>
      </c>
      <c r="W2024" s="1" t="str">
        <f>HYPERLINK("http://ictvonline.org/taxonomy/p/taxonomy-history?taxnode_id=201901346","ICTVonline=201901346")</f>
        <v>ICTVonline=201901346</v>
      </c>
    </row>
    <row r="2025" spans="1:23">
      <c r="A2025" s="3">
        <v>2024</v>
      </c>
      <c r="B2025" s="1" t="s">
        <v>6915</v>
      </c>
      <c r="D2025" s="1" t="s">
        <v>6916</v>
      </c>
      <c r="F2025" s="1" t="s">
        <v>6920</v>
      </c>
      <c r="H2025" s="1" t="s">
        <v>6921</v>
      </c>
      <c r="J2025" s="1" t="s">
        <v>1324</v>
      </c>
      <c r="L2025" s="1" t="s">
        <v>895</v>
      </c>
      <c r="N2025" s="1" t="s">
        <v>6732</v>
      </c>
      <c r="P2025" s="1" t="s">
        <v>7997</v>
      </c>
      <c r="Q2025" s="3">
        <v>0</v>
      </c>
      <c r="R2025" s="22" t="s">
        <v>2721</v>
      </c>
      <c r="S2025" s="42" t="s">
        <v>6914</v>
      </c>
      <c r="T2025" s="3" t="s">
        <v>4868</v>
      </c>
      <c r="U2025" s="45">
        <v>35</v>
      </c>
      <c r="V2025" t="s">
        <v>7836</v>
      </c>
      <c r="W2025" s="1" t="str">
        <f>HYPERLINK("http://ictvonline.org/taxonomy/p/taxonomy-history?taxnode_id=201901347","ICTVonline=201901347")</f>
        <v>ICTVonline=201901347</v>
      </c>
    </row>
    <row r="2026" spans="1:23">
      <c r="A2026" s="3">
        <v>2025</v>
      </c>
      <c r="B2026" s="1" t="s">
        <v>6915</v>
      </c>
      <c r="D2026" s="1" t="s">
        <v>6916</v>
      </c>
      <c r="F2026" s="1" t="s">
        <v>6920</v>
      </c>
      <c r="H2026" s="1" t="s">
        <v>6921</v>
      </c>
      <c r="J2026" s="1" t="s">
        <v>1324</v>
      </c>
      <c r="L2026" s="1" t="s">
        <v>895</v>
      </c>
      <c r="N2026" s="1" t="s">
        <v>6732</v>
      </c>
      <c r="P2026" s="1" t="s">
        <v>3397</v>
      </c>
      <c r="Q2026" s="3">
        <v>0</v>
      </c>
      <c r="R2026" s="22" t="s">
        <v>2721</v>
      </c>
      <c r="S2026" s="42" t="s">
        <v>6910</v>
      </c>
      <c r="T2026" s="3" t="s">
        <v>4868</v>
      </c>
      <c r="U2026" s="45">
        <v>35</v>
      </c>
      <c r="V2026" t="s">
        <v>6919</v>
      </c>
      <c r="W2026" s="1" t="str">
        <f>HYPERLINK("http://ictvonline.org/taxonomy/p/taxonomy-history?taxnode_id=201901348","ICTVonline=201901348")</f>
        <v>ICTVonline=201901348</v>
      </c>
    </row>
    <row r="2027" spans="1:23">
      <c r="A2027" s="3">
        <v>2026</v>
      </c>
      <c r="B2027" s="1" t="s">
        <v>6915</v>
      </c>
      <c r="D2027" s="1" t="s">
        <v>6916</v>
      </c>
      <c r="F2027" s="1" t="s">
        <v>6920</v>
      </c>
      <c r="H2027" s="1" t="s">
        <v>6921</v>
      </c>
      <c r="J2027" s="1" t="s">
        <v>1324</v>
      </c>
      <c r="L2027" s="1" t="s">
        <v>895</v>
      </c>
      <c r="N2027" s="1" t="s">
        <v>6732</v>
      </c>
      <c r="P2027" s="1" t="s">
        <v>7998</v>
      </c>
      <c r="Q2027" s="3">
        <v>0</v>
      </c>
      <c r="R2027" s="22" t="s">
        <v>2721</v>
      </c>
      <c r="S2027" s="42" t="s">
        <v>6914</v>
      </c>
      <c r="T2027" s="3" t="s">
        <v>4868</v>
      </c>
      <c r="U2027" s="45">
        <v>35</v>
      </c>
      <c r="V2027" t="s">
        <v>7836</v>
      </c>
      <c r="W2027" s="1" t="str">
        <f>HYPERLINK("http://ictvonline.org/taxonomy/p/taxonomy-history?taxnode_id=201901349","ICTVonline=201901349")</f>
        <v>ICTVonline=201901349</v>
      </c>
    </row>
    <row r="2028" spans="1:23">
      <c r="A2028" s="3">
        <v>2027</v>
      </c>
      <c r="B2028" s="1" t="s">
        <v>6915</v>
      </c>
      <c r="D2028" s="1" t="s">
        <v>6916</v>
      </c>
      <c r="F2028" s="1" t="s">
        <v>6920</v>
      </c>
      <c r="H2028" s="1" t="s">
        <v>6921</v>
      </c>
      <c r="J2028" s="1" t="s">
        <v>1324</v>
      </c>
      <c r="L2028" s="1" t="s">
        <v>895</v>
      </c>
      <c r="N2028" s="1" t="s">
        <v>6732</v>
      </c>
      <c r="P2028" s="1" t="s">
        <v>3398</v>
      </c>
      <c r="Q2028" s="3">
        <v>0</v>
      </c>
      <c r="R2028" s="22" t="s">
        <v>2721</v>
      </c>
      <c r="S2028" s="42" t="s">
        <v>6910</v>
      </c>
      <c r="T2028" s="3" t="s">
        <v>4868</v>
      </c>
      <c r="U2028" s="45">
        <v>35</v>
      </c>
      <c r="V2028" t="s">
        <v>6919</v>
      </c>
      <c r="W2028" s="1" t="str">
        <f>HYPERLINK("http://ictvonline.org/taxonomy/p/taxonomy-history?taxnode_id=201901350","ICTVonline=201901350")</f>
        <v>ICTVonline=201901350</v>
      </c>
    </row>
    <row r="2029" spans="1:23">
      <c r="A2029" s="3">
        <v>2028</v>
      </c>
      <c r="B2029" s="1" t="s">
        <v>6915</v>
      </c>
      <c r="D2029" s="1" t="s">
        <v>6916</v>
      </c>
      <c r="F2029" s="1" t="s">
        <v>6920</v>
      </c>
      <c r="H2029" s="1" t="s">
        <v>6921</v>
      </c>
      <c r="J2029" s="1" t="s">
        <v>1324</v>
      </c>
      <c r="L2029" s="1" t="s">
        <v>895</v>
      </c>
      <c r="N2029" s="1" t="s">
        <v>6732</v>
      </c>
      <c r="P2029" s="1" t="s">
        <v>3399</v>
      </c>
      <c r="Q2029" s="3">
        <v>1</v>
      </c>
      <c r="R2029" s="22" t="s">
        <v>2721</v>
      </c>
      <c r="S2029" s="42" t="s">
        <v>6910</v>
      </c>
      <c r="T2029" s="3" t="s">
        <v>4868</v>
      </c>
      <c r="U2029" s="45">
        <v>35</v>
      </c>
      <c r="V2029" t="s">
        <v>6919</v>
      </c>
      <c r="W2029" s="1" t="str">
        <f>HYPERLINK("http://ictvonline.org/taxonomy/p/taxonomy-history?taxnode_id=201901351","ICTVonline=201901351")</f>
        <v>ICTVonline=201901351</v>
      </c>
    </row>
    <row r="2030" spans="1:23">
      <c r="A2030" s="3">
        <v>2029</v>
      </c>
      <c r="B2030" s="1" t="s">
        <v>6915</v>
      </c>
      <c r="D2030" s="1" t="s">
        <v>6916</v>
      </c>
      <c r="F2030" s="1" t="s">
        <v>6920</v>
      </c>
      <c r="H2030" s="1" t="s">
        <v>6921</v>
      </c>
      <c r="J2030" s="1" t="s">
        <v>1324</v>
      </c>
      <c r="L2030" s="1" t="s">
        <v>895</v>
      </c>
      <c r="N2030" s="1" t="s">
        <v>6734</v>
      </c>
      <c r="P2030" s="1" t="s">
        <v>4438</v>
      </c>
      <c r="Q2030" s="3">
        <v>1</v>
      </c>
      <c r="R2030" s="22" t="s">
        <v>2721</v>
      </c>
      <c r="S2030" s="42" t="s">
        <v>6910</v>
      </c>
      <c r="T2030" s="3" t="s">
        <v>4868</v>
      </c>
      <c r="U2030" s="45">
        <v>35</v>
      </c>
      <c r="V2030" t="s">
        <v>6919</v>
      </c>
      <c r="W2030" s="1" t="str">
        <f>HYPERLINK("http://ictvonline.org/taxonomy/p/taxonomy-history?taxnode_id=201901336","ICTVonline=201901336")</f>
        <v>ICTVonline=201901336</v>
      </c>
    </row>
    <row r="2031" spans="1:23">
      <c r="A2031" s="3">
        <v>2030</v>
      </c>
      <c r="B2031" s="1" t="s">
        <v>6915</v>
      </c>
      <c r="D2031" s="1" t="s">
        <v>6916</v>
      </c>
      <c r="F2031" s="1" t="s">
        <v>6920</v>
      </c>
      <c r="H2031" s="1" t="s">
        <v>6921</v>
      </c>
      <c r="J2031" s="1" t="s">
        <v>1324</v>
      </c>
      <c r="L2031" s="1" t="s">
        <v>895</v>
      </c>
      <c r="N2031" s="1" t="s">
        <v>6734</v>
      </c>
      <c r="P2031" s="1" t="s">
        <v>4439</v>
      </c>
      <c r="Q2031" s="3">
        <v>0</v>
      </c>
      <c r="R2031" s="22" t="s">
        <v>2721</v>
      </c>
      <c r="S2031" s="42" t="s">
        <v>6910</v>
      </c>
      <c r="T2031" s="3" t="s">
        <v>4868</v>
      </c>
      <c r="U2031" s="45">
        <v>35</v>
      </c>
      <c r="V2031" t="s">
        <v>6919</v>
      </c>
      <c r="W2031" s="1" t="str">
        <f>HYPERLINK("http://ictvonline.org/taxonomy/p/taxonomy-history?taxnode_id=201901337","ICTVonline=201901337")</f>
        <v>ICTVonline=201901337</v>
      </c>
    </row>
    <row r="2032" spans="1:23">
      <c r="A2032" s="3">
        <v>2031</v>
      </c>
      <c r="B2032" s="1" t="s">
        <v>6915</v>
      </c>
      <c r="D2032" s="1" t="s">
        <v>6916</v>
      </c>
      <c r="F2032" s="1" t="s">
        <v>6920</v>
      </c>
      <c r="H2032" s="1" t="s">
        <v>6921</v>
      </c>
      <c r="J2032" s="1" t="s">
        <v>1324</v>
      </c>
      <c r="L2032" s="1" t="s">
        <v>895</v>
      </c>
      <c r="N2032" s="1" t="s">
        <v>6734</v>
      </c>
      <c r="P2032" s="1" t="s">
        <v>4440</v>
      </c>
      <c r="Q2032" s="3">
        <v>0</v>
      </c>
      <c r="R2032" s="22" t="s">
        <v>2721</v>
      </c>
      <c r="S2032" s="42" t="s">
        <v>6910</v>
      </c>
      <c r="T2032" s="3" t="s">
        <v>4868</v>
      </c>
      <c r="U2032" s="45">
        <v>35</v>
      </c>
      <c r="V2032" t="s">
        <v>6919</v>
      </c>
      <c r="W2032" s="1" t="str">
        <f>HYPERLINK("http://ictvonline.org/taxonomy/p/taxonomy-history?taxnode_id=201901338","ICTVonline=201901338")</f>
        <v>ICTVonline=201901338</v>
      </c>
    </row>
    <row r="2033" spans="1:23">
      <c r="A2033" s="3">
        <v>2032</v>
      </c>
      <c r="B2033" s="1" t="s">
        <v>6915</v>
      </c>
      <c r="D2033" s="1" t="s">
        <v>6916</v>
      </c>
      <c r="F2033" s="1" t="s">
        <v>6920</v>
      </c>
      <c r="H2033" s="1" t="s">
        <v>6921</v>
      </c>
      <c r="J2033" s="1" t="s">
        <v>1324</v>
      </c>
      <c r="L2033" s="1" t="s">
        <v>895</v>
      </c>
      <c r="N2033" s="1" t="s">
        <v>4441</v>
      </c>
      <c r="P2033" s="1" t="s">
        <v>4442</v>
      </c>
      <c r="Q2033" s="3">
        <v>0</v>
      </c>
      <c r="R2033" s="22" t="s">
        <v>2721</v>
      </c>
      <c r="S2033" s="42" t="s">
        <v>6910</v>
      </c>
      <c r="T2033" s="3" t="s">
        <v>4868</v>
      </c>
      <c r="U2033" s="45">
        <v>35</v>
      </c>
      <c r="V2033" t="s">
        <v>6919</v>
      </c>
      <c r="W2033" s="1" t="str">
        <f>HYPERLINK("http://ictvonline.org/taxonomy/p/taxonomy-history?taxnode_id=201901340","ICTVonline=201901340")</f>
        <v>ICTVonline=201901340</v>
      </c>
    </row>
    <row r="2034" spans="1:23">
      <c r="A2034" s="3">
        <v>2033</v>
      </c>
      <c r="B2034" s="1" t="s">
        <v>6915</v>
      </c>
      <c r="D2034" s="1" t="s">
        <v>6916</v>
      </c>
      <c r="F2034" s="1" t="s">
        <v>6920</v>
      </c>
      <c r="H2034" s="1" t="s">
        <v>6921</v>
      </c>
      <c r="J2034" s="1" t="s">
        <v>1324</v>
      </c>
      <c r="L2034" s="1" t="s">
        <v>895</v>
      </c>
      <c r="N2034" s="1" t="s">
        <v>4441</v>
      </c>
      <c r="P2034" s="1" t="s">
        <v>4443</v>
      </c>
      <c r="Q2034" s="3">
        <v>1</v>
      </c>
      <c r="R2034" s="22" t="s">
        <v>2721</v>
      </c>
      <c r="S2034" s="42" t="s">
        <v>6910</v>
      </c>
      <c r="T2034" s="3" t="s">
        <v>4868</v>
      </c>
      <c r="U2034" s="45">
        <v>35</v>
      </c>
      <c r="V2034" t="s">
        <v>6919</v>
      </c>
      <c r="W2034" s="1" t="str">
        <f>HYPERLINK("http://ictvonline.org/taxonomy/p/taxonomy-history?taxnode_id=201901341","ICTVonline=201901341")</f>
        <v>ICTVonline=201901341</v>
      </c>
    </row>
    <row r="2035" spans="1:23">
      <c r="A2035" s="3">
        <v>2034</v>
      </c>
      <c r="B2035" s="1" t="s">
        <v>6915</v>
      </c>
      <c r="D2035" s="1" t="s">
        <v>6916</v>
      </c>
      <c r="F2035" s="1" t="s">
        <v>6920</v>
      </c>
      <c r="H2035" s="1" t="s">
        <v>6921</v>
      </c>
      <c r="J2035" s="1" t="s">
        <v>1324</v>
      </c>
      <c r="L2035" s="1" t="s">
        <v>895</v>
      </c>
      <c r="N2035" s="1" t="s">
        <v>6735</v>
      </c>
      <c r="P2035" s="1" t="s">
        <v>6736</v>
      </c>
      <c r="Q2035" s="3">
        <v>1</v>
      </c>
      <c r="R2035" s="22" t="s">
        <v>2721</v>
      </c>
      <c r="S2035" s="42" t="s">
        <v>6910</v>
      </c>
      <c r="T2035" s="3" t="s">
        <v>4868</v>
      </c>
      <c r="U2035" s="45">
        <v>35</v>
      </c>
      <c r="V2035" t="s">
        <v>6919</v>
      </c>
      <c r="W2035" s="1" t="str">
        <f>HYPERLINK("http://ictvonline.org/taxonomy/p/taxonomy-history?taxnode_id=201906722","ICTVonline=201906722")</f>
        <v>ICTVonline=201906722</v>
      </c>
    </row>
    <row r="2036" spans="1:23">
      <c r="A2036" s="3">
        <v>2035</v>
      </c>
      <c r="B2036" s="1" t="s">
        <v>6915</v>
      </c>
      <c r="D2036" s="1" t="s">
        <v>6916</v>
      </c>
      <c r="F2036" s="1" t="s">
        <v>6920</v>
      </c>
      <c r="H2036" s="1" t="s">
        <v>6921</v>
      </c>
      <c r="J2036" s="1" t="s">
        <v>1324</v>
      </c>
      <c r="L2036" s="1" t="s">
        <v>895</v>
      </c>
      <c r="N2036" s="1" t="s">
        <v>3402</v>
      </c>
      <c r="P2036" s="1" t="s">
        <v>3403</v>
      </c>
      <c r="Q2036" s="3">
        <v>0</v>
      </c>
      <c r="R2036" s="22" t="s">
        <v>2721</v>
      </c>
      <c r="S2036" s="42" t="s">
        <v>6910</v>
      </c>
      <c r="T2036" s="3" t="s">
        <v>4868</v>
      </c>
      <c r="U2036" s="45">
        <v>35</v>
      </c>
      <c r="V2036" t="s">
        <v>6919</v>
      </c>
      <c r="W2036" s="1" t="str">
        <f>HYPERLINK("http://ictvonline.org/taxonomy/p/taxonomy-history?taxnode_id=201901356","ICTVonline=201901356")</f>
        <v>ICTVonline=201901356</v>
      </c>
    </row>
    <row r="2037" spans="1:23">
      <c r="A2037" s="3">
        <v>2036</v>
      </c>
      <c r="B2037" s="1" t="s">
        <v>6915</v>
      </c>
      <c r="D2037" s="1" t="s">
        <v>6916</v>
      </c>
      <c r="F2037" s="1" t="s">
        <v>6920</v>
      </c>
      <c r="H2037" s="1" t="s">
        <v>6921</v>
      </c>
      <c r="J2037" s="1" t="s">
        <v>1324</v>
      </c>
      <c r="L2037" s="1" t="s">
        <v>895</v>
      </c>
      <c r="N2037" s="1" t="s">
        <v>3402</v>
      </c>
      <c r="P2037" s="1" t="s">
        <v>3404</v>
      </c>
      <c r="Q2037" s="3">
        <v>1</v>
      </c>
      <c r="R2037" s="22" t="s">
        <v>2721</v>
      </c>
      <c r="S2037" s="42" t="s">
        <v>6910</v>
      </c>
      <c r="T2037" s="3" t="s">
        <v>4868</v>
      </c>
      <c r="U2037" s="45">
        <v>35</v>
      </c>
      <c r="V2037" t="s">
        <v>6919</v>
      </c>
      <c r="W2037" s="1" t="str">
        <f>HYPERLINK("http://ictvonline.org/taxonomy/p/taxonomy-history?taxnode_id=201901357","ICTVonline=201901357")</f>
        <v>ICTVonline=201901357</v>
      </c>
    </row>
    <row r="2038" spans="1:23">
      <c r="A2038" s="3">
        <v>2037</v>
      </c>
      <c r="B2038" s="1" t="s">
        <v>6915</v>
      </c>
      <c r="D2038" s="1" t="s">
        <v>6916</v>
      </c>
      <c r="F2038" s="1" t="s">
        <v>6920</v>
      </c>
      <c r="H2038" s="1" t="s">
        <v>6921</v>
      </c>
      <c r="J2038" s="1" t="s">
        <v>1324</v>
      </c>
      <c r="L2038" s="1" t="s">
        <v>895</v>
      </c>
      <c r="N2038" s="1" t="s">
        <v>3402</v>
      </c>
      <c r="P2038" s="1" t="s">
        <v>3405</v>
      </c>
      <c r="Q2038" s="3">
        <v>0</v>
      </c>
      <c r="R2038" s="22" t="s">
        <v>2721</v>
      </c>
      <c r="S2038" s="42" t="s">
        <v>6910</v>
      </c>
      <c r="T2038" s="3" t="s">
        <v>4868</v>
      </c>
      <c r="U2038" s="45">
        <v>35</v>
      </c>
      <c r="V2038" t="s">
        <v>6919</v>
      </c>
      <c r="W2038" s="1" t="str">
        <f>HYPERLINK("http://ictvonline.org/taxonomy/p/taxonomy-history?taxnode_id=201901358","ICTVonline=201901358")</f>
        <v>ICTVonline=201901358</v>
      </c>
    </row>
    <row r="2039" spans="1:23">
      <c r="A2039" s="3">
        <v>2038</v>
      </c>
      <c r="B2039" s="1" t="s">
        <v>6915</v>
      </c>
      <c r="D2039" s="1" t="s">
        <v>6916</v>
      </c>
      <c r="F2039" s="1" t="s">
        <v>6920</v>
      </c>
      <c r="H2039" s="1" t="s">
        <v>6921</v>
      </c>
      <c r="J2039" s="1" t="s">
        <v>1324</v>
      </c>
      <c r="L2039" s="1" t="s">
        <v>895</v>
      </c>
      <c r="N2039" s="1" t="s">
        <v>3402</v>
      </c>
      <c r="P2039" s="1" t="s">
        <v>3406</v>
      </c>
      <c r="Q2039" s="3">
        <v>0</v>
      </c>
      <c r="R2039" s="22" t="s">
        <v>2721</v>
      </c>
      <c r="S2039" s="42" t="s">
        <v>6910</v>
      </c>
      <c r="T2039" s="3" t="s">
        <v>4868</v>
      </c>
      <c r="U2039" s="45">
        <v>35</v>
      </c>
      <c r="V2039" t="s">
        <v>6919</v>
      </c>
      <c r="W2039" s="1" t="str">
        <f>HYPERLINK("http://ictvonline.org/taxonomy/p/taxonomy-history?taxnode_id=201901359","ICTVonline=201901359")</f>
        <v>ICTVonline=201901359</v>
      </c>
    </row>
    <row r="2040" spans="1:23">
      <c r="A2040" s="3">
        <v>2039</v>
      </c>
      <c r="B2040" s="1" t="s">
        <v>6915</v>
      </c>
      <c r="D2040" s="1" t="s">
        <v>6916</v>
      </c>
      <c r="F2040" s="1" t="s">
        <v>6920</v>
      </c>
      <c r="H2040" s="1" t="s">
        <v>6921</v>
      </c>
      <c r="J2040" s="1" t="s">
        <v>1324</v>
      </c>
      <c r="L2040" s="1" t="s">
        <v>895</v>
      </c>
      <c r="N2040" s="1" t="s">
        <v>3402</v>
      </c>
      <c r="P2040" s="1" t="s">
        <v>3407</v>
      </c>
      <c r="Q2040" s="3">
        <v>0</v>
      </c>
      <c r="R2040" s="22" t="s">
        <v>2721</v>
      </c>
      <c r="S2040" s="42" t="s">
        <v>6910</v>
      </c>
      <c r="T2040" s="3" t="s">
        <v>4868</v>
      </c>
      <c r="U2040" s="45">
        <v>35</v>
      </c>
      <c r="V2040" t="s">
        <v>6919</v>
      </c>
      <c r="W2040" s="1" t="str">
        <f>HYPERLINK("http://ictvonline.org/taxonomy/p/taxonomy-history?taxnode_id=201901360","ICTVonline=201901360")</f>
        <v>ICTVonline=201901360</v>
      </c>
    </row>
    <row r="2041" spans="1:23">
      <c r="A2041" s="3">
        <v>2040</v>
      </c>
      <c r="B2041" s="1" t="s">
        <v>6915</v>
      </c>
      <c r="D2041" s="1" t="s">
        <v>6916</v>
      </c>
      <c r="F2041" s="1" t="s">
        <v>6920</v>
      </c>
      <c r="H2041" s="1" t="s">
        <v>6921</v>
      </c>
      <c r="J2041" s="1" t="s">
        <v>1324</v>
      </c>
      <c r="L2041" s="1" t="s">
        <v>895</v>
      </c>
      <c r="N2041" s="1" t="s">
        <v>3402</v>
      </c>
      <c r="P2041" s="1" t="s">
        <v>3408</v>
      </c>
      <c r="Q2041" s="3">
        <v>0</v>
      </c>
      <c r="R2041" s="22" t="s">
        <v>2721</v>
      </c>
      <c r="S2041" s="42" t="s">
        <v>6910</v>
      </c>
      <c r="T2041" s="3" t="s">
        <v>4868</v>
      </c>
      <c r="U2041" s="45">
        <v>35</v>
      </c>
      <c r="V2041" t="s">
        <v>6919</v>
      </c>
      <c r="W2041" s="1" t="str">
        <f>HYPERLINK("http://ictvonline.org/taxonomy/p/taxonomy-history?taxnode_id=201901361","ICTVonline=201901361")</f>
        <v>ICTVonline=201901361</v>
      </c>
    </row>
    <row r="2042" spans="1:23">
      <c r="A2042" s="3">
        <v>2041</v>
      </c>
      <c r="B2042" s="1" t="s">
        <v>6915</v>
      </c>
      <c r="D2042" s="1" t="s">
        <v>6916</v>
      </c>
      <c r="F2042" s="1" t="s">
        <v>6920</v>
      </c>
      <c r="H2042" s="1" t="s">
        <v>6921</v>
      </c>
      <c r="J2042" s="1" t="s">
        <v>1324</v>
      </c>
      <c r="L2042" s="1" t="s">
        <v>895</v>
      </c>
      <c r="N2042" s="1" t="s">
        <v>5027</v>
      </c>
      <c r="P2042" s="1" t="s">
        <v>5028</v>
      </c>
      <c r="Q2042" s="3">
        <v>1</v>
      </c>
      <c r="R2042" s="22" t="s">
        <v>2721</v>
      </c>
      <c r="S2042" s="42" t="s">
        <v>6910</v>
      </c>
      <c r="T2042" s="3" t="s">
        <v>4868</v>
      </c>
      <c r="U2042" s="45">
        <v>35</v>
      </c>
      <c r="V2042" t="s">
        <v>6919</v>
      </c>
      <c r="W2042" s="1" t="str">
        <f>HYPERLINK("http://ictvonline.org/taxonomy/p/taxonomy-history?taxnode_id=201905565","ICTVonline=201905565")</f>
        <v>ICTVonline=201905565</v>
      </c>
    </row>
    <row r="2043" spans="1:23">
      <c r="A2043" s="3">
        <v>2042</v>
      </c>
      <c r="B2043" s="1" t="s">
        <v>6915</v>
      </c>
      <c r="D2043" s="1" t="s">
        <v>6916</v>
      </c>
      <c r="F2043" s="1" t="s">
        <v>6920</v>
      </c>
      <c r="H2043" s="1" t="s">
        <v>6921</v>
      </c>
      <c r="J2043" s="1" t="s">
        <v>1324</v>
      </c>
      <c r="L2043" s="1" t="s">
        <v>895</v>
      </c>
      <c r="N2043" s="1" t="s">
        <v>6737</v>
      </c>
      <c r="P2043" s="1" t="s">
        <v>6738</v>
      </c>
      <c r="Q2043" s="3">
        <v>1</v>
      </c>
      <c r="R2043" s="22" t="s">
        <v>2721</v>
      </c>
      <c r="S2043" s="42" t="s">
        <v>6910</v>
      </c>
      <c r="T2043" s="3" t="s">
        <v>4868</v>
      </c>
      <c r="U2043" s="45">
        <v>35</v>
      </c>
      <c r="V2043" t="s">
        <v>6919</v>
      </c>
      <c r="W2043" s="1" t="str">
        <f>HYPERLINK("http://ictvonline.org/taxonomy/p/taxonomy-history?taxnode_id=201906789","ICTVonline=201906789")</f>
        <v>ICTVonline=201906789</v>
      </c>
    </row>
    <row r="2044" spans="1:23">
      <c r="A2044" s="3">
        <v>2043</v>
      </c>
      <c r="B2044" s="1" t="s">
        <v>6915</v>
      </c>
      <c r="D2044" s="1" t="s">
        <v>6916</v>
      </c>
      <c r="F2044" s="1" t="s">
        <v>6920</v>
      </c>
      <c r="H2044" s="1" t="s">
        <v>6921</v>
      </c>
      <c r="J2044" s="1" t="s">
        <v>1324</v>
      </c>
      <c r="L2044" s="1" t="s">
        <v>895</v>
      </c>
      <c r="N2044" s="1" t="s">
        <v>7999</v>
      </c>
      <c r="P2044" s="1" t="s">
        <v>8000</v>
      </c>
      <c r="Q2044" s="3">
        <v>1</v>
      </c>
      <c r="R2044" s="22" t="s">
        <v>2721</v>
      </c>
      <c r="S2044" s="42" t="s">
        <v>6914</v>
      </c>
      <c r="T2044" s="3" t="s">
        <v>4866</v>
      </c>
      <c r="U2044" s="45">
        <v>35</v>
      </c>
      <c r="V2044" t="s">
        <v>8001</v>
      </c>
      <c r="W2044" s="1" t="str">
        <f>HYPERLINK("http://ictvonline.org/taxonomy/p/taxonomy-history?taxnode_id=201907708","ICTVonline=201907708")</f>
        <v>ICTVonline=201907708</v>
      </c>
    </row>
    <row r="2045" spans="1:23">
      <c r="A2045" s="3">
        <v>2044</v>
      </c>
      <c r="B2045" s="1" t="s">
        <v>6915</v>
      </c>
      <c r="D2045" s="1" t="s">
        <v>6916</v>
      </c>
      <c r="F2045" s="1" t="s">
        <v>6920</v>
      </c>
      <c r="H2045" s="1" t="s">
        <v>6921</v>
      </c>
      <c r="J2045" s="1" t="s">
        <v>1324</v>
      </c>
      <c r="L2045" s="1" t="s">
        <v>895</v>
      </c>
      <c r="N2045" s="1" t="s">
        <v>6739</v>
      </c>
      <c r="P2045" s="1" t="s">
        <v>6740</v>
      </c>
      <c r="Q2045" s="3">
        <v>1</v>
      </c>
      <c r="R2045" s="22" t="s">
        <v>2721</v>
      </c>
      <c r="S2045" s="42" t="s">
        <v>6910</v>
      </c>
      <c r="T2045" s="3" t="s">
        <v>4868</v>
      </c>
      <c r="U2045" s="45">
        <v>35</v>
      </c>
      <c r="V2045" t="s">
        <v>6919</v>
      </c>
      <c r="W2045" s="1" t="str">
        <f>HYPERLINK("http://ictvonline.org/taxonomy/p/taxonomy-history?taxnode_id=201906895","ICTVonline=201906895")</f>
        <v>ICTVonline=201906895</v>
      </c>
    </row>
    <row r="2046" spans="1:23">
      <c r="A2046" s="3">
        <v>2045</v>
      </c>
      <c r="B2046" s="1" t="s">
        <v>6915</v>
      </c>
      <c r="D2046" s="1" t="s">
        <v>6916</v>
      </c>
      <c r="F2046" s="1" t="s">
        <v>6920</v>
      </c>
      <c r="H2046" s="1" t="s">
        <v>6921</v>
      </c>
      <c r="J2046" s="1" t="s">
        <v>1324</v>
      </c>
      <c r="L2046" s="1" t="s">
        <v>895</v>
      </c>
      <c r="N2046" s="1" t="s">
        <v>6741</v>
      </c>
      <c r="P2046" s="1" t="s">
        <v>6742</v>
      </c>
      <c r="Q2046" s="3">
        <v>1</v>
      </c>
      <c r="R2046" s="22" t="s">
        <v>2721</v>
      </c>
      <c r="S2046" s="42" t="s">
        <v>6910</v>
      </c>
      <c r="T2046" s="3" t="s">
        <v>4868</v>
      </c>
      <c r="U2046" s="45">
        <v>35</v>
      </c>
      <c r="V2046" t="s">
        <v>6919</v>
      </c>
      <c r="W2046" s="1" t="str">
        <f>HYPERLINK("http://ictvonline.org/taxonomy/p/taxonomy-history?taxnode_id=201907073","ICTVonline=201907073")</f>
        <v>ICTVonline=201907073</v>
      </c>
    </row>
    <row r="2047" spans="1:23">
      <c r="A2047" s="3">
        <v>2046</v>
      </c>
      <c r="B2047" s="1" t="s">
        <v>6915</v>
      </c>
      <c r="D2047" s="1" t="s">
        <v>6916</v>
      </c>
      <c r="F2047" s="1" t="s">
        <v>6920</v>
      </c>
      <c r="H2047" s="1" t="s">
        <v>6921</v>
      </c>
      <c r="J2047" s="1" t="s">
        <v>1324</v>
      </c>
      <c r="L2047" s="1" t="s">
        <v>895</v>
      </c>
      <c r="N2047" s="1" t="s">
        <v>6741</v>
      </c>
      <c r="P2047" s="1" t="s">
        <v>6743</v>
      </c>
      <c r="Q2047" s="3">
        <v>0</v>
      </c>
      <c r="R2047" s="22" t="s">
        <v>2721</v>
      </c>
      <c r="S2047" s="42" t="s">
        <v>6910</v>
      </c>
      <c r="T2047" s="3" t="s">
        <v>4868</v>
      </c>
      <c r="U2047" s="45">
        <v>35</v>
      </c>
      <c r="V2047" t="s">
        <v>6919</v>
      </c>
      <c r="W2047" s="1" t="str">
        <f>HYPERLINK("http://ictvonline.org/taxonomy/p/taxonomy-history?taxnode_id=201907076","ICTVonline=201907076")</f>
        <v>ICTVonline=201907076</v>
      </c>
    </row>
    <row r="2048" spans="1:23">
      <c r="A2048" s="3">
        <v>2047</v>
      </c>
      <c r="B2048" s="1" t="s">
        <v>6915</v>
      </c>
      <c r="D2048" s="1" t="s">
        <v>6916</v>
      </c>
      <c r="F2048" s="1" t="s">
        <v>6920</v>
      </c>
      <c r="H2048" s="1" t="s">
        <v>6921</v>
      </c>
      <c r="J2048" s="1" t="s">
        <v>1324</v>
      </c>
      <c r="L2048" s="1" t="s">
        <v>895</v>
      </c>
      <c r="N2048" s="1" t="s">
        <v>6741</v>
      </c>
      <c r="P2048" s="1" t="s">
        <v>6744</v>
      </c>
      <c r="Q2048" s="3">
        <v>0</v>
      </c>
      <c r="R2048" s="22" t="s">
        <v>2721</v>
      </c>
      <c r="S2048" s="42" t="s">
        <v>6910</v>
      </c>
      <c r="T2048" s="3" t="s">
        <v>4868</v>
      </c>
      <c r="U2048" s="45">
        <v>35</v>
      </c>
      <c r="V2048" t="s">
        <v>6919</v>
      </c>
      <c r="W2048" s="1" t="str">
        <f>HYPERLINK("http://ictvonline.org/taxonomy/p/taxonomy-history?taxnode_id=201907075","ICTVonline=201907075")</f>
        <v>ICTVonline=201907075</v>
      </c>
    </row>
    <row r="2049" spans="1:23">
      <c r="A2049" s="3">
        <v>2048</v>
      </c>
      <c r="B2049" s="1" t="s">
        <v>6915</v>
      </c>
      <c r="D2049" s="1" t="s">
        <v>6916</v>
      </c>
      <c r="F2049" s="1" t="s">
        <v>6920</v>
      </c>
      <c r="H2049" s="1" t="s">
        <v>6921</v>
      </c>
      <c r="J2049" s="1" t="s">
        <v>1324</v>
      </c>
      <c r="L2049" s="1" t="s">
        <v>895</v>
      </c>
      <c r="N2049" s="1" t="s">
        <v>6741</v>
      </c>
      <c r="P2049" s="1" t="s">
        <v>6745</v>
      </c>
      <c r="Q2049" s="3">
        <v>0</v>
      </c>
      <c r="R2049" s="22" t="s">
        <v>2721</v>
      </c>
      <c r="S2049" s="42" t="s">
        <v>6910</v>
      </c>
      <c r="T2049" s="3" t="s">
        <v>4868</v>
      </c>
      <c r="U2049" s="45">
        <v>35</v>
      </c>
      <c r="V2049" t="s">
        <v>6919</v>
      </c>
      <c r="W2049" s="1" t="str">
        <f>HYPERLINK("http://ictvonline.org/taxonomy/p/taxonomy-history?taxnode_id=201907074","ICTVonline=201907074")</f>
        <v>ICTVonline=201907074</v>
      </c>
    </row>
    <row r="2050" spans="1:23">
      <c r="A2050" s="3">
        <v>2049</v>
      </c>
      <c r="B2050" s="1" t="s">
        <v>6915</v>
      </c>
      <c r="D2050" s="1" t="s">
        <v>6916</v>
      </c>
      <c r="F2050" s="1" t="s">
        <v>6920</v>
      </c>
      <c r="H2050" s="1" t="s">
        <v>6921</v>
      </c>
      <c r="J2050" s="1" t="s">
        <v>1324</v>
      </c>
      <c r="L2050" s="1" t="s">
        <v>895</v>
      </c>
      <c r="N2050" s="1" t="s">
        <v>8002</v>
      </c>
      <c r="P2050" s="1" t="s">
        <v>8003</v>
      </c>
      <c r="Q2050" s="3">
        <v>0</v>
      </c>
      <c r="R2050" s="22" t="s">
        <v>2721</v>
      </c>
      <c r="S2050" s="42" t="s">
        <v>6914</v>
      </c>
      <c r="T2050" s="3" t="s">
        <v>4866</v>
      </c>
      <c r="U2050" s="45">
        <v>35</v>
      </c>
      <c r="V2050" t="s">
        <v>8004</v>
      </c>
      <c r="W2050" s="1" t="str">
        <f>HYPERLINK("http://ictvonline.org/taxonomy/p/taxonomy-history?taxnode_id=201908191","ICTVonline=201908191")</f>
        <v>ICTVonline=201908191</v>
      </c>
    </row>
    <row r="2051" spans="1:23">
      <c r="A2051" s="3">
        <v>2050</v>
      </c>
      <c r="B2051" s="1" t="s">
        <v>6915</v>
      </c>
      <c r="D2051" s="1" t="s">
        <v>6916</v>
      </c>
      <c r="F2051" s="1" t="s">
        <v>6920</v>
      </c>
      <c r="H2051" s="1" t="s">
        <v>6921</v>
      </c>
      <c r="J2051" s="1" t="s">
        <v>1324</v>
      </c>
      <c r="L2051" s="1" t="s">
        <v>895</v>
      </c>
      <c r="N2051" s="1" t="s">
        <v>8002</v>
      </c>
      <c r="P2051" s="1" t="s">
        <v>8005</v>
      </c>
      <c r="Q2051" s="3">
        <v>1</v>
      </c>
      <c r="R2051" s="22" t="s">
        <v>2721</v>
      </c>
      <c r="S2051" s="42" t="s">
        <v>6914</v>
      </c>
      <c r="T2051" s="3" t="s">
        <v>4866</v>
      </c>
      <c r="U2051" s="45">
        <v>35</v>
      </c>
      <c r="V2051" t="s">
        <v>8004</v>
      </c>
      <c r="W2051" s="1" t="str">
        <f>HYPERLINK("http://ictvonline.org/taxonomy/p/taxonomy-history?taxnode_id=201908190","ICTVonline=201908190")</f>
        <v>ICTVonline=201908190</v>
      </c>
    </row>
    <row r="2052" spans="1:23">
      <c r="A2052" s="3">
        <v>2051</v>
      </c>
      <c r="B2052" s="1" t="s">
        <v>6915</v>
      </c>
      <c r="D2052" s="1" t="s">
        <v>6916</v>
      </c>
      <c r="F2052" s="1" t="s">
        <v>6920</v>
      </c>
      <c r="H2052" s="1" t="s">
        <v>6921</v>
      </c>
      <c r="J2052" s="1" t="s">
        <v>1324</v>
      </c>
      <c r="L2052" s="1" t="s">
        <v>895</v>
      </c>
      <c r="N2052" s="1" t="s">
        <v>4444</v>
      </c>
      <c r="P2052" s="1" t="s">
        <v>4445</v>
      </c>
      <c r="Q2052" s="3">
        <v>1</v>
      </c>
      <c r="R2052" s="22" t="s">
        <v>2721</v>
      </c>
      <c r="S2052" s="42" t="s">
        <v>6910</v>
      </c>
      <c r="T2052" s="3" t="s">
        <v>4868</v>
      </c>
      <c r="U2052" s="45">
        <v>35</v>
      </c>
      <c r="V2052" t="s">
        <v>6919</v>
      </c>
      <c r="W2052" s="1" t="str">
        <f>HYPERLINK("http://ictvonline.org/taxonomy/p/taxonomy-history?taxnode_id=201901365","ICTVonline=201901365")</f>
        <v>ICTVonline=201901365</v>
      </c>
    </row>
    <row r="2053" spans="1:23">
      <c r="A2053" s="3">
        <v>2052</v>
      </c>
      <c r="B2053" s="1" t="s">
        <v>6915</v>
      </c>
      <c r="D2053" s="1" t="s">
        <v>6916</v>
      </c>
      <c r="F2053" s="1" t="s">
        <v>6920</v>
      </c>
      <c r="H2053" s="1" t="s">
        <v>6921</v>
      </c>
      <c r="J2053" s="1" t="s">
        <v>1324</v>
      </c>
      <c r="L2053" s="1" t="s">
        <v>895</v>
      </c>
      <c r="N2053" s="1" t="s">
        <v>4446</v>
      </c>
      <c r="P2053" s="1" t="s">
        <v>4447</v>
      </c>
      <c r="Q2053" s="3">
        <v>1</v>
      </c>
      <c r="R2053" s="22" t="s">
        <v>2721</v>
      </c>
      <c r="S2053" s="42" t="s">
        <v>6910</v>
      </c>
      <c r="T2053" s="3" t="s">
        <v>4868</v>
      </c>
      <c r="U2053" s="45">
        <v>35</v>
      </c>
      <c r="V2053" t="s">
        <v>6919</v>
      </c>
      <c r="W2053" s="1" t="str">
        <f>HYPERLINK("http://ictvonline.org/taxonomy/p/taxonomy-history?taxnode_id=201901367","ICTVonline=201901367")</f>
        <v>ICTVonline=201901367</v>
      </c>
    </row>
    <row r="2054" spans="1:23">
      <c r="A2054" s="3">
        <v>2053</v>
      </c>
      <c r="B2054" s="1" t="s">
        <v>6915</v>
      </c>
      <c r="D2054" s="1" t="s">
        <v>6916</v>
      </c>
      <c r="F2054" s="1" t="s">
        <v>6920</v>
      </c>
      <c r="H2054" s="1" t="s">
        <v>6921</v>
      </c>
      <c r="J2054" s="1" t="s">
        <v>1324</v>
      </c>
      <c r="L2054" s="1" t="s">
        <v>895</v>
      </c>
      <c r="N2054" s="1" t="s">
        <v>6746</v>
      </c>
      <c r="P2054" s="1" t="s">
        <v>6747</v>
      </c>
      <c r="Q2054" s="3">
        <v>1</v>
      </c>
      <c r="R2054" s="22" t="s">
        <v>2721</v>
      </c>
      <c r="S2054" s="42" t="s">
        <v>6910</v>
      </c>
      <c r="T2054" s="3" t="s">
        <v>4868</v>
      </c>
      <c r="U2054" s="45">
        <v>35</v>
      </c>
      <c r="V2054" t="s">
        <v>6919</v>
      </c>
      <c r="W2054" s="1" t="str">
        <f>HYPERLINK("http://ictvonline.org/taxonomy/p/taxonomy-history?taxnode_id=201906994","ICTVonline=201906994")</f>
        <v>ICTVonline=201906994</v>
      </c>
    </row>
    <row r="2055" spans="1:23">
      <c r="A2055" s="3">
        <v>2054</v>
      </c>
      <c r="B2055" s="1" t="s">
        <v>6915</v>
      </c>
      <c r="D2055" s="1" t="s">
        <v>6916</v>
      </c>
      <c r="F2055" s="1" t="s">
        <v>6920</v>
      </c>
      <c r="H2055" s="1" t="s">
        <v>6921</v>
      </c>
      <c r="J2055" s="1" t="s">
        <v>1324</v>
      </c>
      <c r="L2055" s="1" t="s">
        <v>895</v>
      </c>
      <c r="N2055" s="1" t="s">
        <v>6748</v>
      </c>
      <c r="P2055" s="1" t="s">
        <v>6749</v>
      </c>
      <c r="Q2055" s="3">
        <v>1</v>
      </c>
      <c r="R2055" s="22" t="s">
        <v>2721</v>
      </c>
      <c r="S2055" s="42" t="s">
        <v>6910</v>
      </c>
      <c r="T2055" s="3" t="s">
        <v>4868</v>
      </c>
      <c r="U2055" s="45">
        <v>35</v>
      </c>
      <c r="V2055" t="s">
        <v>6919</v>
      </c>
      <c r="W2055" s="1" t="str">
        <f>HYPERLINK("http://ictvonline.org/taxonomy/p/taxonomy-history?taxnode_id=201906756","ICTVonline=201906756")</f>
        <v>ICTVonline=201906756</v>
      </c>
    </row>
    <row r="2056" spans="1:23">
      <c r="A2056" s="3">
        <v>2055</v>
      </c>
      <c r="B2056" s="1" t="s">
        <v>6915</v>
      </c>
      <c r="D2056" s="1" t="s">
        <v>6916</v>
      </c>
      <c r="F2056" s="1" t="s">
        <v>6920</v>
      </c>
      <c r="H2056" s="1" t="s">
        <v>6921</v>
      </c>
      <c r="J2056" s="1" t="s">
        <v>1324</v>
      </c>
      <c r="L2056" s="1" t="s">
        <v>895</v>
      </c>
      <c r="N2056" s="1" t="s">
        <v>6750</v>
      </c>
      <c r="P2056" s="1" t="s">
        <v>6751</v>
      </c>
      <c r="Q2056" s="3">
        <v>1</v>
      </c>
      <c r="R2056" s="22" t="s">
        <v>2721</v>
      </c>
      <c r="S2056" s="42" t="s">
        <v>6910</v>
      </c>
      <c r="T2056" s="3" t="s">
        <v>4868</v>
      </c>
      <c r="U2056" s="45">
        <v>35</v>
      </c>
      <c r="V2056" t="s">
        <v>6919</v>
      </c>
      <c r="W2056" s="1" t="str">
        <f>HYPERLINK("http://ictvonline.org/taxonomy/p/taxonomy-history?taxnode_id=201906929","ICTVonline=201906929")</f>
        <v>ICTVonline=201906929</v>
      </c>
    </row>
    <row r="2057" spans="1:23">
      <c r="A2057" s="3">
        <v>2056</v>
      </c>
      <c r="B2057" s="1" t="s">
        <v>6915</v>
      </c>
      <c r="D2057" s="1" t="s">
        <v>6916</v>
      </c>
      <c r="F2057" s="1" t="s">
        <v>6920</v>
      </c>
      <c r="H2057" s="1" t="s">
        <v>6921</v>
      </c>
      <c r="J2057" s="1" t="s">
        <v>1324</v>
      </c>
      <c r="L2057" s="1" t="s">
        <v>895</v>
      </c>
      <c r="N2057" s="1" t="s">
        <v>6750</v>
      </c>
      <c r="P2057" s="1" t="s">
        <v>6752</v>
      </c>
      <c r="Q2057" s="3">
        <v>0</v>
      </c>
      <c r="R2057" s="22" t="s">
        <v>2721</v>
      </c>
      <c r="S2057" s="42" t="s">
        <v>6910</v>
      </c>
      <c r="T2057" s="3" t="s">
        <v>4868</v>
      </c>
      <c r="U2057" s="45">
        <v>35</v>
      </c>
      <c r="V2057" t="s">
        <v>6919</v>
      </c>
      <c r="W2057" s="1" t="str">
        <f>HYPERLINK("http://ictvonline.org/taxonomy/p/taxonomy-history?taxnode_id=201906930","ICTVonline=201906930")</f>
        <v>ICTVonline=201906930</v>
      </c>
    </row>
    <row r="2058" spans="1:23">
      <c r="A2058" s="3">
        <v>2057</v>
      </c>
      <c r="B2058" s="1" t="s">
        <v>6915</v>
      </c>
      <c r="D2058" s="1" t="s">
        <v>6916</v>
      </c>
      <c r="F2058" s="1" t="s">
        <v>6920</v>
      </c>
      <c r="H2058" s="1" t="s">
        <v>6921</v>
      </c>
      <c r="J2058" s="1" t="s">
        <v>1324</v>
      </c>
      <c r="L2058" s="1" t="s">
        <v>895</v>
      </c>
      <c r="N2058" s="1" t="s">
        <v>6753</v>
      </c>
      <c r="P2058" s="1" t="s">
        <v>6754</v>
      </c>
      <c r="Q2058" s="3">
        <v>0</v>
      </c>
      <c r="R2058" s="22" t="s">
        <v>2721</v>
      </c>
      <c r="S2058" s="42" t="s">
        <v>6910</v>
      </c>
      <c r="T2058" s="3" t="s">
        <v>4868</v>
      </c>
      <c r="U2058" s="45">
        <v>35</v>
      </c>
      <c r="V2058" t="s">
        <v>6919</v>
      </c>
      <c r="W2058" s="1" t="str">
        <f>HYPERLINK("http://ictvonline.org/taxonomy/p/taxonomy-history?taxnode_id=201906792","ICTVonline=201906792")</f>
        <v>ICTVonline=201906792</v>
      </c>
    </row>
    <row r="2059" spans="1:23">
      <c r="A2059" s="3">
        <v>2058</v>
      </c>
      <c r="B2059" s="1" t="s">
        <v>6915</v>
      </c>
      <c r="D2059" s="1" t="s">
        <v>6916</v>
      </c>
      <c r="F2059" s="1" t="s">
        <v>6920</v>
      </c>
      <c r="H2059" s="1" t="s">
        <v>6921</v>
      </c>
      <c r="J2059" s="1" t="s">
        <v>1324</v>
      </c>
      <c r="L2059" s="1" t="s">
        <v>895</v>
      </c>
      <c r="N2059" s="1" t="s">
        <v>6753</v>
      </c>
      <c r="P2059" s="1" t="s">
        <v>6755</v>
      </c>
      <c r="Q2059" s="3">
        <v>0</v>
      </c>
      <c r="R2059" s="22" t="s">
        <v>2721</v>
      </c>
      <c r="S2059" s="42" t="s">
        <v>6910</v>
      </c>
      <c r="T2059" s="3" t="s">
        <v>4868</v>
      </c>
      <c r="U2059" s="45">
        <v>35</v>
      </c>
      <c r="V2059" t="s">
        <v>6919</v>
      </c>
      <c r="W2059" s="1" t="str">
        <f>HYPERLINK("http://ictvonline.org/taxonomy/p/taxonomy-history?taxnode_id=201906793","ICTVonline=201906793")</f>
        <v>ICTVonline=201906793</v>
      </c>
    </row>
    <row r="2060" spans="1:23">
      <c r="A2060" s="3">
        <v>2059</v>
      </c>
      <c r="B2060" s="1" t="s">
        <v>6915</v>
      </c>
      <c r="D2060" s="1" t="s">
        <v>6916</v>
      </c>
      <c r="F2060" s="1" t="s">
        <v>6920</v>
      </c>
      <c r="H2060" s="1" t="s">
        <v>6921</v>
      </c>
      <c r="J2060" s="1" t="s">
        <v>1324</v>
      </c>
      <c r="L2060" s="1" t="s">
        <v>895</v>
      </c>
      <c r="N2060" s="1" t="s">
        <v>6753</v>
      </c>
      <c r="P2060" s="1" t="s">
        <v>6756</v>
      </c>
      <c r="Q2060" s="3">
        <v>1</v>
      </c>
      <c r="R2060" s="22" t="s">
        <v>2721</v>
      </c>
      <c r="S2060" s="42" t="s">
        <v>6910</v>
      </c>
      <c r="T2060" s="3" t="s">
        <v>4868</v>
      </c>
      <c r="U2060" s="45">
        <v>35</v>
      </c>
      <c r="V2060" t="s">
        <v>6919</v>
      </c>
      <c r="W2060" s="1" t="str">
        <f>HYPERLINK("http://ictvonline.org/taxonomy/p/taxonomy-history?taxnode_id=201906791","ICTVonline=201906791")</f>
        <v>ICTVonline=201906791</v>
      </c>
    </row>
    <row r="2061" spans="1:23">
      <c r="A2061" s="3">
        <v>2060</v>
      </c>
      <c r="B2061" s="1" t="s">
        <v>6915</v>
      </c>
      <c r="D2061" s="1" t="s">
        <v>6916</v>
      </c>
      <c r="F2061" s="1" t="s">
        <v>6920</v>
      </c>
      <c r="H2061" s="1" t="s">
        <v>6921</v>
      </c>
      <c r="J2061" s="1" t="s">
        <v>1324</v>
      </c>
      <c r="L2061" s="1" t="s">
        <v>895</v>
      </c>
      <c r="N2061" s="1" t="s">
        <v>8006</v>
      </c>
      <c r="P2061" s="1" t="s">
        <v>8007</v>
      </c>
      <c r="Q2061" s="3">
        <v>0</v>
      </c>
      <c r="R2061" s="22" t="s">
        <v>2721</v>
      </c>
      <c r="S2061" s="42" t="s">
        <v>6914</v>
      </c>
      <c r="T2061" s="3" t="s">
        <v>4866</v>
      </c>
      <c r="U2061" s="45">
        <v>35</v>
      </c>
      <c r="V2061" t="s">
        <v>8008</v>
      </c>
      <c r="W2061" s="1" t="str">
        <f>HYPERLINK("http://ictvonline.org/taxonomy/p/taxonomy-history?taxnode_id=201908070","ICTVonline=201908070")</f>
        <v>ICTVonline=201908070</v>
      </c>
    </row>
    <row r="2062" spans="1:23">
      <c r="A2062" s="3">
        <v>2061</v>
      </c>
      <c r="B2062" s="1" t="s">
        <v>6915</v>
      </c>
      <c r="D2062" s="1" t="s">
        <v>6916</v>
      </c>
      <c r="F2062" s="1" t="s">
        <v>6920</v>
      </c>
      <c r="H2062" s="1" t="s">
        <v>6921</v>
      </c>
      <c r="J2062" s="1" t="s">
        <v>1324</v>
      </c>
      <c r="L2062" s="1" t="s">
        <v>895</v>
      </c>
      <c r="N2062" s="1" t="s">
        <v>8006</v>
      </c>
      <c r="P2062" s="1" t="s">
        <v>8009</v>
      </c>
      <c r="Q2062" s="3">
        <v>1</v>
      </c>
      <c r="R2062" s="22" t="s">
        <v>2721</v>
      </c>
      <c r="S2062" s="42" t="s">
        <v>6914</v>
      </c>
      <c r="T2062" s="3" t="s">
        <v>4866</v>
      </c>
      <c r="U2062" s="45">
        <v>35</v>
      </c>
      <c r="V2062" t="s">
        <v>8008</v>
      </c>
      <c r="W2062" s="1" t="str">
        <f>HYPERLINK("http://ictvonline.org/taxonomy/p/taxonomy-history?taxnode_id=201908067","ICTVonline=201908067")</f>
        <v>ICTVonline=201908067</v>
      </c>
    </row>
    <row r="2063" spans="1:23">
      <c r="A2063" s="3">
        <v>2062</v>
      </c>
      <c r="B2063" s="1" t="s">
        <v>6915</v>
      </c>
      <c r="D2063" s="1" t="s">
        <v>6916</v>
      </c>
      <c r="F2063" s="1" t="s">
        <v>6920</v>
      </c>
      <c r="H2063" s="1" t="s">
        <v>6921</v>
      </c>
      <c r="J2063" s="1" t="s">
        <v>1324</v>
      </c>
      <c r="L2063" s="1" t="s">
        <v>895</v>
      </c>
      <c r="N2063" s="1" t="s">
        <v>8006</v>
      </c>
      <c r="P2063" s="1" t="s">
        <v>8010</v>
      </c>
      <c r="Q2063" s="3">
        <v>0</v>
      </c>
      <c r="R2063" s="22" t="s">
        <v>2721</v>
      </c>
      <c r="S2063" s="42" t="s">
        <v>6914</v>
      </c>
      <c r="T2063" s="3" t="s">
        <v>4866</v>
      </c>
      <c r="U2063" s="45">
        <v>35</v>
      </c>
      <c r="V2063" t="s">
        <v>8008</v>
      </c>
      <c r="W2063" s="1" t="str">
        <f>HYPERLINK("http://ictvonline.org/taxonomy/p/taxonomy-history?taxnode_id=201908068","ICTVonline=201908068")</f>
        <v>ICTVonline=201908068</v>
      </c>
    </row>
    <row r="2064" spans="1:23">
      <c r="A2064" s="3">
        <v>2063</v>
      </c>
      <c r="B2064" s="1" t="s">
        <v>6915</v>
      </c>
      <c r="D2064" s="1" t="s">
        <v>6916</v>
      </c>
      <c r="F2064" s="1" t="s">
        <v>6920</v>
      </c>
      <c r="H2064" s="1" t="s">
        <v>6921</v>
      </c>
      <c r="J2064" s="1" t="s">
        <v>1324</v>
      </c>
      <c r="L2064" s="1" t="s">
        <v>895</v>
      </c>
      <c r="N2064" s="1" t="s">
        <v>8006</v>
      </c>
      <c r="P2064" s="1" t="s">
        <v>8011</v>
      </c>
      <c r="Q2064" s="3">
        <v>0</v>
      </c>
      <c r="R2064" s="22" t="s">
        <v>2721</v>
      </c>
      <c r="S2064" s="42" t="s">
        <v>6914</v>
      </c>
      <c r="T2064" s="3" t="s">
        <v>4866</v>
      </c>
      <c r="U2064" s="45">
        <v>35</v>
      </c>
      <c r="V2064" t="s">
        <v>8008</v>
      </c>
      <c r="W2064" s="1" t="str">
        <f>HYPERLINK("http://ictvonline.org/taxonomy/p/taxonomy-history?taxnode_id=201908069","ICTVonline=201908069")</f>
        <v>ICTVonline=201908069</v>
      </c>
    </row>
    <row r="2065" spans="1:23">
      <c r="A2065" s="3">
        <v>2064</v>
      </c>
      <c r="B2065" s="1" t="s">
        <v>6915</v>
      </c>
      <c r="D2065" s="1" t="s">
        <v>6916</v>
      </c>
      <c r="F2065" s="1" t="s">
        <v>6920</v>
      </c>
      <c r="H2065" s="1" t="s">
        <v>6921</v>
      </c>
      <c r="J2065" s="1" t="s">
        <v>1324</v>
      </c>
      <c r="L2065" s="1" t="s">
        <v>895</v>
      </c>
      <c r="N2065" s="1" t="s">
        <v>3409</v>
      </c>
      <c r="P2065" s="1" t="s">
        <v>3410</v>
      </c>
      <c r="Q2065" s="3">
        <v>1</v>
      </c>
      <c r="R2065" s="22" t="s">
        <v>2721</v>
      </c>
      <c r="S2065" s="42" t="s">
        <v>6910</v>
      </c>
      <c r="T2065" s="3" t="s">
        <v>4868</v>
      </c>
      <c r="U2065" s="45">
        <v>35</v>
      </c>
      <c r="V2065" t="s">
        <v>6919</v>
      </c>
      <c r="W2065" s="1" t="str">
        <f>HYPERLINK("http://ictvonline.org/taxonomy/p/taxonomy-history?taxnode_id=201901369","ICTVonline=201901369")</f>
        <v>ICTVonline=201901369</v>
      </c>
    </row>
    <row r="2066" spans="1:23">
      <c r="A2066" s="3">
        <v>2065</v>
      </c>
      <c r="B2066" s="1" t="s">
        <v>6915</v>
      </c>
      <c r="D2066" s="1" t="s">
        <v>6916</v>
      </c>
      <c r="F2066" s="1" t="s">
        <v>6920</v>
      </c>
      <c r="H2066" s="1" t="s">
        <v>6921</v>
      </c>
      <c r="J2066" s="1" t="s">
        <v>1324</v>
      </c>
      <c r="L2066" s="1" t="s">
        <v>895</v>
      </c>
      <c r="N2066" s="1" t="s">
        <v>6757</v>
      </c>
      <c r="P2066" s="1" t="s">
        <v>6758</v>
      </c>
      <c r="Q2066" s="3">
        <v>1</v>
      </c>
      <c r="R2066" s="22" t="s">
        <v>2721</v>
      </c>
      <c r="S2066" s="42" t="s">
        <v>6910</v>
      </c>
      <c r="T2066" s="3" t="s">
        <v>4868</v>
      </c>
      <c r="U2066" s="45">
        <v>35</v>
      </c>
      <c r="V2066" t="s">
        <v>6919</v>
      </c>
      <c r="W2066" s="1" t="str">
        <f>HYPERLINK("http://ictvonline.org/taxonomy/p/taxonomy-history?taxnode_id=201906795","ICTVonline=201906795")</f>
        <v>ICTVonline=201906795</v>
      </c>
    </row>
    <row r="2067" spans="1:23">
      <c r="A2067" s="3">
        <v>2066</v>
      </c>
      <c r="B2067" s="1" t="s">
        <v>6915</v>
      </c>
      <c r="D2067" s="1" t="s">
        <v>6916</v>
      </c>
      <c r="F2067" s="1" t="s">
        <v>6920</v>
      </c>
      <c r="H2067" s="1" t="s">
        <v>6921</v>
      </c>
      <c r="J2067" s="1" t="s">
        <v>1324</v>
      </c>
      <c r="L2067" s="1" t="s">
        <v>895</v>
      </c>
      <c r="N2067" s="1" t="s">
        <v>4448</v>
      </c>
      <c r="P2067" s="1" t="s">
        <v>4449</v>
      </c>
      <c r="Q2067" s="3">
        <v>1</v>
      </c>
      <c r="R2067" s="22" t="s">
        <v>2721</v>
      </c>
      <c r="S2067" s="42" t="s">
        <v>6910</v>
      </c>
      <c r="T2067" s="3" t="s">
        <v>4868</v>
      </c>
      <c r="U2067" s="45">
        <v>35</v>
      </c>
      <c r="V2067" t="s">
        <v>6919</v>
      </c>
      <c r="W2067" s="1" t="str">
        <f>HYPERLINK("http://ictvonline.org/taxonomy/p/taxonomy-history?taxnode_id=201901371","ICTVonline=201901371")</f>
        <v>ICTVonline=201901371</v>
      </c>
    </row>
    <row r="2068" spans="1:23">
      <c r="A2068" s="3">
        <v>2067</v>
      </c>
      <c r="B2068" s="1" t="s">
        <v>6915</v>
      </c>
      <c r="D2068" s="1" t="s">
        <v>6916</v>
      </c>
      <c r="F2068" s="1" t="s">
        <v>6920</v>
      </c>
      <c r="H2068" s="1" t="s">
        <v>6921</v>
      </c>
      <c r="J2068" s="1" t="s">
        <v>1324</v>
      </c>
      <c r="L2068" s="1" t="s">
        <v>895</v>
      </c>
      <c r="N2068" s="1" t="s">
        <v>6759</v>
      </c>
      <c r="P2068" s="1" t="s">
        <v>6760</v>
      </c>
      <c r="Q2068" s="3">
        <v>1</v>
      </c>
      <c r="R2068" s="22" t="s">
        <v>2721</v>
      </c>
      <c r="S2068" s="42" t="s">
        <v>6910</v>
      </c>
      <c r="T2068" s="3" t="s">
        <v>4868</v>
      </c>
      <c r="U2068" s="45">
        <v>35</v>
      </c>
      <c r="V2068" t="s">
        <v>6919</v>
      </c>
      <c r="W2068" s="1" t="str">
        <f>HYPERLINK("http://ictvonline.org/taxonomy/p/taxonomy-history?taxnode_id=201906797","ICTVonline=201906797")</f>
        <v>ICTVonline=201906797</v>
      </c>
    </row>
    <row r="2069" spans="1:23">
      <c r="A2069" s="3">
        <v>2068</v>
      </c>
      <c r="B2069" s="1" t="s">
        <v>6915</v>
      </c>
      <c r="D2069" s="1" t="s">
        <v>6916</v>
      </c>
      <c r="F2069" s="1" t="s">
        <v>6920</v>
      </c>
      <c r="H2069" s="1" t="s">
        <v>6921</v>
      </c>
      <c r="J2069" s="1" t="s">
        <v>1324</v>
      </c>
      <c r="L2069" s="1" t="s">
        <v>895</v>
      </c>
      <c r="N2069" s="1" t="s">
        <v>5029</v>
      </c>
      <c r="P2069" s="1" t="s">
        <v>5030</v>
      </c>
      <c r="Q2069" s="3">
        <v>0</v>
      </c>
      <c r="R2069" s="22" t="s">
        <v>2721</v>
      </c>
      <c r="S2069" s="42" t="s">
        <v>6910</v>
      </c>
      <c r="T2069" s="3" t="s">
        <v>4868</v>
      </c>
      <c r="U2069" s="45">
        <v>35</v>
      </c>
      <c r="V2069" t="s">
        <v>6919</v>
      </c>
      <c r="W2069" s="1" t="str">
        <f>HYPERLINK("http://ictvonline.org/taxonomy/p/taxonomy-history?taxnode_id=201905567","ICTVonline=201905567")</f>
        <v>ICTVonline=201905567</v>
      </c>
    </row>
    <row r="2070" spans="1:23">
      <c r="A2070" s="3">
        <v>2069</v>
      </c>
      <c r="B2070" s="1" t="s">
        <v>6915</v>
      </c>
      <c r="D2070" s="1" t="s">
        <v>6916</v>
      </c>
      <c r="F2070" s="1" t="s">
        <v>6920</v>
      </c>
      <c r="H2070" s="1" t="s">
        <v>6921</v>
      </c>
      <c r="J2070" s="1" t="s">
        <v>1324</v>
      </c>
      <c r="L2070" s="1" t="s">
        <v>895</v>
      </c>
      <c r="N2070" s="1" t="s">
        <v>5029</v>
      </c>
      <c r="P2070" s="1" t="s">
        <v>5031</v>
      </c>
      <c r="Q2070" s="3">
        <v>1</v>
      </c>
      <c r="R2070" s="22" t="s">
        <v>2721</v>
      </c>
      <c r="S2070" s="42" t="s">
        <v>6910</v>
      </c>
      <c r="T2070" s="3" t="s">
        <v>4868</v>
      </c>
      <c r="U2070" s="45">
        <v>35</v>
      </c>
      <c r="V2070" t="s">
        <v>6919</v>
      </c>
      <c r="W2070" s="1" t="str">
        <f>HYPERLINK("http://ictvonline.org/taxonomy/p/taxonomy-history?taxnode_id=201905568","ICTVonline=201905568")</f>
        <v>ICTVonline=201905568</v>
      </c>
    </row>
    <row r="2071" spans="1:23">
      <c r="A2071" s="3">
        <v>2070</v>
      </c>
      <c r="B2071" s="1" t="s">
        <v>6915</v>
      </c>
      <c r="D2071" s="1" t="s">
        <v>6916</v>
      </c>
      <c r="F2071" s="1" t="s">
        <v>6920</v>
      </c>
      <c r="H2071" s="1" t="s">
        <v>6921</v>
      </c>
      <c r="J2071" s="1" t="s">
        <v>1324</v>
      </c>
      <c r="L2071" s="1" t="s">
        <v>895</v>
      </c>
      <c r="N2071" s="1" t="s">
        <v>4450</v>
      </c>
      <c r="P2071" s="1" t="s">
        <v>4451</v>
      </c>
      <c r="Q2071" s="3">
        <v>0</v>
      </c>
      <c r="R2071" s="22" t="s">
        <v>2721</v>
      </c>
      <c r="S2071" s="42" t="s">
        <v>6910</v>
      </c>
      <c r="T2071" s="3" t="s">
        <v>4868</v>
      </c>
      <c r="U2071" s="45">
        <v>35</v>
      </c>
      <c r="V2071" t="s">
        <v>6919</v>
      </c>
      <c r="W2071" s="1" t="str">
        <f>HYPERLINK("http://ictvonline.org/taxonomy/p/taxonomy-history?taxnode_id=201901373","ICTVonline=201901373")</f>
        <v>ICTVonline=201901373</v>
      </c>
    </row>
    <row r="2072" spans="1:23">
      <c r="A2072" s="3">
        <v>2071</v>
      </c>
      <c r="B2072" s="1" t="s">
        <v>6915</v>
      </c>
      <c r="D2072" s="1" t="s">
        <v>6916</v>
      </c>
      <c r="F2072" s="1" t="s">
        <v>6920</v>
      </c>
      <c r="H2072" s="1" t="s">
        <v>6921</v>
      </c>
      <c r="J2072" s="1" t="s">
        <v>1324</v>
      </c>
      <c r="L2072" s="1" t="s">
        <v>895</v>
      </c>
      <c r="N2072" s="1" t="s">
        <v>4450</v>
      </c>
      <c r="P2072" s="1" t="s">
        <v>4453</v>
      </c>
      <c r="Q2072" s="3">
        <v>1</v>
      </c>
      <c r="R2072" s="22" t="s">
        <v>2721</v>
      </c>
      <c r="S2072" s="42" t="s">
        <v>6910</v>
      </c>
      <c r="T2072" s="3" t="s">
        <v>4868</v>
      </c>
      <c r="U2072" s="45">
        <v>35</v>
      </c>
      <c r="V2072" t="s">
        <v>6919</v>
      </c>
      <c r="W2072" s="1" t="str">
        <f>HYPERLINK("http://ictvonline.org/taxonomy/p/taxonomy-history?taxnode_id=201901375","ICTVonline=201901375")</f>
        <v>ICTVonline=201901375</v>
      </c>
    </row>
    <row r="2073" spans="1:23">
      <c r="A2073" s="3">
        <v>2072</v>
      </c>
      <c r="B2073" s="1" t="s">
        <v>6915</v>
      </c>
      <c r="D2073" s="1" t="s">
        <v>6916</v>
      </c>
      <c r="F2073" s="1" t="s">
        <v>6920</v>
      </c>
      <c r="H2073" s="1" t="s">
        <v>6921</v>
      </c>
      <c r="J2073" s="1" t="s">
        <v>1324</v>
      </c>
      <c r="L2073" s="1" t="s">
        <v>895</v>
      </c>
      <c r="N2073" s="1" t="s">
        <v>6761</v>
      </c>
      <c r="P2073" s="1" t="s">
        <v>4454</v>
      </c>
      <c r="Q2073" s="3">
        <v>0</v>
      </c>
      <c r="R2073" s="22" t="s">
        <v>2721</v>
      </c>
      <c r="S2073" s="42" t="s">
        <v>6910</v>
      </c>
      <c r="T2073" s="3" t="s">
        <v>4868</v>
      </c>
      <c r="U2073" s="45">
        <v>35</v>
      </c>
      <c r="V2073" t="s">
        <v>6919</v>
      </c>
      <c r="W2073" s="1" t="str">
        <f>HYPERLINK("http://ictvonline.org/taxonomy/p/taxonomy-history?taxnode_id=201901383","ICTVonline=201901383")</f>
        <v>ICTVonline=201901383</v>
      </c>
    </row>
    <row r="2074" spans="1:23">
      <c r="A2074" s="3">
        <v>2073</v>
      </c>
      <c r="B2074" s="1" t="s">
        <v>6915</v>
      </c>
      <c r="D2074" s="1" t="s">
        <v>6916</v>
      </c>
      <c r="F2074" s="1" t="s">
        <v>6920</v>
      </c>
      <c r="H2074" s="1" t="s">
        <v>6921</v>
      </c>
      <c r="J2074" s="1" t="s">
        <v>1324</v>
      </c>
      <c r="L2074" s="1" t="s">
        <v>895</v>
      </c>
      <c r="N2074" s="1" t="s">
        <v>6761</v>
      </c>
      <c r="P2074" s="1" t="s">
        <v>4455</v>
      </c>
      <c r="Q2074" s="3">
        <v>1</v>
      </c>
      <c r="R2074" s="22" t="s">
        <v>2721</v>
      </c>
      <c r="S2074" s="42" t="s">
        <v>6910</v>
      </c>
      <c r="T2074" s="3" t="s">
        <v>4868</v>
      </c>
      <c r="U2074" s="45">
        <v>35</v>
      </c>
      <c r="V2074" t="s">
        <v>6919</v>
      </c>
      <c r="W2074" s="1" t="str">
        <f>HYPERLINK("http://ictvonline.org/taxonomy/p/taxonomy-history?taxnode_id=201901384","ICTVonline=201901384")</f>
        <v>ICTVonline=201901384</v>
      </c>
    </row>
    <row r="2075" spans="1:23">
      <c r="A2075" s="3">
        <v>2074</v>
      </c>
      <c r="B2075" s="1" t="s">
        <v>6915</v>
      </c>
      <c r="D2075" s="1" t="s">
        <v>6916</v>
      </c>
      <c r="F2075" s="1" t="s">
        <v>6920</v>
      </c>
      <c r="H2075" s="1" t="s">
        <v>6921</v>
      </c>
      <c r="J2075" s="1" t="s">
        <v>1324</v>
      </c>
      <c r="L2075" s="1" t="s">
        <v>895</v>
      </c>
      <c r="N2075" s="1" t="s">
        <v>6762</v>
      </c>
      <c r="P2075" s="1" t="s">
        <v>4422</v>
      </c>
      <c r="Q2075" s="3">
        <v>1</v>
      </c>
      <c r="R2075" s="22" t="s">
        <v>2721</v>
      </c>
      <c r="S2075" s="42" t="s">
        <v>6910</v>
      </c>
      <c r="T2075" s="3" t="s">
        <v>4868</v>
      </c>
      <c r="U2075" s="45">
        <v>35</v>
      </c>
      <c r="V2075" t="s">
        <v>6919</v>
      </c>
      <c r="W2075" s="1" t="str">
        <f>HYPERLINK("http://ictvonline.org/taxonomy/p/taxonomy-history?taxnode_id=201901242","ICTVonline=201901242")</f>
        <v>ICTVonline=201901242</v>
      </c>
    </row>
    <row r="2076" spans="1:23">
      <c r="A2076" s="3">
        <v>2075</v>
      </c>
      <c r="B2076" s="1" t="s">
        <v>6915</v>
      </c>
      <c r="D2076" s="1" t="s">
        <v>6916</v>
      </c>
      <c r="F2076" s="1" t="s">
        <v>6920</v>
      </c>
      <c r="H2076" s="1" t="s">
        <v>6921</v>
      </c>
      <c r="J2076" s="1" t="s">
        <v>1324</v>
      </c>
      <c r="L2076" s="1" t="s">
        <v>895</v>
      </c>
      <c r="N2076" s="1" t="s">
        <v>6762</v>
      </c>
      <c r="P2076" s="1" t="s">
        <v>4423</v>
      </c>
      <c r="Q2076" s="3">
        <v>0</v>
      </c>
      <c r="R2076" s="22" t="s">
        <v>2721</v>
      </c>
      <c r="S2076" s="42" t="s">
        <v>6910</v>
      </c>
      <c r="T2076" s="3" t="s">
        <v>4868</v>
      </c>
      <c r="U2076" s="45">
        <v>35</v>
      </c>
      <c r="V2076" t="s">
        <v>6919</v>
      </c>
      <c r="W2076" s="1" t="str">
        <f>HYPERLINK("http://ictvonline.org/taxonomy/p/taxonomy-history?taxnode_id=201901243","ICTVonline=201901243")</f>
        <v>ICTVonline=201901243</v>
      </c>
    </row>
    <row r="2077" spans="1:23">
      <c r="A2077" s="3">
        <v>2076</v>
      </c>
      <c r="B2077" s="1" t="s">
        <v>6915</v>
      </c>
      <c r="D2077" s="1" t="s">
        <v>6916</v>
      </c>
      <c r="F2077" s="1" t="s">
        <v>6920</v>
      </c>
      <c r="H2077" s="1" t="s">
        <v>6921</v>
      </c>
      <c r="J2077" s="1" t="s">
        <v>1324</v>
      </c>
      <c r="L2077" s="1" t="s">
        <v>895</v>
      </c>
      <c r="N2077" s="1" t="s">
        <v>6763</v>
      </c>
      <c r="P2077" s="1" t="s">
        <v>3412</v>
      </c>
      <c r="Q2077" s="3">
        <v>0</v>
      </c>
      <c r="R2077" s="22" t="s">
        <v>2721</v>
      </c>
      <c r="S2077" s="42" t="s">
        <v>6910</v>
      </c>
      <c r="T2077" s="3" t="s">
        <v>4868</v>
      </c>
      <c r="U2077" s="45">
        <v>35</v>
      </c>
      <c r="V2077" t="s">
        <v>6919</v>
      </c>
      <c r="W2077" s="1" t="str">
        <f>HYPERLINK("http://ictvonline.org/taxonomy/p/taxonomy-history?taxnode_id=201901378","ICTVonline=201901378")</f>
        <v>ICTVonline=201901378</v>
      </c>
    </row>
    <row r="2078" spans="1:23">
      <c r="A2078" s="3">
        <v>2077</v>
      </c>
      <c r="B2078" s="1" t="s">
        <v>6915</v>
      </c>
      <c r="D2078" s="1" t="s">
        <v>6916</v>
      </c>
      <c r="F2078" s="1" t="s">
        <v>6920</v>
      </c>
      <c r="H2078" s="1" t="s">
        <v>6921</v>
      </c>
      <c r="J2078" s="1" t="s">
        <v>1324</v>
      </c>
      <c r="L2078" s="1" t="s">
        <v>895</v>
      </c>
      <c r="N2078" s="1" t="s">
        <v>6763</v>
      </c>
      <c r="P2078" s="1" t="s">
        <v>3413</v>
      </c>
      <c r="Q2078" s="3">
        <v>0</v>
      </c>
      <c r="R2078" s="22" t="s">
        <v>2721</v>
      </c>
      <c r="S2078" s="42" t="s">
        <v>6910</v>
      </c>
      <c r="T2078" s="3" t="s">
        <v>4868</v>
      </c>
      <c r="U2078" s="45">
        <v>35</v>
      </c>
      <c r="V2078" t="s">
        <v>6919</v>
      </c>
      <c r="W2078" s="1" t="str">
        <f>HYPERLINK("http://ictvonline.org/taxonomy/p/taxonomy-history?taxnode_id=201901380","ICTVonline=201901380")</f>
        <v>ICTVonline=201901380</v>
      </c>
    </row>
    <row r="2079" spans="1:23">
      <c r="A2079" s="3">
        <v>2078</v>
      </c>
      <c r="B2079" s="1" t="s">
        <v>6915</v>
      </c>
      <c r="D2079" s="1" t="s">
        <v>6916</v>
      </c>
      <c r="F2079" s="1" t="s">
        <v>6920</v>
      </c>
      <c r="H2079" s="1" t="s">
        <v>6921</v>
      </c>
      <c r="J2079" s="1" t="s">
        <v>1324</v>
      </c>
      <c r="L2079" s="1" t="s">
        <v>895</v>
      </c>
      <c r="N2079" s="1" t="s">
        <v>6763</v>
      </c>
      <c r="P2079" s="1" t="s">
        <v>3414</v>
      </c>
      <c r="Q2079" s="3">
        <v>1</v>
      </c>
      <c r="R2079" s="22" t="s">
        <v>2721</v>
      </c>
      <c r="S2079" s="42" t="s">
        <v>6910</v>
      </c>
      <c r="T2079" s="3" t="s">
        <v>4868</v>
      </c>
      <c r="U2079" s="45">
        <v>35</v>
      </c>
      <c r="V2079" t="s">
        <v>6919</v>
      </c>
      <c r="W2079" s="1" t="str">
        <f>HYPERLINK("http://ictvonline.org/taxonomy/p/taxonomy-history?taxnode_id=201901381","ICTVonline=201901381")</f>
        <v>ICTVonline=201901381</v>
      </c>
    </row>
    <row r="2080" spans="1:23">
      <c r="A2080" s="3">
        <v>2079</v>
      </c>
      <c r="B2080" s="1" t="s">
        <v>6915</v>
      </c>
      <c r="D2080" s="1" t="s">
        <v>6916</v>
      </c>
      <c r="F2080" s="1" t="s">
        <v>6920</v>
      </c>
      <c r="H2080" s="1" t="s">
        <v>6921</v>
      </c>
      <c r="J2080" s="1" t="s">
        <v>1324</v>
      </c>
      <c r="L2080" s="1" t="s">
        <v>895</v>
      </c>
      <c r="N2080" s="1" t="s">
        <v>8012</v>
      </c>
      <c r="P2080" s="1" t="s">
        <v>8013</v>
      </c>
      <c r="Q2080" s="3">
        <v>1</v>
      </c>
      <c r="R2080" s="22" t="s">
        <v>2721</v>
      </c>
      <c r="S2080" s="42" t="s">
        <v>6914</v>
      </c>
      <c r="T2080" s="3" t="s">
        <v>4866</v>
      </c>
      <c r="U2080" s="45">
        <v>35</v>
      </c>
      <c r="V2080" t="s">
        <v>7896</v>
      </c>
      <c r="W2080" s="1" t="str">
        <f>HYPERLINK("http://ictvonline.org/taxonomy/p/taxonomy-history?taxnode_id=201908061","ICTVonline=201908061")</f>
        <v>ICTVonline=201908061</v>
      </c>
    </row>
    <row r="2081" spans="1:23">
      <c r="A2081" s="3">
        <v>2080</v>
      </c>
      <c r="B2081" s="1" t="s">
        <v>6915</v>
      </c>
      <c r="D2081" s="1" t="s">
        <v>6916</v>
      </c>
      <c r="F2081" s="1" t="s">
        <v>6920</v>
      </c>
      <c r="H2081" s="1" t="s">
        <v>6921</v>
      </c>
      <c r="J2081" s="1" t="s">
        <v>1324</v>
      </c>
      <c r="L2081" s="1" t="s">
        <v>895</v>
      </c>
      <c r="N2081" s="1" t="s">
        <v>3415</v>
      </c>
      <c r="P2081" s="1" t="s">
        <v>3416</v>
      </c>
      <c r="Q2081" s="3">
        <v>0</v>
      </c>
      <c r="R2081" s="22" t="s">
        <v>2721</v>
      </c>
      <c r="S2081" s="42" t="s">
        <v>6910</v>
      </c>
      <c r="T2081" s="3" t="s">
        <v>4868</v>
      </c>
      <c r="U2081" s="45">
        <v>35</v>
      </c>
      <c r="V2081" t="s">
        <v>6919</v>
      </c>
      <c r="W2081" s="1" t="str">
        <f>HYPERLINK("http://ictvonline.org/taxonomy/p/taxonomy-history?taxnode_id=201901386","ICTVonline=201901386")</f>
        <v>ICTVonline=201901386</v>
      </c>
    </row>
    <row r="2082" spans="1:23">
      <c r="A2082" s="3">
        <v>2081</v>
      </c>
      <c r="B2082" s="1" t="s">
        <v>6915</v>
      </c>
      <c r="D2082" s="1" t="s">
        <v>6916</v>
      </c>
      <c r="F2082" s="1" t="s">
        <v>6920</v>
      </c>
      <c r="H2082" s="1" t="s">
        <v>6921</v>
      </c>
      <c r="J2082" s="1" t="s">
        <v>1324</v>
      </c>
      <c r="L2082" s="1" t="s">
        <v>895</v>
      </c>
      <c r="N2082" s="1" t="s">
        <v>3415</v>
      </c>
      <c r="P2082" s="1" t="s">
        <v>4456</v>
      </c>
      <c r="Q2082" s="3">
        <v>0</v>
      </c>
      <c r="R2082" s="22" t="s">
        <v>2721</v>
      </c>
      <c r="S2082" s="42" t="s">
        <v>6910</v>
      </c>
      <c r="T2082" s="3" t="s">
        <v>4868</v>
      </c>
      <c r="U2082" s="45">
        <v>35</v>
      </c>
      <c r="V2082" t="s">
        <v>6919</v>
      </c>
      <c r="W2082" s="1" t="str">
        <f>HYPERLINK("http://ictvonline.org/taxonomy/p/taxonomy-history?taxnode_id=201901387","ICTVonline=201901387")</f>
        <v>ICTVonline=201901387</v>
      </c>
    </row>
    <row r="2083" spans="1:23">
      <c r="A2083" s="3">
        <v>2082</v>
      </c>
      <c r="B2083" s="1" t="s">
        <v>6915</v>
      </c>
      <c r="D2083" s="1" t="s">
        <v>6916</v>
      </c>
      <c r="F2083" s="1" t="s">
        <v>6920</v>
      </c>
      <c r="H2083" s="1" t="s">
        <v>6921</v>
      </c>
      <c r="J2083" s="1" t="s">
        <v>1324</v>
      </c>
      <c r="L2083" s="1" t="s">
        <v>895</v>
      </c>
      <c r="N2083" s="1" t="s">
        <v>3415</v>
      </c>
      <c r="P2083" s="1" t="s">
        <v>3417</v>
      </c>
      <c r="Q2083" s="3">
        <v>0</v>
      </c>
      <c r="R2083" s="22" t="s">
        <v>2721</v>
      </c>
      <c r="S2083" s="42" t="s">
        <v>6910</v>
      </c>
      <c r="T2083" s="3" t="s">
        <v>4868</v>
      </c>
      <c r="U2083" s="45">
        <v>35</v>
      </c>
      <c r="V2083" t="s">
        <v>6919</v>
      </c>
      <c r="W2083" s="1" t="str">
        <f>HYPERLINK("http://ictvonline.org/taxonomy/p/taxonomy-history?taxnode_id=201901388","ICTVonline=201901388")</f>
        <v>ICTVonline=201901388</v>
      </c>
    </row>
    <row r="2084" spans="1:23">
      <c r="A2084" s="3">
        <v>2083</v>
      </c>
      <c r="B2084" s="1" t="s">
        <v>6915</v>
      </c>
      <c r="D2084" s="1" t="s">
        <v>6916</v>
      </c>
      <c r="F2084" s="1" t="s">
        <v>6920</v>
      </c>
      <c r="H2084" s="1" t="s">
        <v>6921</v>
      </c>
      <c r="J2084" s="1" t="s">
        <v>1324</v>
      </c>
      <c r="L2084" s="1" t="s">
        <v>895</v>
      </c>
      <c r="N2084" s="1" t="s">
        <v>3415</v>
      </c>
      <c r="P2084" s="1" t="s">
        <v>4457</v>
      </c>
      <c r="Q2084" s="3">
        <v>0</v>
      </c>
      <c r="R2084" s="22" t="s">
        <v>2721</v>
      </c>
      <c r="S2084" s="42" t="s">
        <v>6910</v>
      </c>
      <c r="T2084" s="3" t="s">
        <v>4868</v>
      </c>
      <c r="U2084" s="45">
        <v>35</v>
      </c>
      <c r="V2084" t="s">
        <v>6919</v>
      </c>
      <c r="W2084" s="1" t="str">
        <f>HYPERLINK("http://ictvonline.org/taxonomy/p/taxonomy-history?taxnode_id=201901389","ICTVonline=201901389")</f>
        <v>ICTVonline=201901389</v>
      </c>
    </row>
    <row r="2085" spans="1:23">
      <c r="A2085" s="3">
        <v>2084</v>
      </c>
      <c r="B2085" s="1" t="s">
        <v>6915</v>
      </c>
      <c r="D2085" s="1" t="s">
        <v>6916</v>
      </c>
      <c r="F2085" s="1" t="s">
        <v>6920</v>
      </c>
      <c r="H2085" s="1" t="s">
        <v>6921</v>
      </c>
      <c r="J2085" s="1" t="s">
        <v>1324</v>
      </c>
      <c r="L2085" s="1" t="s">
        <v>895</v>
      </c>
      <c r="N2085" s="1" t="s">
        <v>3415</v>
      </c>
      <c r="P2085" s="1" t="s">
        <v>4458</v>
      </c>
      <c r="Q2085" s="3">
        <v>0</v>
      </c>
      <c r="R2085" s="22" t="s">
        <v>2721</v>
      </c>
      <c r="S2085" s="42" t="s">
        <v>6910</v>
      </c>
      <c r="T2085" s="3" t="s">
        <v>4868</v>
      </c>
      <c r="U2085" s="45">
        <v>35</v>
      </c>
      <c r="V2085" t="s">
        <v>6919</v>
      </c>
      <c r="W2085" s="1" t="str">
        <f>HYPERLINK("http://ictvonline.org/taxonomy/p/taxonomy-history?taxnode_id=201901390","ICTVonline=201901390")</f>
        <v>ICTVonline=201901390</v>
      </c>
    </row>
    <row r="2086" spans="1:23">
      <c r="A2086" s="3">
        <v>2085</v>
      </c>
      <c r="B2086" s="1" t="s">
        <v>6915</v>
      </c>
      <c r="D2086" s="1" t="s">
        <v>6916</v>
      </c>
      <c r="F2086" s="1" t="s">
        <v>6920</v>
      </c>
      <c r="H2086" s="1" t="s">
        <v>6921</v>
      </c>
      <c r="J2086" s="1" t="s">
        <v>1324</v>
      </c>
      <c r="L2086" s="1" t="s">
        <v>895</v>
      </c>
      <c r="N2086" s="1" t="s">
        <v>3415</v>
      </c>
      <c r="P2086" s="1" t="s">
        <v>3418</v>
      </c>
      <c r="Q2086" s="3">
        <v>1</v>
      </c>
      <c r="R2086" s="22" t="s">
        <v>2721</v>
      </c>
      <c r="S2086" s="42" t="s">
        <v>6910</v>
      </c>
      <c r="T2086" s="3" t="s">
        <v>4868</v>
      </c>
      <c r="U2086" s="45">
        <v>35</v>
      </c>
      <c r="V2086" t="s">
        <v>6919</v>
      </c>
      <c r="W2086" s="1" t="str">
        <f>HYPERLINK("http://ictvonline.org/taxonomy/p/taxonomy-history?taxnode_id=201901391","ICTVonline=201901391")</f>
        <v>ICTVonline=201901391</v>
      </c>
    </row>
    <row r="2087" spans="1:23">
      <c r="A2087" s="3">
        <v>2086</v>
      </c>
      <c r="B2087" s="1" t="s">
        <v>6915</v>
      </c>
      <c r="D2087" s="1" t="s">
        <v>6916</v>
      </c>
      <c r="F2087" s="1" t="s">
        <v>6920</v>
      </c>
      <c r="H2087" s="1" t="s">
        <v>6921</v>
      </c>
      <c r="J2087" s="1" t="s">
        <v>1324</v>
      </c>
      <c r="L2087" s="1" t="s">
        <v>895</v>
      </c>
      <c r="N2087" s="1" t="s">
        <v>6764</v>
      </c>
      <c r="P2087" s="1" t="s">
        <v>6765</v>
      </c>
      <c r="Q2087" s="3">
        <v>1</v>
      </c>
      <c r="R2087" s="22" t="s">
        <v>2721</v>
      </c>
      <c r="S2087" s="42" t="s">
        <v>6910</v>
      </c>
      <c r="T2087" s="3" t="s">
        <v>4868</v>
      </c>
      <c r="U2087" s="45">
        <v>35</v>
      </c>
      <c r="V2087" t="s">
        <v>6919</v>
      </c>
      <c r="W2087" s="1" t="str">
        <f>HYPERLINK("http://ictvonline.org/taxonomy/p/taxonomy-history?taxnode_id=201906617","ICTVonline=201906617")</f>
        <v>ICTVonline=201906617</v>
      </c>
    </row>
    <row r="2088" spans="1:23">
      <c r="A2088" s="3">
        <v>2087</v>
      </c>
      <c r="B2088" s="1" t="s">
        <v>6915</v>
      </c>
      <c r="D2088" s="1" t="s">
        <v>6916</v>
      </c>
      <c r="F2088" s="1" t="s">
        <v>6920</v>
      </c>
      <c r="H2088" s="1" t="s">
        <v>6921</v>
      </c>
      <c r="J2088" s="1" t="s">
        <v>1324</v>
      </c>
      <c r="L2088" s="1" t="s">
        <v>895</v>
      </c>
      <c r="N2088" s="1" t="s">
        <v>8014</v>
      </c>
      <c r="P2088" s="1" t="s">
        <v>8015</v>
      </c>
      <c r="Q2088" s="3">
        <v>1</v>
      </c>
      <c r="R2088" s="22" t="s">
        <v>2721</v>
      </c>
      <c r="S2088" s="42" t="s">
        <v>6914</v>
      </c>
      <c r="T2088" s="3" t="s">
        <v>4866</v>
      </c>
      <c r="U2088" s="45">
        <v>35</v>
      </c>
      <c r="V2088" t="s">
        <v>8016</v>
      </c>
      <c r="W2088" s="1" t="str">
        <f>HYPERLINK("http://ictvonline.org/taxonomy/p/taxonomy-history?taxnode_id=201908079","ICTVonline=201908079")</f>
        <v>ICTVonline=201908079</v>
      </c>
    </row>
    <row r="2089" spans="1:23">
      <c r="A2089" s="3">
        <v>2088</v>
      </c>
      <c r="B2089" s="1" t="s">
        <v>6915</v>
      </c>
      <c r="D2089" s="1" t="s">
        <v>6916</v>
      </c>
      <c r="F2089" s="1" t="s">
        <v>6920</v>
      </c>
      <c r="H2089" s="1" t="s">
        <v>6921</v>
      </c>
      <c r="J2089" s="1" t="s">
        <v>1324</v>
      </c>
      <c r="L2089" s="1" t="s">
        <v>895</v>
      </c>
      <c r="P2089" s="1" t="s">
        <v>3235</v>
      </c>
      <c r="Q2089" s="3">
        <v>0</v>
      </c>
      <c r="R2089" s="22" t="s">
        <v>2721</v>
      </c>
      <c r="S2089" s="42" t="s">
        <v>6910</v>
      </c>
      <c r="T2089" s="3" t="s">
        <v>4868</v>
      </c>
      <c r="U2089" s="45">
        <v>35</v>
      </c>
      <c r="V2089" t="s">
        <v>6919</v>
      </c>
      <c r="W2089" s="1" t="str">
        <f>HYPERLINK("http://ictvonline.org/taxonomy/p/taxonomy-history?taxnode_id=201901363","ICTVonline=201901363")</f>
        <v>ICTVonline=201901363</v>
      </c>
    </row>
    <row r="2090" spans="1:23">
      <c r="A2090" s="3">
        <v>2089</v>
      </c>
      <c r="B2090" s="1" t="s">
        <v>6915</v>
      </c>
      <c r="D2090" s="1" t="s">
        <v>6916</v>
      </c>
      <c r="F2090" s="1" t="s">
        <v>6920</v>
      </c>
      <c r="H2090" s="1" t="s">
        <v>6921</v>
      </c>
      <c r="J2090" s="1" t="s">
        <v>1324</v>
      </c>
      <c r="N2090" s="1" t="s">
        <v>6654</v>
      </c>
      <c r="P2090" s="1" t="s">
        <v>6655</v>
      </c>
      <c r="Q2090" s="3">
        <v>1</v>
      </c>
      <c r="R2090" s="22" t="s">
        <v>2721</v>
      </c>
      <c r="S2090" s="42" t="s">
        <v>6910</v>
      </c>
      <c r="T2090" s="3" t="s">
        <v>4868</v>
      </c>
      <c r="U2090" s="45">
        <v>35</v>
      </c>
      <c r="V2090" t="s">
        <v>7599</v>
      </c>
      <c r="W2090" s="1" t="str">
        <f>HYPERLINK("http://ictvonline.org/taxonomy/p/taxonomy-history?taxnode_id=201906774","ICTVonline=201906774")</f>
        <v>ICTVonline=201906774</v>
      </c>
    </row>
    <row r="2091" spans="1:23">
      <c r="A2091" s="3">
        <v>2090</v>
      </c>
      <c r="B2091" s="1" t="s">
        <v>8017</v>
      </c>
      <c r="D2091" s="1" t="s">
        <v>8018</v>
      </c>
      <c r="F2091" s="1" t="s">
        <v>8019</v>
      </c>
      <c r="H2091" s="1" t="s">
        <v>8020</v>
      </c>
      <c r="J2091" s="1" t="s">
        <v>8021</v>
      </c>
      <c r="L2091" s="1" t="s">
        <v>1668</v>
      </c>
      <c r="N2091" s="1" t="s">
        <v>8022</v>
      </c>
      <c r="P2091" s="1" t="s">
        <v>3793</v>
      </c>
      <c r="Q2091" s="3">
        <v>1</v>
      </c>
      <c r="R2091" s="22" t="s">
        <v>2724</v>
      </c>
      <c r="S2091" s="42" t="s">
        <v>6914</v>
      </c>
      <c r="T2091" s="3" t="s">
        <v>4871</v>
      </c>
      <c r="U2091" s="45">
        <v>35</v>
      </c>
      <c r="V2091" t="s">
        <v>8023</v>
      </c>
      <c r="W2091" s="1" t="str">
        <f>HYPERLINK("http://ictvonline.org/taxonomy/p/taxonomy-history?taxnode_id=201903715","ICTVonline=201903715")</f>
        <v>ICTVonline=201903715</v>
      </c>
    </row>
    <row r="2092" spans="1:23">
      <c r="A2092" s="3">
        <v>2091</v>
      </c>
      <c r="B2092" s="1" t="s">
        <v>8017</v>
      </c>
      <c r="D2092" s="1" t="s">
        <v>8018</v>
      </c>
      <c r="F2092" s="1" t="s">
        <v>8019</v>
      </c>
      <c r="H2092" s="1" t="s">
        <v>8020</v>
      </c>
      <c r="J2092" s="1" t="s">
        <v>8021</v>
      </c>
      <c r="L2092" s="1" t="s">
        <v>1668</v>
      </c>
      <c r="N2092" s="1" t="s">
        <v>8024</v>
      </c>
      <c r="P2092" s="1" t="s">
        <v>4744</v>
      </c>
      <c r="Q2092" s="3">
        <v>1</v>
      </c>
      <c r="R2092" s="22" t="s">
        <v>2724</v>
      </c>
      <c r="S2092" s="42" t="s">
        <v>6914</v>
      </c>
      <c r="T2092" s="3" t="s">
        <v>4871</v>
      </c>
      <c r="U2092" s="45">
        <v>35</v>
      </c>
      <c r="V2092" t="s">
        <v>8023</v>
      </c>
      <c r="W2092" s="1" t="str">
        <f>HYPERLINK("http://ictvonline.org/taxonomy/p/taxonomy-history?taxnode_id=201903705","ICTVonline=201903705")</f>
        <v>ICTVonline=201903705</v>
      </c>
    </row>
    <row r="2093" spans="1:23">
      <c r="A2093" s="3">
        <v>2092</v>
      </c>
      <c r="B2093" s="1" t="s">
        <v>8017</v>
      </c>
      <c r="D2093" s="1" t="s">
        <v>8018</v>
      </c>
      <c r="F2093" s="1" t="s">
        <v>8019</v>
      </c>
      <c r="H2093" s="1" t="s">
        <v>8020</v>
      </c>
      <c r="J2093" s="1" t="s">
        <v>8021</v>
      </c>
      <c r="L2093" s="1" t="s">
        <v>1668</v>
      </c>
      <c r="N2093" s="1" t="s">
        <v>8025</v>
      </c>
      <c r="P2093" s="1" t="s">
        <v>4752</v>
      </c>
      <c r="Q2093" s="3">
        <v>1</v>
      </c>
      <c r="R2093" s="22" t="s">
        <v>2724</v>
      </c>
      <c r="S2093" s="42" t="s">
        <v>6914</v>
      </c>
      <c r="T2093" s="3" t="s">
        <v>4871</v>
      </c>
      <c r="U2093" s="45">
        <v>35</v>
      </c>
      <c r="V2093" t="s">
        <v>8023</v>
      </c>
      <c r="W2093" s="1" t="str">
        <f>HYPERLINK("http://ictvonline.org/taxonomy/p/taxonomy-history?taxnode_id=201903716","ICTVonline=201903716")</f>
        <v>ICTVonline=201903716</v>
      </c>
    </row>
    <row r="2094" spans="1:23">
      <c r="A2094" s="3">
        <v>2093</v>
      </c>
      <c r="B2094" s="1" t="s">
        <v>8017</v>
      </c>
      <c r="D2094" s="1" t="s">
        <v>8018</v>
      </c>
      <c r="F2094" s="1" t="s">
        <v>8019</v>
      </c>
      <c r="H2094" s="1" t="s">
        <v>8020</v>
      </c>
      <c r="J2094" s="1" t="s">
        <v>8021</v>
      </c>
      <c r="L2094" s="1" t="s">
        <v>1668</v>
      </c>
      <c r="N2094" s="1" t="s">
        <v>8026</v>
      </c>
      <c r="P2094" s="1" t="s">
        <v>3797</v>
      </c>
      <c r="Q2094" s="3">
        <v>1</v>
      </c>
      <c r="R2094" s="22" t="s">
        <v>2724</v>
      </c>
      <c r="S2094" s="42" t="s">
        <v>6914</v>
      </c>
      <c r="T2094" s="3" t="s">
        <v>4871</v>
      </c>
      <c r="U2094" s="45">
        <v>35</v>
      </c>
      <c r="V2094" t="s">
        <v>8023</v>
      </c>
      <c r="W2094" s="1" t="str">
        <f>HYPERLINK("http://ictvonline.org/taxonomy/p/taxonomy-history?taxnode_id=201903720","ICTVonline=201903720")</f>
        <v>ICTVonline=201903720</v>
      </c>
    </row>
    <row r="2095" spans="1:23">
      <c r="A2095" s="3">
        <v>2094</v>
      </c>
      <c r="B2095" s="1" t="s">
        <v>8017</v>
      </c>
      <c r="D2095" s="1" t="s">
        <v>8018</v>
      </c>
      <c r="F2095" s="1" t="s">
        <v>8019</v>
      </c>
      <c r="H2095" s="1" t="s">
        <v>8020</v>
      </c>
      <c r="J2095" s="1" t="s">
        <v>8021</v>
      </c>
      <c r="L2095" s="1" t="s">
        <v>1668</v>
      </c>
      <c r="N2095" s="1" t="s">
        <v>4079</v>
      </c>
      <c r="P2095" s="1" t="s">
        <v>3794</v>
      </c>
      <c r="Q2095" s="3">
        <v>1</v>
      </c>
      <c r="R2095" s="22" t="s">
        <v>2724</v>
      </c>
      <c r="S2095" s="42" t="s">
        <v>6912</v>
      </c>
      <c r="T2095" s="3" t="s">
        <v>4868</v>
      </c>
      <c r="U2095" s="45">
        <v>35</v>
      </c>
      <c r="V2095" t="s">
        <v>8027</v>
      </c>
      <c r="W2095" s="1" t="str">
        <f>HYPERLINK("http://ictvonline.org/taxonomy/p/taxonomy-history?taxnode_id=201903687","ICTVonline=201903687")</f>
        <v>ICTVonline=201903687</v>
      </c>
    </row>
    <row r="2096" spans="1:23">
      <c r="A2096" s="3">
        <v>2095</v>
      </c>
      <c r="B2096" s="1" t="s">
        <v>8017</v>
      </c>
      <c r="D2096" s="1" t="s">
        <v>8018</v>
      </c>
      <c r="F2096" s="1" t="s">
        <v>8019</v>
      </c>
      <c r="H2096" s="1" t="s">
        <v>8020</v>
      </c>
      <c r="J2096" s="1" t="s">
        <v>8021</v>
      </c>
      <c r="L2096" s="1" t="s">
        <v>1668</v>
      </c>
      <c r="N2096" s="1" t="s">
        <v>4079</v>
      </c>
      <c r="P2096" s="1" t="s">
        <v>4738</v>
      </c>
      <c r="Q2096" s="3">
        <v>0</v>
      </c>
      <c r="R2096" s="22" t="s">
        <v>2724</v>
      </c>
      <c r="S2096" s="42" t="s">
        <v>6912</v>
      </c>
      <c r="T2096" s="3" t="s">
        <v>4868</v>
      </c>
      <c r="U2096" s="45">
        <v>35</v>
      </c>
      <c r="V2096" t="s">
        <v>8027</v>
      </c>
      <c r="W2096" s="1" t="str">
        <f>HYPERLINK("http://ictvonline.org/taxonomy/p/taxonomy-history?taxnode_id=201903688","ICTVonline=201903688")</f>
        <v>ICTVonline=201903688</v>
      </c>
    </row>
    <row r="2097" spans="1:23">
      <c r="A2097" s="3">
        <v>2096</v>
      </c>
      <c r="B2097" s="1" t="s">
        <v>8017</v>
      </c>
      <c r="D2097" s="1" t="s">
        <v>8018</v>
      </c>
      <c r="F2097" s="1" t="s">
        <v>8019</v>
      </c>
      <c r="H2097" s="1" t="s">
        <v>8020</v>
      </c>
      <c r="J2097" s="1" t="s">
        <v>8021</v>
      </c>
      <c r="L2097" s="1" t="s">
        <v>1668</v>
      </c>
      <c r="N2097" s="1" t="s">
        <v>4739</v>
      </c>
      <c r="P2097" s="1" t="s">
        <v>8028</v>
      </c>
      <c r="Q2097" s="3">
        <v>0</v>
      </c>
      <c r="R2097" s="22" t="s">
        <v>2724</v>
      </c>
      <c r="S2097" s="42" t="s">
        <v>6914</v>
      </c>
      <c r="T2097" s="3" t="s">
        <v>4866</v>
      </c>
      <c r="U2097" s="45">
        <v>35</v>
      </c>
      <c r="V2097" t="s">
        <v>8023</v>
      </c>
      <c r="W2097" s="1" t="str">
        <f>HYPERLINK("http://ictvonline.org/taxonomy/p/taxonomy-history?taxnode_id=201907856","ICTVonline=201907856")</f>
        <v>ICTVonline=201907856</v>
      </c>
    </row>
    <row r="2098" spans="1:23">
      <c r="A2098" s="3">
        <v>2097</v>
      </c>
      <c r="B2098" s="1" t="s">
        <v>8017</v>
      </c>
      <c r="D2098" s="1" t="s">
        <v>8018</v>
      </c>
      <c r="F2098" s="1" t="s">
        <v>8019</v>
      </c>
      <c r="H2098" s="1" t="s">
        <v>8020</v>
      </c>
      <c r="J2098" s="1" t="s">
        <v>8021</v>
      </c>
      <c r="L2098" s="1" t="s">
        <v>1668</v>
      </c>
      <c r="N2098" s="1" t="s">
        <v>4739</v>
      </c>
      <c r="P2098" s="1" t="s">
        <v>4740</v>
      </c>
      <c r="Q2098" s="3">
        <v>0</v>
      </c>
      <c r="R2098" s="22" t="s">
        <v>2724</v>
      </c>
      <c r="S2098" s="42" t="s">
        <v>6912</v>
      </c>
      <c r="T2098" s="3" t="s">
        <v>4868</v>
      </c>
      <c r="U2098" s="45">
        <v>35</v>
      </c>
      <c r="V2098" t="s">
        <v>8027</v>
      </c>
      <c r="W2098" s="1" t="str">
        <f>HYPERLINK("http://ictvonline.org/taxonomy/p/taxonomy-history?taxnode_id=201903690","ICTVonline=201903690")</f>
        <v>ICTVonline=201903690</v>
      </c>
    </row>
    <row r="2099" spans="1:23">
      <c r="A2099" s="3">
        <v>2098</v>
      </c>
      <c r="B2099" s="1" t="s">
        <v>8017</v>
      </c>
      <c r="D2099" s="1" t="s">
        <v>8018</v>
      </c>
      <c r="F2099" s="1" t="s">
        <v>8019</v>
      </c>
      <c r="H2099" s="1" t="s">
        <v>8020</v>
      </c>
      <c r="J2099" s="1" t="s">
        <v>8021</v>
      </c>
      <c r="L2099" s="1" t="s">
        <v>1668</v>
      </c>
      <c r="N2099" s="1" t="s">
        <v>4739</v>
      </c>
      <c r="P2099" s="1" t="s">
        <v>4741</v>
      </c>
      <c r="Q2099" s="3">
        <v>1</v>
      </c>
      <c r="R2099" s="22" t="s">
        <v>2724</v>
      </c>
      <c r="S2099" s="42" t="s">
        <v>6912</v>
      </c>
      <c r="T2099" s="3" t="s">
        <v>4868</v>
      </c>
      <c r="U2099" s="45">
        <v>35</v>
      </c>
      <c r="V2099" t="s">
        <v>8027</v>
      </c>
      <c r="W2099" s="1" t="str">
        <f>HYPERLINK("http://ictvonline.org/taxonomy/p/taxonomy-history?taxnode_id=201903691","ICTVonline=201903691")</f>
        <v>ICTVonline=201903691</v>
      </c>
    </row>
    <row r="2100" spans="1:23">
      <c r="A2100" s="3">
        <v>2099</v>
      </c>
      <c r="B2100" s="1" t="s">
        <v>8017</v>
      </c>
      <c r="D2100" s="1" t="s">
        <v>8018</v>
      </c>
      <c r="F2100" s="1" t="s">
        <v>8019</v>
      </c>
      <c r="H2100" s="1" t="s">
        <v>8020</v>
      </c>
      <c r="J2100" s="1" t="s">
        <v>8021</v>
      </c>
      <c r="L2100" s="1" t="s">
        <v>1668</v>
      </c>
      <c r="N2100" s="1" t="s">
        <v>4739</v>
      </c>
      <c r="P2100" s="1" t="s">
        <v>4742</v>
      </c>
      <c r="Q2100" s="3">
        <v>0</v>
      </c>
      <c r="R2100" s="22" t="s">
        <v>2724</v>
      </c>
      <c r="S2100" s="42" t="s">
        <v>6912</v>
      </c>
      <c r="T2100" s="3" t="s">
        <v>4868</v>
      </c>
      <c r="U2100" s="45">
        <v>35</v>
      </c>
      <c r="V2100" t="s">
        <v>8027</v>
      </c>
      <c r="W2100" s="1" t="str">
        <f>HYPERLINK("http://ictvonline.org/taxonomy/p/taxonomy-history?taxnode_id=201903692","ICTVonline=201903692")</f>
        <v>ICTVonline=201903692</v>
      </c>
    </row>
    <row r="2101" spans="1:23">
      <c r="A2101" s="3">
        <v>2100</v>
      </c>
      <c r="B2101" s="1" t="s">
        <v>8017</v>
      </c>
      <c r="D2101" s="1" t="s">
        <v>8018</v>
      </c>
      <c r="F2101" s="1" t="s">
        <v>8019</v>
      </c>
      <c r="H2101" s="1" t="s">
        <v>8020</v>
      </c>
      <c r="J2101" s="1" t="s">
        <v>8021</v>
      </c>
      <c r="L2101" s="1" t="s">
        <v>1668</v>
      </c>
      <c r="N2101" s="1" t="s">
        <v>8029</v>
      </c>
      <c r="P2101" s="1" t="s">
        <v>3788</v>
      </c>
      <c r="Q2101" s="3">
        <v>1</v>
      </c>
      <c r="R2101" s="22" t="s">
        <v>2724</v>
      </c>
      <c r="S2101" s="42" t="s">
        <v>6914</v>
      </c>
      <c r="T2101" s="3" t="s">
        <v>4871</v>
      </c>
      <c r="U2101" s="45">
        <v>35</v>
      </c>
      <c r="V2101" t="s">
        <v>8023</v>
      </c>
      <c r="W2101" s="1" t="str">
        <f>HYPERLINK("http://ictvonline.org/taxonomy/p/taxonomy-history?taxnode_id=201903704","ICTVonline=201903704")</f>
        <v>ICTVonline=201903704</v>
      </c>
    </row>
    <row r="2102" spans="1:23">
      <c r="A2102" s="3">
        <v>2101</v>
      </c>
      <c r="B2102" s="1" t="s">
        <v>8017</v>
      </c>
      <c r="D2102" s="1" t="s">
        <v>8018</v>
      </c>
      <c r="F2102" s="1" t="s">
        <v>8019</v>
      </c>
      <c r="H2102" s="1" t="s">
        <v>8020</v>
      </c>
      <c r="J2102" s="1" t="s">
        <v>8021</v>
      </c>
      <c r="L2102" s="1" t="s">
        <v>1668</v>
      </c>
      <c r="N2102" s="1" t="s">
        <v>1669</v>
      </c>
      <c r="P2102" s="1" t="s">
        <v>3789</v>
      </c>
      <c r="Q2102" s="3">
        <v>1</v>
      </c>
      <c r="R2102" s="22" t="s">
        <v>2724</v>
      </c>
      <c r="S2102" s="42" t="s">
        <v>6912</v>
      </c>
      <c r="T2102" s="3" t="s">
        <v>4868</v>
      </c>
      <c r="U2102" s="45">
        <v>35</v>
      </c>
      <c r="V2102" t="s">
        <v>8027</v>
      </c>
      <c r="W2102" s="1" t="str">
        <f>HYPERLINK("http://ictvonline.org/taxonomy/p/taxonomy-history?taxnode_id=201903694","ICTVonline=201903694")</f>
        <v>ICTVonline=201903694</v>
      </c>
    </row>
    <row r="2103" spans="1:23">
      <c r="A2103" s="3">
        <v>2102</v>
      </c>
      <c r="B2103" s="1" t="s">
        <v>8017</v>
      </c>
      <c r="D2103" s="1" t="s">
        <v>8018</v>
      </c>
      <c r="F2103" s="1" t="s">
        <v>8019</v>
      </c>
      <c r="H2103" s="1" t="s">
        <v>8020</v>
      </c>
      <c r="J2103" s="1" t="s">
        <v>8021</v>
      </c>
      <c r="L2103" s="1" t="s">
        <v>1668</v>
      </c>
      <c r="N2103" s="1" t="s">
        <v>4080</v>
      </c>
      <c r="P2103" s="1" t="s">
        <v>3787</v>
      </c>
      <c r="Q2103" s="3">
        <v>0</v>
      </c>
      <c r="R2103" s="22" t="s">
        <v>2724</v>
      </c>
      <c r="S2103" s="42" t="s">
        <v>6912</v>
      </c>
      <c r="T2103" s="3" t="s">
        <v>4868</v>
      </c>
      <c r="U2103" s="45">
        <v>35</v>
      </c>
      <c r="V2103" t="s">
        <v>8027</v>
      </c>
      <c r="W2103" s="1" t="str">
        <f>HYPERLINK("http://ictvonline.org/taxonomy/p/taxonomy-history?taxnode_id=201903696","ICTVonline=201903696")</f>
        <v>ICTVonline=201903696</v>
      </c>
    </row>
    <row r="2104" spans="1:23">
      <c r="A2104" s="3">
        <v>2103</v>
      </c>
      <c r="B2104" s="1" t="s">
        <v>8017</v>
      </c>
      <c r="D2104" s="1" t="s">
        <v>8018</v>
      </c>
      <c r="F2104" s="1" t="s">
        <v>8019</v>
      </c>
      <c r="H2104" s="1" t="s">
        <v>8020</v>
      </c>
      <c r="J2104" s="1" t="s">
        <v>8021</v>
      </c>
      <c r="L2104" s="1" t="s">
        <v>1668</v>
      </c>
      <c r="N2104" s="1" t="s">
        <v>4080</v>
      </c>
      <c r="P2104" s="1" t="s">
        <v>3792</v>
      </c>
      <c r="Q2104" s="3">
        <v>1</v>
      </c>
      <c r="R2104" s="22" t="s">
        <v>2724</v>
      </c>
      <c r="S2104" s="42" t="s">
        <v>6912</v>
      </c>
      <c r="T2104" s="3" t="s">
        <v>4868</v>
      </c>
      <c r="U2104" s="45">
        <v>35</v>
      </c>
      <c r="V2104" t="s">
        <v>8027</v>
      </c>
      <c r="W2104" s="1" t="str">
        <f>HYPERLINK("http://ictvonline.org/taxonomy/p/taxonomy-history?taxnode_id=201903697","ICTVonline=201903697")</f>
        <v>ICTVonline=201903697</v>
      </c>
    </row>
    <row r="2105" spans="1:23">
      <c r="A2105" s="3">
        <v>2104</v>
      </c>
      <c r="B2105" s="1" t="s">
        <v>8017</v>
      </c>
      <c r="D2105" s="1" t="s">
        <v>8018</v>
      </c>
      <c r="F2105" s="1" t="s">
        <v>8019</v>
      </c>
      <c r="H2105" s="1" t="s">
        <v>8020</v>
      </c>
      <c r="J2105" s="1" t="s">
        <v>8021</v>
      </c>
      <c r="L2105" s="1" t="s">
        <v>1668</v>
      </c>
      <c r="N2105" s="1" t="s">
        <v>8030</v>
      </c>
      <c r="P2105" s="1" t="s">
        <v>4745</v>
      </c>
      <c r="Q2105" s="3">
        <v>1</v>
      </c>
      <c r="R2105" s="22" t="s">
        <v>2724</v>
      </c>
      <c r="S2105" s="42" t="s">
        <v>6914</v>
      </c>
      <c r="T2105" s="3" t="s">
        <v>4871</v>
      </c>
      <c r="U2105" s="45">
        <v>35</v>
      </c>
      <c r="V2105" t="s">
        <v>8023</v>
      </c>
      <c r="W2105" s="1" t="str">
        <f>HYPERLINK("http://ictvonline.org/taxonomy/p/taxonomy-history?taxnode_id=201903708","ICTVonline=201903708")</f>
        <v>ICTVonline=201903708</v>
      </c>
    </row>
    <row r="2106" spans="1:23">
      <c r="A2106" s="3">
        <v>2105</v>
      </c>
      <c r="B2106" s="1" t="s">
        <v>8017</v>
      </c>
      <c r="D2106" s="1" t="s">
        <v>8018</v>
      </c>
      <c r="F2106" s="1" t="s">
        <v>8019</v>
      </c>
      <c r="H2106" s="1" t="s">
        <v>8020</v>
      </c>
      <c r="J2106" s="1" t="s">
        <v>8021</v>
      </c>
      <c r="L2106" s="1" t="s">
        <v>1668</v>
      </c>
      <c r="N2106" s="1" t="s">
        <v>8031</v>
      </c>
      <c r="P2106" s="1" t="s">
        <v>3790</v>
      </c>
      <c r="Q2106" s="3">
        <v>1</v>
      </c>
      <c r="R2106" s="22" t="s">
        <v>2724</v>
      </c>
      <c r="S2106" s="42" t="s">
        <v>6914</v>
      </c>
      <c r="T2106" s="3" t="s">
        <v>4871</v>
      </c>
      <c r="U2106" s="45">
        <v>35</v>
      </c>
      <c r="V2106" t="s">
        <v>8023</v>
      </c>
      <c r="W2106" s="1" t="str">
        <f>HYPERLINK("http://ictvonline.org/taxonomy/p/taxonomy-history?taxnode_id=201903706","ICTVonline=201903706")</f>
        <v>ICTVonline=201903706</v>
      </c>
    </row>
    <row r="2107" spans="1:23">
      <c r="A2107" s="3">
        <v>2106</v>
      </c>
      <c r="B2107" s="1" t="s">
        <v>8017</v>
      </c>
      <c r="D2107" s="1" t="s">
        <v>8018</v>
      </c>
      <c r="F2107" s="1" t="s">
        <v>8019</v>
      </c>
      <c r="H2107" s="1" t="s">
        <v>8020</v>
      </c>
      <c r="J2107" s="1" t="s">
        <v>8021</v>
      </c>
      <c r="L2107" s="1" t="s">
        <v>1668</v>
      </c>
      <c r="N2107" s="1" t="s">
        <v>8032</v>
      </c>
      <c r="P2107" s="1" t="s">
        <v>4748</v>
      </c>
      <c r="Q2107" s="3">
        <v>1</v>
      </c>
      <c r="R2107" s="22" t="s">
        <v>2724</v>
      </c>
      <c r="S2107" s="42" t="s">
        <v>6914</v>
      </c>
      <c r="T2107" s="3" t="s">
        <v>4871</v>
      </c>
      <c r="U2107" s="45">
        <v>35</v>
      </c>
      <c r="V2107" t="s">
        <v>8023</v>
      </c>
      <c r="W2107" s="1" t="str">
        <f>HYPERLINK("http://ictvonline.org/taxonomy/p/taxonomy-history?taxnode_id=201903711","ICTVonline=201903711")</f>
        <v>ICTVonline=201903711</v>
      </c>
    </row>
    <row r="2108" spans="1:23">
      <c r="A2108" s="3">
        <v>2107</v>
      </c>
      <c r="B2108" s="1" t="s">
        <v>8017</v>
      </c>
      <c r="D2108" s="1" t="s">
        <v>8018</v>
      </c>
      <c r="F2108" s="1" t="s">
        <v>8019</v>
      </c>
      <c r="H2108" s="1" t="s">
        <v>8020</v>
      </c>
      <c r="J2108" s="1" t="s">
        <v>8021</v>
      </c>
      <c r="L2108" s="1" t="s">
        <v>1668</v>
      </c>
      <c r="N2108" s="1" t="s">
        <v>8033</v>
      </c>
      <c r="P2108" s="1" t="s">
        <v>4746</v>
      </c>
      <c r="Q2108" s="3">
        <v>1</v>
      </c>
      <c r="R2108" s="22" t="s">
        <v>2724</v>
      </c>
      <c r="S2108" s="42" t="s">
        <v>6914</v>
      </c>
      <c r="T2108" s="3" t="s">
        <v>4871</v>
      </c>
      <c r="U2108" s="45">
        <v>35</v>
      </c>
      <c r="V2108" t="s">
        <v>8023</v>
      </c>
      <c r="W2108" s="1" t="str">
        <f>HYPERLINK("http://ictvonline.org/taxonomy/p/taxonomy-history?taxnode_id=201903709","ICTVonline=201903709")</f>
        <v>ICTVonline=201903709</v>
      </c>
    </row>
    <row r="2109" spans="1:23">
      <c r="A2109" s="3">
        <v>2108</v>
      </c>
      <c r="B2109" s="1" t="s">
        <v>8017</v>
      </c>
      <c r="D2109" s="1" t="s">
        <v>8018</v>
      </c>
      <c r="F2109" s="1" t="s">
        <v>8019</v>
      </c>
      <c r="H2109" s="1" t="s">
        <v>8020</v>
      </c>
      <c r="J2109" s="1" t="s">
        <v>8021</v>
      </c>
      <c r="L2109" s="1" t="s">
        <v>1668</v>
      </c>
      <c r="N2109" s="1" t="s">
        <v>4081</v>
      </c>
      <c r="P2109" s="1" t="s">
        <v>3795</v>
      </c>
      <c r="Q2109" s="3">
        <v>1</v>
      </c>
      <c r="R2109" s="22" t="s">
        <v>2724</v>
      </c>
      <c r="S2109" s="42" t="s">
        <v>6912</v>
      </c>
      <c r="T2109" s="3" t="s">
        <v>4868</v>
      </c>
      <c r="U2109" s="45">
        <v>35</v>
      </c>
      <c r="V2109" t="s">
        <v>8027</v>
      </c>
      <c r="W2109" s="1" t="str">
        <f>HYPERLINK("http://ictvonline.org/taxonomy/p/taxonomy-history?taxnode_id=201903701","ICTVonline=201903701")</f>
        <v>ICTVonline=201903701</v>
      </c>
    </row>
    <row r="2110" spans="1:23">
      <c r="A2110" s="3">
        <v>2109</v>
      </c>
      <c r="B2110" s="1" t="s">
        <v>8017</v>
      </c>
      <c r="D2110" s="1" t="s">
        <v>8018</v>
      </c>
      <c r="F2110" s="1" t="s">
        <v>8019</v>
      </c>
      <c r="H2110" s="1" t="s">
        <v>8020</v>
      </c>
      <c r="J2110" s="1" t="s">
        <v>8021</v>
      </c>
      <c r="L2110" s="1" t="s">
        <v>1668</v>
      </c>
      <c r="N2110" s="1" t="s">
        <v>4081</v>
      </c>
      <c r="P2110" s="1" t="s">
        <v>4743</v>
      </c>
      <c r="Q2110" s="3">
        <v>0</v>
      </c>
      <c r="R2110" s="22" t="s">
        <v>2724</v>
      </c>
      <c r="S2110" s="42" t="s">
        <v>6912</v>
      </c>
      <c r="T2110" s="3" t="s">
        <v>4868</v>
      </c>
      <c r="U2110" s="45">
        <v>35</v>
      </c>
      <c r="V2110" t="s">
        <v>8027</v>
      </c>
      <c r="W2110" s="1" t="str">
        <f>HYPERLINK("http://ictvonline.org/taxonomy/p/taxonomy-history?taxnode_id=201903702","ICTVonline=201903702")</f>
        <v>ICTVonline=201903702</v>
      </c>
    </row>
    <row r="2111" spans="1:23">
      <c r="A2111" s="3">
        <v>2110</v>
      </c>
      <c r="B2111" s="1" t="s">
        <v>8017</v>
      </c>
      <c r="D2111" s="1" t="s">
        <v>8018</v>
      </c>
      <c r="F2111" s="1" t="s">
        <v>8019</v>
      </c>
      <c r="H2111" s="1" t="s">
        <v>8020</v>
      </c>
      <c r="J2111" s="1" t="s">
        <v>8021</v>
      </c>
      <c r="L2111" s="1" t="s">
        <v>1668</v>
      </c>
      <c r="N2111" s="1" t="s">
        <v>8034</v>
      </c>
      <c r="P2111" s="1" t="s">
        <v>4749</v>
      </c>
      <c r="Q2111" s="3">
        <v>1</v>
      </c>
      <c r="R2111" s="22" t="s">
        <v>2724</v>
      </c>
      <c r="S2111" s="42" t="s">
        <v>6914</v>
      </c>
      <c r="T2111" s="3" t="s">
        <v>4871</v>
      </c>
      <c r="U2111" s="45">
        <v>35</v>
      </c>
      <c r="V2111" t="s">
        <v>8023</v>
      </c>
      <c r="W2111" s="1" t="str">
        <f>HYPERLINK("http://ictvonline.org/taxonomy/p/taxonomy-history?taxnode_id=201903712","ICTVonline=201903712")</f>
        <v>ICTVonline=201903712</v>
      </c>
    </row>
    <row r="2112" spans="1:23">
      <c r="A2112" s="3">
        <v>2111</v>
      </c>
      <c r="B2112" s="1" t="s">
        <v>8017</v>
      </c>
      <c r="D2112" s="1" t="s">
        <v>8018</v>
      </c>
      <c r="F2112" s="1" t="s">
        <v>8019</v>
      </c>
      <c r="H2112" s="1" t="s">
        <v>8020</v>
      </c>
      <c r="J2112" s="1" t="s">
        <v>8021</v>
      </c>
      <c r="L2112" s="1" t="s">
        <v>1668</v>
      </c>
      <c r="N2112" s="1" t="s">
        <v>8035</v>
      </c>
      <c r="P2112" s="1" t="s">
        <v>4751</v>
      </c>
      <c r="Q2112" s="3">
        <v>1</v>
      </c>
      <c r="R2112" s="22" t="s">
        <v>2724</v>
      </c>
      <c r="S2112" s="42" t="s">
        <v>6914</v>
      </c>
      <c r="T2112" s="3" t="s">
        <v>4871</v>
      </c>
      <c r="U2112" s="45">
        <v>35</v>
      </c>
      <c r="V2112" t="s">
        <v>8023</v>
      </c>
      <c r="W2112" s="1" t="str">
        <f>HYPERLINK("http://ictvonline.org/taxonomy/p/taxonomy-history?taxnode_id=201903714","ICTVonline=201903714")</f>
        <v>ICTVonline=201903714</v>
      </c>
    </row>
    <row r="2113" spans="1:23">
      <c r="A2113" s="3">
        <v>2112</v>
      </c>
      <c r="B2113" s="1" t="s">
        <v>8017</v>
      </c>
      <c r="D2113" s="1" t="s">
        <v>8018</v>
      </c>
      <c r="F2113" s="1" t="s">
        <v>8019</v>
      </c>
      <c r="H2113" s="1" t="s">
        <v>8020</v>
      </c>
      <c r="J2113" s="1" t="s">
        <v>8021</v>
      </c>
      <c r="L2113" s="1" t="s">
        <v>1668</v>
      </c>
      <c r="N2113" s="1" t="s">
        <v>8036</v>
      </c>
      <c r="P2113" s="1" t="s">
        <v>4750</v>
      </c>
      <c r="Q2113" s="3">
        <v>1</v>
      </c>
      <c r="R2113" s="22" t="s">
        <v>2724</v>
      </c>
      <c r="S2113" s="42" t="s">
        <v>6914</v>
      </c>
      <c r="T2113" s="3" t="s">
        <v>4871</v>
      </c>
      <c r="U2113" s="45">
        <v>35</v>
      </c>
      <c r="V2113" t="s">
        <v>8023</v>
      </c>
      <c r="W2113" s="1" t="str">
        <f>HYPERLINK("http://ictvonline.org/taxonomy/p/taxonomy-history?taxnode_id=201903713","ICTVonline=201903713")</f>
        <v>ICTVonline=201903713</v>
      </c>
    </row>
    <row r="2114" spans="1:23">
      <c r="A2114" s="3">
        <v>2113</v>
      </c>
      <c r="B2114" s="1" t="s">
        <v>8017</v>
      </c>
      <c r="D2114" s="1" t="s">
        <v>8018</v>
      </c>
      <c r="F2114" s="1" t="s">
        <v>8019</v>
      </c>
      <c r="H2114" s="1" t="s">
        <v>8020</v>
      </c>
      <c r="J2114" s="1" t="s">
        <v>8021</v>
      </c>
      <c r="L2114" s="1" t="s">
        <v>1668</v>
      </c>
      <c r="N2114" s="1" t="s">
        <v>8037</v>
      </c>
      <c r="P2114" s="1" t="s">
        <v>3791</v>
      </c>
      <c r="Q2114" s="3">
        <v>1</v>
      </c>
      <c r="R2114" s="22" t="s">
        <v>2724</v>
      </c>
      <c r="S2114" s="42" t="s">
        <v>6914</v>
      </c>
      <c r="T2114" s="3" t="s">
        <v>4871</v>
      </c>
      <c r="U2114" s="45">
        <v>35</v>
      </c>
      <c r="V2114" t="s">
        <v>8023</v>
      </c>
      <c r="W2114" s="1" t="str">
        <f>HYPERLINK("http://ictvonline.org/taxonomy/p/taxonomy-history?taxnode_id=201903707","ICTVonline=201903707")</f>
        <v>ICTVonline=201903707</v>
      </c>
    </row>
    <row r="2115" spans="1:23">
      <c r="A2115" s="3">
        <v>2114</v>
      </c>
      <c r="B2115" s="1" t="s">
        <v>8017</v>
      </c>
      <c r="D2115" s="1" t="s">
        <v>8018</v>
      </c>
      <c r="F2115" s="1" t="s">
        <v>8019</v>
      </c>
      <c r="H2115" s="1" t="s">
        <v>8020</v>
      </c>
      <c r="J2115" s="1" t="s">
        <v>8021</v>
      </c>
      <c r="L2115" s="1" t="s">
        <v>1668</v>
      </c>
      <c r="N2115" s="1" t="s">
        <v>8038</v>
      </c>
      <c r="P2115" s="1" t="s">
        <v>6870</v>
      </c>
      <c r="Q2115" s="3">
        <v>1</v>
      </c>
      <c r="R2115" s="22" t="s">
        <v>2724</v>
      </c>
      <c r="S2115" s="42" t="s">
        <v>6914</v>
      </c>
      <c r="T2115" s="3" t="s">
        <v>4871</v>
      </c>
      <c r="U2115" s="45">
        <v>35</v>
      </c>
      <c r="V2115" t="s">
        <v>8023</v>
      </c>
      <c r="W2115" s="1" t="str">
        <f>HYPERLINK("http://ictvonline.org/taxonomy/p/taxonomy-history?taxnode_id=201906877","ICTVonline=201906877")</f>
        <v>ICTVonline=201906877</v>
      </c>
    </row>
    <row r="2116" spans="1:23">
      <c r="A2116" s="3">
        <v>2115</v>
      </c>
      <c r="B2116" s="1" t="s">
        <v>8017</v>
      </c>
      <c r="D2116" s="1" t="s">
        <v>8018</v>
      </c>
      <c r="F2116" s="1" t="s">
        <v>8019</v>
      </c>
      <c r="H2116" s="1" t="s">
        <v>8020</v>
      </c>
      <c r="J2116" s="1" t="s">
        <v>8021</v>
      </c>
      <c r="L2116" s="1" t="s">
        <v>1668</v>
      </c>
      <c r="N2116" s="1" t="s">
        <v>8039</v>
      </c>
      <c r="P2116" s="1" t="s">
        <v>4754</v>
      </c>
      <c r="Q2116" s="3">
        <v>1</v>
      </c>
      <c r="R2116" s="22" t="s">
        <v>2724</v>
      </c>
      <c r="S2116" s="42" t="s">
        <v>6914</v>
      </c>
      <c r="T2116" s="3" t="s">
        <v>4871</v>
      </c>
      <c r="U2116" s="45">
        <v>35</v>
      </c>
      <c r="V2116" t="s">
        <v>8023</v>
      </c>
      <c r="W2116" s="1" t="str">
        <f>HYPERLINK("http://ictvonline.org/taxonomy/p/taxonomy-history?taxnode_id=201903719","ICTVonline=201903719")</f>
        <v>ICTVonline=201903719</v>
      </c>
    </row>
    <row r="2117" spans="1:23">
      <c r="A2117" s="3">
        <v>2116</v>
      </c>
      <c r="B2117" s="1" t="s">
        <v>8017</v>
      </c>
      <c r="D2117" s="1" t="s">
        <v>8018</v>
      </c>
      <c r="F2117" s="1" t="s">
        <v>8019</v>
      </c>
      <c r="H2117" s="1" t="s">
        <v>8020</v>
      </c>
      <c r="J2117" s="1" t="s">
        <v>8021</v>
      </c>
      <c r="L2117" s="1" t="s">
        <v>1668</v>
      </c>
      <c r="N2117" s="1" t="s">
        <v>8040</v>
      </c>
      <c r="P2117" s="1" t="s">
        <v>4753</v>
      </c>
      <c r="Q2117" s="3">
        <v>1</v>
      </c>
      <c r="R2117" s="22" t="s">
        <v>2724</v>
      </c>
      <c r="S2117" s="42" t="s">
        <v>6914</v>
      </c>
      <c r="T2117" s="3" t="s">
        <v>4871</v>
      </c>
      <c r="U2117" s="45">
        <v>35</v>
      </c>
      <c r="V2117" t="s">
        <v>8023</v>
      </c>
      <c r="W2117" s="1" t="str">
        <f>HYPERLINK("http://ictvonline.org/taxonomy/p/taxonomy-history?taxnode_id=201903717","ICTVonline=201903717")</f>
        <v>ICTVonline=201903717</v>
      </c>
    </row>
    <row r="2118" spans="1:23">
      <c r="A2118" s="3">
        <v>2117</v>
      </c>
      <c r="B2118" s="1" t="s">
        <v>8017</v>
      </c>
      <c r="D2118" s="1" t="s">
        <v>8018</v>
      </c>
      <c r="F2118" s="1" t="s">
        <v>8019</v>
      </c>
      <c r="H2118" s="1" t="s">
        <v>8020</v>
      </c>
      <c r="J2118" s="1" t="s">
        <v>8021</v>
      </c>
      <c r="L2118" s="1" t="s">
        <v>1668</v>
      </c>
      <c r="N2118" s="1" t="s">
        <v>8041</v>
      </c>
      <c r="P2118" s="1" t="s">
        <v>3796</v>
      </c>
      <c r="Q2118" s="3">
        <v>1</v>
      </c>
      <c r="R2118" s="22" t="s">
        <v>2724</v>
      </c>
      <c r="S2118" s="42" t="s">
        <v>6914</v>
      </c>
      <c r="T2118" s="3" t="s">
        <v>4871</v>
      </c>
      <c r="U2118" s="45">
        <v>35</v>
      </c>
      <c r="V2118" t="s">
        <v>8023</v>
      </c>
      <c r="W2118" s="1" t="str">
        <f>HYPERLINK("http://ictvonline.org/taxonomy/p/taxonomy-history?taxnode_id=201903718","ICTVonline=201903718")</f>
        <v>ICTVonline=201903718</v>
      </c>
    </row>
    <row r="2119" spans="1:23">
      <c r="A2119" s="3">
        <v>2118</v>
      </c>
      <c r="B2119" s="1" t="s">
        <v>8017</v>
      </c>
      <c r="D2119" s="1" t="s">
        <v>8018</v>
      </c>
      <c r="F2119" s="1" t="s">
        <v>8019</v>
      </c>
      <c r="H2119" s="1" t="s">
        <v>8020</v>
      </c>
      <c r="J2119" s="1" t="s">
        <v>8021</v>
      </c>
      <c r="L2119" s="1" t="s">
        <v>1668</v>
      </c>
      <c r="N2119" s="1" t="s">
        <v>8042</v>
      </c>
      <c r="P2119" s="1" t="s">
        <v>6871</v>
      </c>
      <c r="Q2119" s="3">
        <v>1</v>
      </c>
      <c r="R2119" s="22" t="s">
        <v>2724</v>
      </c>
      <c r="S2119" s="42" t="s">
        <v>6914</v>
      </c>
      <c r="T2119" s="3" t="s">
        <v>4871</v>
      </c>
      <c r="U2119" s="45">
        <v>35</v>
      </c>
      <c r="V2119" t="s">
        <v>8023</v>
      </c>
      <c r="W2119" s="1" t="str">
        <f>HYPERLINK("http://ictvonline.org/taxonomy/p/taxonomy-history?taxnode_id=201906876","ICTVonline=201906876")</f>
        <v>ICTVonline=201906876</v>
      </c>
    </row>
    <row r="2120" spans="1:23">
      <c r="A2120" s="3">
        <v>2119</v>
      </c>
      <c r="B2120" s="1" t="s">
        <v>8017</v>
      </c>
      <c r="D2120" s="1" t="s">
        <v>8018</v>
      </c>
      <c r="F2120" s="1" t="s">
        <v>8019</v>
      </c>
      <c r="H2120" s="1" t="s">
        <v>8020</v>
      </c>
      <c r="J2120" s="1" t="s">
        <v>8021</v>
      </c>
      <c r="L2120" s="1" t="s">
        <v>8043</v>
      </c>
      <c r="N2120" s="1" t="s">
        <v>1008</v>
      </c>
      <c r="P2120" s="1" t="s">
        <v>5417</v>
      </c>
      <c r="Q2120" s="3">
        <v>1</v>
      </c>
      <c r="R2120" s="22" t="s">
        <v>2724</v>
      </c>
      <c r="S2120" s="42" t="s">
        <v>6913</v>
      </c>
      <c r="T2120" s="3" t="s">
        <v>4868</v>
      </c>
      <c r="U2120" s="45">
        <v>35</v>
      </c>
      <c r="V2120" t="s">
        <v>8023</v>
      </c>
      <c r="W2120" s="1" t="str">
        <f>HYPERLINK("http://ictvonline.org/taxonomy/p/taxonomy-history?taxnode_id=201903699","ICTVonline=201903699")</f>
        <v>ICTVonline=201903699</v>
      </c>
    </row>
    <row r="2121" spans="1:23">
      <c r="A2121" s="3">
        <v>2120</v>
      </c>
      <c r="B2121" s="1" t="s">
        <v>8017</v>
      </c>
      <c r="D2121" s="1" t="s">
        <v>8018</v>
      </c>
      <c r="F2121" s="1" t="s">
        <v>8019</v>
      </c>
      <c r="H2121" s="1" t="s">
        <v>8020</v>
      </c>
      <c r="J2121" s="1" t="s">
        <v>8021</v>
      </c>
      <c r="L2121" s="1" t="s">
        <v>8043</v>
      </c>
      <c r="N2121" s="1" t="s">
        <v>8044</v>
      </c>
      <c r="P2121" s="1" t="s">
        <v>4747</v>
      </c>
      <c r="Q2121" s="3">
        <v>1</v>
      </c>
      <c r="R2121" s="22" t="s">
        <v>2724</v>
      </c>
      <c r="S2121" s="42" t="s">
        <v>6914</v>
      </c>
      <c r="T2121" s="3" t="s">
        <v>4871</v>
      </c>
      <c r="U2121" s="45">
        <v>35</v>
      </c>
      <c r="V2121" t="s">
        <v>8023</v>
      </c>
      <c r="W2121" s="1" t="str">
        <f>HYPERLINK("http://ictvonline.org/taxonomy/p/taxonomy-history?taxnode_id=201903710","ICTVonline=201903710")</f>
        <v>ICTVonline=201903710</v>
      </c>
    </row>
    <row r="2122" spans="1:23">
      <c r="A2122" s="3">
        <v>2121</v>
      </c>
      <c r="B2122" s="1" t="s">
        <v>8017</v>
      </c>
      <c r="D2122" s="1" t="s">
        <v>8018</v>
      </c>
      <c r="F2122" s="1" t="s">
        <v>8019</v>
      </c>
      <c r="H2122" s="1" t="s">
        <v>8020</v>
      </c>
      <c r="J2122" s="1" t="s">
        <v>8021</v>
      </c>
      <c r="L2122" s="1" t="s">
        <v>8043</v>
      </c>
      <c r="N2122" s="1" t="s">
        <v>4082</v>
      </c>
      <c r="P2122" s="1" t="s">
        <v>3798</v>
      </c>
      <c r="Q2122" s="3">
        <v>0</v>
      </c>
      <c r="R2122" s="22" t="s">
        <v>2724</v>
      </c>
      <c r="S2122" s="42" t="s">
        <v>6913</v>
      </c>
      <c r="T2122" s="3" t="s">
        <v>4868</v>
      </c>
      <c r="U2122" s="45">
        <v>35</v>
      </c>
      <c r="V2122" t="s">
        <v>8023</v>
      </c>
      <c r="W2122" s="1" t="str">
        <f>HYPERLINK("http://ictvonline.org/taxonomy/p/taxonomy-history?taxnode_id=201903722","ICTVonline=201903722")</f>
        <v>ICTVonline=201903722</v>
      </c>
    </row>
    <row r="2123" spans="1:23">
      <c r="A2123" s="3">
        <v>2122</v>
      </c>
      <c r="B2123" s="1" t="s">
        <v>8017</v>
      </c>
      <c r="D2123" s="1" t="s">
        <v>8018</v>
      </c>
      <c r="F2123" s="1" t="s">
        <v>8019</v>
      </c>
      <c r="H2123" s="1" t="s">
        <v>8020</v>
      </c>
      <c r="J2123" s="1" t="s">
        <v>8021</v>
      </c>
      <c r="L2123" s="1" t="s">
        <v>8043</v>
      </c>
      <c r="N2123" s="1" t="s">
        <v>4082</v>
      </c>
      <c r="P2123" s="1" t="s">
        <v>3799</v>
      </c>
      <c r="Q2123" s="3">
        <v>1</v>
      </c>
      <c r="R2123" s="22" t="s">
        <v>2724</v>
      </c>
      <c r="S2123" s="42" t="s">
        <v>6913</v>
      </c>
      <c r="T2123" s="3" t="s">
        <v>4868</v>
      </c>
      <c r="U2123" s="45">
        <v>35</v>
      </c>
      <c r="V2123" t="s">
        <v>8023</v>
      </c>
      <c r="W2123" s="1" t="str">
        <f>HYPERLINK("http://ictvonline.org/taxonomy/p/taxonomy-history?taxnode_id=201903723","ICTVonline=201903723")</f>
        <v>ICTVonline=201903723</v>
      </c>
    </row>
    <row r="2124" spans="1:23">
      <c r="A2124" s="3">
        <v>2123</v>
      </c>
      <c r="B2124" s="1" t="s">
        <v>8017</v>
      </c>
      <c r="D2124" s="1" t="s">
        <v>8018</v>
      </c>
      <c r="F2124" s="1" t="s">
        <v>8019</v>
      </c>
      <c r="H2124" s="1" t="s">
        <v>8020</v>
      </c>
      <c r="J2124" s="1" t="s">
        <v>8021</v>
      </c>
      <c r="L2124" s="1" t="s">
        <v>8043</v>
      </c>
      <c r="N2124" s="1" t="s">
        <v>4082</v>
      </c>
      <c r="P2124" s="1" t="s">
        <v>4755</v>
      </c>
      <c r="Q2124" s="3">
        <v>0</v>
      </c>
      <c r="R2124" s="22" t="s">
        <v>2724</v>
      </c>
      <c r="S2124" s="42" t="s">
        <v>6913</v>
      </c>
      <c r="T2124" s="3" t="s">
        <v>4868</v>
      </c>
      <c r="U2124" s="45">
        <v>35</v>
      </c>
      <c r="V2124" t="s">
        <v>8023</v>
      </c>
      <c r="W2124" s="1" t="str">
        <f>HYPERLINK("http://ictvonline.org/taxonomy/p/taxonomy-history?taxnode_id=201903724","ICTVonline=201903724")</f>
        <v>ICTVonline=201903724</v>
      </c>
    </row>
    <row r="2125" spans="1:23">
      <c r="A2125" s="3">
        <v>2124</v>
      </c>
      <c r="B2125" s="1" t="s">
        <v>8017</v>
      </c>
      <c r="D2125" s="1" t="s">
        <v>8045</v>
      </c>
      <c r="F2125" s="1" t="s">
        <v>8046</v>
      </c>
      <c r="H2125" s="1" t="s">
        <v>8047</v>
      </c>
      <c r="J2125" s="1" t="s">
        <v>8048</v>
      </c>
      <c r="L2125" s="1" t="s">
        <v>1671</v>
      </c>
      <c r="M2125" s="1" t="s">
        <v>3810</v>
      </c>
      <c r="N2125" s="1" t="s">
        <v>6882</v>
      </c>
      <c r="P2125" s="1" t="s">
        <v>3811</v>
      </c>
      <c r="Q2125" s="3">
        <v>1</v>
      </c>
      <c r="R2125" s="22" t="s">
        <v>2724</v>
      </c>
      <c r="S2125" s="42" t="s">
        <v>6912</v>
      </c>
      <c r="T2125" s="3" t="s">
        <v>4868</v>
      </c>
      <c r="U2125" s="45">
        <v>35</v>
      </c>
      <c r="V2125" t="s">
        <v>8027</v>
      </c>
      <c r="W2125" s="1" t="str">
        <f>HYPERLINK("http://ictvonline.org/taxonomy/p/taxonomy-history?taxnode_id=201903858","ICTVonline=201903858")</f>
        <v>ICTVonline=201903858</v>
      </c>
    </row>
    <row r="2126" spans="1:23">
      <c r="A2126" s="3">
        <v>2125</v>
      </c>
      <c r="B2126" s="1" t="s">
        <v>8017</v>
      </c>
      <c r="D2126" s="1" t="s">
        <v>8045</v>
      </c>
      <c r="F2126" s="1" t="s">
        <v>8046</v>
      </c>
      <c r="H2126" s="1" t="s">
        <v>8047</v>
      </c>
      <c r="J2126" s="1" t="s">
        <v>8048</v>
      </c>
      <c r="L2126" s="1" t="s">
        <v>1671</v>
      </c>
      <c r="M2126" s="1" t="s">
        <v>3810</v>
      </c>
      <c r="N2126" s="1" t="s">
        <v>6882</v>
      </c>
      <c r="P2126" s="1" t="s">
        <v>3812</v>
      </c>
      <c r="Q2126" s="3">
        <v>0</v>
      </c>
      <c r="R2126" s="22" t="s">
        <v>2724</v>
      </c>
      <c r="S2126" s="42" t="s">
        <v>6912</v>
      </c>
      <c r="T2126" s="3" t="s">
        <v>4868</v>
      </c>
      <c r="U2126" s="45">
        <v>35</v>
      </c>
      <c r="V2126" t="s">
        <v>8027</v>
      </c>
      <c r="W2126" s="1" t="str">
        <f>HYPERLINK("http://ictvonline.org/taxonomy/p/taxonomy-history?taxnode_id=201903859","ICTVonline=201903859")</f>
        <v>ICTVonline=201903859</v>
      </c>
    </row>
    <row r="2127" spans="1:23">
      <c r="A2127" s="3">
        <v>2126</v>
      </c>
      <c r="B2127" s="1" t="s">
        <v>8017</v>
      </c>
      <c r="D2127" s="1" t="s">
        <v>8045</v>
      </c>
      <c r="F2127" s="1" t="s">
        <v>8046</v>
      </c>
      <c r="H2127" s="1" t="s">
        <v>8047</v>
      </c>
      <c r="J2127" s="1" t="s">
        <v>8048</v>
      </c>
      <c r="L2127" s="1" t="s">
        <v>1671</v>
      </c>
      <c r="M2127" s="1" t="s">
        <v>3810</v>
      </c>
      <c r="N2127" s="1" t="s">
        <v>6882</v>
      </c>
      <c r="P2127" s="1" t="s">
        <v>3813</v>
      </c>
      <c r="Q2127" s="3">
        <v>0</v>
      </c>
      <c r="R2127" s="22" t="s">
        <v>2724</v>
      </c>
      <c r="S2127" s="42" t="s">
        <v>6912</v>
      </c>
      <c r="T2127" s="3" t="s">
        <v>4868</v>
      </c>
      <c r="U2127" s="45">
        <v>35</v>
      </c>
      <c r="V2127" t="s">
        <v>8027</v>
      </c>
      <c r="W2127" s="1" t="str">
        <f>HYPERLINK("http://ictvonline.org/taxonomy/p/taxonomy-history?taxnode_id=201903860","ICTVonline=201903860")</f>
        <v>ICTVonline=201903860</v>
      </c>
    </row>
    <row r="2128" spans="1:23">
      <c r="A2128" s="3">
        <v>2127</v>
      </c>
      <c r="B2128" s="1" t="s">
        <v>8017</v>
      </c>
      <c r="D2128" s="1" t="s">
        <v>8045</v>
      </c>
      <c r="F2128" s="1" t="s">
        <v>8046</v>
      </c>
      <c r="H2128" s="1" t="s">
        <v>8047</v>
      </c>
      <c r="J2128" s="1" t="s">
        <v>8048</v>
      </c>
      <c r="L2128" s="1" t="s">
        <v>1671</v>
      </c>
      <c r="M2128" s="1" t="s">
        <v>3810</v>
      </c>
      <c r="N2128" s="1" t="s">
        <v>6882</v>
      </c>
      <c r="P2128" s="1" t="s">
        <v>3814</v>
      </c>
      <c r="Q2128" s="3">
        <v>0</v>
      </c>
      <c r="R2128" s="22" t="s">
        <v>2724</v>
      </c>
      <c r="S2128" s="42" t="s">
        <v>6912</v>
      </c>
      <c r="T2128" s="3" t="s">
        <v>4868</v>
      </c>
      <c r="U2128" s="45">
        <v>35</v>
      </c>
      <c r="V2128" t="s">
        <v>8027</v>
      </c>
      <c r="W2128" s="1" t="str">
        <f>HYPERLINK("http://ictvonline.org/taxonomy/p/taxonomy-history?taxnode_id=201903861","ICTVonline=201903861")</f>
        <v>ICTVonline=201903861</v>
      </c>
    </row>
    <row r="2129" spans="1:23">
      <c r="A2129" s="3">
        <v>2128</v>
      </c>
      <c r="B2129" s="1" t="s">
        <v>8017</v>
      </c>
      <c r="D2129" s="1" t="s">
        <v>8045</v>
      </c>
      <c r="F2129" s="1" t="s">
        <v>8046</v>
      </c>
      <c r="H2129" s="1" t="s">
        <v>8047</v>
      </c>
      <c r="J2129" s="1" t="s">
        <v>8048</v>
      </c>
      <c r="L2129" s="1" t="s">
        <v>1671</v>
      </c>
      <c r="M2129" s="1" t="s">
        <v>3810</v>
      </c>
      <c r="N2129" s="1" t="s">
        <v>6882</v>
      </c>
      <c r="P2129" s="1" t="s">
        <v>3815</v>
      </c>
      <c r="Q2129" s="3">
        <v>0</v>
      </c>
      <c r="R2129" s="22" t="s">
        <v>2724</v>
      </c>
      <c r="S2129" s="42" t="s">
        <v>6912</v>
      </c>
      <c r="T2129" s="3" t="s">
        <v>4868</v>
      </c>
      <c r="U2129" s="45">
        <v>35</v>
      </c>
      <c r="V2129" t="s">
        <v>8027</v>
      </c>
      <c r="W2129" s="1" t="str">
        <f>HYPERLINK("http://ictvonline.org/taxonomy/p/taxonomy-history?taxnode_id=201903862","ICTVonline=201903862")</f>
        <v>ICTVonline=201903862</v>
      </c>
    </row>
    <row r="2130" spans="1:23">
      <c r="A2130" s="3">
        <v>2129</v>
      </c>
      <c r="B2130" s="1" t="s">
        <v>8017</v>
      </c>
      <c r="D2130" s="1" t="s">
        <v>8045</v>
      </c>
      <c r="F2130" s="1" t="s">
        <v>8046</v>
      </c>
      <c r="H2130" s="1" t="s">
        <v>8047</v>
      </c>
      <c r="J2130" s="1" t="s">
        <v>8048</v>
      </c>
      <c r="L2130" s="1" t="s">
        <v>1671</v>
      </c>
      <c r="M2130" s="1" t="s">
        <v>3810</v>
      </c>
      <c r="N2130" s="1" t="s">
        <v>6882</v>
      </c>
      <c r="P2130" s="1" t="s">
        <v>3816</v>
      </c>
      <c r="Q2130" s="3">
        <v>0</v>
      </c>
      <c r="R2130" s="22" t="s">
        <v>2724</v>
      </c>
      <c r="S2130" s="42" t="s">
        <v>6912</v>
      </c>
      <c r="T2130" s="3" t="s">
        <v>4868</v>
      </c>
      <c r="U2130" s="45">
        <v>35</v>
      </c>
      <c r="V2130" t="s">
        <v>8027</v>
      </c>
      <c r="W2130" s="1" t="str">
        <f>HYPERLINK("http://ictvonline.org/taxonomy/p/taxonomy-history?taxnode_id=201903863","ICTVonline=201903863")</f>
        <v>ICTVonline=201903863</v>
      </c>
    </row>
    <row r="2131" spans="1:23">
      <c r="A2131" s="3">
        <v>2130</v>
      </c>
      <c r="B2131" s="1" t="s">
        <v>8017</v>
      </c>
      <c r="D2131" s="1" t="s">
        <v>8045</v>
      </c>
      <c r="F2131" s="1" t="s">
        <v>8046</v>
      </c>
      <c r="H2131" s="1" t="s">
        <v>8047</v>
      </c>
      <c r="J2131" s="1" t="s">
        <v>8048</v>
      </c>
      <c r="L2131" s="1" t="s">
        <v>1671</v>
      </c>
      <c r="M2131" s="1" t="s">
        <v>3810</v>
      </c>
      <c r="N2131" s="1" t="s">
        <v>6882</v>
      </c>
      <c r="P2131" s="1" t="s">
        <v>3817</v>
      </c>
      <c r="Q2131" s="3">
        <v>0</v>
      </c>
      <c r="R2131" s="22" t="s">
        <v>2724</v>
      </c>
      <c r="S2131" s="42" t="s">
        <v>6912</v>
      </c>
      <c r="T2131" s="3" t="s">
        <v>4868</v>
      </c>
      <c r="U2131" s="45">
        <v>35</v>
      </c>
      <c r="V2131" t="s">
        <v>8027</v>
      </c>
      <c r="W2131" s="1" t="str">
        <f>HYPERLINK("http://ictvonline.org/taxonomy/p/taxonomy-history?taxnode_id=201903864","ICTVonline=201903864")</f>
        <v>ICTVonline=201903864</v>
      </c>
    </row>
    <row r="2132" spans="1:23">
      <c r="A2132" s="3">
        <v>2131</v>
      </c>
      <c r="B2132" s="1" t="s">
        <v>8017</v>
      </c>
      <c r="D2132" s="1" t="s">
        <v>8045</v>
      </c>
      <c r="F2132" s="1" t="s">
        <v>8046</v>
      </c>
      <c r="H2132" s="1" t="s">
        <v>8047</v>
      </c>
      <c r="J2132" s="1" t="s">
        <v>8048</v>
      </c>
      <c r="L2132" s="1" t="s">
        <v>1671</v>
      </c>
      <c r="M2132" s="1" t="s">
        <v>3810</v>
      </c>
      <c r="N2132" s="1" t="s">
        <v>6882</v>
      </c>
      <c r="P2132" s="1" t="s">
        <v>3818</v>
      </c>
      <c r="Q2132" s="3">
        <v>0</v>
      </c>
      <c r="R2132" s="22" t="s">
        <v>2724</v>
      </c>
      <c r="S2132" s="42" t="s">
        <v>6912</v>
      </c>
      <c r="T2132" s="3" t="s">
        <v>4868</v>
      </c>
      <c r="U2132" s="45">
        <v>35</v>
      </c>
      <c r="V2132" t="s">
        <v>8027</v>
      </c>
      <c r="W2132" s="1" t="str">
        <f>HYPERLINK("http://ictvonline.org/taxonomy/p/taxonomy-history?taxnode_id=201903865","ICTVonline=201903865")</f>
        <v>ICTVonline=201903865</v>
      </c>
    </row>
    <row r="2133" spans="1:23">
      <c r="A2133" s="3">
        <v>2132</v>
      </c>
      <c r="B2133" s="1" t="s">
        <v>8017</v>
      </c>
      <c r="D2133" s="1" t="s">
        <v>8045</v>
      </c>
      <c r="F2133" s="1" t="s">
        <v>8046</v>
      </c>
      <c r="H2133" s="1" t="s">
        <v>8047</v>
      </c>
      <c r="J2133" s="1" t="s">
        <v>8048</v>
      </c>
      <c r="L2133" s="1" t="s">
        <v>1671</v>
      </c>
      <c r="M2133" s="1" t="s">
        <v>3810</v>
      </c>
      <c r="N2133" s="1" t="s">
        <v>6882</v>
      </c>
      <c r="P2133" s="1" t="s">
        <v>3819</v>
      </c>
      <c r="Q2133" s="3">
        <v>0</v>
      </c>
      <c r="R2133" s="22" t="s">
        <v>2724</v>
      </c>
      <c r="S2133" s="42" t="s">
        <v>6912</v>
      </c>
      <c r="T2133" s="3" t="s">
        <v>4868</v>
      </c>
      <c r="U2133" s="45">
        <v>35</v>
      </c>
      <c r="V2133" t="s">
        <v>8027</v>
      </c>
      <c r="W2133" s="1" t="str">
        <f>HYPERLINK("http://ictvonline.org/taxonomy/p/taxonomy-history?taxnode_id=201903866","ICTVonline=201903866")</f>
        <v>ICTVonline=201903866</v>
      </c>
    </row>
    <row r="2134" spans="1:23">
      <c r="A2134" s="3">
        <v>2133</v>
      </c>
      <c r="B2134" s="1" t="s">
        <v>8017</v>
      </c>
      <c r="D2134" s="1" t="s">
        <v>8045</v>
      </c>
      <c r="F2134" s="1" t="s">
        <v>8046</v>
      </c>
      <c r="H2134" s="1" t="s">
        <v>8047</v>
      </c>
      <c r="J2134" s="1" t="s">
        <v>8048</v>
      </c>
      <c r="L2134" s="1" t="s">
        <v>1671</v>
      </c>
      <c r="M2134" s="1" t="s">
        <v>3810</v>
      </c>
      <c r="N2134" s="1" t="s">
        <v>6882</v>
      </c>
      <c r="P2134" s="1" t="s">
        <v>3820</v>
      </c>
      <c r="Q2134" s="3">
        <v>0</v>
      </c>
      <c r="R2134" s="22" t="s">
        <v>2724</v>
      </c>
      <c r="S2134" s="42" t="s">
        <v>6912</v>
      </c>
      <c r="T2134" s="3" t="s">
        <v>4868</v>
      </c>
      <c r="U2134" s="45">
        <v>35</v>
      </c>
      <c r="V2134" t="s">
        <v>8027</v>
      </c>
      <c r="W2134" s="1" t="str">
        <f>HYPERLINK("http://ictvonline.org/taxonomy/p/taxonomy-history?taxnode_id=201903867","ICTVonline=201903867")</f>
        <v>ICTVonline=201903867</v>
      </c>
    </row>
    <row r="2135" spans="1:23">
      <c r="A2135" s="3">
        <v>2134</v>
      </c>
      <c r="B2135" s="1" t="s">
        <v>8017</v>
      </c>
      <c r="D2135" s="1" t="s">
        <v>8045</v>
      </c>
      <c r="F2135" s="1" t="s">
        <v>8046</v>
      </c>
      <c r="H2135" s="1" t="s">
        <v>8047</v>
      </c>
      <c r="J2135" s="1" t="s">
        <v>8048</v>
      </c>
      <c r="L2135" s="1" t="s">
        <v>1671</v>
      </c>
      <c r="M2135" s="1" t="s">
        <v>3810</v>
      </c>
      <c r="N2135" s="1" t="s">
        <v>6883</v>
      </c>
      <c r="P2135" s="1" t="s">
        <v>3821</v>
      </c>
      <c r="Q2135" s="3">
        <v>1</v>
      </c>
      <c r="R2135" s="22" t="s">
        <v>2724</v>
      </c>
      <c r="S2135" s="42" t="s">
        <v>6912</v>
      </c>
      <c r="T2135" s="3" t="s">
        <v>4868</v>
      </c>
      <c r="U2135" s="45">
        <v>35</v>
      </c>
      <c r="V2135" t="s">
        <v>8027</v>
      </c>
      <c r="W2135" s="1" t="str">
        <f>HYPERLINK("http://ictvonline.org/taxonomy/p/taxonomy-history?taxnode_id=201903869","ICTVonline=201903869")</f>
        <v>ICTVonline=201903869</v>
      </c>
    </row>
    <row r="2136" spans="1:23">
      <c r="A2136" s="3">
        <v>2135</v>
      </c>
      <c r="B2136" s="1" t="s">
        <v>8017</v>
      </c>
      <c r="D2136" s="1" t="s">
        <v>8045</v>
      </c>
      <c r="F2136" s="1" t="s">
        <v>8046</v>
      </c>
      <c r="H2136" s="1" t="s">
        <v>8047</v>
      </c>
      <c r="J2136" s="1" t="s">
        <v>8048</v>
      </c>
      <c r="L2136" s="1" t="s">
        <v>1671</v>
      </c>
      <c r="M2136" s="1" t="s">
        <v>3810</v>
      </c>
      <c r="N2136" s="1" t="s">
        <v>6883</v>
      </c>
      <c r="P2136" s="1" t="s">
        <v>3822</v>
      </c>
      <c r="Q2136" s="3">
        <v>0</v>
      </c>
      <c r="R2136" s="22" t="s">
        <v>2724</v>
      </c>
      <c r="S2136" s="42" t="s">
        <v>6912</v>
      </c>
      <c r="T2136" s="3" t="s">
        <v>4868</v>
      </c>
      <c r="U2136" s="45">
        <v>35</v>
      </c>
      <c r="V2136" t="s">
        <v>8027</v>
      </c>
      <c r="W2136" s="1" t="str">
        <f>HYPERLINK("http://ictvonline.org/taxonomy/p/taxonomy-history?taxnode_id=201903870","ICTVonline=201903870")</f>
        <v>ICTVonline=201903870</v>
      </c>
    </row>
    <row r="2137" spans="1:23">
      <c r="A2137" s="3">
        <v>2136</v>
      </c>
      <c r="B2137" s="1" t="s">
        <v>8017</v>
      </c>
      <c r="D2137" s="1" t="s">
        <v>8045</v>
      </c>
      <c r="F2137" s="1" t="s">
        <v>8046</v>
      </c>
      <c r="H2137" s="1" t="s">
        <v>8047</v>
      </c>
      <c r="J2137" s="1" t="s">
        <v>8048</v>
      </c>
      <c r="L2137" s="1" t="s">
        <v>1671</v>
      </c>
      <c r="M2137" s="1" t="s">
        <v>3810</v>
      </c>
      <c r="N2137" s="1" t="s">
        <v>6883</v>
      </c>
      <c r="P2137" s="1" t="s">
        <v>3823</v>
      </c>
      <c r="Q2137" s="3">
        <v>0</v>
      </c>
      <c r="R2137" s="22" t="s">
        <v>2724</v>
      </c>
      <c r="S2137" s="42" t="s">
        <v>6912</v>
      </c>
      <c r="T2137" s="3" t="s">
        <v>4868</v>
      </c>
      <c r="U2137" s="45">
        <v>35</v>
      </c>
      <c r="V2137" t="s">
        <v>8027</v>
      </c>
      <c r="W2137" s="1" t="str">
        <f>HYPERLINK("http://ictvonline.org/taxonomy/p/taxonomy-history?taxnode_id=201903871","ICTVonline=201903871")</f>
        <v>ICTVonline=201903871</v>
      </c>
    </row>
    <row r="2138" spans="1:23">
      <c r="A2138" s="3">
        <v>2137</v>
      </c>
      <c r="B2138" s="1" t="s">
        <v>8017</v>
      </c>
      <c r="D2138" s="1" t="s">
        <v>8045</v>
      </c>
      <c r="F2138" s="1" t="s">
        <v>8046</v>
      </c>
      <c r="H2138" s="1" t="s">
        <v>8047</v>
      </c>
      <c r="J2138" s="1" t="s">
        <v>8048</v>
      </c>
      <c r="L2138" s="1" t="s">
        <v>1671</v>
      </c>
      <c r="M2138" s="1" t="s">
        <v>3810</v>
      </c>
      <c r="N2138" s="1" t="s">
        <v>6884</v>
      </c>
      <c r="P2138" s="1" t="s">
        <v>3824</v>
      </c>
      <c r="Q2138" s="3">
        <v>1</v>
      </c>
      <c r="R2138" s="22" t="s">
        <v>2724</v>
      </c>
      <c r="S2138" s="42" t="s">
        <v>6912</v>
      </c>
      <c r="T2138" s="3" t="s">
        <v>4868</v>
      </c>
      <c r="U2138" s="45">
        <v>35</v>
      </c>
      <c r="V2138" t="s">
        <v>8027</v>
      </c>
      <c r="W2138" s="1" t="str">
        <f>HYPERLINK("http://ictvonline.org/taxonomy/p/taxonomy-history?taxnode_id=201903873","ICTVonline=201903873")</f>
        <v>ICTVonline=201903873</v>
      </c>
    </row>
    <row r="2139" spans="1:23">
      <c r="A2139" s="3">
        <v>2138</v>
      </c>
      <c r="B2139" s="1" t="s">
        <v>8017</v>
      </c>
      <c r="D2139" s="1" t="s">
        <v>8045</v>
      </c>
      <c r="F2139" s="1" t="s">
        <v>8046</v>
      </c>
      <c r="H2139" s="1" t="s">
        <v>8047</v>
      </c>
      <c r="J2139" s="1" t="s">
        <v>8048</v>
      </c>
      <c r="L2139" s="1" t="s">
        <v>1671</v>
      </c>
      <c r="M2139" s="1" t="s">
        <v>1148</v>
      </c>
      <c r="N2139" s="1" t="s">
        <v>1929</v>
      </c>
      <c r="P2139" s="1" t="s">
        <v>3825</v>
      </c>
      <c r="Q2139" s="3">
        <v>1</v>
      </c>
      <c r="R2139" s="22" t="s">
        <v>2724</v>
      </c>
      <c r="S2139" s="42" t="s">
        <v>6912</v>
      </c>
      <c r="T2139" s="3" t="s">
        <v>4868</v>
      </c>
      <c r="U2139" s="45">
        <v>35</v>
      </c>
      <c r="V2139" t="s">
        <v>8027</v>
      </c>
      <c r="W2139" s="1" t="str">
        <f>HYPERLINK("http://ictvonline.org/taxonomy/p/taxonomy-history?taxnode_id=201903876","ICTVonline=201903876")</f>
        <v>ICTVonline=201903876</v>
      </c>
    </row>
    <row r="2140" spans="1:23">
      <c r="A2140" s="3">
        <v>2139</v>
      </c>
      <c r="B2140" s="1" t="s">
        <v>8017</v>
      </c>
      <c r="D2140" s="1" t="s">
        <v>8045</v>
      </c>
      <c r="F2140" s="1" t="s">
        <v>8046</v>
      </c>
      <c r="H2140" s="1" t="s">
        <v>8047</v>
      </c>
      <c r="J2140" s="1" t="s">
        <v>8048</v>
      </c>
      <c r="L2140" s="1" t="s">
        <v>1671</v>
      </c>
      <c r="M2140" s="1" t="s">
        <v>1148</v>
      </c>
      <c r="N2140" s="1" t="s">
        <v>1929</v>
      </c>
      <c r="P2140" s="1" t="s">
        <v>3826</v>
      </c>
      <c r="Q2140" s="3">
        <v>0</v>
      </c>
      <c r="R2140" s="22" t="s">
        <v>2724</v>
      </c>
      <c r="S2140" s="42" t="s">
        <v>6912</v>
      </c>
      <c r="T2140" s="3" t="s">
        <v>4868</v>
      </c>
      <c r="U2140" s="45">
        <v>35</v>
      </c>
      <c r="V2140" t="s">
        <v>8027</v>
      </c>
      <c r="W2140" s="1" t="str">
        <f>HYPERLINK("http://ictvonline.org/taxonomy/p/taxonomy-history?taxnode_id=201903877","ICTVonline=201903877")</f>
        <v>ICTVonline=201903877</v>
      </c>
    </row>
    <row r="2141" spans="1:23">
      <c r="A2141" s="3">
        <v>2140</v>
      </c>
      <c r="B2141" s="1" t="s">
        <v>8017</v>
      </c>
      <c r="D2141" s="1" t="s">
        <v>8045</v>
      </c>
      <c r="F2141" s="1" t="s">
        <v>8046</v>
      </c>
      <c r="H2141" s="1" t="s">
        <v>8047</v>
      </c>
      <c r="J2141" s="1" t="s">
        <v>8048</v>
      </c>
      <c r="L2141" s="1" t="s">
        <v>1671</v>
      </c>
      <c r="M2141" s="1" t="s">
        <v>1148</v>
      </c>
      <c r="N2141" s="1" t="s">
        <v>1930</v>
      </c>
      <c r="P2141" s="1" t="s">
        <v>3827</v>
      </c>
      <c r="Q2141" s="3">
        <v>1</v>
      </c>
      <c r="R2141" s="22" t="s">
        <v>2724</v>
      </c>
      <c r="S2141" s="42" t="s">
        <v>6912</v>
      </c>
      <c r="T2141" s="3" t="s">
        <v>4868</v>
      </c>
      <c r="U2141" s="45">
        <v>35</v>
      </c>
      <c r="V2141" t="s">
        <v>8027</v>
      </c>
      <c r="W2141" s="1" t="str">
        <f>HYPERLINK("http://ictvonline.org/taxonomy/p/taxonomy-history?taxnode_id=201903879","ICTVonline=201903879")</f>
        <v>ICTVonline=201903879</v>
      </c>
    </row>
    <row r="2142" spans="1:23">
      <c r="A2142" s="3">
        <v>2141</v>
      </c>
      <c r="B2142" s="1" t="s">
        <v>8017</v>
      </c>
      <c r="D2142" s="1" t="s">
        <v>8045</v>
      </c>
      <c r="F2142" s="1" t="s">
        <v>8046</v>
      </c>
      <c r="H2142" s="1" t="s">
        <v>8047</v>
      </c>
      <c r="J2142" s="1" t="s">
        <v>8048</v>
      </c>
      <c r="L2142" s="1" t="s">
        <v>1671</v>
      </c>
      <c r="M2142" s="1" t="s">
        <v>1148</v>
      </c>
      <c r="N2142" s="1" t="s">
        <v>1930</v>
      </c>
      <c r="P2142" s="1" t="s">
        <v>3828</v>
      </c>
      <c r="Q2142" s="3">
        <v>0</v>
      </c>
      <c r="R2142" s="22" t="s">
        <v>2724</v>
      </c>
      <c r="S2142" s="42" t="s">
        <v>6912</v>
      </c>
      <c r="T2142" s="3" t="s">
        <v>4868</v>
      </c>
      <c r="U2142" s="45">
        <v>35</v>
      </c>
      <c r="V2142" t="s">
        <v>8027</v>
      </c>
      <c r="W2142" s="1" t="str">
        <f>HYPERLINK("http://ictvonline.org/taxonomy/p/taxonomy-history?taxnode_id=201903880","ICTVonline=201903880")</f>
        <v>ICTVonline=201903880</v>
      </c>
    </row>
    <row r="2143" spans="1:23">
      <c r="A2143" s="3">
        <v>2142</v>
      </c>
      <c r="B2143" s="1" t="s">
        <v>8017</v>
      </c>
      <c r="D2143" s="1" t="s">
        <v>8045</v>
      </c>
      <c r="F2143" s="1" t="s">
        <v>8046</v>
      </c>
      <c r="H2143" s="1" t="s">
        <v>8047</v>
      </c>
      <c r="J2143" s="1" t="s">
        <v>8048</v>
      </c>
      <c r="L2143" s="1" t="s">
        <v>1671</v>
      </c>
      <c r="M2143" s="1" t="s">
        <v>1148</v>
      </c>
      <c r="N2143" s="1" t="s">
        <v>1930</v>
      </c>
      <c r="P2143" s="1" t="s">
        <v>3829</v>
      </c>
      <c r="Q2143" s="3">
        <v>0</v>
      </c>
      <c r="R2143" s="22" t="s">
        <v>2724</v>
      </c>
      <c r="S2143" s="42" t="s">
        <v>6912</v>
      </c>
      <c r="T2143" s="3" t="s">
        <v>4868</v>
      </c>
      <c r="U2143" s="45">
        <v>35</v>
      </c>
      <c r="V2143" t="s">
        <v>8027</v>
      </c>
      <c r="W2143" s="1" t="str">
        <f>HYPERLINK("http://ictvonline.org/taxonomy/p/taxonomy-history?taxnode_id=201903881","ICTVonline=201903881")</f>
        <v>ICTVonline=201903881</v>
      </c>
    </row>
    <row r="2144" spans="1:23">
      <c r="A2144" s="3">
        <v>2143</v>
      </c>
      <c r="B2144" s="1" t="s">
        <v>8017</v>
      </c>
      <c r="D2144" s="1" t="s">
        <v>8045</v>
      </c>
      <c r="F2144" s="1" t="s">
        <v>8046</v>
      </c>
      <c r="H2144" s="1" t="s">
        <v>8047</v>
      </c>
      <c r="J2144" s="1" t="s">
        <v>8048</v>
      </c>
      <c r="L2144" s="1" t="s">
        <v>1671</v>
      </c>
      <c r="M2144" s="1" t="s">
        <v>1148</v>
      </c>
      <c r="N2144" s="1" t="s">
        <v>1930</v>
      </c>
      <c r="P2144" s="1" t="s">
        <v>3830</v>
      </c>
      <c r="Q2144" s="3">
        <v>0</v>
      </c>
      <c r="R2144" s="22" t="s">
        <v>2724</v>
      </c>
      <c r="S2144" s="42" t="s">
        <v>6912</v>
      </c>
      <c r="T2144" s="3" t="s">
        <v>4868</v>
      </c>
      <c r="U2144" s="45">
        <v>35</v>
      </c>
      <c r="V2144" t="s">
        <v>8027</v>
      </c>
      <c r="W2144" s="1" t="str">
        <f>HYPERLINK("http://ictvonline.org/taxonomy/p/taxonomy-history?taxnode_id=201903882","ICTVonline=201903882")</f>
        <v>ICTVonline=201903882</v>
      </c>
    </row>
    <row r="2145" spans="1:23">
      <c r="A2145" s="3">
        <v>2144</v>
      </c>
      <c r="B2145" s="1" t="s">
        <v>8017</v>
      </c>
      <c r="D2145" s="1" t="s">
        <v>8045</v>
      </c>
      <c r="F2145" s="1" t="s">
        <v>8046</v>
      </c>
      <c r="H2145" s="1" t="s">
        <v>8047</v>
      </c>
      <c r="J2145" s="1" t="s">
        <v>8048</v>
      </c>
      <c r="L2145" s="1" t="s">
        <v>1671</v>
      </c>
      <c r="M2145" s="1" t="s">
        <v>1148</v>
      </c>
      <c r="N2145" s="1" t="s">
        <v>2015</v>
      </c>
      <c r="P2145" s="1" t="s">
        <v>3831</v>
      </c>
      <c r="Q2145" s="3">
        <v>1</v>
      </c>
      <c r="R2145" s="22" t="s">
        <v>2724</v>
      </c>
      <c r="S2145" s="42" t="s">
        <v>6912</v>
      </c>
      <c r="T2145" s="3" t="s">
        <v>4868</v>
      </c>
      <c r="U2145" s="45">
        <v>35</v>
      </c>
      <c r="V2145" t="s">
        <v>8027</v>
      </c>
      <c r="W2145" s="1" t="str">
        <f>HYPERLINK("http://ictvonline.org/taxonomy/p/taxonomy-history?taxnode_id=201903884","ICTVonline=201903884")</f>
        <v>ICTVonline=201903884</v>
      </c>
    </row>
    <row r="2146" spans="1:23">
      <c r="A2146" s="3">
        <v>2145</v>
      </c>
      <c r="B2146" s="1" t="s">
        <v>8017</v>
      </c>
      <c r="D2146" s="1" t="s">
        <v>8049</v>
      </c>
      <c r="F2146" s="1" t="s">
        <v>8050</v>
      </c>
      <c r="H2146" s="1" t="s">
        <v>8051</v>
      </c>
      <c r="J2146" s="1" t="s">
        <v>8052</v>
      </c>
      <c r="L2146" s="1" t="s">
        <v>66</v>
      </c>
      <c r="N2146" s="1" t="s">
        <v>67</v>
      </c>
      <c r="P2146" s="1" t="s">
        <v>68</v>
      </c>
      <c r="Q2146" s="3">
        <v>1</v>
      </c>
      <c r="R2146" s="22" t="s">
        <v>2724</v>
      </c>
      <c r="S2146" s="42" t="s">
        <v>6912</v>
      </c>
      <c r="T2146" s="3" t="s">
        <v>4868</v>
      </c>
      <c r="U2146" s="45">
        <v>35</v>
      </c>
      <c r="V2146" t="s">
        <v>8027</v>
      </c>
      <c r="W2146" s="1" t="str">
        <f>HYPERLINK("http://ictvonline.org/taxonomy/p/taxonomy-history?taxnode_id=201902744","ICTVonline=201902744")</f>
        <v>ICTVonline=201902744</v>
      </c>
    </row>
    <row r="2147" spans="1:23">
      <c r="A2147" s="3">
        <v>2146</v>
      </c>
      <c r="B2147" s="1" t="s">
        <v>8017</v>
      </c>
      <c r="D2147" s="1" t="s">
        <v>8049</v>
      </c>
      <c r="F2147" s="1" t="s">
        <v>8050</v>
      </c>
      <c r="H2147" s="1" t="s">
        <v>8053</v>
      </c>
      <c r="J2147" s="1" t="s">
        <v>8054</v>
      </c>
      <c r="L2147" s="1" t="s">
        <v>991</v>
      </c>
      <c r="N2147" s="1" t="s">
        <v>3873</v>
      </c>
      <c r="P2147" s="1" t="s">
        <v>3874</v>
      </c>
      <c r="Q2147" s="3">
        <v>0</v>
      </c>
      <c r="R2147" s="22" t="s">
        <v>2721</v>
      </c>
      <c r="S2147" s="42" t="s">
        <v>6912</v>
      </c>
      <c r="T2147" s="3" t="s">
        <v>4868</v>
      </c>
      <c r="U2147" s="45">
        <v>35</v>
      </c>
      <c r="V2147" t="s">
        <v>8027</v>
      </c>
      <c r="W2147" s="1" t="str">
        <f>HYPERLINK("http://ictvonline.org/taxonomy/p/taxonomy-history?taxnode_id=201904412","ICTVonline=201904412")</f>
        <v>ICTVonline=201904412</v>
      </c>
    </row>
    <row r="2148" spans="1:23">
      <c r="A2148" s="3">
        <v>2147</v>
      </c>
      <c r="B2148" s="1" t="s">
        <v>8017</v>
      </c>
      <c r="D2148" s="1" t="s">
        <v>8049</v>
      </c>
      <c r="F2148" s="1" t="s">
        <v>8050</v>
      </c>
      <c r="H2148" s="1" t="s">
        <v>8053</v>
      </c>
      <c r="J2148" s="1" t="s">
        <v>8054</v>
      </c>
      <c r="L2148" s="1" t="s">
        <v>991</v>
      </c>
      <c r="N2148" s="1" t="s">
        <v>3873</v>
      </c>
      <c r="P2148" s="1" t="s">
        <v>3875</v>
      </c>
      <c r="Q2148" s="3">
        <v>0</v>
      </c>
      <c r="R2148" s="22" t="s">
        <v>2721</v>
      </c>
      <c r="S2148" s="42" t="s">
        <v>6912</v>
      </c>
      <c r="T2148" s="3" t="s">
        <v>4868</v>
      </c>
      <c r="U2148" s="45">
        <v>35</v>
      </c>
      <c r="V2148" t="s">
        <v>8027</v>
      </c>
      <c r="W2148" s="1" t="str">
        <f>HYPERLINK("http://ictvonline.org/taxonomy/p/taxonomy-history?taxnode_id=201904413","ICTVonline=201904413")</f>
        <v>ICTVonline=201904413</v>
      </c>
    </row>
    <row r="2149" spans="1:23">
      <c r="A2149" s="3">
        <v>2148</v>
      </c>
      <c r="B2149" s="1" t="s">
        <v>8017</v>
      </c>
      <c r="D2149" s="1" t="s">
        <v>8049</v>
      </c>
      <c r="F2149" s="1" t="s">
        <v>8050</v>
      </c>
      <c r="H2149" s="1" t="s">
        <v>8053</v>
      </c>
      <c r="J2149" s="1" t="s">
        <v>8054</v>
      </c>
      <c r="L2149" s="1" t="s">
        <v>991</v>
      </c>
      <c r="N2149" s="1" t="s">
        <v>3873</v>
      </c>
      <c r="P2149" s="1" t="s">
        <v>3876</v>
      </c>
      <c r="Q2149" s="3">
        <v>0</v>
      </c>
      <c r="R2149" s="22" t="s">
        <v>2721</v>
      </c>
      <c r="S2149" s="42" t="s">
        <v>6912</v>
      </c>
      <c r="T2149" s="3" t="s">
        <v>4868</v>
      </c>
      <c r="U2149" s="45">
        <v>35</v>
      </c>
      <c r="V2149" t="s">
        <v>8027</v>
      </c>
      <c r="W2149" s="1" t="str">
        <f>HYPERLINK("http://ictvonline.org/taxonomy/p/taxonomy-history?taxnode_id=201904414","ICTVonline=201904414")</f>
        <v>ICTVonline=201904414</v>
      </c>
    </row>
    <row r="2150" spans="1:23">
      <c r="A2150" s="3">
        <v>2149</v>
      </c>
      <c r="B2150" s="1" t="s">
        <v>8017</v>
      </c>
      <c r="D2150" s="1" t="s">
        <v>8049</v>
      </c>
      <c r="F2150" s="1" t="s">
        <v>8050</v>
      </c>
      <c r="H2150" s="1" t="s">
        <v>8053</v>
      </c>
      <c r="J2150" s="1" t="s">
        <v>8054</v>
      </c>
      <c r="L2150" s="1" t="s">
        <v>991</v>
      </c>
      <c r="N2150" s="1" t="s">
        <v>3873</v>
      </c>
      <c r="P2150" s="1" t="s">
        <v>3877</v>
      </c>
      <c r="Q2150" s="3">
        <v>0</v>
      </c>
      <c r="R2150" s="22" t="s">
        <v>2721</v>
      </c>
      <c r="S2150" s="42" t="s">
        <v>6912</v>
      </c>
      <c r="T2150" s="3" t="s">
        <v>4868</v>
      </c>
      <c r="U2150" s="45">
        <v>35</v>
      </c>
      <c r="V2150" t="s">
        <v>8027</v>
      </c>
      <c r="W2150" s="1" t="str">
        <f>HYPERLINK("http://ictvonline.org/taxonomy/p/taxonomy-history?taxnode_id=201904415","ICTVonline=201904415")</f>
        <v>ICTVonline=201904415</v>
      </c>
    </row>
    <row r="2151" spans="1:23">
      <c r="A2151" s="3">
        <v>2150</v>
      </c>
      <c r="B2151" s="1" t="s">
        <v>8017</v>
      </c>
      <c r="D2151" s="1" t="s">
        <v>8049</v>
      </c>
      <c r="F2151" s="1" t="s">
        <v>8050</v>
      </c>
      <c r="H2151" s="1" t="s">
        <v>8053</v>
      </c>
      <c r="J2151" s="1" t="s">
        <v>8054</v>
      </c>
      <c r="L2151" s="1" t="s">
        <v>991</v>
      </c>
      <c r="N2151" s="1" t="s">
        <v>3873</v>
      </c>
      <c r="P2151" s="1" t="s">
        <v>3878</v>
      </c>
      <c r="Q2151" s="3">
        <v>0</v>
      </c>
      <c r="R2151" s="22" t="s">
        <v>2721</v>
      </c>
      <c r="S2151" s="42" t="s">
        <v>6912</v>
      </c>
      <c r="T2151" s="3" t="s">
        <v>4868</v>
      </c>
      <c r="U2151" s="45">
        <v>35</v>
      </c>
      <c r="V2151" t="s">
        <v>8027</v>
      </c>
      <c r="W2151" s="1" t="str">
        <f>HYPERLINK("http://ictvonline.org/taxonomy/p/taxonomy-history?taxnode_id=201904416","ICTVonline=201904416")</f>
        <v>ICTVonline=201904416</v>
      </c>
    </row>
    <row r="2152" spans="1:23">
      <c r="A2152" s="3">
        <v>2151</v>
      </c>
      <c r="B2152" s="1" t="s">
        <v>8017</v>
      </c>
      <c r="D2152" s="1" t="s">
        <v>8049</v>
      </c>
      <c r="F2152" s="1" t="s">
        <v>8050</v>
      </c>
      <c r="H2152" s="1" t="s">
        <v>8053</v>
      </c>
      <c r="J2152" s="1" t="s">
        <v>8054</v>
      </c>
      <c r="L2152" s="1" t="s">
        <v>991</v>
      </c>
      <c r="N2152" s="1" t="s">
        <v>3873</v>
      </c>
      <c r="P2152" s="1" t="s">
        <v>3879</v>
      </c>
      <c r="Q2152" s="3">
        <v>0</v>
      </c>
      <c r="R2152" s="22" t="s">
        <v>2721</v>
      </c>
      <c r="S2152" s="42" t="s">
        <v>6912</v>
      </c>
      <c r="T2152" s="3" t="s">
        <v>4868</v>
      </c>
      <c r="U2152" s="45">
        <v>35</v>
      </c>
      <c r="V2152" t="s">
        <v>8027</v>
      </c>
      <c r="W2152" s="1" t="str">
        <f>HYPERLINK("http://ictvonline.org/taxonomy/p/taxonomy-history?taxnode_id=201904417","ICTVonline=201904417")</f>
        <v>ICTVonline=201904417</v>
      </c>
    </row>
    <row r="2153" spans="1:23">
      <c r="A2153" s="3">
        <v>2152</v>
      </c>
      <c r="B2153" s="1" t="s">
        <v>8017</v>
      </c>
      <c r="D2153" s="1" t="s">
        <v>8049</v>
      </c>
      <c r="F2153" s="1" t="s">
        <v>8050</v>
      </c>
      <c r="H2153" s="1" t="s">
        <v>8053</v>
      </c>
      <c r="J2153" s="1" t="s">
        <v>8054</v>
      </c>
      <c r="L2153" s="1" t="s">
        <v>991</v>
      </c>
      <c r="N2153" s="1" t="s">
        <v>3873</v>
      </c>
      <c r="P2153" s="1" t="s">
        <v>3880</v>
      </c>
      <c r="Q2153" s="3">
        <v>0</v>
      </c>
      <c r="R2153" s="22" t="s">
        <v>2721</v>
      </c>
      <c r="S2153" s="42" t="s">
        <v>6912</v>
      </c>
      <c r="T2153" s="3" t="s">
        <v>4868</v>
      </c>
      <c r="U2153" s="45">
        <v>35</v>
      </c>
      <c r="V2153" t="s">
        <v>8027</v>
      </c>
      <c r="W2153" s="1" t="str">
        <f>HYPERLINK("http://ictvonline.org/taxonomy/p/taxonomy-history?taxnode_id=201904418","ICTVonline=201904418")</f>
        <v>ICTVonline=201904418</v>
      </c>
    </row>
    <row r="2154" spans="1:23">
      <c r="A2154" s="3">
        <v>2153</v>
      </c>
      <c r="B2154" s="1" t="s">
        <v>8017</v>
      </c>
      <c r="D2154" s="1" t="s">
        <v>8049</v>
      </c>
      <c r="F2154" s="1" t="s">
        <v>8050</v>
      </c>
      <c r="H2154" s="1" t="s">
        <v>8053</v>
      </c>
      <c r="J2154" s="1" t="s">
        <v>8054</v>
      </c>
      <c r="L2154" s="1" t="s">
        <v>991</v>
      </c>
      <c r="N2154" s="1" t="s">
        <v>3873</v>
      </c>
      <c r="P2154" s="1" t="s">
        <v>3881</v>
      </c>
      <c r="Q2154" s="3">
        <v>0</v>
      </c>
      <c r="R2154" s="22" t="s">
        <v>2721</v>
      </c>
      <c r="S2154" s="42" t="s">
        <v>6912</v>
      </c>
      <c r="T2154" s="3" t="s">
        <v>4868</v>
      </c>
      <c r="U2154" s="45">
        <v>35</v>
      </c>
      <c r="V2154" t="s">
        <v>8027</v>
      </c>
      <c r="W2154" s="1" t="str">
        <f>HYPERLINK("http://ictvonline.org/taxonomy/p/taxonomy-history?taxnode_id=201904419","ICTVonline=201904419")</f>
        <v>ICTVonline=201904419</v>
      </c>
    </row>
    <row r="2155" spans="1:23">
      <c r="A2155" s="3">
        <v>2154</v>
      </c>
      <c r="B2155" s="1" t="s">
        <v>8017</v>
      </c>
      <c r="D2155" s="1" t="s">
        <v>8049</v>
      </c>
      <c r="F2155" s="1" t="s">
        <v>8050</v>
      </c>
      <c r="H2155" s="1" t="s">
        <v>8053</v>
      </c>
      <c r="J2155" s="1" t="s">
        <v>8054</v>
      </c>
      <c r="L2155" s="1" t="s">
        <v>991</v>
      </c>
      <c r="N2155" s="1" t="s">
        <v>3873</v>
      </c>
      <c r="P2155" s="1" t="s">
        <v>3882</v>
      </c>
      <c r="Q2155" s="3">
        <v>0</v>
      </c>
      <c r="R2155" s="22" t="s">
        <v>2721</v>
      </c>
      <c r="S2155" s="42" t="s">
        <v>6912</v>
      </c>
      <c r="T2155" s="3" t="s">
        <v>4868</v>
      </c>
      <c r="U2155" s="45">
        <v>35</v>
      </c>
      <c r="V2155" t="s">
        <v>8027</v>
      </c>
      <c r="W2155" s="1" t="str">
        <f>HYPERLINK("http://ictvonline.org/taxonomy/p/taxonomy-history?taxnode_id=201904420","ICTVonline=201904420")</f>
        <v>ICTVonline=201904420</v>
      </c>
    </row>
    <row r="2156" spans="1:23">
      <c r="A2156" s="3">
        <v>2155</v>
      </c>
      <c r="B2156" s="1" t="s">
        <v>8017</v>
      </c>
      <c r="D2156" s="1" t="s">
        <v>8049</v>
      </c>
      <c r="F2156" s="1" t="s">
        <v>8050</v>
      </c>
      <c r="H2156" s="1" t="s">
        <v>8053</v>
      </c>
      <c r="J2156" s="1" t="s">
        <v>8054</v>
      </c>
      <c r="L2156" s="1" t="s">
        <v>991</v>
      </c>
      <c r="N2156" s="1" t="s">
        <v>3873</v>
      </c>
      <c r="P2156" s="1" t="s">
        <v>3883</v>
      </c>
      <c r="Q2156" s="3">
        <v>0</v>
      </c>
      <c r="R2156" s="22" t="s">
        <v>2721</v>
      </c>
      <c r="S2156" s="42" t="s">
        <v>6912</v>
      </c>
      <c r="T2156" s="3" t="s">
        <v>4868</v>
      </c>
      <c r="U2156" s="45">
        <v>35</v>
      </c>
      <c r="V2156" t="s">
        <v>8027</v>
      </c>
      <c r="W2156" s="1" t="str">
        <f>HYPERLINK("http://ictvonline.org/taxonomy/p/taxonomy-history?taxnode_id=201904421","ICTVonline=201904421")</f>
        <v>ICTVonline=201904421</v>
      </c>
    </row>
    <row r="2157" spans="1:23">
      <c r="A2157" s="3">
        <v>2156</v>
      </c>
      <c r="B2157" s="1" t="s">
        <v>8017</v>
      </c>
      <c r="D2157" s="1" t="s">
        <v>8049</v>
      </c>
      <c r="F2157" s="1" t="s">
        <v>8050</v>
      </c>
      <c r="H2157" s="1" t="s">
        <v>8053</v>
      </c>
      <c r="J2157" s="1" t="s">
        <v>8054</v>
      </c>
      <c r="L2157" s="1" t="s">
        <v>991</v>
      </c>
      <c r="N2157" s="1" t="s">
        <v>3873</v>
      </c>
      <c r="P2157" s="1" t="s">
        <v>3884</v>
      </c>
      <c r="Q2157" s="3">
        <v>0</v>
      </c>
      <c r="R2157" s="22" t="s">
        <v>2721</v>
      </c>
      <c r="S2157" s="42" t="s">
        <v>6912</v>
      </c>
      <c r="T2157" s="3" t="s">
        <v>4868</v>
      </c>
      <c r="U2157" s="45">
        <v>35</v>
      </c>
      <c r="V2157" t="s">
        <v>8027</v>
      </c>
      <c r="W2157" s="1" t="str">
        <f>HYPERLINK("http://ictvonline.org/taxonomy/p/taxonomy-history?taxnode_id=201904422","ICTVonline=201904422")</f>
        <v>ICTVonline=201904422</v>
      </c>
    </row>
    <row r="2158" spans="1:23">
      <c r="A2158" s="3">
        <v>2157</v>
      </c>
      <c r="B2158" s="1" t="s">
        <v>8017</v>
      </c>
      <c r="D2158" s="1" t="s">
        <v>8049</v>
      </c>
      <c r="F2158" s="1" t="s">
        <v>8050</v>
      </c>
      <c r="H2158" s="1" t="s">
        <v>8053</v>
      </c>
      <c r="J2158" s="1" t="s">
        <v>8054</v>
      </c>
      <c r="L2158" s="1" t="s">
        <v>991</v>
      </c>
      <c r="N2158" s="1" t="s">
        <v>3873</v>
      </c>
      <c r="P2158" s="1" t="s">
        <v>3885</v>
      </c>
      <c r="Q2158" s="3">
        <v>0</v>
      </c>
      <c r="R2158" s="22" t="s">
        <v>2721</v>
      </c>
      <c r="S2158" s="42" t="s">
        <v>6912</v>
      </c>
      <c r="T2158" s="3" t="s">
        <v>4868</v>
      </c>
      <c r="U2158" s="45">
        <v>35</v>
      </c>
      <c r="V2158" t="s">
        <v>8027</v>
      </c>
      <c r="W2158" s="1" t="str">
        <f>HYPERLINK("http://ictvonline.org/taxonomy/p/taxonomy-history?taxnode_id=201904423","ICTVonline=201904423")</f>
        <v>ICTVonline=201904423</v>
      </c>
    </row>
    <row r="2159" spans="1:23">
      <c r="A2159" s="3">
        <v>2158</v>
      </c>
      <c r="B2159" s="1" t="s">
        <v>8017</v>
      </c>
      <c r="D2159" s="1" t="s">
        <v>8049</v>
      </c>
      <c r="F2159" s="1" t="s">
        <v>8050</v>
      </c>
      <c r="H2159" s="1" t="s">
        <v>8053</v>
      </c>
      <c r="J2159" s="1" t="s">
        <v>8054</v>
      </c>
      <c r="L2159" s="1" t="s">
        <v>991</v>
      </c>
      <c r="N2159" s="1" t="s">
        <v>3873</v>
      </c>
      <c r="P2159" s="1" t="s">
        <v>3886</v>
      </c>
      <c r="Q2159" s="3">
        <v>0</v>
      </c>
      <c r="R2159" s="22" t="s">
        <v>2721</v>
      </c>
      <c r="S2159" s="42" t="s">
        <v>6912</v>
      </c>
      <c r="T2159" s="3" t="s">
        <v>4868</v>
      </c>
      <c r="U2159" s="45">
        <v>35</v>
      </c>
      <c r="V2159" t="s">
        <v>8027</v>
      </c>
      <c r="W2159" s="1" t="str">
        <f>HYPERLINK("http://ictvonline.org/taxonomy/p/taxonomy-history?taxnode_id=201904424","ICTVonline=201904424")</f>
        <v>ICTVonline=201904424</v>
      </c>
    </row>
    <row r="2160" spans="1:23">
      <c r="A2160" s="3">
        <v>2159</v>
      </c>
      <c r="B2160" s="1" t="s">
        <v>8017</v>
      </c>
      <c r="D2160" s="1" t="s">
        <v>8049</v>
      </c>
      <c r="F2160" s="1" t="s">
        <v>8050</v>
      </c>
      <c r="H2160" s="1" t="s">
        <v>8053</v>
      </c>
      <c r="J2160" s="1" t="s">
        <v>8054</v>
      </c>
      <c r="L2160" s="1" t="s">
        <v>991</v>
      </c>
      <c r="N2160" s="1" t="s">
        <v>3873</v>
      </c>
      <c r="P2160" s="1" t="s">
        <v>3887</v>
      </c>
      <c r="Q2160" s="3">
        <v>0</v>
      </c>
      <c r="R2160" s="22" t="s">
        <v>2721</v>
      </c>
      <c r="S2160" s="42" t="s">
        <v>6912</v>
      </c>
      <c r="T2160" s="3" t="s">
        <v>4868</v>
      </c>
      <c r="U2160" s="45">
        <v>35</v>
      </c>
      <c r="V2160" t="s">
        <v>8027</v>
      </c>
      <c r="W2160" s="1" t="str">
        <f>HYPERLINK("http://ictvonline.org/taxonomy/p/taxonomy-history?taxnode_id=201904425","ICTVonline=201904425")</f>
        <v>ICTVonline=201904425</v>
      </c>
    </row>
    <row r="2161" spans="1:23">
      <c r="A2161" s="3">
        <v>2160</v>
      </c>
      <c r="B2161" s="1" t="s">
        <v>8017</v>
      </c>
      <c r="D2161" s="1" t="s">
        <v>8049</v>
      </c>
      <c r="F2161" s="1" t="s">
        <v>8050</v>
      </c>
      <c r="H2161" s="1" t="s">
        <v>8053</v>
      </c>
      <c r="J2161" s="1" t="s">
        <v>8054</v>
      </c>
      <c r="L2161" s="1" t="s">
        <v>991</v>
      </c>
      <c r="N2161" s="1" t="s">
        <v>3873</v>
      </c>
      <c r="P2161" s="1" t="s">
        <v>3888</v>
      </c>
      <c r="Q2161" s="3">
        <v>0</v>
      </c>
      <c r="R2161" s="22" t="s">
        <v>2721</v>
      </c>
      <c r="S2161" s="42" t="s">
        <v>6912</v>
      </c>
      <c r="T2161" s="3" t="s">
        <v>4868</v>
      </c>
      <c r="U2161" s="45">
        <v>35</v>
      </c>
      <c r="V2161" t="s">
        <v>8027</v>
      </c>
      <c r="W2161" s="1" t="str">
        <f>HYPERLINK("http://ictvonline.org/taxonomy/p/taxonomy-history?taxnode_id=201904427","ICTVonline=201904427")</f>
        <v>ICTVonline=201904427</v>
      </c>
    </row>
    <row r="2162" spans="1:23">
      <c r="A2162" s="3">
        <v>2161</v>
      </c>
      <c r="B2162" s="1" t="s">
        <v>8017</v>
      </c>
      <c r="D2162" s="1" t="s">
        <v>8049</v>
      </c>
      <c r="F2162" s="1" t="s">
        <v>8050</v>
      </c>
      <c r="H2162" s="1" t="s">
        <v>8053</v>
      </c>
      <c r="J2162" s="1" t="s">
        <v>8054</v>
      </c>
      <c r="L2162" s="1" t="s">
        <v>991</v>
      </c>
      <c r="N2162" s="1" t="s">
        <v>3873</v>
      </c>
      <c r="P2162" s="1" t="s">
        <v>8055</v>
      </c>
      <c r="Q2162" s="3">
        <v>0</v>
      </c>
      <c r="R2162" s="22" t="s">
        <v>2721</v>
      </c>
      <c r="S2162" s="42" t="s">
        <v>6914</v>
      </c>
      <c r="T2162" s="3" t="s">
        <v>4866</v>
      </c>
      <c r="U2162" s="45">
        <v>35</v>
      </c>
      <c r="V2162" t="s">
        <v>8056</v>
      </c>
      <c r="W2162" s="1" t="str">
        <f>HYPERLINK("http://ictvonline.org/taxonomy/p/taxonomy-history?taxnode_id=201907113","ICTVonline=201907113")</f>
        <v>ICTVonline=201907113</v>
      </c>
    </row>
    <row r="2163" spans="1:23">
      <c r="A2163" s="3">
        <v>2162</v>
      </c>
      <c r="B2163" s="1" t="s">
        <v>8017</v>
      </c>
      <c r="D2163" s="1" t="s">
        <v>8049</v>
      </c>
      <c r="F2163" s="1" t="s">
        <v>8050</v>
      </c>
      <c r="H2163" s="1" t="s">
        <v>8053</v>
      </c>
      <c r="J2163" s="1" t="s">
        <v>8054</v>
      </c>
      <c r="L2163" s="1" t="s">
        <v>991</v>
      </c>
      <c r="N2163" s="1" t="s">
        <v>3873</v>
      </c>
      <c r="P2163" s="1" t="s">
        <v>3889</v>
      </c>
      <c r="Q2163" s="3">
        <v>0</v>
      </c>
      <c r="R2163" s="22" t="s">
        <v>2721</v>
      </c>
      <c r="S2163" s="42" t="s">
        <v>6912</v>
      </c>
      <c r="T2163" s="3" t="s">
        <v>4868</v>
      </c>
      <c r="U2163" s="45">
        <v>35</v>
      </c>
      <c r="V2163" t="s">
        <v>8027</v>
      </c>
      <c r="W2163" s="1" t="str">
        <f>HYPERLINK("http://ictvonline.org/taxonomy/p/taxonomy-history?taxnode_id=201904428","ICTVonline=201904428")</f>
        <v>ICTVonline=201904428</v>
      </c>
    </row>
    <row r="2164" spans="1:23">
      <c r="A2164" s="3">
        <v>2163</v>
      </c>
      <c r="B2164" s="1" t="s">
        <v>8017</v>
      </c>
      <c r="D2164" s="1" t="s">
        <v>8049</v>
      </c>
      <c r="F2164" s="1" t="s">
        <v>8050</v>
      </c>
      <c r="H2164" s="1" t="s">
        <v>8053</v>
      </c>
      <c r="J2164" s="1" t="s">
        <v>8054</v>
      </c>
      <c r="L2164" s="1" t="s">
        <v>991</v>
      </c>
      <c r="N2164" s="1" t="s">
        <v>3873</v>
      </c>
      <c r="P2164" s="1" t="s">
        <v>3890</v>
      </c>
      <c r="Q2164" s="3">
        <v>0</v>
      </c>
      <c r="R2164" s="22" t="s">
        <v>2721</v>
      </c>
      <c r="S2164" s="42" t="s">
        <v>6912</v>
      </c>
      <c r="T2164" s="3" t="s">
        <v>4868</v>
      </c>
      <c r="U2164" s="45">
        <v>35</v>
      </c>
      <c r="V2164" t="s">
        <v>8027</v>
      </c>
      <c r="W2164" s="1" t="str">
        <f>HYPERLINK("http://ictvonline.org/taxonomy/p/taxonomy-history?taxnode_id=201904429","ICTVonline=201904429")</f>
        <v>ICTVonline=201904429</v>
      </c>
    </row>
    <row r="2165" spans="1:23">
      <c r="A2165" s="3">
        <v>2164</v>
      </c>
      <c r="B2165" s="1" t="s">
        <v>8017</v>
      </c>
      <c r="D2165" s="1" t="s">
        <v>8049</v>
      </c>
      <c r="F2165" s="1" t="s">
        <v>8050</v>
      </c>
      <c r="H2165" s="1" t="s">
        <v>8053</v>
      </c>
      <c r="J2165" s="1" t="s">
        <v>8054</v>
      </c>
      <c r="L2165" s="1" t="s">
        <v>991</v>
      </c>
      <c r="N2165" s="1" t="s">
        <v>3873</v>
      </c>
      <c r="P2165" s="1" t="s">
        <v>6890</v>
      </c>
      <c r="Q2165" s="3">
        <v>0</v>
      </c>
      <c r="R2165" s="22" t="s">
        <v>2721</v>
      </c>
      <c r="S2165" s="42" t="s">
        <v>6912</v>
      </c>
      <c r="T2165" s="3" t="s">
        <v>4868</v>
      </c>
      <c r="U2165" s="45">
        <v>35</v>
      </c>
      <c r="V2165" t="s">
        <v>8027</v>
      </c>
      <c r="W2165" s="1" t="str">
        <f>HYPERLINK("http://ictvonline.org/taxonomy/p/taxonomy-history?taxnode_id=201906343","ICTVonline=201906343")</f>
        <v>ICTVonline=201906343</v>
      </c>
    </row>
    <row r="2166" spans="1:23">
      <c r="A2166" s="3">
        <v>2165</v>
      </c>
      <c r="B2166" s="1" t="s">
        <v>8017</v>
      </c>
      <c r="D2166" s="1" t="s">
        <v>8049</v>
      </c>
      <c r="F2166" s="1" t="s">
        <v>8050</v>
      </c>
      <c r="H2166" s="1" t="s">
        <v>8053</v>
      </c>
      <c r="J2166" s="1" t="s">
        <v>8054</v>
      </c>
      <c r="L2166" s="1" t="s">
        <v>991</v>
      </c>
      <c r="N2166" s="1" t="s">
        <v>3873</v>
      </c>
      <c r="P2166" s="1" t="s">
        <v>6891</v>
      </c>
      <c r="Q2166" s="3">
        <v>0</v>
      </c>
      <c r="R2166" s="22" t="s">
        <v>2721</v>
      </c>
      <c r="S2166" s="42" t="s">
        <v>6912</v>
      </c>
      <c r="T2166" s="3" t="s">
        <v>4868</v>
      </c>
      <c r="U2166" s="45">
        <v>35</v>
      </c>
      <c r="V2166" t="s">
        <v>8027</v>
      </c>
      <c r="W2166" s="1" t="str">
        <f>HYPERLINK("http://ictvonline.org/taxonomy/p/taxonomy-history?taxnode_id=201906344","ICTVonline=201906344")</f>
        <v>ICTVonline=201906344</v>
      </c>
    </row>
    <row r="2167" spans="1:23">
      <c r="A2167" s="3">
        <v>2166</v>
      </c>
      <c r="B2167" s="1" t="s">
        <v>8017</v>
      </c>
      <c r="D2167" s="1" t="s">
        <v>8049</v>
      </c>
      <c r="F2167" s="1" t="s">
        <v>8050</v>
      </c>
      <c r="H2167" s="1" t="s">
        <v>8053</v>
      </c>
      <c r="J2167" s="1" t="s">
        <v>8054</v>
      </c>
      <c r="L2167" s="1" t="s">
        <v>991</v>
      </c>
      <c r="N2167" s="1" t="s">
        <v>3873</v>
      </c>
      <c r="P2167" s="1" t="s">
        <v>3891</v>
      </c>
      <c r="Q2167" s="3">
        <v>0</v>
      </c>
      <c r="R2167" s="22" t="s">
        <v>2721</v>
      </c>
      <c r="S2167" s="42" t="s">
        <v>6912</v>
      </c>
      <c r="T2167" s="3" t="s">
        <v>4868</v>
      </c>
      <c r="U2167" s="45">
        <v>35</v>
      </c>
      <c r="V2167" t="s">
        <v>8027</v>
      </c>
      <c r="W2167" s="1" t="str">
        <f>HYPERLINK("http://ictvonline.org/taxonomy/p/taxonomy-history?taxnode_id=201904430","ICTVonline=201904430")</f>
        <v>ICTVonline=201904430</v>
      </c>
    </row>
    <row r="2168" spans="1:23">
      <c r="A2168" s="3">
        <v>2167</v>
      </c>
      <c r="B2168" s="1" t="s">
        <v>8017</v>
      </c>
      <c r="D2168" s="1" t="s">
        <v>8049</v>
      </c>
      <c r="F2168" s="1" t="s">
        <v>8050</v>
      </c>
      <c r="H2168" s="1" t="s">
        <v>8053</v>
      </c>
      <c r="J2168" s="1" t="s">
        <v>8054</v>
      </c>
      <c r="L2168" s="1" t="s">
        <v>991</v>
      </c>
      <c r="N2168" s="1" t="s">
        <v>3873</v>
      </c>
      <c r="P2168" s="1" t="s">
        <v>3892</v>
      </c>
      <c r="Q2168" s="3">
        <v>1</v>
      </c>
      <c r="R2168" s="22" t="s">
        <v>2721</v>
      </c>
      <c r="S2168" s="42" t="s">
        <v>6912</v>
      </c>
      <c r="T2168" s="3" t="s">
        <v>4868</v>
      </c>
      <c r="U2168" s="45">
        <v>35</v>
      </c>
      <c r="V2168" t="s">
        <v>8027</v>
      </c>
      <c r="W2168" s="1" t="str">
        <f>HYPERLINK("http://ictvonline.org/taxonomy/p/taxonomy-history?taxnode_id=201904431","ICTVonline=201904431")</f>
        <v>ICTVonline=201904431</v>
      </c>
    </row>
    <row r="2169" spans="1:23">
      <c r="A2169" s="3">
        <v>2168</v>
      </c>
      <c r="B2169" s="1" t="s">
        <v>8017</v>
      </c>
      <c r="D2169" s="1" t="s">
        <v>8049</v>
      </c>
      <c r="F2169" s="1" t="s">
        <v>8050</v>
      </c>
      <c r="H2169" s="1" t="s">
        <v>8053</v>
      </c>
      <c r="J2169" s="1" t="s">
        <v>8054</v>
      </c>
      <c r="L2169" s="1" t="s">
        <v>991</v>
      </c>
      <c r="N2169" s="1" t="s">
        <v>3873</v>
      </c>
      <c r="P2169" s="1" t="s">
        <v>3893</v>
      </c>
      <c r="Q2169" s="3">
        <v>0</v>
      </c>
      <c r="R2169" s="22" t="s">
        <v>2721</v>
      </c>
      <c r="S2169" s="42" t="s">
        <v>6912</v>
      </c>
      <c r="T2169" s="3" t="s">
        <v>4868</v>
      </c>
      <c r="U2169" s="45">
        <v>35</v>
      </c>
      <c r="V2169" t="s">
        <v>8027</v>
      </c>
      <c r="W2169" s="1" t="str">
        <f>HYPERLINK("http://ictvonline.org/taxonomy/p/taxonomy-history?taxnode_id=201904432","ICTVonline=201904432")</f>
        <v>ICTVonline=201904432</v>
      </c>
    </row>
    <row r="2170" spans="1:23">
      <c r="A2170" s="3">
        <v>2169</v>
      </c>
      <c r="B2170" s="1" t="s">
        <v>8017</v>
      </c>
      <c r="D2170" s="1" t="s">
        <v>8049</v>
      </c>
      <c r="F2170" s="1" t="s">
        <v>8050</v>
      </c>
      <c r="H2170" s="1" t="s">
        <v>8053</v>
      </c>
      <c r="J2170" s="1" t="s">
        <v>8054</v>
      </c>
      <c r="L2170" s="1" t="s">
        <v>991</v>
      </c>
      <c r="N2170" s="1" t="s">
        <v>3873</v>
      </c>
      <c r="P2170" s="1" t="s">
        <v>3894</v>
      </c>
      <c r="Q2170" s="3">
        <v>0</v>
      </c>
      <c r="R2170" s="22" t="s">
        <v>2721</v>
      </c>
      <c r="S2170" s="42" t="s">
        <v>6912</v>
      </c>
      <c r="T2170" s="3" t="s">
        <v>4868</v>
      </c>
      <c r="U2170" s="45">
        <v>35</v>
      </c>
      <c r="V2170" t="s">
        <v>8027</v>
      </c>
      <c r="W2170" s="1" t="str">
        <f>HYPERLINK("http://ictvonline.org/taxonomy/p/taxonomy-history?taxnode_id=201904433","ICTVonline=201904433")</f>
        <v>ICTVonline=201904433</v>
      </c>
    </row>
    <row r="2171" spans="1:23">
      <c r="A2171" s="3">
        <v>2170</v>
      </c>
      <c r="B2171" s="1" t="s">
        <v>8017</v>
      </c>
      <c r="D2171" s="1" t="s">
        <v>8049</v>
      </c>
      <c r="F2171" s="1" t="s">
        <v>8050</v>
      </c>
      <c r="H2171" s="1" t="s">
        <v>8053</v>
      </c>
      <c r="J2171" s="1" t="s">
        <v>8054</v>
      </c>
      <c r="L2171" s="1" t="s">
        <v>991</v>
      </c>
      <c r="N2171" s="1" t="s">
        <v>3873</v>
      </c>
      <c r="P2171" s="1" t="s">
        <v>3895</v>
      </c>
      <c r="Q2171" s="3">
        <v>0</v>
      </c>
      <c r="R2171" s="22" t="s">
        <v>2721</v>
      </c>
      <c r="S2171" s="42" t="s">
        <v>6912</v>
      </c>
      <c r="T2171" s="3" t="s">
        <v>4868</v>
      </c>
      <c r="U2171" s="45">
        <v>35</v>
      </c>
      <c r="V2171" t="s">
        <v>8027</v>
      </c>
      <c r="W2171" s="1" t="str">
        <f>HYPERLINK("http://ictvonline.org/taxonomy/p/taxonomy-history?taxnode_id=201904434","ICTVonline=201904434")</f>
        <v>ICTVonline=201904434</v>
      </c>
    </row>
    <row r="2172" spans="1:23">
      <c r="A2172" s="3">
        <v>2171</v>
      </c>
      <c r="B2172" s="1" t="s">
        <v>8017</v>
      </c>
      <c r="D2172" s="1" t="s">
        <v>8049</v>
      </c>
      <c r="F2172" s="1" t="s">
        <v>8050</v>
      </c>
      <c r="H2172" s="1" t="s">
        <v>8053</v>
      </c>
      <c r="J2172" s="1" t="s">
        <v>8054</v>
      </c>
      <c r="L2172" s="1" t="s">
        <v>991</v>
      </c>
      <c r="N2172" s="1" t="s">
        <v>3873</v>
      </c>
      <c r="P2172" s="1" t="s">
        <v>3896</v>
      </c>
      <c r="Q2172" s="3">
        <v>0</v>
      </c>
      <c r="R2172" s="22" t="s">
        <v>2721</v>
      </c>
      <c r="S2172" s="42" t="s">
        <v>6912</v>
      </c>
      <c r="T2172" s="3" t="s">
        <v>4868</v>
      </c>
      <c r="U2172" s="45">
        <v>35</v>
      </c>
      <c r="V2172" t="s">
        <v>8027</v>
      </c>
      <c r="W2172" s="1" t="str">
        <f>HYPERLINK("http://ictvonline.org/taxonomy/p/taxonomy-history?taxnode_id=201904435","ICTVonline=201904435")</f>
        <v>ICTVonline=201904435</v>
      </c>
    </row>
    <row r="2173" spans="1:23">
      <c r="A2173" s="3">
        <v>2172</v>
      </c>
      <c r="B2173" s="1" t="s">
        <v>8017</v>
      </c>
      <c r="D2173" s="1" t="s">
        <v>8049</v>
      </c>
      <c r="F2173" s="1" t="s">
        <v>8050</v>
      </c>
      <c r="H2173" s="1" t="s">
        <v>8053</v>
      </c>
      <c r="J2173" s="1" t="s">
        <v>8054</v>
      </c>
      <c r="L2173" s="1" t="s">
        <v>991</v>
      </c>
      <c r="N2173" s="1" t="s">
        <v>3873</v>
      </c>
      <c r="P2173" s="1" t="s">
        <v>3897</v>
      </c>
      <c r="Q2173" s="3">
        <v>0</v>
      </c>
      <c r="R2173" s="22" t="s">
        <v>2721</v>
      </c>
      <c r="S2173" s="42" t="s">
        <v>6912</v>
      </c>
      <c r="T2173" s="3" t="s">
        <v>4868</v>
      </c>
      <c r="U2173" s="45">
        <v>35</v>
      </c>
      <c r="V2173" t="s">
        <v>8027</v>
      </c>
      <c r="W2173" s="1" t="str">
        <f>HYPERLINK("http://ictvonline.org/taxonomy/p/taxonomy-history?taxnode_id=201904436","ICTVonline=201904436")</f>
        <v>ICTVonline=201904436</v>
      </c>
    </row>
    <row r="2174" spans="1:23">
      <c r="A2174" s="3">
        <v>2173</v>
      </c>
      <c r="B2174" s="1" t="s">
        <v>8017</v>
      </c>
      <c r="D2174" s="1" t="s">
        <v>8049</v>
      </c>
      <c r="F2174" s="1" t="s">
        <v>8050</v>
      </c>
      <c r="H2174" s="1" t="s">
        <v>8053</v>
      </c>
      <c r="J2174" s="1" t="s">
        <v>8054</v>
      </c>
      <c r="L2174" s="1" t="s">
        <v>991</v>
      </c>
      <c r="N2174" s="1" t="s">
        <v>3873</v>
      </c>
      <c r="P2174" s="1" t="s">
        <v>3898</v>
      </c>
      <c r="Q2174" s="3">
        <v>0</v>
      </c>
      <c r="R2174" s="22" t="s">
        <v>2721</v>
      </c>
      <c r="S2174" s="42" t="s">
        <v>6912</v>
      </c>
      <c r="T2174" s="3" t="s">
        <v>4868</v>
      </c>
      <c r="U2174" s="45">
        <v>35</v>
      </c>
      <c r="V2174" t="s">
        <v>8027</v>
      </c>
      <c r="W2174" s="1" t="str">
        <f>HYPERLINK("http://ictvonline.org/taxonomy/p/taxonomy-history?taxnode_id=201904437","ICTVonline=201904437")</f>
        <v>ICTVonline=201904437</v>
      </c>
    </row>
    <row r="2175" spans="1:23">
      <c r="A2175" s="3">
        <v>2174</v>
      </c>
      <c r="B2175" s="1" t="s">
        <v>8017</v>
      </c>
      <c r="D2175" s="1" t="s">
        <v>8049</v>
      </c>
      <c r="F2175" s="1" t="s">
        <v>8050</v>
      </c>
      <c r="H2175" s="1" t="s">
        <v>8053</v>
      </c>
      <c r="J2175" s="1" t="s">
        <v>8054</v>
      </c>
      <c r="L2175" s="1" t="s">
        <v>991</v>
      </c>
      <c r="N2175" s="1" t="s">
        <v>3873</v>
      </c>
      <c r="P2175" s="1" t="s">
        <v>3899</v>
      </c>
      <c r="Q2175" s="3">
        <v>0</v>
      </c>
      <c r="R2175" s="22" t="s">
        <v>2721</v>
      </c>
      <c r="S2175" s="42" t="s">
        <v>6912</v>
      </c>
      <c r="T2175" s="3" t="s">
        <v>4868</v>
      </c>
      <c r="U2175" s="45">
        <v>35</v>
      </c>
      <c r="V2175" t="s">
        <v>8027</v>
      </c>
      <c r="W2175" s="1" t="str">
        <f>HYPERLINK("http://ictvonline.org/taxonomy/p/taxonomy-history?taxnode_id=201904438","ICTVonline=201904438")</f>
        <v>ICTVonline=201904438</v>
      </c>
    </row>
    <row r="2176" spans="1:23">
      <c r="A2176" s="3">
        <v>2175</v>
      </c>
      <c r="B2176" s="1" t="s">
        <v>8017</v>
      </c>
      <c r="D2176" s="1" t="s">
        <v>8049</v>
      </c>
      <c r="F2176" s="1" t="s">
        <v>8050</v>
      </c>
      <c r="H2176" s="1" t="s">
        <v>8053</v>
      </c>
      <c r="J2176" s="1" t="s">
        <v>8054</v>
      </c>
      <c r="L2176" s="1" t="s">
        <v>991</v>
      </c>
      <c r="N2176" s="1" t="s">
        <v>3873</v>
      </c>
      <c r="P2176" s="1" t="s">
        <v>3900</v>
      </c>
      <c r="Q2176" s="3">
        <v>0</v>
      </c>
      <c r="R2176" s="22" t="s">
        <v>2721</v>
      </c>
      <c r="S2176" s="42" t="s">
        <v>6912</v>
      </c>
      <c r="T2176" s="3" t="s">
        <v>4868</v>
      </c>
      <c r="U2176" s="45">
        <v>35</v>
      </c>
      <c r="V2176" t="s">
        <v>8027</v>
      </c>
      <c r="W2176" s="1" t="str">
        <f>HYPERLINK("http://ictvonline.org/taxonomy/p/taxonomy-history?taxnode_id=201904439","ICTVonline=201904439")</f>
        <v>ICTVonline=201904439</v>
      </c>
    </row>
    <row r="2177" spans="1:23">
      <c r="A2177" s="3">
        <v>2176</v>
      </c>
      <c r="B2177" s="1" t="s">
        <v>8017</v>
      </c>
      <c r="D2177" s="1" t="s">
        <v>8049</v>
      </c>
      <c r="F2177" s="1" t="s">
        <v>8050</v>
      </c>
      <c r="H2177" s="1" t="s">
        <v>8053</v>
      </c>
      <c r="J2177" s="1" t="s">
        <v>8054</v>
      </c>
      <c r="L2177" s="1" t="s">
        <v>991</v>
      </c>
      <c r="N2177" s="1" t="s">
        <v>3873</v>
      </c>
      <c r="P2177" s="1" t="s">
        <v>3901</v>
      </c>
      <c r="Q2177" s="3">
        <v>0</v>
      </c>
      <c r="R2177" s="22" t="s">
        <v>2721</v>
      </c>
      <c r="S2177" s="42" t="s">
        <v>6912</v>
      </c>
      <c r="T2177" s="3" t="s">
        <v>4868</v>
      </c>
      <c r="U2177" s="45">
        <v>35</v>
      </c>
      <c r="V2177" t="s">
        <v>8027</v>
      </c>
      <c r="W2177" s="1" t="str">
        <f>HYPERLINK("http://ictvonline.org/taxonomy/p/taxonomy-history?taxnode_id=201904440","ICTVonline=201904440")</f>
        <v>ICTVonline=201904440</v>
      </c>
    </row>
    <row r="2178" spans="1:23">
      <c r="A2178" s="3">
        <v>2177</v>
      </c>
      <c r="B2178" s="1" t="s">
        <v>8017</v>
      </c>
      <c r="D2178" s="1" t="s">
        <v>8049</v>
      </c>
      <c r="F2178" s="1" t="s">
        <v>8050</v>
      </c>
      <c r="H2178" s="1" t="s">
        <v>8053</v>
      </c>
      <c r="J2178" s="1" t="s">
        <v>8054</v>
      </c>
      <c r="L2178" s="1" t="s">
        <v>991</v>
      </c>
      <c r="N2178" s="1" t="s">
        <v>3873</v>
      </c>
      <c r="P2178" s="1" t="s">
        <v>3902</v>
      </c>
      <c r="Q2178" s="3">
        <v>0</v>
      </c>
      <c r="R2178" s="22" t="s">
        <v>2721</v>
      </c>
      <c r="S2178" s="42" t="s">
        <v>6912</v>
      </c>
      <c r="T2178" s="3" t="s">
        <v>4868</v>
      </c>
      <c r="U2178" s="45">
        <v>35</v>
      </c>
      <c r="V2178" t="s">
        <v>8027</v>
      </c>
      <c r="W2178" s="1" t="str">
        <f>HYPERLINK("http://ictvonline.org/taxonomy/p/taxonomy-history?taxnode_id=201904441","ICTVonline=201904441")</f>
        <v>ICTVonline=201904441</v>
      </c>
    </row>
    <row r="2179" spans="1:23">
      <c r="A2179" s="3">
        <v>2178</v>
      </c>
      <c r="B2179" s="1" t="s">
        <v>8017</v>
      </c>
      <c r="D2179" s="1" t="s">
        <v>8049</v>
      </c>
      <c r="F2179" s="1" t="s">
        <v>8050</v>
      </c>
      <c r="H2179" s="1" t="s">
        <v>8053</v>
      </c>
      <c r="J2179" s="1" t="s">
        <v>8054</v>
      </c>
      <c r="L2179" s="1" t="s">
        <v>991</v>
      </c>
      <c r="N2179" s="1" t="s">
        <v>3873</v>
      </c>
      <c r="P2179" s="1" t="s">
        <v>5485</v>
      </c>
      <c r="Q2179" s="3">
        <v>0</v>
      </c>
      <c r="R2179" s="22" t="s">
        <v>2721</v>
      </c>
      <c r="S2179" s="42" t="s">
        <v>6912</v>
      </c>
      <c r="T2179" s="3" t="s">
        <v>4868</v>
      </c>
      <c r="U2179" s="45">
        <v>35</v>
      </c>
      <c r="V2179" t="s">
        <v>8027</v>
      </c>
      <c r="W2179" s="1" t="str">
        <f>HYPERLINK("http://ictvonline.org/taxonomy/p/taxonomy-history?taxnode_id=201905904","ICTVonline=201905904")</f>
        <v>ICTVonline=201905904</v>
      </c>
    </row>
    <row r="2180" spans="1:23">
      <c r="A2180" s="3">
        <v>2179</v>
      </c>
      <c r="B2180" s="1" t="s">
        <v>8017</v>
      </c>
      <c r="D2180" s="1" t="s">
        <v>8049</v>
      </c>
      <c r="F2180" s="1" t="s">
        <v>8050</v>
      </c>
      <c r="H2180" s="1" t="s">
        <v>8053</v>
      </c>
      <c r="J2180" s="1" t="s">
        <v>8054</v>
      </c>
      <c r="L2180" s="1" t="s">
        <v>991</v>
      </c>
      <c r="N2180" s="1" t="s">
        <v>3873</v>
      </c>
      <c r="P2180" s="1" t="s">
        <v>3903</v>
      </c>
      <c r="Q2180" s="3">
        <v>0</v>
      </c>
      <c r="R2180" s="22" t="s">
        <v>2721</v>
      </c>
      <c r="S2180" s="42" t="s">
        <v>6912</v>
      </c>
      <c r="T2180" s="3" t="s">
        <v>4868</v>
      </c>
      <c r="U2180" s="45">
        <v>35</v>
      </c>
      <c r="V2180" t="s">
        <v>8027</v>
      </c>
      <c r="W2180" s="1" t="str">
        <f>HYPERLINK("http://ictvonline.org/taxonomy/p/taxonomy-history?taxnode_id=201904442","ICTVonline=201904442")</f>
        <v>ICTVonline=201904442</v>
      </c>
    </row>
    <row r="2181" spans="1:23">
      <c r="A2181" s="3">
        <v>2180</v>
      </c>
      <c r="B2181" s="1" t="s">
        <v>8017</v>
      </c>
      <c r="D2181" s="1" t="s">
        <v>8049</v>
      </c>
      <c r="F2181" s="1" t="s">
        <v>8050</v>
      </c>
      <c r="H2181" s="1" t="s">
        <v>8053</v>
      </c>
      <c r="J2181" s="1" t="s">
        <v>8054</v>
      </c>
      <c r="L2181" s="1" t="s">
        <v>991</v>
      </c>
      <c r="N2181" s="1" t="s">
        <v>3873</v>
      </c>
      <c r="P2181" s="1" t="s">
        <v>3904</v>
      </c>
      <c r="Q2181" s="3">
        <v>0</v>
      </c>
      <c r="R2181" s="22" t="s">
        <v>2721</v>
      </c>
      <c r="S2181" s="42" t="s">
        <v>6912</v>
      </c>
      <c r="T2181" s="3" t="s">
        <v>4868</v>
      </c>
      <c r="U2181" s="45">
        <v>35</v>
      </c>
      <c r="V2181" t="s">
        <v>8027</v>
      </c>
      <c r="W2181" s="1" t="str">
        <f>HYPERLINK("http://ictvonline.org/taxonomy/p/taxonomy-history?taxnode_id=201904443","ICTVonline=201904443")</f>
        <v>ICTVonline=201904443</v>
      </c>
    </row>
    <row r="2182" spans="1:23">
      <c r="A2182" s="3">
        <v>2181</v>
      </c>
      <c r="B2182" s="1" t="s">
        <v>8017</v>
      </c>
      <c r="D2182" s="1" t="s">
        <v>8049</v>
      </c>
      <c r="F2182" s="1" t="s">
        <v>8050</v>
      </c>
      <c r="H2182" s="1" t="s">
        <v>8053</v>
      </c>
      <c r="J2182" s="1" t="s">
        <v>8054</v>
      </c>
      <c r="L2182" s="1" t="s">
        <v>991</v>
      </c>
      <c r="N2182" s="1" t="s">
        <v>3873</v>
      </c>
      <c r="P2182" s="1" t="s">
        <v>3905</v>
      </c>
      <c r="Q2182" s="3">
        <v>0</v>
      </c>
      <c r="R2182" s="22" t="s">
        <v>2721</v>
      </c>
      <c r="S2182" s="42" t="s">
        <v>6912</v>
      </c>
      <c r="T2182" s="3" t="s">
        <v>4868</v>
      </c>
      <c r="U2182" s="45">
        <v>35</v>
      </c>
      <c r="V2182" t="s">
        <v>8027</v>
      </c>
      <c r="W2182" s="1" t="str">
        <f>HYPERLINK("http://ictvonline.org/taxonomy/p/taxonomy-history?taxnode_id=201904444","ICTVonline=201904444")</f>
        <v>ICTVonline=201904444</v>
      </c>
    </row>
    <row r="2183" spans="1:23">
      <c r="A2183" s="3">
        <v>2182</v>
      </c>
      <c r="B2183" s="1" t="s">
        <v>8017</v>
      </c>
      <c r="D2183" s="1" t="s">
        <v>8049</v>
      </c>
      <c r="F2183" s="1" t="s">
        <v>8050</v>
      </c>
      <c r="H2183" s="1" t="s">
        <v>8053</v>
      </c>
      <c r="J2183" s="1" t="s">
        <v>8054</v>
      </c>
      <c r="L2183" s="1" t="s">
        <v>991</v>
      </c>
      <c r="N2183" s="1" t="s">
        <v>3873</v>
      </c>
      <c r="P2183" s="1" t="s">
        <v>3906</v>
      </c>
      <c r="Q2183" s="3">
        <v>0</v>
      </c>
      <c r="R2183" s="22" t="s">
        <v>2721</v>
      </c>
      <c r="S2183" s="42" t="s">
        <v>6912</v>
      </c>
      <c r="T2183" s="3" t="s">
        <v>4868</v>
      </c>
      <c r="U2183" s="45">
        <v>35</v>
      </c>
      <c r="V2183" t="s">
        <v>8027</v>
      </c>
      <c r="W2183" s="1" t="str">
        <f>HYPERLINK("http://ictvonline.org/taxonomy/p/taxonomy-history?taxnode_id=201904445","ICTVonline=201904445")</f>
        <v>ICTVonline=201904445</v>
      </c>
    </row>
    <row r="2184" spans="1:23">
      <c r="A2184" s="3">
        <v>2183</v>
      </c>
      <c r="B2184" s="1" t="s">
        <v>8017</v>
      </c>
      <c r="D2184" s="1" t="s">
        <v>8049</v>
      </c>
      <c r="F2184" s="1" t="s">
        <v>8050</v>
      </c>
      <c r="H2184" s="1" t="s">
        <v>8053</v>
      </c>
      <c r="J2184" s="1" t="s">
        <v>8054</v>
      </c>
      <c r="L2184" s="1" t="s">
        <v>991</v>
      </c>
      <c r="N2184" s="1" t="s">
        <v>3873</v>
      </c>
      <c r="P2184" s="1" t="s">
        <v>3907</v>
      </c>
      <c r="Q2184" s="3">
        <v>0</v>
      </c>
      <c r="R2184" s="22" t="s">
        <v>2721</v>
      </c>
      <c r="S2184" s="42" t="s">
        <v>6912</v>
      </c>
      <c r="T2184" s="3" t="s">
        <v>4868</v>
      </c>
      <c r="U2184" s="45">
        <v>35</v>
      </c>
      <c r="V2184" t="s">
        <v>8027</v>
      </c>
      <c r="W2184" s="1" t="str">
        <f>HYPERLINK("http://ictvonline.org/taxonomy/p/taxonomy-history?taxnode_id=201904446","ICTVonline=201904446")</f>
        <v>ICTVonline=201904446</v>
      </c>
    </row>
    <row r="2185" spans="1:23">
      <c r="A2185" s="3">
        <v>2184</v>
      </c>
      <c r="B2185" s="1" t="s">
        <v>8017</v>
      </c>
      <c r="D2185" s="1" t="s">
        <v>8049</v>
      </c>
      <c r="F2185" s="1" t="s">
        <v>8050</v>
      </c>
      <c r="H2185" s="1" t="s">
        <v>8053</v>
      </c>
      <c r="J2185" s="1" t="s">
        <v>8054</v>
      </c>
      <c r="L2185" s="1" t="s">
        <v>991</v>
      </c>
      <c r="N2185" s="1" t="s">
        <v>3873</v>
      </c>
      <c r="P2185" s="1" t="s">
        <v>4759</v>
      </c>
      <c r="Q2185" s="3">
        <v>0</v>
      </c>
      <c r="R2185" s="22" t="s">
        <v>2721</v>
      </c>
      <c r="S2185" s="42" t="s">
        <v>6912</v>
      </c>
      <c r="T2185" s="3" t="s">
        <v>4868</v>
      </c>
      <c r="U2185" s="45">
        <v>35</v>
      </c>
      <c r="V2185" t="s">
        <v>8027</v>
      </c>
      <c r="W2185" s="1" t="str">
        <f>HYPERLINK("http://ictvonline.org/taxonomy/p/taxonomy-history?taxnode_id=201904447","ICTVonline=201904447")</f>
        <v>ICTVonline=201904447</v>
      </c>
    </row>
    <row r="2186" spans="1:23">
      <c r="A2186" s="3">
        <v>2185</v>
      </c>
      <c r="B2186" s="1" t="s">
        <v>8017</v>
      </c>
      <c r="D2186" s="1" t="s">
        <v>8049</v>
      </c>
      <c r="F2186" s="1" t="s">
        <v>8050</v>
      </c>
      <c r="H2186" s="1" t="s">
        <v>8053</v>
      </c>
      <c r="J2186" s="1" t="s">
        <v>8054</v>
      </c>
      <c r="L2186" s="1" t="s">
        <v>991</v>
      </c>
      <c r="N2186" s="1" t="s">
        <v>3873</v>
      </c>
      <c r="P2186" s="1" t="s">
        <v>6892</v>
      </c>
      <c r="Q2186" s="3">
        <v>0</v>
      </c>
      <c r="R2186" s="22" t="s">
        <v>2721</v>
      </c>
      <c r="S2186" s="42" t="s">
        <v>6912</v>
      </c>
      <c r="T2186" s="3" t="s">
        <v>4868</v>
      </c>
      <c r="U2186" s="45">
        <v>35</v>
      </c>
      <c r="V2186" t="s">
        <v>8027</v>
      </c>
      <c r="W2186" s="1" t="str">
        <f>HYPERLINK("http://ictvonline.org/taxonomy/p/taxonomy-history?taxnode_id=201904426","ICTVonline=201904426")</f>
        <v>ICTVonline=201904426</v>
      </c>
    </row>
    <row r="2187" spans="1:23">
      <c r="A2187" s="3">
        <v>2186</v>
      </c>
      <c r="B2187" s="1" t="s">
        <v>8017</v>
      </c>
      <c r="D2187" s="1" t="s">
        <v>8049</v>
      </c>
      <c r="F2187" s="1" t="s">
        <v>8050</v>
      </c>
      <c r="H2187" s="1" t="s">
        <v>8053</v>
      </c>
      <c r="J2187" s="1" t="s">
        <v>8054</v>
      </c>
      <c r="L2187" s="1" t="s">
        <v>991</v>
      </c>
      <c r="N2187" s="1" t="s">
        <v>3873</v>
      </c>
      <c r="P2187" s="1" t="s">
        <v>6893</v>
      </c>
      <c r="Q2187" s="3">
        <v>0</v>
      </c>
      <c r="R2187" s="22" t="s">
        <v>2721</v>
      </c>
      <c r="S2187" s="42" t="s">
        <v>6912</v>
      </c>
      <c r="T2187" s="3" t="s">
        <v>4868</v>
      </c>
      <c r="U2187" s="45">
        <v>35</v>
      </c>
      <c r="V2187" t="s">
        <v>8027</v>
      </c>
      <c r="W2187" s="1" t="str">
        <f>HYPERLINK("http://ictvonline.org/taxonomy/p/taxonomy-history?taxnode_id=201906345","ICTVonline=201906345")</f>
        <v>ICTVonline=201906345</v>
      </c>
    </row>
    <row r="2188" spans="1:23">
      <c r="A2188" s="3">
        <v>2187</v>
      </c>
      <c r="B2188" s="1" t="s">
        <v>8017</v>
      </c>
      <c r="D2188" s="1" t="s">
        <v>8049</v>
      </c>
      <c r="F2188" s="1" t="s">
        <v>8050</v>
      </c>
      <c r="H2188" s="1" t="s">
        <v>8053</v>
      </c>
      <c r="J2188" s="1" t="s">
        <v>8054</v>
      </c>
      <c r="L2188" s="1" t="s">
        <v>991</v>
      </c>
      <c r="N2188" s="1" t="s">
        <v>3873</v>
      </c>
      <c r="P2188" s="1" t="s">
        <v>6894</v>
      </c>
      <c r="Q2188" s="3">
        <v>0</v>
      </c>
      <c r="R2188" s="22" t="s">
        <v>2721</v>
      </c>
      <c r="S2188" s="42" t="s">
        <v>6912</v>
      </c>
      <c r="T2188" s="3" t="s">
        <v>4868</v>
      </c>
      <c r="U2188" s="45">
        <v>35</v>
      </c>
      <c r="V2188" t="s">
        <v>8027</v>
      </c>
      <c r="W2188" s="1" t="str">
        <f>HYPERLINK("http://ictvonline.org/taxonomy/p/taxonomy-history?taxnode_id=201906346","ICTVonline=201906346")</f>
        <v>ICTVonline=201906346</v>
      </c>
    </row>
    <row r="2189" spans="1:23">
      <c r="A2189" s="3">
        <v>2188</v>
      </c>
      <c r="B2189" s="1" t="s">
        <v>8017</v>
      </c>
      <c r="D2189" s="1" t="s">
        <v>8049</v>
      </c>
      <c r="F2189" s="1" t="s">
        <v>8050</v>
      </c>
      <c r="H2189" s="1" t="s">
        <v>8053</v>
      </c>
      <c r="J2189" s="1" t="s">
        <v>8054</v>
      </c>
      <c r="L2189" s="1" t="s">
        <v>991</v>
      </c>
      <c r="N2189" s="1" t="s">
        <v>3873</v>
      </c>
      <c r="P2189" s="1" t="s">
        <v>3908</v>
      </c>
      <c r="Q2189" s="3">
        <v>0</v>
      </c>
      <c r="R2189" s="22" t="s">
        <v>2721</v>
      </c>
      <c r="S2189" s="42" t="s">
        <v>6912</v>
      </c>
      <c r="T2189" s="3" t="s">
        <v>4868</v>
      </c>
      <c r="U2189" s="45">
        <v>35</v>
      </c>
      <c r="V2189" t="s">
        <v>8027</v>
      </c>
      <c r="W2189" s="1" t="str">
        <f>HYPERLINK("http://ictvonline.org/taxonomy/p/taxonomy-history?taxnode_id=201904448","ICTVonline=201904448")</f>
        <v>ICTVonline=201904448</v>
      </c>
    </row>
    <row r="2190" spans="1:23">
      <c r="A2190" s="3">
        <v>2189</v>
      </c>
      <c r="B2190" s="1" t="s">
        <v>8017</v>
      </c>
      <c r="D2190" s="1" t="s">
        <v>8049</v>
      </c>
      <c r="F2190" s="1" t="s">
        <v>8050</v>
      </c>
      <c r="H2190" s="1" t="s">
        <v>8053</v>
      </c>
      <c r="J2190" s="1" t="s">
        <v>8054</v>
      </c>
      <c r="L2190" s="1" t="s">
        <v>991</v>
      </c>
      <c r="N2190" s="1" t="s">
        <v>3873</v>
      </c>
      <c r="P2190" s="1" t="s">
        <v>8057</v>
      </c>
      <c r="Q2190" s="3">
        <v>0</v>
      </c>
      <c r="R2190" s="22" t="s">
        <v>2721</v>
      </c>
      <c r="S2190" s="42" t="s">
        <v>6914</v>
      </c>
      <c r="T2190" s="3" t="s">
        <v>4866</v>
      </c>
      <c r="U2190" s="45">
        <v>35</v>
      </c>
      <c r="V2190" t="s">
        <v>8056</v>
      </c>
      <c r="W2190" s="1" t="str">
        <f>HYPERLINK("http://ictvonline.org/taxonomy/p/taxonomy-history?taxnode_id=201907114","ICTVonline=201907114")</f>
        <v>ICTVonline=201907114</v>
      </c>
    </row>
    <row r="2191" spans="1:23">
      <c r="A2191" s="3">
        <v>2190</v>
      </c>
      <c r="B2191" s="1" t="s">
        <v>8017</v>
      </c>
      <c r="D2191" s="1" t="s">
        <v>8049</v>
      </c>
      <c r="F2191" s="1" t="s">
        <v>8050</v>
      </c>
      <c r="H2191" s="1" t="s">
        <v>8053</v>
      </c>
      <c r="J2191" s="1" t="s">
        <v>8054</v>
      </c>
      <c r="L2191" s="1" t="s">
        <v>991</v>
      </c>
      <c r="N2191" s="1" t="s">
        <v>3909</v>
      </c>
      <c r="P2191" s="1" t="s">
        <v>3910</v>
      </c>
      <c r="Q2191" s="3">
        <v>0</v>
      </c>
      <c r="R2191" s="22" t="s">
        <v>2721</v>
      </c>
      <c r="S2191" s="42" t="s">
        <v>6912</v>
      </c>
      <c r="T2191" s="3" t="s">
        <v>4868</v>
      </c>
      <c r="U2191" s="45">
        <v>35</v>
      </c>
      <c r="V2191" t="s">
        <v>8027</v>
      </c>
      <c r="W2191" s="1" t="str">
        <f>HYPERLINK("http://ictvonline.org/taxonomy/p/taxonomy-history?taxnode_id=201904450","ICTVonline=201904450")</f>
        <v>ICTVonline=201904450</v>
      </c>
    </row>
    <row r="2192" spans="1:23">
      <c r="A2192" s="3">
        <v>2191</v>
      </c>
      <c r="B2192" s="1" t="s">
        <v>8017</v>
      </c>
      <c r="D2192" s="1" t="s">
        <v>8049</v>
      </c>
      <c r="F2192" s="1" t="s">
        <v>8050</v>
      </c>
      <c r="H2192" s="1" t="s">
        <v>8053</v>
      </c>
      <c r="J2192" s="1" t="s">
        <v>8054</v>
      </c>
      <c r="L2192" s="1" t="s">
        <v>991</v>
      </c>
      <c r="N2192" s="1" t="s">
        <v>3909</v>
      </c>
      <c r="P2192" s="1" t="s">
        <v>3911</v>
      </c>
      <c r="Q2192" s="3">
        <v>0</v>
      </c>
      <c r="R2192" s="22" t="s">
        <v>2721</v>
      </c>
      <c r="S2192" s="42" t="s">
        <v>6912</v>
      </c>
      <c r="T2192" s="3" t="s">
        <v>4868</v>
      </c>
      <c r="U2192" s="45">
        <v>35</v>
      </c>
      <c r="V2192" t="s">
        <v>8027</v>
      </c>
      <c r="W2192" s="1" t="str">
        <f>HYPERLINK("http://ictvonline.org/taxonomy/p/taxonomy-history?taxnode_id=201904451","ICTVonline=201904451")</f>
        <v>ICTVonline=201904451</v>
      </c>
    </row>
    <row r="2193" spans="1:23">
      <c r="A2193" s="3">
        <v>2192</v>
      </c>
      <c r="B2193" s="1" t="s">
        <v>8017</v>
      </c>
      <c r="D2193" s="1" t="s">
        <v>8049</v>
      </c>
      <c r="F2193" s="1" t="s">
        <v>8050</v>
      </c>
      <c r="H2193" s="1" t="s">
        <v>8053</v>
      </c>
      <c r="J2193" s="1" t="s">
        <v>8054</v>
      </c>
      <c r="L2193" s="1" t="s">
        <v>991</v>
      </c>
      <c r="N2193" s="1" t="s">
        <v>3909</v>
      </c>
      <c r="P2193" s="1" t="s">
        <v>6895</v>
      </c>
      <c r="Q2193" s="3">
        <v>0</v>
      </c>
      <c r="R2193" s="22" t="s">
        <v>2721</v>
      </c>
      <c r="S2193" s="42" t="s">
        <v>6912</v>
      </c>
      <c r="T2193" s="3" t="s">
        <v>4868</v>
      </c>
      <c r="U2193" s="45">
        <v>35</v>
      </c>
      <c r="V2193" t="s">
        <v>8027</v>
      </c>
      <c r="W2193" s="1" t="str">
        <f>HYPERLINK("http://ictvonline.org/taxonomy/p/taxonomy-history?taxnode_id=201906347","ICTVonline=201906347")</f>
        <v>ICTVonline=201906347</v>
      </c>
    </row>
    <row r="2194" spans="1:23">
      <c r="A2194" s="3">
        <v>2193</v>
      </c>
      <c r="B2194" s="1" t="s">
        <v>8017</v>
      </c>
      <c r="D2194" s="1" t="s">
        <v>8049</v>
      </c>
      <c r="F2194" s="1" t="s">
        <v>8050</v>
      </c>
      <c r="H2194" s="1" t="s">
        <v>8053</v>
      </c>
      <c r="J2194" s="1" t="s">
        <v>8054</v>
      </c>
      <c r="L2194" s="1" t="s">
        <v>991</v>
      </c>
      <c r="N2194" s="1" t="s">
        <v>3909</v>
      </c>
      <c r="P2194" s="1" t="s">
        <v>3912</v>
      </c>
      <c r="Q2194" s="3">
        <v>0</v>
      </c>
      <c r="R2194" s="22" t="s">
        <v>2721</v>
      </c>
      <c r="S2194" s="42" t="s">
        <v>6912</v>
      </c>
      <c r="T2194" s="3" t="s">
        <v>4868</v>
      </c>
      <c r="U2194" s="45">
        <v>35</v>
      </c>
      <c r="V2194" t="s">
        <v>8027</v>
      </c>
      <c r="W2194" s="1" t="str">
        <f>HYPERLINK("http://ictvonline.org/taxonomy/p/taxonomy-history?taxnode_id=201904452","ICTVonline=201904452")</f>
        <v>ICTVonline=201904452</v>
      </c>
    </row>
    <row r="2195" spans="1:23">
      <c r="A2195" s="3">
        <v>2194</v>
      </c>
      <c r="B2195" s="1" t="s">
        <v>8017</v>
      </c>
      <c r="D2195" s="1" t="s">
        <v>8049</v>
      </c>
      <c r="F2195" s="1" t="s">
        <v>8050</v>
      </c>
      <c r="H2195" s="1" t="s">
        <v>8053</v>
      </c>
      <c r="J2195" s="1" t="s">
        <v>8054</v>
      </c>
      <c r="L2195" s="1" t="s">
        <v>991</v>
      </c>
      <c r="N2195" s="1" t="s">
        <v>3909</v>
      </c>
      <c r="P2195" s="1" t="s">
        <v>3913</v>
      </c>
      <c r="Q2195" s="3">
        <v>0</v>
      </c>
      <c r="R2195" s="22" t="s">
        <v>2721</v>
      </c>
      <c r="S2195" s="42" t="s">
        <v>6912</v>
      </c>
      <c r="T2195" s="3" t="s">
        <v>4868</v>
      </c>
      <c r="U2195" s="45">
        <v>35</v>
      </c>
      <c r="V2195" t="s">
        <v>8027</v>
      </c>
      <c r="W2195" s="1" t="str">
        <f>HYPERLINK("http://ictvonline.org/taxonomy/p/taxonomy-history?taxnode_id=201904453","ICTVonline=201904453")</f>
        <v>ICTVonline=201904453</v>
      </c>
    </row>
    <row r="2196" spans="1:23">
      <c r="A2196" s="3">
        <v>2195</v>
      </c>
      <c r="B2196" s="1" t="s">
        <v>8017</v>
      </c>
      <c r="D2196" s="1" t="s">
        <v>8049</v>
      </c>
      <c r="F2196" s="1" t="s">
        <v>8050</v>
      </c>
      <c r="H2196" s="1" t="s">
        <v>8053</v>
      </c>
      <c r="J2196" s="1" t="s">
        <v>8054</v>
      </c>
      <c r="L2196" s="1" t="s">
        <v>991</v>
      </c>
      <c r="N2196" s="1" t="s">
        <v>3909</v>
      </c>
      <c r="P2196" s="1" t="s">
        <v>3914</v>
      </c>
      <c r="Q2196" s="3">
        <v>0</v>
      </c>
      <c r="R2196" s="22" t="s">
        <v>2721</v>
      </c>
      <c r="S2196" s="42" t="s">
        <v>6912</v>
      </c>
      <c r="T2196" s="3" t="s">
        <v>4868</v>
      </c>
      <c r="U2196" s="45">
        <v>35</v>
      </c>
      <c r="V2196" t="s">
        <v>8027</v>
      </c>
      <c r="W2196" s="1" t="str">
        <f>HYPERLINK("http://ictvonline.org/taxonomy/p/taxonomy-history?taxnode_id=201904454","ICTVonline=201904454")</f>
        <v>ICTVonline=201904454</v>
      </c>
    </row>
    <row r="2197" spans="1:23">
      <c r="A2197" s="3">
        <v>2196</v>
      </c>
      <c r="B2197" s="1" t="s">
        <v>8017</v>
      </c>
      <c r="D2197" s="1" t="s">
        <v>8049</v>
      </c>
      <c r="F2197" s="1" t="s">
        <v>8050</v>
      </c>
      <c r="H2197" s="1" t="s">
        <v>8053</v>
      </c>
      <c r="J2197" s="1" t="s">
        <v>8054</v>
      </c>
      <c r="L2197" s="1" t="s">
        <v>991</v>
      </c>
      <c r="N2197" s="1" t="s">
        <v>3909</v>
      </c>
      <c r="P2197" s="1" t="s">
        <v>3915</v>
      </c>
      <c r="Q2197" s="3">
        <v>0</v>
      </c>
      <c r="R2197" s="22" t="s">
        <v>2721</v>
      </c>
      <c r="S2197" s="42" t="s">
        <v>6912</v>
      </c>
      <c r="T2197" s="3" t="s">
        <v>4868</v>
      </c>
      <c r="U2197" s="45">
        <v>35</v>
      </c>
      <c r="V2197" t="s">
        <v>8027</v>
      </c>
      <c r="W2197" s="1" t="str">
        <f>HYPERLINK("http://ictvonline.org/taxonomy/p/taxonomy-history?taxnode_id=201904455","ICTVonline=201904455")</f>
        <v>ICTVonline=201904455</v>
      </c>
    </row>
    <row r="2198" spans="1:23">
      <c r="A2198" s="3">
        <v>2197</v>
      </c>
      <c r="B2198" s="1" t="s">
        <v>8017</v>
      </c>
      <c r="D2198" s="1" t="s">
        <v>8049</v>
      </c>
      <c r="F2198" s="1" t="s">
        <v>8050</v>
      </c>
      <c r="H2198" s="1" t="s">
        <v>8053</v>
      </c>
      <c r="J2198" s="1" t="s">
        <v>8054</v>
      </c>
      <c r="L2198" s="1" t="s">
        <v>991</v>
      </c>
      <c r="N2198" s="1" t="s">
        <v>3909</v>
      </c>
      <c r="P2198" s="1" t="s">
        <v>3916</v>
      </c>
      <c r="Q2198" s="3">
        <v>0</v>
      </c>
      <c r="R2198" s="22" t="s">
        <v>2721</v>
      </c>
      <c r="S2198" s="42" t="s">
        <v>6912</v>
      </c>
      <c r="T2198" s="3" t="s">
        <v>4868</v>
      </c>
      <c r="U2198" s="45">
        <v>35</v>
      </c>
      <c r="V2198" t="s">
        <v>8027</v>
      </c>
      <c r="W2198" s="1" t="str">
        <f>HYPERLINK("http://ictvonline.org/taxonomy/p/taxonomy-history?taxnode_id=201904456","ICTVonline=201904456")</f>
        <v>ICTVonline=201904456</v>
      </c>
    </row>
    <row r="2199" spans="1:23">
      <c r="A2199" s="3">
        <v>2198</v>
      </c>
      <c r="B2199" s="1" t="s">
        <v>8017</v>
      </c>
      <c r="D2199" s="1" t="s">
        <v>8049</v>
      </c>
      <c r="F2199" s="1" t="s">
        <v>8050</v>
      </c>
      <c r="H2199" s="1" t="s">
        <v>8053</v>
      </c>
      <c r="J2199" s="1" t="s">
        <v>8054</v>
      </c>
      <c r="L2199" s="1" t="s">
        <v>991</v>
      </c>
      <c r="N2199" s="1" t="s">
        <v>3909</v>
      </c>
      <c r="P2199" s="1" t="s">
        <v>3917</v>
      </c>
      <c r="Q2199" s="3">
        <v>0</v>
      </c>
      <c r="R2199" s="22" t="s">
        <v>2721</v>
      </c>
      <c r="S2199" s="42" t="s">
        <v>6912</v>
      </c>
      <c r="T2199" s="3" t="s">
        <v>4868</v>
      </c>
      <c r="U2199" s="45">
        <v>35</v>
      </c>
      <c r="V2199" t="s">
        <v>8027</v>
      </c>
      <c r="W2199" s="1" t="str">
        <f>HYPERLINK("http://ictvonline.org/taxonomy/p/taxonomy-history?taxnode_id=201904457","ICTVonline=201904457")</f>
        <v>ICTVonline=201904457</v>
      </c>
    </row>
    <row r="2200" spans="1:23">
      <c r="A2200" s="3">
        <v>2199</v>
      </c>
      <c r="B2200" s="1" t="s">
        <v>8017</v>
      </c>
      <c r="D2200" s="1" t="s">
        <v>8049</v>
      </c>
      <c r="F2200" s="1" t="s">
        <v>8050</v>
      </c>
      <c r="H2200" s="1" t="s">
        <v>8053</v>
      </c>
      <c r="J2200" s="1" t="s">
        <v>8054</v>
      </c>
      <c r="L2200" s="1" t="s">
        <v>991</v>
      </c>
      <c r="N2200" s="1" t="s">
        <v>3909</v>
      </c>
      <c r="P2200" s="1" t="s">
        <v>8058</v>
      </c>
      <c r="Q2200" s="3">
        <v>0</v>
      </c>
      <c r="R2200" s="22" t="s">
        <v>2721</v>
      </c>
      <c r="S2200" s="42" t="s">
        <v>6914</v>
      </c>
      <c r="T2200" s="3" t="s">
        <v>4866</v>
      </c>
      <c r="U2200" s="45">
        <v>35</v>
      </c>
      <c r="V2200" t="s">
        <v>8056</v>
      </c>
      <c r="W2200" s="1" t="str">
        <f>HYPERLINK("http://ictvonline.org/taxonomy/p/taxonomy-history?taxnode_id=201907115","ICTVonline=201907115")</f>
        <v>ICTVonline=201907115</v>
      </c>
    </row>
    <row r="2201" spans="1:23">
      <c r="A2201" s="3">
        <v>2200</v>
      </c>
      <c r="B2201" s="1" t="s">
        <v>8017</v>
      </c>
      <c r="D2201" s="1" t="s">
        <v>8049</v>
      </c>
      <c r="F2201" s="1" t="s">
        <v>8050</v>
      </c>
      <c r="H2201" s="1" t="s">
        <v>8053</v>
      </c>
      <c r="J2201" s="1" t="s">
        <v>8054</v>
      </c>
      <c r="L2201" s="1" t="s">
        <v>991</v>
      </c>
      <c r="N2201" s="1" t="s">
        <v>3909</v>
      </c>
      <c r="P2201" s="1" t="s">
        <v>3918</v>
      </c>
      <c r="Q2201" s="3">
        <v>0</v>
      </c>
      <c r="R2201" s="22" t="s">
        <v>2721</v>
      </c>
      <c r="S2201" s="42" t="s">
        <v>6912</v>
      </c>
      <c r="T2201" s="3" t="s">
        <v>4868</v>
      </c>
      <c r="U2201" s="45">
        <v>35</v>
      </c>
      <c r="V2201" t="s">
        <v>8027</v>
      </c>
      <c r="W2201" s="1" t="str">
        <f>HYPERLINK("http://ictvonline.org/taxonomy/p/taxonomy-history?taxnode_id=201904458","ICTVonline=201904458")</f>
        <v>ICTVonline=201904458</v>
      </c>
    </row>
    <row r="2202" spans="1:23">
      <c r="A2202" s="3">
        <v>2201</v>
      </c>
      <c r="B2202" s="1" t="s">
        <v>8017</v>
      </c>
      <c r="D2202" s="1" t="s">
        <v>8049</v>
      </c>
      <c r="F2202" s="1" t="s">
        <v>8050</v>
      </c>
      <c r="H2202" s="1" t="s">
        <v>8053</v>
      </c>
      <c r="J2202" s="1" t="s">
        <v>8054</v>
      </c>
      <c r="L2202" s="1" t="s">
        <v>991</v>
      </c>
      <c r="N2202" s="1" t="s">
        <v>3909</v>
      </c>
      <c r="P2202" s="1" t="s">
        <v>3919</v>
      </c>
      <c r="Q2202" s="3">
        <v>0</v>
      </c>
      <c r="R2202" s="22" t="s">
        <v>2721</v>
      </c>
      <c r="S2202" s="42" t="s">
        <v>6912</v>
      </c>
      <c r="T2202" s="3" t="s">
        <v>4868</v>
      </c>
      <c r="U2202" s="45">
        <v>35</v>
      </c>
      <c r="V2202" t="s">
        <v>8027</v>
      </c>
      <c r="W2202" s="1" t="str">
        <f>HYPERLINK("http://ictvonline.org/taxonomy/p/taxonomy-history?taxnode_id=201904459","ICTVonline=201904459")</f>
        <v>ICTVonline=201904459</v>
      </c>
    </row>
    <row r="2203" spans="1:23">
      <c r="A2203" s="3">
        <v>2202</v>
      </c>
      <c r="B2203" s="1" t="s">
        <v>8017</v>
      </c>
      <c r="D2203" s="1" t="s">
        <v>8049</v>
      </c>
      <c r="F2203" s="1" t="s">
        <v>8050</v>
      </c>
      <c r="H2203" s="1" t="s">
        <v>8053</v>
      </c>
      <c r="J2203" s="1" t="s">
        <v>8054</v>
      </c>
      <c r="L2203" s="1" t="s">
        <v>991</v>
      </c>
      <c r="N2203" s="1" t="s">
        <v>3909</v>
      </c>
      <c r="P2203" s="1" t="s">
        <v>3920</v>
      </c>
      <c r="Q2203" s="3">
        <v>0</v>
      </c>
      <c r="R2203" s="22" t="s">
        <v>2721</v>
      </c>
      <c r="S2203" s="42" t="s">
        <v>6912</v>
      </c>
      <c r="T2203" s="3" t="s">
        <v>4868</v>
      </c>
      <c r="U2203" s="45">
        <v>35</v>
      </c>
      <c r="V2203" t="s">
        <v>8027</v>
      </c>
      <c r="W2203" s="1" t="str">
        <f>HYPERLINK("http://ictvonline.org/taxonomy/p/taxonomy-history?taxnode_id=201904460","ICTVonline=201904460")</f>
        <v>ICTVonline=201904460</v>
      </c>
    </row>
    <row r="2204" spans="1:23">
      <c r="A2204" s="3">
        <v>2203</v>
      </c>
      <c r="B2204" s="1" t="s">
        <v>8017</v>
      </c>
      <c r="D2204" s="1" t="s">
        <v>8049</v>
      </c>
      <c r="F2204" s="1" t="s">
        <v>8050</v>
      </c>
      <c r="H2204" s="1" t="s">
        <v>8053</v>
      </c>
      <c r="J2204" s="1" t="s">
        <v>8054</v>
      </c>
      <c r="L2204" s="1" t="s">
        <v>991</v>
      </c>
      <c r="N2204" s="1" t="s">
        <v>3909</v>
      </c>
      <c r="P2204" s="1" t="s">
        <v>3921</v>
      </c>
      <c r="Q2204" s="3">
        <v>0</v>
      </c>
      <c r="R2204" s="22" t="s">
        <v>2721</v>
      </c>
      <c r="S2204" s="42" t="s">
        <v>6912</v>
      </c>
      <c r="T2204" s="3" t="s">
        <v>4868</v>
      </c>
      <c r="U2204" s="45">
        <v>35</v>
      </c>
      <c r="V2204" t="s">
        <v>8027</v>
      </c>
      <c r="W2204" s="1" t="str">
        <f>HYPERLINK("http://ictvonline.org/taxonomy/p/taxonomy-history?taxnode_id=201904461","ICTVonline=201904461")</f>
        <v>ICTVonline=201904461</v>
      </c>
    </row>
    <row r="2205" spans="1:23">
      <c r="A2205" s="3">
        <v>2204</v>
      </c>
      <c r="B2205" s="1" t="s">
        <v>8017</v>
      </c>
      <c r="D2205" s="1" t="s">
        <v>8049</v>
      </c>
      <c r="F2205" s="1" t="s">
        <v>8050</v>
      </c>
      <c r="H2205" s="1" t="s">
        <v>8053</v>
      </c>
      <c r="J2205" s="1" t="s">
        <v>8054</v>
      </c>
      <c r="L2205" s="1" t="s">
        <v>991</v>
      </c>
      <c r="N2205" s="1" t="s">
        <v>3909</v>
      </c>
      <c r="P2205" s="1" t="s">
        <v>3922</v>
      </c>
      <c r="Q2205" s="3">
        <v>0</v>
      </c>
      <c r="R2205" s="22" t="s">
        <v>2721</v>
      </c>
      <c r="S2205" s="42" t="s">
        <v>6912</v>
      </c>
      <c r="T2205" s="3" t="s">
        <v>4868</v>
      </c>
      <c r="U2205" s="45">
        <v>35</v>
      </c>
      <c r="V2205" t="s">
        <v>8027</v>
      </c>
      <c r="W2205" s="1" t="str">
        <f>HYPERLINK("http://ictvonline.org/taxonomy/p/taxonomy-history?taxnode_id=201904462","ICTVonline=201904462")</f>
        <v>ICTVonline=201904462</v>
      </c>
    </row>
    <row r="2206" spans="1:23">
      <c r="A2206" s="3">
        <v>2205</v>
      </c>
      <c r="B2206" s="1" t="s">
        <v>8017</v>
      </c>
      <c r="D2206" s="1" t="s">
        <v>8049</v>
      </c>
      <c r="F2206" s="1" t="s">
        <v>8050</v>
      </c>
      <c r="H2206" s="1" t="s">
        <v>8053</v>
      </c>
      <c r="J2206" s="1" t="s">
        <v>8054</v>
      </c>
      <c r="L2206" s="1" t="s">
        <v>991</v>
      </c>
      <c r="N2206" s="1" t="s">
        <v>3909</v>
      </c>
      <c r="P2206" s="1" t="s">
        <v>5486</v>
      </c>
      <c r="Q2206" s="3">
        <v>0</v>
      </c>
      <c r="R2206" s="22" t="s">
        <v>2721</v>
      </c>
      <c r="S2206" s="42" t="s">
        <v>6912</v>
      </c>
      <c r="T2206" s="3" t="s">
        <v>4868</v>
      </c>
      <c r="U2206" s="45">
        <v>35</v>
      </c>
      <c r="V2206" t="s">
        <v>8027</v>
      </c>
      <c r="W2206" s="1" t="str">
        <f>HYPERLINK("http://ictvonline.org/taxonomy/p/taxonomy-history?taxnode_id=201905905","ICTVonline=201905905")</f>
        <v>ICTVonline=201905905</v>
      </c>
    </row>
    <row r="2207" spans="1:23">
      <c r="A2207" s="3">
        <v>2206</v>
      </c>
      <c r="B2207" s="1" t="s">
        <v>8017</v>
      </c>
      <c r="D2207" s="1" t="s">
        <v>8049</v>
      </c>
      <c r="F2207" s="1" t="s">
        <v>8050</v>
      </c>
      <c r="H2207" s="1" t="s">
        <v>8053</v>
      </c>
      <c r="J2207" s="1" t="s">
        <v>8054</v>
      </c>
      <c r="L2207" s="1" t="s">
        <v>991</v>
      </c>
      <c r="N2207" s="1" t="s">
        <v>3909</v>
      </c>
      <c r="P2207" s="1" t="s">
        <v>3923</v>
      </c>
      <c r="Q2207" s="3">
        <v>0</v>
      </c>
      <c r="R2207" s="22" t="s">
        <v>2721</v>
      </c>
      <c r="S2207" s="42" t="s">
        <v>6912</v>
      </c>
      <c r="T2207" s="3" t="s">
        <v>4868</v>
      </c>
      <c r="U2207" s="45">
        <v>35</v>
      </c>
      <c r="V2207" t="s">
        <v>8027</v>
      </c>
      <c r="W2207" s="1" t="str">
        <f>HYPERLINK("http://ictvonline.org/taxonomy/p/taxonomy-history?taxnode_id=201904463","ICTVonline=201904463")</f>
        <v>ICTVonline=201904463</v>
      </c>
    </row>
    <row r="2208" spans="1:23">
      <c r="A2208" s="3">
        <v>2207</v>
      </c>
      <c r="B2208" s="1" t="s">
        <v>8017</v>
      </c>
      <c r="D2208" s="1" t="s">
        <v>8049</v>
      </c>
      <c r="F2208" s="1" t="s">
        <v>8050</v>
      </c>
      <c r="H2208" s="1" t="s">
        <v>8053</v>
      </c>
      <c r="J2208" s="1" t="s">
        <v>8054</v>
      </c>
      <c r="L2208" s="1" t="s">
        <v>991</v>
      </c>
      <c r="N2208" s="1" t="s">
        <v>3909</v>
      </c>
      <c r="P2208" s="1" t="s">
        <v>3924</v>
      </c>
      <c r="Q2208" s="3">
        <v>1</v>
      </c>
      <c r="R2208" s="22" t="s">
        <v>2721</v>
      </c>
      <c r="S2208" s="42" t="s">
        <v>6912</v>
      </c>
      <c r="T2208" s="3" t="s">
        <v>4868</v>
      </c>
      <c r="U2208" s="45">
        <v>35</v>
      </c>
      <c r="V2208" t="s">
        <v>8027</v>
      </c>
      <c r="W2208" s="1" t="str">
        <f>HYPERLINK("http://ictvonline.org/taxonomy/p/taxonomy-history?taxnode_id=201904464","ICTVonline=201904464")</f>
        <v>ICTVonline=201904464</v>
      </c>
    </row>
    <row r="2209" spans="1:23">
      <c r="A2209" s="3">
        <v>2208</v>
      </c>
      <c r="B2209" s="1" t="s">
        <v>8017</v>
      </c>
      <c r="D2209" s="1" t="s">
        <v>8049</v>
      </c>
      <c r="F2209" s="1" t="s">
        <v>8050</v>
      </c>
      <c r="H2209" s="1" t="s">
        <v>8053</v>
      </c>
      <c r="J2209" s="1" t="s">
        <v>8054</v>
      </c>
      <c r="L2209" s="1" t="s">
        <v>991</v>
      </c>
      <c r="N2209" s="1" t="s">
        <v>3909</v>
      </c>
      <c r="P2209" s="1" t="s">
        <v>3925</v>
      </c>
      <c r="Q2209" s="3">
        <v>0</v>
      </c>
      <c r="R2209" s="22" t="s">
        <v>2721</v>
      </c>
      <c r="S2209" s="42" t="s">
        <v>6912</v>
      </c>
      <c r="T2209" s="3" t="s">
        <v>4868</v>
      </c>
      <c r="U2209" s="45">
        <v>35</v>
      </c>
      <c r="V2209" t="s">
        <v>8027</v>
      </c>
      <c r="W2209" s="1" t="str">
        <f>HYPERLINK("http://ictvonline.org/taxonomy/p/taxonomy-history?taxnode_id=201904465","ICTVonline=201904465")</f>
        <v>ICTVonline=201904465</v>
      </c>
    </row>
    <row r="2210" spans="1:23">
      <c r="A2210" s="3">
        <v>2209</v>
      </c>
      <c r="B2210" s="1" t="s">
        <v>8017</v>
      </c>
      <c r="D2210" s="1" t="s">
        <v>8049</v>
      </c>
      <c r="F2210" s="1" t="s">
        <v>8050</v>
      </c>
      <c r="H2210" s="1" t="s">
        <v>8053</v>
      </c>
      <c r="J2210" s="1" t="s">
        <v>8054</v>
      </c>
      <c r="L2210" s="1" t="s">
        <v>991</v>
      </c>
      <c r="N2210" s="1" t="s">
        <v>3909</v>
      </c>
      <c r="P2210" s="1" t="s">
        <v>3926</v>
      </c>
      <c r="Q2210" s="3">
        <v>0</v>
      </c>
      <c r="R2210" s="22" t="s">
        <v>2721</v>
      </c>
      <c r="S2210" s="42" t="s">
        <v>6912</v>
      </c>
      <c r="T2210" s="3" t="s">
        <v>4868</v>
      </c>
      <c r="U2210" s="45">
        <v>35</v>
      </c>
      <c r="V2210" t="s">
        <v>8027</v>
      </c>
      <c r="W2210" s="1" t="str">
        <f>HYPERLINK("http://ictvonline.org/taxonomy/p/taxonomy-history?taxnode_id=201904466","ICTVonline=201904466")</f>
        <v>ICTVonline=201904466</v>
      </c>
    </row>
    <row r="2211" spans="1:23">
      <c r="A2211" s="3">
        <v>2210</v>
      </c>
      <c r="B2211" s="1" t="s">
        <v>8017</v>
      </c>
      <c r="D2211" s="1" t="s">
        <v>8049</v>
      </c>
      <c r="F2211" s="1" t="s">
        <v>8050</v>
      </c>
      <c r="H2211" s="1" t="s">
        <v>8053</v>
      </c>
      <c r="J2211" s="1" t="s">
        <v>8054</v>
      </c>
      <c r="L2211" s="1" t="s">
        <v>991</v>
      </c>
      <c r="N2211" s="1" t="s">
        <v>3909</v>
      </c>
      <c r="P2211" s="1" t="s">
        <v>4760</v>
      </c>
      <c r="Q2211" s="3">
        <v>0</v>
      </c>
      <c r="R2211" s="22" t="s">
        <v>2721</v>
      </c>
      <c r="S2211" s="42" t="s">
        <v>6912</v>
      </c>
      <c r="T2211" s="3" t="s">
        <v>4868</v>
      </c>
      <c r="U2211" s="45">
        <v>35</v>
      </c>
      <c r="V2211" t="s">
        <v>8027</v>
      </c>
      <c r="W2211" s="1" t="str">
        <f>HYPERLINK("http://ictvonline.org/taxonomy/p/taxonomy-history?taxnode_id=201904467","ICTVonline=201904467")</f>
        <v>ICTVonline=201904467</v>
      </c>
    </row>
    <row r="2212" spans="1:23">
      <c r="A2212" s="3">
        <v>2211</v>
      </c>
      <c r="B2212" s="1" t="s">
        <v>8017</v>
      </c>
      <c r="D2212" s="1" t="s">
        <v>8049</v>
      </c>
      <c r="F2212" s="1" t="s">
        <v>8050</v>
      </c>
      <c r="H2212" s="1" t="s">
        <v>8053</v>
      </c>
      <c r="J2212" s="1" t="s">
        <v>8054</v>
      </c>
      <c r="L2212" s="1" t="s">
        <v>991</v>
      </c>
      <c r="N2212" s="1" t="s">
        <v>3909</v>
      </c>
      <c r="P2212" s="1" t="s">
        <v>3927</v>
      </c>
      <c r="Q2212" s="3">
        <v>0</v>
      </c>
      <c r="R2212" s="22" t="s">
        <v>2721</v>
      </c>
      <c r="S2212" s="42" t="s">
        <v>6912</v>
      </c>
      <c r="T2212" s="3" t="s">
        <v>4868</v>
      </c>
      <c r="U2212" s="45">
        <v>35</v>
      </c>
      <c r="V2212" t="s">
        <v>8027</v>
      </c>
      <c r="W2212" s="1" t="str">
        <f>HYPERLINK("http://ictvonline.org/taxonomy/p/taxonomy-history?taxnode_id=201904468","ICTVonline=201904468")</f>
        <v>ICTVonline=201904468</v>
      </c>
    </row>
    <row r="2213" spans="1:23">
      <c r="A2213" s="3">
        <v>2212</v>
      </c>
      <c r="B2213" s="1" t="s">
        <v>8017</v>
      </c>
      <c r="D2213" s="1" t="s">
        <v>8049</v>
      </c>
      <c r="F2213" s="1" t="s">
        <v>8050</v>
      </c>
      <c r="H2213" s="1" t="s">
        <v>8053</v>
      </c>
      <c r="J2213" s="1" t="s">
        <v>8054</v>
      </c>
      <c r="L2213" s="1" t="s">
        <v>991</v>
      </c>
      <c r="N2213" s="1" t="s">
        <v>3909</v>
      </c>
      <c r="P2213" s="1" t="s">
        <v>3928</v>
      </c>
      <c r="Q2213" s="3">
        <v>0</v>
      </c>
      <c r="R2213" s="22" t="s">
        <v>2721</v>
      </c>
      <c r="S2213" s="42" t="s">
        <v>6912</v>
      </c>
      <c r="T2213" s="3" t="s">
        <v>4868</v>
      </c>
      <c r="U2213" s="45">
        <v>35</v>
      </c>
      <c r="V2213" t="s">
        <v>8027</v>
      </c>
      <c r="W2213" s="1" t="str">
        <f>HYPERLINK("http://ictvonline.org/taxonomy/p/taxonomy-history?taxnode_id=201904469","ICTVonline=201904469")</f>
        <v>ICTVonline=201904469</v>
      </c>
    </row>
    <row r="2214" spans="1:23">
      <c r="A2214" s="3">
        <v>2213</v>
      </c>
      <c r="B2214" s="1" t="s">
        <v>8017</v>
      </c>
      <c r="D2214" s="1" t="s">
        <v>8049</v>
      </c>
      <c r="F2214" s="1" t="s">
        <v>8050</v>
      </c>
      <c r="H2214" s="1" t="s">
        <v>8053</v>
      </c>
      <c r="J2214" s="1" t="s">
        <v>8054</v>
      </c>
      <c r="L2214" s="1" t="s">
        <v>991</v>
      </c>
      <c r="N2214" s="1" t="s">
        <v>3909</v>
      </c>
      <c r="P2214" s="1" t="s">
        <v>8059</v>
      </c>
      <c r="Q2214" s="3">
        <v>0</v>
      </c>
      <c r="R2214" s="22" t="s">
        <v>2721</v>
      </c>
      <c r="S2214" s="42" t="s">
        <v>6914</v>
      </c>
      <c r="T2214" s="3" t="s">
        <v>4866</v>
      </c>
      <c r="U2214" s="45">
        <v>35</v>
      </c>
      <c r="V2214" t="s">
        <v>8056</v>
      </c>
      <c r="W2214" s="1" t="str">
        <f>HYPERLINK("http://ictvonline.org/taxonomy/p/taxonomy-history?taxnode_id=201907116","ICTVonline=201907116")</f>
        <v>ICTVonline=201907116</v>
      </c>
    </row>
    <row r="2215" spans="1:23">
      <c r="A2215" s="3">
        <v>2214</v>
      </c>
      <c r="B2215" s="1" t="s">
        <v>8017</v>
      </c>
      <c r="D2215" s="1" t="s">
        <v>8049</v>
      </c>
      <c r="F2215" s="1" t="s">
        <v>8050</v>
      </c>
      <c r="H2215" s="1" t="s">
        <v>8053</v>
      </c>
      <c r="J2215" s="1" t="s">
        <v>8054</v>
      </c>
      <c r="L2215" s="1" t="s">
        <v>991</v>
      </c>
      <c r="N2215" s="1" t="s">
        <v>3909</v>
      </c>
      <c r="P2215" s="1" t="s">
        <v>4761</v>
      </c>
      <c r="Q2215" s="3">
        <v>0</v>
      </c>
      <c r="R2215" s="22" t="s">
        <v>2721</v>
      </c>
      <c r="S2215" s="42" t="s">
        <v>6912</v>
      </c>
      <c r="T2215" s="3" t="s">
        <v>4868</v>
      </c>
      <c r="U2215" s="45">
        <v>35</v>
      </c>
      <c r="V2215" t="s">
        <v>8027</v>
      </c>
      <c r="W2215" s="1" t="str">
        <f>HYPERLINK("http://ictvonline.org/taxonomy/p/taxonomy-history?taxnode_id=201904470","ICTVonline=201904470")</f>
        <v>ICTVonline=201904470</v>
      </c>
    </row>
    <row r="2216" spans="1:23">
      <c r="A2216" s="3">
        <v>2215</v>
      </c>
      <c r="B2216" s="1" t="s">
        <v>8017</v>
      </c>
      <c r="D2216" s="1" t="s">
        <v>8049</v>
      </c>
      <c r="F2216" s="1" t="s">
        <v>8050</v>
      </c>
      <c r="H2216" s="1" t="s">
        <v>8053</v>
      </c>
      <c r="J2216" s="1" t="s">
        <v>8054</v>
      </c>
      <c r="L2216" s="1" t="s">
        <v>991</v>
      </c>
      <c r="N2216" s="1" t="s">
        <v>3909</v>
      </c>
      <c r="P2216" s="1" t="s">
        <v>3929</v>
      </c>
      <c r="Q2216" s="3">
        <v>0</v>
      </c>
      <c r="R2216" s="22" t="s">
        <v>2721</v>
      </c>
      <c r="S2216" s="42" t="s">
        <v>6912</v>
      </c>
      <c r="T2216" s="3" t="s">
        <v>4868</v>
      </c>
      <c r="U2216" s="45">
        <v>35</v>
      </c>
      <c r="V2216" t="s">
        <v>8027</v>
      </c>
      <c r="W2216" s="1" t="str">
        <f>HYPERLINK("http://ictvonline.org/taxonomy/p/taxonomy-history?taxnode_id=201904471","ICTVonline=201904471")</f>
        <v>ICTVonline=201904471</v>
      </c>
    </row>
    <row r="2217" spans="1:23">
      <c r="A2217" s="3">
        <v>2216</v>
      </c>
      <c r="B2217" s="1" t="s">
        <v>8017</v>
      </c>
      <c r="D2217" s="1" t="s">
        <v>8049</v>
      </c>
      <c r="F2217" s="1" t="s">
        <v>8050</v>
      </c>
      <c r="H2217" s="1" t="s">
        <v>8053</v>
      </c>
      <c r="J2217" s="1" t="s">
        <v>8054</v>
      </c>
      <c r="L2217" s="1" t="s">
        <v>991</v>
      </c>
      <c r="N2217" s="1" t="s">
        <v>3909</v>
      </c>
      <c r="P2217" s="1" t="s">
        <v>4762</v>
      </c>
      <c r="Q2217" s="3">
        <v>0</v>
      </c>
      <c r="R2217" s="22" t="s">
        <v>2721</v>
      </c>
      <c r="S2217" s="42" t="s">
        <v>6912</v>
      </c>
      <c r="T2217" s="3" t="s">
        <v>4868</v>
      </c>
      <c r="U2217" s="45">
        <v>35</v>
      </c>
      <c r="V2217" t="s">
        <v>8027</v>
      </c>
      <c r="W2217" s="1" t="str">
        <f>HYPERLINK("http://ictvonline.org/taxonomy/p/taxonomy-history?taxnode_id=201904472","ICTVonline=201904472")</f>
        <v>ICTVonline=201904472</v>
      </c>
    </row>
    <row r="2218" spans="1:23">
      <c r="A2218" s="3">
        <v>2217</v>
      </c>
      <c r="B2218" s="1" t="s">
        <v>8017</v>
      </c>
      <c r="D2218" s="1" t="s">
        <v>8049</v>
      </c>
      <c r="F2218" s="1" t="s">
        <v>8050</v>
      </c>
      <c r="H2218" s="1" t="s">
        <v>8053</v>
      </c>
      <c r="J2218" s="1" t="s">
        <v>8054</v>
      </c>
      <c r="L2218" s="1" t="s">
        <v>991</v>
      </c>
      <c r="N2218" s="1" t="s">
        <v>3909</v>
      </c>
      <c r="P2218" s="1" t="s">
        <v>3930</v>
      </c>
      <c r="Q2218" s="3">
        <v>0</v>
      </c>
      <c r="R2218" s="22" t="s">
        <v>2721</v>
      </c>
      <c r="S2218" s="42" t="s">
        <v>6912</v>
      </c>
      <c r="T2218" s="3" t="s">
        <v>4868</v>
      </c>
      <c r="U2218" s="45">
        <v>35</v>
      </c>
      <c r="V2218" t="s">
        <v>8027</v>
      </c>
      <c r="W2218" s="1" t="str">
        <f>HYPERLINK("http://ictvonline.org/taxonomy/p/taxonomy-history?taxnode_id=201904473","ICTVonline=201904473")</f>
        <v>ICTVonline=201904473</v>
      </c>
    </row>
    <row r="2219" spans="1:23">
      <c r="A2219" s="3">
        <v>2218</v>
      </c>
      <c r="B2219" s="1" t="s">
        <v>8017</v>
      </c>
      <c r="D2219" s="1" t="s">
        <v>8049</v>
      </c>
      <c r="F2219" s="1" t="s">
        <v>8050</v>
      </c>
      <c r="H2219" s="1" t="s">
        <v>8053</v>
      </c>
      <c r="J2219" s="1" t="s">
        <v>8054</v>
      </c>
      <c r="L2219" s="1" t="s">
        <v>991</v>
      </c>
      <c r="N2219" s="1" t="s">
        <v>3909</v>
      </c>
      <c r="P2219" s="1" t="s">
        <v>3931</v>
      </c>
      <c r="Q2219" s="3">
        <v>0</v>
      </c>
      <c r="R2219" s="22" t="s">
        <v>2721</v>
      </c>
      <c r="S2219" s="42" t="s">
        <v>6912</v>
      </c>
      <c r="T2219" s="3" t="s">
        <v>4868</v>
      </c>
      <c r="U2219" s="45">
        <v>35</v>
      </c>
      <c r="V2219" t="s">
        <v>8027</v>
      </c>
      <c r="W2219" s="1" t="str">
        <f>HYPERLINK("http://ictvonline.org/taxonomy/p/taxonomy-history?taxnode_id=201904474","ICTVonline=201904474")</f>
        <v>ICTVonline=201904474</v>
      </c>
    </row>
    <row r="2220" spans="1:23">
      <c r="A2220" s="3">
        <v>2219</v>
      </c>
      <c r="B2220" s="1" t="s">
        <v>8017</v>
      </c>
      <c r="D2220" s="1" t="s">
        <v>8049</v>
      </c>
      <c r="F2220" s="1" t="s">
        <v>8050</v>
      </c>
      <c r="H2220" s="1" t="s">
        <v>8053</v>
      </c>
      <c r="J2220" s="1" t="s">
        <v>8054</v>
      </c>
      <c r="L2220" s="1" t="s">
        <v>991</v>
      </c>
      <c r="N2220" s="1" t="s">
        <v>3909</v>
      </c>
      <c r="P2220" s="1" t="s">
        <v>3932</v>
      </c>
      <c r="Q2220" s="3">
        <v>0</v>
      </c>
      <c r="R2220" s="22" t="s">
        <v>2721</v>
      </c>
      <c r="S2220" s="42" t="s">
        <v>6912</v>
      </c>
      <c r="T2220" s="3" t="s">
        <v>4868</v>
      </c>
      <c r="U2220" s="45">
        <v>35</v>
      </c>
      <c r="V2220" t="s">
        <v>8027</v>
      </c>
      <c r="W2220" s="1" t="str">
        <f>HYPERLINK("http://ictvonline.org/taxonomy/p/taxonomy-history?taxnode_id=201904475","ICTVonline=201904475")</f>
        <v>ICTVonline=201904475</v>
      </c>
    </row>
    <row r="2221" spans="1:23">
      <c r="A2221" s="3">
        <v>2220</v>
      </c>
      <c r="B2221" s="1" t="s">
        <v>8017</v>
      </c>
      <c r="D2221" s="1" t="s">
        <v>8049</v>
      </c>
      <c r="F2221" s="1" t="s">
        <v>8050</v>
      </c>
      <c r="H2221" s="1" t="s">
        <v>8053</v>
      </c>
      <c r="J2221" s="1" t="s">
        <v>8054</v>
      </c>
      <c r="L2221" s="1" t="s">
        <v>991</v>
      </c>
      <c r="N2221" s="1" t="s">
        <v>3909</v>
      </c>
      <c r="P2221" s="1" t="s">
        <v>5487</v>
      </c>
      <c r="Q2221" s="3">
        <v>0</v>
      </c>
      <c r="R2221" s="22" t="s">
        <v>2721</v>
      </c>
      <c r="S2221" s="42" t="s">
        <v>6912</v>
      </c>
      <c r="T2221" s="3" t="s">
        <v>4868</v>
      </c>
      <c r="U2221" s="45">
        <v>35</v>
      </c>
      <c r="V2221" t="s">
        <v>8027</v>
      </c>
      <c r="W2221" s="1" t="str">
        <f>HYPERLINK("http://ictvonline.org/taxonomy/p/taxonomy-history?taxnode_id=201905906","ICTVonline=201905906")</f>
        <v>ICTVonline=201905906</v>
      </c>
    </row>
    <row r="2222" spans="1:23">
      <c r="A2222" s="3">
        <v>2221</v>
      </c>
      <c r="B2222" s="1" t="s">
        <v>8017</v>
      </c>
      <c r="D2222" s="1" t="s">
        <v>8049</v>
      </c>
      <c r="F2222" s="1" t="s">
        <v>8050</v>
      </c>
      <c r="H2222" s="1" t="s">
        <v>8053</v>
      </c>
      <c r="J2222" s="1" t="s">
        <v>8054</v>
      </c>
      <c r="L2222" s="1" t="s">
        <v>991</v>
      </c>
      <c r="N2222" s="1" t="s">
        <v>3909</v>
      </c>
      <c r="P2222" s="1" t="s">
        <v>6896</v>
      </c>
      <c r="Q2222" s="3">
        <v>0</v>
      </c>
      <c r="R2222" s="22" t="s">
        <v>2721</v>
      </c>
      <c r="S2222" s="42" t="s">
        <v>6912</v>
      </c>
      <c r="T2222" s="3" t="s">
        <v>4868</v>
      </c>
      <c r="U2222" s="45">
        <v>35</v>
      </c>
      <c r="V2222" t="s">
        <v>8027</v>
      </c>
      <c r="W2222" s="1" t="str">
        <f>HYPERLINK("http://ictvonline.org/taxonomy/p/taxonomy-history?taxnode_id=201906348","ICTVonline=201906348")</f>
        <v>ICTVonline=201906348</v>
      </c>
    </row>
    <row r="2223" spans="1:23">
      <c r="A2223" s="3">
        <v>2222</v>
      </c>
      <c r="B2223" s="1" t="s">
        <v>8017</v>
      </c>
      <c r="D2223" s="1" t="s">
        <v>8049</v>
      </c>
      <c r="F2223" s="1" t="s">
        <v>8050</v>
      </c>
      <c r="H2223" s="1" t="s">
        <v>8053</v>
      </c>
      <c r="J2223" s="1" t="s">
        <v>8054</v>
      </c>
      <c r="L2223" s="1" t="s">
        <v>991</v>
      </c>
      <c r="N2223" s="1" t="s">
        <v>3909</v>
      </c>
      <c r="P2223" s="1" t="s">
        <v>3933</v>
      </c>
      <c r="Q2223" s="3">
        <v>0</v>
      </c>
      <c r="R2223" s="22" t="s">
        <v>2721</v>
      </c>
      <c r="S2223" s="42" t="s">
        <v>6912</v>
      </c>
      <c r="T2223" s="3" t="s">
        <v>4868</v>
      </c>
      <c r="U2223" s="45">
        <v>35</v>
      </c>
      <c r="V2223" t="s">
        <v>8027</v>
      </c>
      <c r="W2223" s="1" t="str">
        <f>HYPERLINK("http://ictvonline.org/taxonomy/p/taxonomy-history?taxnode_id=201904476","ICTVonline=201904476")</f>
        <v>ICTVonline=201904476</v>
      </c>
    </row>
    <row r="2224" spans="1:23">
      <c r="A2224" s="3">
        <v>2223</v>
      </c>
      <c r="B2224" s="1" t="s">
        <v>8017</v>
      </c>
      <c r="D2224" s="1" t="s">
        <v>8049</v>
      </c>
      <c r="F2224" s="1" t="s">
        <v>8050</v>
      </c>
      <c r="H2224" s="1" t="s">
        <v>8053</v>
      </c>
      <c r="J2224" s="1" t="s">
        <v>8054</v>
      </c>
      <c r="L2224" s="1" t="s">
        <v>991</v>
      </c>
      <c r="N2224" s="1" t="s">
        <v>3909</v>
      </c>
      <c r="P2224" s="1" t="s">
        <v>3934</v>
      </c>
      <c r="Q2224" s="3">
        <v>0</v>
      </c>
      <c r="R2224" s="22" t="s">
        <v>2721</v>
      </c>
      <c r="S2224" s="42" t="s">
        <v>6912</v>
      </c>
      <c r="T2224" s="3" t="s">
        <v>4868</v>
      </c>
      <c r="U2224" s="45">
        <v>35</v>
      </c>
      <c r="V2224" t="s">
        <v>8027</v>
      </c>
      <c r="W2224" s="1" t="str">
        <f>HYPERLINK("http://ictvonline.org/taxonomy/p/taxonomy-history?taxnode_id=201904477","ICTVonline=201904477")</f>
        <v>ICTVonline=201904477</v>
      </c>
    </row>
    <row r="2225" spans="1:23">
      <c r="A2225" s="3">
        <v>2224</v>
      </c>
      <c r="B2225" s="1" t="s">
        <v>8017</v>
      </c>
      <c r="D2225" s="1" t="s">
        <v>8049</v>
      </c>
      <c r="F2225" s="1" t="s">
        <v>8050</v>
      </c>
      <c r="H2225" s="1" t="s">
        <v>8053</v>
      </c>
      <c r="J2225" s="1" t="s">
        <v>8054</v>
      </c>
      <c r="L2225" s="1" t="s">
        <v>991</v>
      </c>
      <c r="N2225" s="1" t="s">
        <v>3909</v>
      </c>
      <c r="P2225" s="1" t="s">
        <v>5488</v>
      </c>
      <c r="Q2225" s="3">
        <v>0</v>
      </c>
      <c r="R2225" s="22" t="s">
        <v>2721</v>
      </c>
      <c r="S2225" s="42" t="s">
        <v>6912</v>
      </c>
      <c r="T2225" s="3" t="s">
        <v>4868</v>
      </c>
      <c r="U2225" s="45">
        <v>35</v>
      </c>
      <c r="V2225" t="s">
        <v>8027</v>
      </c>
      <c r="W2225" s="1" t="str">
        <f>HYPERLINK("http://ictvonline.org/taxonomy/p/taxonomy-history?taxnode_id=201905907","ICTVonline=201905907")</f>
        <v>ICTVonline=201905907</v>
      </c>
    </row>
    <row r="2226" spans="1:23">
      <c r="A2226" s="3">
        <v>2225</v>
      </c>
      <c r="B2226" s="1" t="s">
        <v>8017</v>
      </c>
      <c r="D2226" s="1" t="s">
        <v>8049</v>
      </c>
      <c r="F2226" s="1" t="s">
        <v>8050</v>
      </c>
      <c r="H2226" s="1" t="s">
        <v>8053</v>
      </c>
      <c r="J2226" s="1" t="s">
        <v>8054</v>
      </c>
      <c r="L2226" s="1" t="s">
        <v>991</v>
      </c>
      <c r="N2226" s="1" t="s">
        <v>3909</v>
      </c>
      <c r="P2226" s="1" t="s">
        <v>3935</v>
      </c>
      <c r="Q2226" s="3">
        <v>0</v>
      </c>
      <c r="R2226" s="22" t="s">
        <v>2721</v>
      </c>
      <c r="S2226" s="42" t="s">
        <v>6912</v>
      </c>
      <c r="T2226" s="3" t="s">
        <v>4868</v>
      </c>
      <c r="U2226" s="45">
        <v>35</v>
      </c>
      <c r="V2226" t="s">
        <v>8027</v>
      </c>
      <c r="W2226" s="1" t="str">
        <f>HYPERLINK("http://ictvonline.org/taxonomy/p/taxonomy-history?taxnode_id=201904478","ICTVonline=201904478")</f>
        <v>ICTVonline=201904478</v>
      </c>
    </row>
    <row r="2227" spans="1:23">
      <c r="A2227" s="3">
        <v>2226</v>
      </c>
      <c r="B2227" s="1" t="s">
        <v>8017</v>
      </c>
      <c r="D2227" s="1" t="s">
        <v>8049</v>
      </c>
      <c r="F2227" s="1" t="s">
        <v>8050</v>
      </c>
      <c r="H2227" s="1" t="s">
        <v>8053</v>
      </c>
      <c r="J2227" s="1" t="s">
        <v>8054</v>
      </c>
      <c r="L2227" s="1" t="s">
        <v>991</v>
      </c>
      <c r="N2227" s="1" t="s">
        <v>3936</v>
      </c>
      <c r="P2227" s="1" t="s">
        <v>3937</v>
      </c>
      <c r="Q2227" s="3">
        <v>1</v>
      </c>
      <c r="R2227" s="22" t="s">
        <v>2721</v>
      </c>
      <c r="S2227" s="42" t="s">
        <v>6912</v>
      </c>
      <c r="T2227" s="3" t="s">
        <v>4868</v>
      </c>
      <c r="U2227" s="45">
        <v>35</v>
      </c>
      <c r="V2227" t="s">
        <v>8027</v>
      </c>
      <c r="W2227" s="1" t="str">
        <f>HYPERLINK("http://ictvonline.org/taxonomy/p/taxonomy-history?taxnode_id=201904480","ICTVonline=201904480")</f>
        <v>ICTVonline=201904480</v>
      </c>
    </row>
    <row r="2228" spans="1:23">
      <c r="A2228" s="3">
        <v>2227</v>
      </c>
      <c r="B2228" s="1" t="s">
        <v>8017</v>
      </c>
      <c r="D2228" s="1" t="s">
        <v>8049</v>
      </c>
      <c r="F2228" s="1" t="s">
        <v>8050</v>
      </c>
      <c r="H2228" s="1" t="s">
        <v>8053</v>
      </c>
      <c r="J2228" s="1" t="s">
        <v>8054</v>
      </c>
      <c r="L2228" s="1" t="s">
        <v>991</v>
      </c>
      <c r="N2228" s="1" t="s">
        <v>3936</v>
      </c>
      <c r="P2228" s="1" t="s">
        <v>3938</v>
      </c>
      <c r="Q2228" s="3">
        <v>0</v>
      </c>
      <c r="R2228" s="22" t="s">
        <v>2721</v>
      </c>
      <c r="S2228" s="42" t="s">
        <v>6912</v>
      </c>
      <c r="T2228" s="3" t="s">
        <v>4868</v>
      </c>
      <c r="U2228" s="45">
        <v>35</v>
      </c>
      <c r="V2228" t="s">
        <v>8027</v>
      </c>
      <c r="W2228" s="1" t="str">
        <f>HYPERLINK("http://ictvonline.org/taxonomy/p/taxonomy-history?taxnode_id=201904481","ICTVonline=201904481")</f>
        <v>ICTVonline=201904481</v>
      </c>
    </row>
    <row r="2229" spans="1:23">
      <c r="A2229" s="3">
        <v>2228</v>
      </c>
      <c r="B2229" s="1" t="s">
        <v>8017</v>
      </c>
      <c r="D2229" s="1" t="s">
        <v>8049</v>
      </c>
      <c r="F2229" s="1" t="s">
        <v>8050</v>
      </c>
      <c r="H2229" s="1" t="s">
        <v>8053</v>
      </c>
      <c r="J2229" s="1" t="s">
        <v>8054</v>
      </c>
      <c r="L2229" s="1" t="s">
        <v>991</v>
      </c>
      <c r="N2229" s="1" t="s">
        <v>3936</v>
      </c>
      <c r="P2229" s="1" t="s">
        <v>3939</v>
      </c>
      <c r="Q2229" s="3">
        <v>0</v>
      </c>
      <c r="R2229" s="22" t="s">
        <v>2721</v>
      </c>
      <c r="S2229" s="42" t="s">
        <v>6912</v>
      </c>
      <c r="T2229" s="3" t="s">
        <v>4868</v>
      </c>
      <c r="U2229" s="45">
        <v>35</v>
      </c>
      <c r="V2229" t="s">
        <v>8027</v>
      </c>
      <c r="W2229" s="1" t="str">
        <f>HYPERLINK("http://ictvonline.org/taxonomy/p/taxonomy-history?taxnode_id=201904482","ICTVonline=201904482")</f>
        <v>ICTVonline=201904482</v>
      </c>
    </row>
    <row r="2230" spans="1:23">
      <c r="A2230" s="3">
        <v>2229</v>
      </c>
      <c r="B2230" s="1" t="s">
        <v>8017</v>
      </c>
      <c r="D2230" s="1" t="s">
        <v>8049</v>
      </c>
      <c r="F2230" s="1" t="s">
        <v>8050</v>
      </c>
      <c r="H2230" s="1" t="s">
        <v>8053</v>
      </c>
      <c r="J2230" s="1" t="s">
        <v>8054</v>
      </c>
      <c r="L2230" s="1" t="s">
        <v>991</v>
      </c>
      <c r="N2230" s="1" t="s">
        <v>3936</v>
      </c>
      <c r="P2230" s="1" t="s">
        <v>3940</v>
      </c>
      <c r="Q2230" s="3">
        <v>0</v>
      </c>
      <c r="R2230" s="22" t="s">
        <v>2721</v>
      </c>
      <c r="S2230" s="42" t="s">
        <v>6912</v>
      </c>
      <c r="T2230" s="3" t="s">
        <v>4868</v>
      </c>
      <c r="U2230" s="45">
        <v>35</v>
      </c>
      <c r="V2230" t="s">
        <v>8027</v>
      </c>
      <c r="W2230" s="1" t="str">
        <f>HYPERLINK("http://ictvonline.org/taxonomy/p/taxonomy-history?taxnode_id=201904483","ICTVonline=201904483")</f>
        <v>ICTVonline=201904483</v>
      </c>
    </row>
    <row r="2231" spans="1:23">
      <c r="A2231" s="3">
        <v>2230</v>
      </c>
      <c r="B2231" s="1" t="s">
        <v>8017</v>
      </c>
      <c r="D2231" s="1" t="s">
        <v>8049</v>
      </c>
      <c r="F2231" s="1" t="s">
        <v>8050</v>
      </c>
      <c r="H2231" s="1" t="s">
        <v>8053</v>
      </c>
      <c r="J2231" s="1" t="s">
        <v>8054</v>
      </c>
      <c r="L2231" s="1" t="s">
        <v>991</v>
      </c>
      <c r="N2231" s="1" t="s">
        <v>3941</v>
      </c>
      <c r="P2231" s="1" t="s">
        <v>3942</v>
      </c>
      <c r="Q2231" s="3">
        <v>0</v>
      </c>
      <c r="R2231" s="22" t="s">
        <v>2721</v>
      </c>
      <c r="S2231" s="42" t="s">
        <v>6912</v>
      </c>
      <c r="T2231" s="3" t="s">
        <v>4868</v>
      </c>
      <c r="U2231" s="45">
        <v>35</v>
      </c>
      <c r="V2231" t="s">
        <v>8027</v>
      </c>
      <c r="W2231" s="1" t="str">
        <f>HYPERLINK("http://ictvonline.org/taxonomy/p/taxonomy-history?taxnode_id=201904485","ICTVonline=201904485")</f>
        <v>ICTVonline=201904485</v>
      </c>
    </row>
    <row r="2232" spans="1:23">
      <c r="A2232" s="3">
        <v>2231</v>
      </c>
      <c r="B2232" s="1" t="s">
        <v>8017</v>
      </c>
      <c r="D2232" s="1" t="s">
        <v>8049</v>
      </c>
      <c r="F2232" s="1" t="s">
        <v>8050</v>
      </c>
      <c r="H2232" s="1" t="s">
        <v>8053</v>
      </c>
      <c r="J2232" s="1" t="s">
        <v>8054</v>
      </c>
      <c r="L2232" s="1" t="s">
        <v>991</v>
      </c>
      <c r="N2232" s="1" t="s">
        <v>3941</v>
      </c>
      <c r="P2232" s="1" t="s">
        <v>3943</v>
      </c>
      <c r="Q2232" s="3">
        <v>1</v>
      </c>
      <c r="R2232" s="22" t="s">
        <v>2721</v>
      </c>
      <c r="S2232" s="42" t="s">
        <v>6912</v>
      </c>
      <c r="T2232" s="3" t="s">
        <v>4868</v>
      </c>
      <c r="U2232" s="45">
        <v>35</v>
      </c>
      <c r="V2232" t="s">
        <v>8027</v>
      </c>
      <c r="W2232" s="1" t="str">
        <f>HYPERLINK("http://ictvonline.org/taxonomy/p/taxonomy-history?taxnode_id=201904486","ICTVonline=201904486")</f>
        <v>ICTVonline=201904486</v>
      </c>
    </row>
    <row r="2233" spans="1:23">
      <c r="A2233" s="3">
        <v>2232</v>
      </c>
      <c r="B2233" s="1" t="s">
        <v>8017</v>
      </c>
      <c r="D2233" s="1" t="s">
        <v>8049</v>
      </c>
      <c r="F2233" s="1" t="s">
        <v>8050</v>
      </c>
      <c r="H2233" s="1" t="s">
        <v>8053</v>
      </c>
      <c r="J2233" s="1" t="s">
        <v>8054</v>
      </c>
      <c r="L2233" s="1" t="s">
        <v>991</v>
      </c>
      <c r="N2233" s="1" t="s">
        <v>3941</v>
      </c>
      <c r="P2233" s="1" t="s">
        <v>3944</v>
      </c>
      <c r="Q2233" s="3">
        <v>0</v>
      </c>
      <c r="R2233" s="22" t="s">
        <v>2721</v>
      </c>
      <c r="S2233" s="42" t="s">
        <v>6912</v>
      </c>
      <c r="T2233" s="3" t="s">
        <v>4868</v>
      </c>
      <c r="U2233" s="45">
        <v>35</v>
      </c>
      <c r="V2233" t="s">
        <v>8027</v>
      </c>
      <c r="W2233" s="1" t="str">
        <f>HYPERLINK("http://ictvonline.org/taxonomy/p/taxonomy-history?taxnode_id=201904487","ICTVonline=201904487")</f>
        <v>ICTVonline=201904487</v>
      </c>
    </row>
    <row r="2234" spans="1:23">
      <c r="A2234" s="3">
        <v>2233</v>
      </c>
      <c r="B2234" s="1" t="s">
        <v>8017</v>
      </c>
      <c r="D2234" s="1" t="s">
        <v>8049</v>
      </c>
      <c r="F2234" s="1" t="s">
        <v>8050</v>
      </c>
      <c r="H2234" s="1" t="s">
        <v>8053</v>
      </c>
      <c r="J2234" s="1" t="s">
        <v>8054</v>
      </c>
      <c r="L2234" s="1" t="s">
        <v>991</v>
      </c>
      <c r="N2234" s="1" t="s">
        <v>3941</v>
      </c>
      <c r="P2234" s="1" t="s">
        <v>3945</v>
      </c>
      <c r="Q2234" s="3">
        <v>0</v>
      </c>
      <c r="R2234" s="22" t="s">
        <v>2721</v>
      </c>
      <c r="S2234" s="42" t="s">
        <v>6912</v>
      </c>
      <c r="T2234" s="3" t="s">
        <v>4868</v>
      </c>
      <c r="U2234" s="45">
        <v>35</v>
      </c>
      <c r="V2234" t="s">
        <v>8027</v>
      </c>
      <c r="W2234" s="1" t="str">
        <f>HYPERLINK("http://ictvonline.org/taxonomy/p/taxonomy-history?taxnode_id=201904488","ICTVonline=201904488")</f>
        <v>ICTVonline=201904488</v>
      </c>
    </row>
    <row r="2235" spans="1:23">
      <c r="A2235" s="3">
        <v>2234</v>
      </c>
      <c r="B2235" s="1" t="s">
        <v>8017</v>
      </c>
      <c r="D2235" s="1" t="s">
        <v>8049</v>
      </c>
      <c r="F2235" s="1" t="s">
        <v>8050</v>
      </c>
      <c r="H2235" s="1" t="s">
        <v>8053</v>
      </c>
      <c r="J2235" s="1" t="s">
        <v>8054</v>
      </c>
      <c r="L2235" s="1" t="s">
        <v>991</v>
      </c>
      <c r="N2235" s="1" t="s">
        <v>3941</v>
      </c>
      <c r="P2235" s="1" t="s">
        <v>5489</v>
      </c>
      <c r="Q2235" s="3">
        <v>0</v>
      </c>
      <c r="R2235" s="22" t="s">
        <v>2721</v>
      </c>
      <c r="S2235" s="42" t="s">
        <v>6912</v>
      </c>
      <c r="T2235" s="3" t="s">
        <v>4868</v>
      </c>
      <c r="U2235" s="45">
        <v>35</v>
      </c>
      <c r="V2235" t="s">
        <v>8027</v>
      </c>
      <c r="W2235" s="1" t="str">
        <f>HYPERLINK("http://ictvonline.org/taxonomy/p/taxonomy-history?taxnode_id=201905908","ICTVonline=201905908")</f>
        <v>ICTVonline=201905908</v>
      </c>
    </row>
    <row r="2236" spans="1:23">
      <c r="A2236" s="3">
        <v>2235</v>
      </c>
      <c r="B2236" s="1" t="s">
        <v>8017</v>
      </c>
      <c r="D2236" s="1" t="s">
        <v>8049</v>
      </c>
      <c r="F2236" s="1" t="s">
        <v>8050</v>
      </c>
      <c r="H2236" s="1" t="s">
        <v>8053</v>
      </c>
      <c r="J2236" s="1" t="s">
        <v>8054</v>
      </c>
      <c r="L2236" s="1" t="s">
        <v>991</v>
      </c>
      <c r="N2236" s="1" t="s">
        <v>3941</v>
      </c>
      <c r="P2236" s="1" t="s">
        <v>5490</v>
      </c>
      <c r="Q2236" s="3">
        <v>0</v>
      </c>
      <c r="R2236" s="22" t="s">
        <v>2721</v>
      </c>
      <c r="S2236" s="42" t="s">
        <v>6912</v>
      </c>
      <c r="T2236" s="3" t="s">
        <v>4868</v>
      </c>
      <c r="U2236" s="45">
        <v>35</v>
      </c>
      <c r="V2236" t="s">
        <v>8027</v>
      </c>
      <c r="W2236" s="1" t="str">
        <f>HYPERLINK("http://ictvonline.org/taxonomy/p/taxonomy-history?taxnode_id=201905909","ICTVonline=201905909")</f>
        <v>ICTVonline=201905909</v>
      </c>
    </row>
    <row r="2237" spans="1:23">
      <c r="A2237" s="3">
        <v>2236</v>
      </c>
      <c r="B2237" s="1" t="s">
        <v>8017</v>
      </c>
      <c r="D2237" s="1" t="s">
        <v>8049</v>
      </c>
      <c r="F2237" s="1" t="s">
        <v>8050</v>
      </c>
      <c r="H2237" s="1" t="s">
        <v>8053</v>
      </c>
      <c r="J2237" s="1" t="s">
        <v>8054</v>
      </c>
      <c r="L2237" s="1" t="s">
        <v>991</v>
      </c>
      <c r="N2237" s="1" t="s">
        <v>3941</v>
      </c>
      <c r="P2237" s="1" t="s">
        <v>3946</v>
      </c>
      <c r="Q2237" s="3">
        <v>0</v>
      </c>
      <c r="R2237" s="22" t="s">
        <v>2721</v>
      </c>
      <c r="S2237" s="42" t="s">
        <v>6912</v>
      </c>
      <c r="T2237" s="3" t="s">
        <v>4868</v>
      </c>
      <c r="U2237" s="45">
        <v>35</v>
      </c>
      <c r="V2237" t="s">
        <v>8027</v>
      </c>
      <c r="W2237" s="1" t="str">
        <f>HYPERLINK("http://ictvonline.org/taxonomy/p/taxonomy-history?taxnode_id=201904489","ICTVonline=201904489")</f>
        <v>ICTVonline=201904489</v>
      </c>
    </row>
    <row r="2238" spans="1:23">
      <c r="A2238" s="3">
        <v>2237</v>
      </c>
      <c r="B2238" s="1" t="s">
        <v>8017</v>
      </c>
      <c r="D2238" s="1" t="s">
        <v>8049</v>
      </c>
      <c r="F2238" s="1" t="s">
        <v>8050</v>
      </c>
      <c r="H2238" s="1" t="s">
        <v>8053</v>
      </c>
      <c r="J2238" s="1" t="s">
        <v>8054</v>
      </c>
      <c r="L2238" s="1" t="s">
        <v>991</v>
      </c>
      <c r="N2238" s="1" t="s">
        <v>3941</v>
      </c>
      <c r="P2238" s="1" t="s">
        <v>3947</v>
      </c>
      <c r="Q2238" s="3">
        <v>0</v>
      </c>
      <c r="R2238" s="22" t="s">
        <v>2721</v>
      </c>
      <c r="S2238" s="42" t="s">
        <v>6912</v>
      </c>
      <c r="T2238" s="3" t="s">
        <v>4868</v>
      </c>
      <c r="U2238" s="45">
        <v>35</v>
      </c>
      <c r="V2238" t="s">
        <v>8027</v>
      </c>
      <c r="W2238" s="1" t="str">
        <f>HYPERLINK("http://ictvonline.org/taxonomy/p/taxonomy-history?taxnode_id=201904490","ICTVonline=201904490")</f>
        <v>ICTVonline=201904490</v>
      </c>
    </row>
    <row r="2239" spans="1:23">
      <c r="A2239" s="3">
        <v>2238</v>
      </c>
      <c r="B2239" s="1" t="s">
        <v>8017</v>
      </c>
      <c r="D2239" s="1" t="s">
        <v>8049</v>
      </c>
      <c r="F2239" s="1" t="s">
        <v>8050</v>
      </c>
      <c r="H2239" s="1" t="s">
        <v>8053</v>
      </c>
      <c r="J2239" s="1" t="s">
        <v>8054</v>
      </c>
      <c r="L2239" s="1" t="s">
        <v>991</v>
      </c>
      <c r="N2239" s="1" t="s">
        <v>3941</v>
      </c>
      <c r="P2239" s="1" t="s">
        <v>3948</v>
      </c>
      <c r="Q2239" s="3">
        <v>0</v>
      </c>
      <c r="R2239" s="22" t="s">
        <v>2721</v>
      </c>
      <c r="S2239" s="42" t="s">
        <v>6912</v>
      </c>
      <c r="T2239" s="3" t="s">
        <v>4868</v>
      </c>
      <c r="U2239" s="45">
        <v>35</v>
      </c>
      <c r="V2239" t="s">
        <v>8027</v>
      </c>
      <c r="W2239" s="1" t="str">
        <f>HYPERLINK("http://ictvonline.org/taxonomy/p/taxonomy-history?taxnode_id=201904491","ICTVonline=201904491")</f>
        <v>ICTVonline=201904491</v>
      </c>
    </row>
    <row r="2240" spans="1:23">
      <c r="A2240" s="3">
        <v>2239</v>
      </c>
      <c r="B2240" s="1" t="s">
        <v>8017</v>
      </c>
      <c r="D2240" s="1" t="s">
        <v>8049</v>
      </c>
      <c r="F2240" s="1" t="s">
        <v>8050</v>
      </c>
      <c r="H2240" s="1" t="s">
        <v>8053</v>
      </c>
      <c r="J2240" s="1" t="s">
        <v>8054</v>
      </c>
      <c r="L2240" s="1" t="s">
        <v>991</v>
      </c>
      <c r="P2240" s="1" t="s">
        <v>6897</v>
      </c>
      <c r="Q2240" s="3">
        <v>0</v>
      </c>
      <c r="R2240" s="22" t="s">
        <v>2721</v>
      </c>
      <c r="S2240" s="42" t="s">
        <v>6912</v>
      </c>
      <c r="T2240" s="3" t="s">
        <v>4868</v>
      </c>
      <c r="U2240" s="45">
        <v>35</v>
      </c>
      <c r="V2240" t="s">
        <v>8027</v>
      </c>
      <c r="W2240" s="1" t="str">
        <f>HYPERLINK("http://ictvonline.org/taxonomy/p/taxonomy-history?taxnode_id=201906349","ICTVonline=201906349")</f>
        <v>ICTVonline=201906349</v>
      </c>
    </row>
    <row r="2241" spans="1:23">
      <c r="A2241" s="3">
        <v>2240</v>
      </c>
      <c r="B2241" s="1" t="s">
        <v>8017</v>
      </c>
      <c r="D2241" s="1" t="s">
        <v>8049</v>
      </c>
      <c r="F2241" s="1" t="s">
        <v>8050</v>
      </c>
      <c r="H2241" s="1" t="s">
        <v>8053</v>
      </c>
      <c r="J2241" s="1" t="s">
        <v>8054</v>
      </c>
      <c r="L2241" s="1" t="s">
        <v>991</v>
      </c>
      <c r="P2241" s="1" t="s">
        <v>3949</v>
      </c>
      <c r="Q2241" s="3">
        <v>0</v>
      </c>
      <c r="R2241" s="22" t="s">
        <v>2721</v>
      </c>
      <c r="S2241" s="42" t="s">
        <v>6912</v>
      </c>
      <c r="T2241" s="3" t="s">
        <v>4868</v>
      </c>
      <c r="U2241" s="45">
        <v>35</v>
      </c>
      <c r="V2241" t="s">
        <v>8027</v>
      </c>
      <c r="W2241" s="1" t="str">
        <f>HYPERLINK("http://ictvonline.org/taxonomy/p/taxonomy-history?taxnode_id=201904493","ICTVonline=201904493")</f>
        <v>ICTVonline=201904493</v>
      </c>
    </row>
    <row r="2242" spans="1:23">
      <c r="A2242" s="3">
        <v>2241</v>
      </c>
      <c r="B2242" s="1" t="s">
        <v>8017</v>
      </c>
      <c r="D2242" s="1" t="s">
        <v>8049</v>
      </c>
      <c r="F2242" s="1" t="s">
        <v>8050</v>
      </c>
      <c r="H2242" s="1" t="s">
        <v>8053</v>
      </c>
      <c r="J2242" s="1" t="s">
        <v>8054</v>
      </c>
      <c r="L2242" s="1" t="s">
        <v>991</v>
      </c>
      <c r="P2242" s="1" t="s">
        <v>3950</v>
      </c>
      <c r="Q2242" s="3">
        <v>0</v>
      </c>
      <c r="R2242" s="22" t="s">
        <v>2721</v>
      </c>
      <c r="S2242" s="42" t="s">
        <v>6912</v>
      </c>
      <c r="T2242" s="3" t="s">
        <v>4868</v>
      </c>
      <c r="U2242" s="45">
        <v>35</v>
      </c>
      <c r="V2242" t="s">
        <v>8027</v>
      </c>
      <c r="W2242" s="1" t="str">
        <f>HYPERLINK("http://ictvonline.org/taxonomy/p/taxonomy-history?taxnode_id=201904494","ICTVonline=201904494")</f>
        <v>ICTVonline=201904494</v>
      </c>
    </row>
    <row r="2243" spans="1:23">
      <c r="A2243" s="3">
        <v>2242</v>
      </c>
      <c r="B2243" s="1" t="s">
        <v>8017</v>
      </c>
      <c r="D2243" s="1" t="s">
        <v>8049</v>
      </c>
      <c r="F2243" s="1" t="s">
        <v>8050</v>
      </c>
      <c r="H2243" s="1" t="s">
        <v>8053</v>
      </c>
      <c r="J2243" s="1" t="s">
        <v>8054</v>
      </c>
      <c r="L2243" s="1" t="s">
        <v>991</v>
      </c>
      <c r="P2243" s="1" t="s">
        <v>3951</v>
      </c>
      <c r="Q2243" s="3">
        <v>0</v>
      </c>
      <c r="R2243" s="22" t="s">
        <v>2721</v>
      </c>
      <c r="S2243" s="42" t="s">
        <v>6912</v>
      </c>
      <c r="T2243" s="3" t="s">
        <v>4868</v>
      </c>
      <c r="U2243" s="45">
        <v>35</v>
      </c>
      <c r="V2243" t="s">
        <v>8027</v>
      </c>
      <c r="W2243" s="1" t="str">
        <f>HYPERLINK("http://ictvonline.org/taxonomy/p/taxonomy-history?taxnode_id=201904495","ICTVonline=201904495")</f>
        <v>ICTVonline=201904495</v>
      </c>
    </row>
    <row r="2244" spans="1:23">
      <c r="A2244" s="3">
        <v>2243</v>
      </c>
      <c r="B2244" s="1" t="s">
        <v>8017</v>
      </c>
      <c r="D2244" s="1" t="s">
        <v>8049</v>
      </c>
      <c r="F2244" s="1" t="s">
        <v>8050</v>
      </c>
      <c r="H2244" s="1" t="s">
        <v>8053</v>
      </c>
      <c r="J2244" s="1" t="s">
        <v>8054</v>
      </c>
      <c r="L2244" s="1" t="s">
        <v>991</v>
      </c>
      <c r="P2244" s="1" t="s">
        <v>6898</v>
      </c>
      <c r="Q2244" s="3">
        <v>0</v>
      </c>
      <c r="R2244" s="22" t="s">
        <v>2721</v>
      </c>
      <c r="S2244" s="42" t="s">
        <v>6912</v>
      </c>
      <c r="T2244" s="3" t="s">
        <v>4868</v>
      </c>
      <c r="U2244" s="45">
        <v>35</v>
      </c>
      <c r="V2244" t="s">
        <v>8027</v>
      </c>
      <c r="W2244" s="1" t="str">
        <f>HYPERLINK("http://ictvonline.org/taxonomy/p/taxonomy-history?taxnode_id=201906350","ICTVonline=201906350")</f>
        <v>ICTVonline=201906350</v>
      </c>
    </row>
    <row r="2245" spans="1:23">
      <c r="A2245" s="3">
        <v>2244</v>
      </c>
      <c r="B2245" s="1" t="s">
        <v>8017</v>
      </c>
      <c r="D2245" s="1" t="s">
        <v>8049</v>
      </c>
      <c r="F2245" s="1" t="s">
        <v>8050</v>
      </c>
      <c r="H2245" s="1" t="s">
        <v>8053</v>
      </c>
      <c r="J2245" s="1" t="s">
        <v>8054</v>
      </c>
      <c r="L2245" s="1" t="s">
        <v>991</v>
      </c>
      <c r="P2245" s="1" t="s">
        <v>5491</v>
      </c>
      <c r="Q2245" s="3">
        <v>0</v>
      </c>
      <c r="R2245" s="22" t="s">
        <v>2721</v>
      </c>
      <c r="S2245" s="42" t="s">
        <v>6912</v>
      </c>
      <c r="T2245" s="3" t="s">
        <v>4868</v>
      </c>
      <c r="U2245" s="45">
        <v>35</v>
      </c>
      <c r="V2245" t="s">
        <v>8027</v>
      </c>
      <c r="W2245" s="1" t="str">
        <f>HYPERLINK("http://ictvonline.org/taxonomy/p/taxonomy-history?taxnode_id=201905910","ICTVonline=201905910")</f>
        <v>ICTVonline=201905910</v>
      </c>
    </row>
    <row r="2246" spans="1:23">
      <c r="A2246" s="3">
        <v>2245</v>
      </c>
      <c r="B2246" s="1" t="s">
        <v>8017</v>
      </c>
      <c r="D2246" s="1" t="s">
        <v>8049</v>
      </c>
      <c r="F2246" s="1" t="s">
        <v>8050</v>
      </c>
      <c r="H2246" s="1" t="s">
        <v>8053</v>
      </c>
      <c r="J2246" s="1" t="s">
        <v>8054</v>
      </c>
      <c r="L2246" s="1" t="s">
        <v>991</v>
      </c>
      <c r="P2246" s="1" t="s">
        <v>6899</v>
      </c>
      <c r="Q2246" s="3">
        <v>0</v>
      </c>
      <c r="R2246" s="22" t="s">
        <v>2721</v>
      </c>
      <c r="S2246" s="42" t="s">
        <v>6912</v>
      </c>
      <c r="T2246" s="3" t="s">
        <v>4868</v>
      </c>
      <c r="U2246" s="45">
        <v>35</v>
      </c>
      <c r="V2246" t="s">
        <v>8027</v>
      </c>
      <c r="W2246" s="1" t="str">
        <f>HYPERLINK("http://ictvonline.org/taxonomy/p/taxonomy-history?taxnode_id=201906351","ICTVonline=201906351")</f>
        <v>ICTVonline=201906351</v>
      </c>
    </row>
    <row r="2247" spans="1:23">
      <c r="A2247" s="3">
        <v>2246</v>
      </c>
      <c r="B2247" s="1" t="s">
        <v>8017</v>
      </c>
      <c r="D2247" s="1" t="s">
        <v>8049</v>
      </c>
      <c r="F2247" s="1" t="s">
        <v>8050</v>
      </c>
      <c r="H2247" s="1" t="s">
        <v>8053</v>
      </c>
      <c r="J2247" s="1" t="s">
        <v>8054</v>
      </c>
      <c r="L2247" s="1" t="s">
        <v>991</v>
      </c>
      <c r="P2247" s="1" t="s">
        <v>6900</v>
      </c>
      <c r="Q2247" s="3">
        <v>0</v>
      </c>
      <c r="R2247" s="22" t="s">
        <v>2721</v>
      </c>
      <c r="S2247" s="42" t="s">
        <v>6912</v>
      </c>
      <c r="T2247" s="3" t="s">
        <v>4868</v>
      </c>
      <c r="U2247" s="45">
        <v>35</v>
      </c>
      <c r="V2247" t="s">
        <v>8027</v>
      </c>
      <c r="W2247" s="1" t="str">
        <f>HYPERLINK("http://ictvonline.org/taxonomy/p/taxonomy-history?taxnode_id=201906352","ICTVonline=201906352")</f>
        <v>ICTVonline=201906352</v>
      </c>
    </row>
    <row r="2248" spans="1:23">
      <c r="A2248" s="3">
        <v>2247</v>
      </c>
      <c r="B2248" s="1" t="s">
        <v>8017</v>
      </c>
      <c r="D2248" s="1" t="s">
        <v>8049</v>
      </c>
      <c r="F2248" s="1" t="s">
        <v>8050</v>
      </c>
      <c r="H2248" s="1" t="s">
        <v>8053</v>
      </c>
      <c r="J2248" s="1" t="s">
        <v>8054</v>
      </c>
      <c r="L2248" s="1" t="s">
        <v>991</v>
      </c>
      <c r="P2248" s="1" t="s">
        <v>5492</v>
      </c>
      <c r="Q2248" s="3">
        <v>0</v>
      </c>
      <c r="R2248" s="22" t="s">
        <v>2721</v>
      </c>
      <c r="S2248" s="42" t="s">
        <v>6912</v>
      </c>
      <c r="T2248" s="3" t="s">
        <v>4868</v>
      </c>
      <c r="U2248" s="45">
        <v>35</v>
      </c>
      <c r="V2248" t="s">
        <v>8027</v>
      </c>
      <c r="W2248" s="1" t="str">
        <f>HYPERLINK("http://ictvonline.org/taxonomy/p/taxonomy-history?taxnode_id=201905911","ICTVonline=201905911")</f>
        <v>ICTVonline=201905911</v>
      </c>
    </row>
    <row r="2249" spans="1:23">
      <c r="A2249" s="3">
        <v>2248</v>
      </c>
      <c r="B2249" s="1" t="s">
        <v>8017</v>
      </c>
      <c r="D2249" s="1" t="s">
        <v>8049</v>
      </c>
      <c r="F2249" s="1" t="s">
        <v>8050</v>
      </c>
      <c r="H2249" s="1" t="s">
        <v>8053</v>
      </c>
      <c r="J2249" s="1" t="s">
        <v>8060</v>
      </c>
      <c r="L2249" s="1" t="s">
        <v>825</v>
      </c>
      <c r="M2249" s="1" t="s">
        <v>5442</v>
      </c>
      <c r="N2249" s="1" t="s">
        <v>826</v>
      </c>
      <c r="P2249" s="1" t="s">
        <v>104</v>
      </c>
      <c r="Q2249" s="3">
        <v>1</v>
      </c>
      <c r="R2249" s="22" t="s">
        <v>2721</v>
      </c>
      <c r="S2249" s="42" t="s">
        <v>6912</v>
      </c>
      <c r="T2249" s="3" t="s">
        <v>4868</v>
      </c>
      <c r="U2249" s="45">
        <v>35</v>
      </c>
      <c r="V2249" t="s">
        <v>8027</v>
      </c>
      <c r="W2249" s="1" t="str">
        <f>HYPERLINK("http://ictvonline.org/taxonomy/p/taxonomy-history?taxnode_id=201903974","ICTVonline=201903974")</f>
        <v>ICTVonline=201903974</v>
      </c>
    </row>
    <row r="2250" spans="1:23">
      <c r="A2250" s="3">
        <v>2249</v>
      </c>
      <c r="B2250" s="1" t="s">
        <v>8017</v>
      </c>
      <c r="D2250" s="1" t="s">
        <v>8049</v>
      </c>
      <c r="F2250" s="1" t="s">
        <v>8050</v>
      </c>
      <c r="H2250" s="1" t="s">
        <v>8053</v>
      </c>
      <c r="J2250" s="1" t="s">
        <v>8060</v>
      </c>
      <c r="L2250" s="1" t="s">
        <v>825</v>
      </c>
      <c r="M2250" s="1" t="s">
        <v>5442</v>
      </c>
      <c r="N2250" s="1" t="s">
        <v>826</v>
      </c>
      <c r="P2250" s="1" t="s">
        <v>110</v>
      </c>
      <c r="Q2250" s="3">
        <v>0</v>
      </c>
      <c r="R2250" s="22" t="s">
        <v>2721</v>
      </c>
      <c r="S2250" s="42" t="s">
        <v>6912</v>
      </c>
      <c r="T2250" s="3" t="s">
        <v>4868</v>
      </c>
      <c r="U2250" s="45">
        <v>35</v>
      </c>
      <c r="V2250" t="s">
        <v>8027</v>
      </c>
      <c r="W2250" s="1" t="str">
        <f>HYPERLINK("http://ictvonline.org/taxonomy/p/taxonomy-history?taxnode_id=201903975","ICTVonline=201903975")</f>
        <v>ICTVonline=201903975</v>
      </c>
    </row>
    <row r="2251" spans="1:23">
      <c r="A2251" s="3">
        <v>2250</v>
      </c>
      <c r="B2251" s="1" t="s">
        <v>8017</v>
      </c>
      <c r="D2251" s="1" t="s">
        <v>8049</v>
      </c>
      <c r="F2251" s="1" t="s">
        <v>8050</v>
      </c>
      <c r="H2251" s="1" t="s">
        <v>8053</v>
      </c>
      <c r="J2251" s="1" t="s">
        <v>8060</v>
      </c>
      <c r="L2251" s="1" t="s">
        <v>825</v>
      </c>
      <c r="M2251" s="1" t="s">
        <v>5442</v>
      </c>
      <c r="N2251" s="1" t="s">
        <v>826</v>
      </c>
      <c r="P2251" s="1" t="s">
        <v>111</v>
      </c>
      <c r="Q2251" s="3">
        <v>0</v>
      </c>
      <c r="R2251" s="22" t="s">
        <v>2721</v>
      </c>
      <c r="S2251" s="42" t="s">
        <v>6912</v>
      </c>
      <c r="T2251" s="3" t="s">
        <v>4868</v>
      </c>
      <c r="U2251" s="45">
        <v>35</v>
      </c>
      <c r="V2251" t="s">
        <v>8027</v>
      </c>
      <c r="W2251" s="1" t="str">
        <f>HYPERLINK("http://ictvonline.org/taxonomy/p/taxonomy-history?taxnode_id=201903976","ICTVonline=201903976")</f>
        <v>ICTVonline=201903976</v>
      </c>
    </row>
    <row r="2252" spans="1:23">
      <c r="A2252" s="3">
        <v>2251</v>
      </c>
      <c r="B2252" s="1" t="s">
        <v>8017</v>
      </c>
      <c r="D2252" s="1" t="s">
        <v>8049</v>
      </c>
      <c r="F2252" s="1" t="s">
        <v>8050</v>
      </c>
      <c r="H2252" s="1" t="s">
        <v>8053</v>
      </c>
      <c r="J2252" s="1" t="s">
        <v>8060</v>
      </c>
      <c r="L2252" s="1" t="s">
        <v>825</v>
      </c>
      <c r="M2252" s="1" t="s">
        <v>5442</v>
      </c>
      <c r="N2252" s="1" t="s">
        <v>826</v>
      </c>
      <c r="P2252" s="1" t="s">
        <v>112</v>
      </c>
      <c r="Q2252" s="3">
        <v>0</v>
      </c>
      <c r="R2252" s="22" t="s">
        <v>2721</v>
      </c>
      <c r="S2252" s="42" t="s">
        <v>6912</v>
      </c>
      <c r="T2252" s="3" t="s">
        <v>4868</v>
      </c>
      <c r="U2252" s="45">
        <v>35</v>
      </c>
      <c r="V2252" t="s">
        <v>8027</v>
      </c>
      <c r="W2252" s="1" t="str">
        <f>HYPERLINK("http://ictvonline.org/taxonomy/p/taxonomy-history?taxnode_id=201903977","ICTVonline=201903977")</f>
        <v>ICTVonline=201903977</v>
      </c>
    </row>
    <row r="2253" spans="1:23">
      <c r="A2253" s="3">
        <v>2252</v>
      </c>
      <c r="B2253" s="1" t="s">
        <v>8017</v>
      </c>
      <c r="D2253" s="1" t="s">
        <v>8049</v>
      </c>
      <c r="F2253" s="1" t="s">
        <v>8050</v>
      </c>
      <c r="H2253" s="1" t="s">
        <v>8053</v>
      </c>
      <c r="J2253" s="1" t="s">
        <v>8060</v>
      </c>
      <c r="L2253" s="1" t="s">
        <v>825</v>
      </c>
      <c r="M2253" s="1" t="s">
        <v>5442</v>
      </c>
      <c r="N2253" s="1" t="s">
        <v>826</v>
      </c>
      <c r="P2253" s="1" t="s">
        <v>113</v>
      </c>
      <c r="Q2253" s="3">
        <v>0</v>
      </c>
      <c r="R2253" s="22" t="s">
        <v>2721</v>
      </c>
      <c r="S2253" s="42" t="s">
        <v>6912</v>
      </c>
      <c r="T2253" s="3" t="s">
        <v>4868</v>
      </c>
      <c r="U2253" s="45">
        <v>35</v>
      </c>
      <c r="V2253" t="s">
        <v>8027</v>
      </c>
      <c r="W2253" s="1" t="str">
        <f>HYPERLINK("http://ictvonline.org/taxonomy/p/taxonomy-history?taxnode_id=201903978","ICTVonline=201903978")</f>
        <v>ICTVonline=201903978</v>
      </c>
    </row>
    <row r="2254" spans="1:23">
      <c r="A2254" s="3">
        <v>2253</v>
      </c>
      <c r="B2254" s="1" t="s">
        <v>8017</v>
      </c>
      <c r="D2254" s="1" t="s">
        <v>8049</v>
      </c>
      <c r="F2254" s="1" t="s">
        <v>8050</v>
      </c>
      <c r="H2254" s="1" t="s">
        <v>8053</v>
      </c>
      <c r="J2254" s="1" t="s">
        <v>8060</v>
      </c>
      <c r="L2254" s="1" t="s">
        <v>825</v>
      </c>
      <c r="M2254" s="1" t="s">
        <v>5442</v>
      </c>
      <c r="N2254" s="1" t="s">
        <v>826</v>
      </c>
      <c r="P2254" s="1" t="s">
        <v>114</v>
      </c>
      <c r="Q2254" s="3">
        <v>0</v>
      </c>
      <c r="R2254" s="22" t="s">
        <v>2721</v>
      </c>
      <c r="S2254" s="42" t="s">
        <v>6912</v>
      </c>
      <c r="T2254" s="3" t="s">
        <v>4868</v>
      </c>
      <c r="U2254" s="45">
        <v>35</v>
      </c>
      <c r="V2254" t="s">
        <v>8027</v>
      </c>
      <c r="W2254" s="1" t="str">
        <f>HYPERLINK("http://ictvonline.org/taxonomy/p/taxonomy-history?taxnode_id=201903979","ICTVonline=201903979")</f>
        <v>ICTVonline=201903979</v>
      </c>
    </row>
    <row r="2255" spans="1:23">
      <c r="A2255" s="3">
        <v>2254</v>
      </c>
      <c r="B2255" s="1" t="s">
        <v>8017</v>
      </c>
      <c r="D2255" s="1" t="s">
        <v>8049</v>
      </c>
      <c r="F2255" s="1" t="s">
        <v>8050</v>
      </c>
      <c r="H2255" s="1" t="s">
        <v>8053</v>
      </c>
      <c r="J2255" s="1" t="s">
        <v>8060</v>
      </c>
      <c r="L2255" s="1" t="s">
        <v>825</v>
      </c>
      <c r="M2255" s="1" t="s">
        <v>5442</v>
      </c>
      <c r="N2255" s="1" t="s">
        <v>826</v>
      </c>
      <c r="P2255" s="1" t="s">
        <v>115</v>
      </c>
      <c r="Q2255" s="3">
        <v>0</v>
      </c>
      <c r="R2255" s="22" t="s">
        <v>2721</v>
      </c>
      <c r="S2255" s="42" t="s">
        <v>6912</v>
      </c>
      <c r="T2255" s="3" t="s">
        <v>4868</v>
      </c>
      <c r="U2255" s="45">
        <v>35</v>
      </c>
      <c r="V2255" t="s">
        <v>8027</v>
      </c>
      <c r="W2255" s="1" t="str">
        <f>HYPERLINK("http://ictvonline.org/taxonomy/p/taxonomy-history?taxnode_id=201903980","ICTVonline=201903980")</f>
        <v>ICTVonline=201903980</v>
      </c>
    </row>
    <row r="2256" spans="1:23">
      <c r="A2256" s="3">
        <v>2255</v>
      </c>
      <c r="B2256" s="1" t="s">
        <v>8017</v>
      </c>
      <c r="D2256" s="1" t="s">
        <v>8049</v>
      </c>
      <c r="F2256" s="1" t="s">
        <v>8050</v>
      </c>
      <c r="H2256" s="1" t="s">
        <v>8053</v>
      </c>
      <c r="J2256" s="1" t="s">
        <v>8060</v>
      </c>
      <c r="L2256" s="1" t="s">
        <v>825</v>
      </c>
      <c r="M2256" s="1" t="s">
        <v>5442</v>
      </c>
      <c r="N2256" s="1" t="s">
        <v>826</v>
      </c>
      <c r="P2256" s="1" t="s">
        <v>116</v>
      </c>
      <c r="Q2256" s="3">
        <v>0</v>
      </c>
      <c r="R2256" s="22" t="s">
        <v>2721</v>
      </c>
      <c r="S2256" s="42" t="s">
        <v>6912</v>
      </c>
      <c r="T2256" s="3" t="s">
        <v>4868</v>
      </c>
      <c r="U2256" s="45">
        <v>35</v>
      </c>
      <c r="V2256" t="s">
        <v>8027</v>
      </c>
      <c r="W2256" s="1" t="str">
        <f>HYPERLINK("http://ictvonline.org/taxonomy/p/taxonomy-history?taxnode_id=201903981","ICTVonline=201903981")</f>
        <v>ICTVonline=201903981</v>
      </c>
    </row>
    <row r="2257" spans="1:23">
      <c r="A2257" s="3">
        <v>2256</v>
      </c>
      <c r="B2257" s="1" t="s">
        <v>8017</v>
      </c>
      <c r="D2257" s="1" t="s">
        <v>8049</v>
      </c>
      <c r="F2257" s="1" t="s">
        <v>8050</v>
      </c>
      <c r="H2257" s="1" t="s">
        <v>8053</v>
      </c>
      <c r="J2257" s="1" t="s">
        <v>8060</v>
      </c>
      <c r="L2257" s="1" t="s">
        <v>825</v>
      </c>
      <c r="M2257" s="1" t="s">
        <v>5442</v>
      </c>
      <c r="N2257" s="1" t="s">
        <v>826</v>
      </c>
      <c r="P2257" s="1" t="s">
        <v>117</v>
      </c>
      <c r="Q2257" s="3">
        <v>0</v>
      </c>
      <c r="R2257" s="22" t="s">
        <v>2721</v>
      </c>
      <c r="S2257" s="42" t="s">
        <v>6912</v>
      </c>
      <c r="T2257" s="3" t="s">
        <v>4868</v>
      </c>
      <c r="U2257" s="45">
        <v>35</v>
      </c>
      <c r="V2257" t="s">
        <v>8027</v>
      </c>
      <c r="W2257" s="1" t="str">
        <f>HYPERLINK("http://ictvonline.org/taxonomy/p/taxonomy-history?taxnode_id=201903982","ICTVonline=201903982")</f>
        <v>ICTVonline=201903982</v>
      </c>
    </row>
    <row r="2258" spans="1:23">
      <c r="A2258" s="3">
        <v>2257</v>
      </c>
      <c r="B2258" s="1" t="s">
        <v>8017</v>
      </c>
      <c r="D2258" s="1" t="s">
        <v>8049</v>
      </c>
      <c r="F2258" s="1" t="s">
        <v>8050</v>
      </c>
      <c r="H2258" s="1" t="s">
        <v>8053</v>
      </c>
      <c r="J2258" s="1" t="s">
        <v>8060</v>
      </c>
      <c r="L2258" s="1" t="s">
        <v>825</v>
      </c>
      <c r="M2258" s="1" t="s">
        <v>5442</v>
      </c>
      <c r="N2258" s="1" t="s">
        <v>826</v>
      </c>
      <c r="P2258" s="1" t="s">
        <v>105</v>
      </c>
      <c r="Q2258" s="3">
        <v>0</v>
      </c>
      <c r="R2258" s="22" t="s">
        <v>2721</v>
      </c>
      <c r="S2258" s="42" t="s">
        <v>6912</v>
      </c>
      <c r="T2258" s="3" t="s">
        <v>4868</v>
      </c>
      <c r="U2258" s="45">
        <v>35</v>
      </c>
      <c r="V2258" t="s">
        <v>8027</v>
      </c>
      <c r="W2258" s="1" t="str">
        <f>HYPERLINK("http://ictvonline.org/taxonomy/p/taxonomy-history?taxnode_id=201903983","ICTVonline=201903983")</f>
        <v>ICTVonline=201903983</v>
      </c>
    </row>
    <row r="2259" spans="1:23">
      <c r="A2259" s="3">
        <v>2258</v>
      </c>
      <c r="B2259" s="1" t="s">
        <v>8017</v>
      </c>
      <c r="D2259" s="1" t="s">
        <v>8049</v>
      </c>
      <c r="F2259" s="1" t="s">
        <v>8050</v>
      </c>
      <c r="H2259" s="1" t="s">
        <v>8053</v>
      </c>
      <c r="J2259" s="1" t="s">
        <v>8060</v>
      </c>
      <c r="L2259" s="1" t="s">
        <v>825</v>
      </c>
      <c r="M2259" s="1" t="s">
        <v>5442</v>
      </c>
      <c r="N2259" s="1" t="s">
        <v>826</v>
      </c>
      <c r="P2259" s="1" t="s">
        <v>106</v>
      </c>
      <c r="Q2259" s="3">
        <v>0</v>
      </c>
      <c r="R2259" s="22" t="s">
        <v>2721</v>
      </c>
      <c r="S2259" s="42" t="s">
        <v>6912</v>
      </c>
      <c r="T2259" s="3" t="s">
        <v>4868</v>
      </c>
      <c r="U2259" s="45">
        <v>35</v>
      </c>
      <c r="V2259" t="s">
        <v>8027</v>
      </c>
      <c r="W2259" s="1" t="str">
        <f>HYPERLINK("http://ictvonline.org/taxonomy/p/taxonomy-history?taxnode_id=201903984","ICTVonline=201903984")</f>
        <v>ICTVonline=201903984</v>
      </c>
    </row>
    <row r="2260" spans="1:23">
      <c r="A2260" s="3">
        <v>2259</v>
      </c>
      <c r="B2260" s="1" t="s">
        <v>8017</v>
      </c>
      <c r="D2260" s="1" t="s">
        <v>8049</v>
      </c>
      <c r="F2260" s="1" t="s">
        <v>8050</v>
      </c>
      <c r="H2260" s="1" t="s">
        <v>8053</v>
      </c>
      <c r="J2260" s="1" t="s">
        <v>8060</v>
      </c>
      <c r="L2260" s="1" t="s">
        <v>825</v>
      </c>
      <c r="M2260" s="1" t="s">
        <v>5442</v>
      </c>
      <c r="N2260" s="1" t="s">
        <v>826</v>
      </c>
      <c r="P2260" s="1" t="s">
        <v>107</v>
      </c>
      <c r="Q2260" s="3">
        <v>0</v>
      </c>
      <c r="R2260" s="22" t="s">
        <v>2721</v>
      </c>
      <c r="S2260" s="42" t="s">
        <v>6912</v>
      </c>
      <c r="T2260" s="3" t="s">
        <v>4868</v>
      </c>
      <c r="U2260" s="45">
        <v>35</v>
      </c>
      <c r="V2260" t="s">
        <v>8027</v>
      </c>
      <c r="W2260" s="1" t="str">
        <f>HYPERLINK("http://ictvonline.org/taxonomy/p/taxonomy-history?taxnode_id=201903985","ICTVonline=201903985")</f>
        <v>ICTVonline=201903985</v>
      </c>
    </row>
    <row r="2261" spans="1:23">
      <c r="A2261" s="3">
        <v>2260</v>
      </c>
      <c r="B2261" s="1" t="s">
        <v>8017</v>
      </c>
      <c r="D2261" s="1" t="s">
        <v>8049</v>
      </c>
      <c r="F2261" s="1" t="s">
        <v>8050</v>
      </c>
      <c r="H2261" s="1" t="s">
        <v>8053</v>
      </c>
      <c r="J2261" s="1" t="s">
        <v>8060</v>
      </c>
      <c r="L2261" s="1" t="s">
        <v>825</v>
      </c>
      <c r="M2261" s="1" t="s">
        <v>5442</v>
      </c>
      <c r="N2261" s="1" t="s">
        <v>826</v>
      </c>
      <c r="P2261" s="1" t="s">
        <v>108</v>
      </c>
      <c r="Q2261" s="3">
        <v>0</v>
      </c>
      <c r="R2261" s="22" t="s">
        <v>2721</v>
      </c>
      <c r="S2261" s="42" t="s">
        <v>6912</v>
      </c>
      <c r="T2261" s="3" t="s">
        <v>4868</v>
      </c>
      <c r="U2261" s="45">
        <v>35</v>
      </c>
      <c r="V2261" t="s">
        <v>8027</v>
      </c>
      <c r="W2261" s="1" t="str">
        <f>HYPERLINK("http://ictvonline.org/taxonomy/p/taxonomy-history?taxnode_id=201903986","ICTVonline=201903986")</f>
        <v>ICTVonline=201903986</v>
      </c>
    </row>
    <row r="2262" spans="1:23">
      <c r="A2262" s="3">
        <v>2261</v>
      </c>
      <c r="B2262" s="1" t="s">
        <v>8017</v>
      </c>
      <c r="D2262" s="1" t="s">
        <v>8049</v>
      </c>
      <c r="F2262" s="1" t="s">
        <v>8050</v>
      </c>
      <c r="H2262" s="1" t="s">
        <v>8053</v>
      </c>
      <c r="J2262" s="1" t="s">
        <v>8060</v>
      </c>
      <c r="L2262" s="1" t="s">
        <v>825</v>
      </c>
      <c r="M2262" s="1" t="s">
        <v>5442</v>
      </c>
      <c r="N2262" s="1" t="s">
        <v>826</v>
      </c>
      <c r="P2262" s="1" t="s">
        <v>109</v>
      </c>
      <c r="Q2262" s="3">
        <v>0</v>
      </c>
      <c r="R2262" s="22" t="s">
        <v>2721</v>
      </c>
      <c r="S2262" s="42" t="s">
        <v>6912</v>
      </c>
      <c r="T2262" s="3" t="s">
        <v>4868</v>
      </c>
      <c r="U2262" s="45">
        <v>35</v>
      </c>
      <c r="V2262" t="s">
        <v>8027</v>
      </c>
      <c r="W2262" s="1" t="str">
        <f>HYPERLINK("http://ictvonline.org/taxonomy/p/taxonomy-history?taxnode_id=201903987","ICTVonline=201903987")</f>
        <v>ICTVonline=201903987</v>
      </c>
    </row>
    <row r="2263" spans="1:23">
      <c r="A2263" s="3">
        <v>2262</v>
      </c>
      <c r="B2263" s="1" t="s">
        <v>8017</v>
      </c>
      <c r="D2263" s="1" t="s">
        <v>8049</v>
      </c>
      <c r="F2263" s="1" t="s">
        <v>8050</v>
      </c>
      <c r="H2263" s="1" t="s">
        <v>8053</v>
      </c>
      <c r="J2263" s="1" t="s">
        <v>8060</v>
      </c>
      <c r="L2263" s="1" t="s">
        <v>825</v>
      </c>
      <c r="M2263" s="1" t="s">
        <v>5442</v>
      </c>
      <c r="N2263" s="1" t="s">
        <v>859</v>
      </c>
      <c r="P2263" s="1" t="s">
        <v>118</v>
      </c>
      <c r="Q2263" s="3">
        <v>1</v>
      </c>
      <c r="R2263" s="22" t="s">
        <v>2721</v>
      </c>
      <c r="S2263" s="42" t="s">
        <v>6912</v>
      </c>
      <c r="T2263" s="3" t="s">
        <v>4868</v>
      </c>
      <c r="U2263" s="45">
        <v>35</v>
      </c>
      <c r="V2263" t="s">
        <v>8027</v>
      </c>
      <c r="W2263" s="1" t="str">
        <f>HYPERLINK("http://ictvonline.org/taxonomy/p/taxonomy-history?taxnode_id=201903989","ICTVonline=201903989")</f>
        <v>ICTVonline=201903989</v>
      </c>
    </row>
    <row r="2264" spans="1:23">
      <c r="A2264" s="3">
        <v>2263</v>
      </c>
      <c r="B2264" s="1" t="s">
        <v>8017</v>
      </c>
      <c r="D2264" s="1" t="s">
        <v>8049</v>
      </c>
      <c r="F2264" s="1" t="s">
        <v>8050</v>
      </c>
      <c r="H2264" s="1" t="s">
        <v>8053</v>
      </c>
      <c r="J2264" s="1" t="s">
        <v>8060</v>
      </c>
      <c r="L2264" s="1" t="s">
        <v>825</v>
      </c>
      <c r="M2264" s="1" t="s">
        <v>5442</v>
      </c>
      <c r="N2264" s="1" t="s">
        <v>859</v>
      </c>
      <c r="P2264" s="1" t="s">
        <v>119</v>
      </c>
      <c r="Q2264" s="3">
        <v>0</v>
      </c>
      <c r="R2264" s="22" t="s">
        <v>2721</v>
      </c>
      <c r="S2264" s="42" t="s">
        <v>6912</v>
      </c>
      <c r="T2264" s="3" t="s">
        <v>4868</v>
      </c>
      <c r="U2264" s="45">
        <v>35</v>
      </c>
      <c r="V2264" t="s">
        <v>8027</v>
      </c>
      <c r="W2264" s="1" t="str">
        <f>HYPERLINK("http://ictvonline.org/taxonomy/p/taxonomy-history?taxnode_id=201903990","ICTVonline=201903990")</f>
        <v>ICTVonline=201903990</v>
      </c>
    </row>
    <row r="2265" spans="1:23">
      <c r="A2265" s="3">
        <v>2264</v>
      </c>
      <c r="B2265" s="1" t="s">
        <v>8017</v>
      </c>
      <c r="D2265" s="1" t="s">
        <v>8049</v>
      </c>
      <c r="F2265" s="1" t="s">
        <v>8050</v>
      </c>
      <c r="H2265" s="1" t="s">
        <v>8053</v>
      </c>
      <c r="J2265" s="1" t="s">
        <v>8060</v>
      </c>
      <c r="L2265" s="1" t="s">
        <v>825</v>
      </c>
      <c r="M2265" s="1" t="s">
        <v>5442</v>
      </c>
      <c r="N2265" s="1" t="s">
        <v>859</v>
      </c>
      <c r="P2265" s="1" t="s">
        <v>120</v>
      </c>
      <c r="Q2265" s="3">
        <v>0</v>
      </c>
      <c r="R2265" s="22" t="s">
        <v>2721</v>
      </c>
      <c r="S2265" s="42" t="s">
        <v>6912</v>
      </c>
      <c r="T2265" s="3" t="s">
        <v>4868</v>
      </c>
      <c r="U2265" s="45">
        <v>35</v>
      </c>
      <c r="V2265" t="s">
        <v>8027</v>
      </c>
      <c r="W2265" s="1" t="str">
        <f>HYPERLINK("http://ictvonline.org/taxonomy/p/taxonomy-history?taxnode_id=201903991","ICTVonline=201903991")</f>
        <v>ICTVonline=201903991</v>
      </c>
    </row>
    <row r="2266" spans="1:23">
      <c r="A2266" s="3">
        <v>2265</v>
      </c>
      <c r="B2266" s="1" t="s">
        <v>8017</v>
      </c>
      <c r="D2266" s="1" t="s">
        <v>8049</v>
      </c>
      <c r="F2266" s="1" t="s">
        <v>8050</v>
      </c>
      <c r="H2266" s="1" t="s">
        <v>8053</v>
      </c>
      <c r="J2266" s="1" t="s">
        <v>8060</v>
      </c>
      <c r="L2266" s="1" t="s">
        <v>825</v>
      </c>
      <c r="M2266" s="1" t="s">
        <v>5442</v>
      </c>
      <c r="N2266" s="1" t="s">
        <v>859</v>
      </c>
      <c r="P2266" s="1" t="s">
        <v>121</v>
      </c>
      <c r="Q2266" s="3">
        <v>0</v>
      </c>
      <c r="R2266" s="22" t="s">
        <v>2721</v>
      </c>
      <c r="S2266" s="42" t="s">
        <v>6912</v>
      </c>
      <c r="T2266" s="3" t="s">
        <v>4868</v>
      </c>
      <c r="U2266" s="45">
        <v>35</v>
      </c>
      <c r="V2266" t="s">
        <v>8027</v>
      </c>
      <c r="W2266" s="1" t="str">
        <f>HYPERLINK("http://ictvonline.org/taxonomy/p/taxonomy-history?taxnode_id=201903992","ICTVonline=201903992")</f>
        <v>ICTVonline=201903992</v>
      </c>
    </row>
    <row r="2267" spans="1:23">
      <c r="A2267" s="3">
        <v>2266</v>
      </c>
      <c r="B2267" s="1" t="s">
        <v>8017</v>
      </c>
      <c r="D2267" s="1" t="s">
        <v>8049</v>
      </c>
      <c r="F2267" s="1" t="s">
        <v>8050</v>
      </c>
      <c r="H2267" s="1" t="s">
        <v>8053</v>
      </c>
      <c r="J2267" s="1" t="s">
        <v>8060</v>
      </c>
      <c r="L2267" s="1" t="s">
        <v>825</v>
      </c>
      <c r="M2267" s="1" t="s">
        <v>5442</v>
      </c>
      <c r="N2267" s="1" t="s">
        <v>859</v>
      </c>
      <c r="P2267" s="1" t="s">
        <v>122</v>
      </c>
      <c r="Q2267" s="3">
        <v>0</v>
      </c>
      <c r="R2267" s="22" t="s">
        <v>2721</v>
      </c>
      <c r="S2267" s="42" t="s">
        <v>6912</v>
      </c>
      <c r="T2267" s="3" t="s">
        <v>4868</v>
      </c>
      <c r="U2267" s="45">
        <v>35</v>
      </c>
      <c r="V2267" t="s">
        <v>8027</v>
      </c>
      <c r="W2267" s="1" t="str">
        <f>HYPERLINK("http://ictvonline.org/taxonomy/p/taxonomy-history?taxnode_id=201903993","ICTVonline=201903993")</f>
        <v>ICTVonline=201903993</v>
      </c>
    </row>
    <row r="2268" spans="1:23">
      <c r="A2268" s="3">
        <v>2267</v>
      </c>
      <c r="B2268" s="1" t="s">
        <v>8017</v>
      </c>
      <c r="D2268" s="1" t="s">
        <v>8049</v>
      </c>
      <c r="F2268" s="1" t="s">
        <v>8050</v>
      </c>
      <c r="H2268" s="1" t="s">
        <v>8053</v>
      </c>
      <c r="J2268" s="1" t="s">
        <v>8060</v>
      </c>
      <c r="L2268" s="1" t="s">
        <v>825</v>
      </c>
      <c r="M2268" s="1" t="s">
        <v>5442</v>
      </c>
      <c r="N2268" s="1" t="s">
        <v>859</v>
      </c>
      <c r="P2268" s="1" t="s">
        <v>123</v>
      </c>
      <c r="Q2268" s="3">
        <v>0</v>
      </c>
      <c r="R2268" s="22" t="s">
        <v>2721</v>
      </c>
      <c r="S2268" s="42" t="s">
        <v>6912</v>
      </c>
      <c r="T2268" s="3" t="s">
        <v>4868</v>
      </c>
      <c r="U2268" s="45">
        <v>35</v>
      </c>
      <c r="V2268" t="s">
        <v>8027</v>
      </c>
      <c r="W2268" s="1" t="str">
        <f>HYPERLINK("http://ictvonline.org/taxonomy/p/taxonomy-history?taxnode_id=201903994","ICTVonline=201903994")</f>
        <v>ICTVonline=201903994</v>
      </c>
    </row>
    <row r="2269" spans="1:23">
      <c r="A2269" s="3">
        <v>2268</v>
      </c>
      <c r="B2269" s="1" t="s">
        <v>8017</v>
      </c>
      <c r="D2269" s="1" t="s">
        <v>8049</v>
      </c>
      <c r="F2269" s="1" t="s">
        <v>8050</v>
      </c>
      <c r="H2269" s="1" t="s">
        <v>8053</v>
      </c>
      <c r="J2269" s="1" t="s">
        <v>8060</v>
      </c>
      <c r="L2269" s="1" t="s">
        <v>825</v>
      </c>
      <c r="M2269" s="1" t="s">
        <v>5442</v>
      </c>
      <c r="N2269" s="1" t="s">
        <v>124</v>
      </c>
      <c r="P2269" s="1" t="s">
        <v>125</v>
      </c>
      <c r="Q2269" s="3">
        <v>1</v>
      </c>
      <c r="R2269" s="22" t="s">
        <v>2721</v>
      </c>
      <c r="S2269" s="42" t="s">
        <v>6912</v>
      </c>
      <c r="T2269" s="3" t="s">
        <v>4868</v>
      </c>
      <c r="U2269" s="45">
        <v>35</v>
      </c>
      <c r="V2269" t="s">
        <v>8027</v>
      </c>
      <c r="W2269" s="1" t="str">
        <f>HYPERLINK("http://ictvonline.org/taxonomy/p/taxonomy-history?taxnode_id=201903996","ICTVonline=201903996")</f>
        <v>ICTVonline=201903996</v>
      </c>
    </row>
    <row r="2270" spans="1:23">
      <c r="A2270" s="3">
        <v>2269</v>
      </c>
      <c r="B2270" s="1" t="s">
        <v>8017</v>
      </c>
      <c r="D2270" s="1" t="s">
        <v>8049</v>
      </c>
      <c r="F2270" s="1" t="s">
        <v>8050</v>
      </c>
      <c r="H2270" s="1" t="s">
        <v>8053</v>
      </c>
      <c r="J2270" s="1" t="s">
        <v>8060</v>
      </c>
      <c r="L2270" s="1" t="s">
        <v>825</v>
      </c>
      <c r="M2270" s="1" t="s">
        <v>5442</v>
      </c>
      <c r="N2270" s="1" t="s">
        <v>124</v>
      </c>
      <c r="P2270" s="1" t="s">
        <v>126</v>
      </c>
      <c r="Q2270" s="3">
        <v>0</v>
      </c>
      <c r="R2270" s="22" t="s">
        <v>2721</v>
      </c>
      <c r="S2270" s="42" t="s">
        <v>6912</v>
      </c>
      <c r="T2270" s="3" t="s">
        <v>4868</v>
      </c>
      <c r="U2270" s="45">
        <v>35</v>
      </c>
      <c r="V2270" t="s">
        <v>8027</v>
      </c>
      <c r="W2270" s="1" t="str">
        <f>HYPERLINK("http://ictvonline.org/taxonomy/p/taxonomy-history?taxnode_id=201903997","ICTVonline=201903997")</f>
        <v>ICTVonline=201903997</v>
      </c>
    </row>
    <row r="2271" spans="1:23">
      <c r="A2271" s="3">
        <v>2270</v>
      </c>
      <c r="B2271" s="1" t="s">
        <v>8017</v>
      </c>
      <c r="D2271" s="1" t="s">
        <v>8049</v>
      </c>
      <c r="F2271" s="1" t="s">
        <v>8050</v>
      </c>
      <c r="H2271" s="1" t="s">
        <v>8053</v>
      </c>
      <c r="J2271" s="1" t="s">
        <v>8060</v>
      </c>
      <c r="L2271" s="1" t="s">
        <v>825</v>
      </c>
      <c r="M2271" s="1" t="s">
        <v>5442</v>
      </c>
      <c r="N2271" s="1" t="s">
        <v>124</v>
      </c>
      <c r="P2271" s="1" t="s">
        <v>2470</v>
      </c>
      <c r="Q2271" s="3">
        <v>0</v>
      </c>
      <c r="R2271" s="22" t="s">
        <v>2721</v>
      </c>
      <c r="S2271" s="42" t="s">
        <v>6912</v>
      </c>
      <c r="T2271" s="3" t="s">
        <v>4868</v>
      </c>
      <c r="U2271" s="45">
        <v>35</v>
      </c>
      <c r="V2271" t="s">
        <v>8027</v>
      </c>
      <c r="W2271" s="1" t="str">
        <f>HYPERLINK("http://ictvonline.org/taxonomy/p/taxonomy-history?taxnode_id=201903998","ICTVonline=201903998")</f>
        <v>ICTVonline=201903998</v>
      </c>
    </row>
    <row r="2272" spans="1:23">
      <c r="A2272" s="3">
        <v>2271</v>
      </c>
      <c r="B2272" s="1" t="s">
        <v>8017</v>
      </c>
      <c r="D2272" s="1" t="s">
        <v>8049</v>
      </c>
      <c r="F2272" s="1" t="s">
        <v>8050</v>
      </c>
      <c r="H2272" s="1" t="s">
        <v>8053</v>
      </c>
      <c r="J2272" s="1" t="s">
        <v>8060</v>
      </c>
      <c r="L2272" s="1" t="s">
        <v>825</v>
      </c>
      <c r="M2272" s="1" t="s">
        <v>5442</v>
      </c>
      <c r="N2272" s="1" t="s">
        <v>1869</v>
      </c>
      <c r="P2272" s="1" t="s">
        <v>127</v>
      </c>
      <c r="Q2272" s="3">
        <v>1</v>
      </c>
      <c r="R2272" s="22" t="s">
        <v>2721</v>
      </c>
      <c r="S2272" s="42" t="s">
        <v>6912</v>
      </c>
      <c r="T2272" s="3" t="s">
        <v>4868</v>
      </c>
      <c r="U2272" s="45">
        <v>35</v>
      </c>
      <c r="V2272" t="s">
        <v>8027</v>
      </c>
      <c r="W2272" s="1" t="str">
        <f>HYPERLINK("http://ictvonline.org/taxonomy/p/taxonomy-history?taxnode_id=201904000","ICTVonline=201904000")</f>
        <v>ICTVonline=201904000</v>
      </c>
    </row>
    <row r="2273" spans="1:23">
      <c r="A2273" s="3">
        <v>2272</v>
      </c>
      <c r="B2273" s="1" t="s">
        <v>8017</v>
      </c>
      <c r="D2273" s="1" t="s">
        <v>8049</v>
      </c>
      <c r="F2273" s="1" t="s">
        <v>8050</v>
      </c>
      <c r="H2273" s="1" t="s">
        <v>8053</v>
      </c>
      <c r="J2273" s="1" t="s">
        <v>8060</v>
      </c>
      <c r="L2273" s="1" t="s">
        <v>825</v>
      </c>
      <c r="M2273" s="1" t="s">
        <v>5442</v>
      </c>
      <c r="N2273" s="1" t="s">
        <v>1869</v>
      </c>
      <c r="P2273" s="1" t="s">
        <v>128</v>
      </c>
      <c r="Q2273" s="3">
        <v>0</v>
      </c>
      <c r="R2273" s="22" t="s">
        <v>2721</v>
      </c>
      <c r="S2273" s="42" t="s">
        <v>6912</v>
      </c>
      <c r="T2273" s="3" t="s">
        <v>4868</v>
      </c>
      <c r="U2273" s="45">
        <v>35</v>
      </c>
      <c r="V2273" t="s">
        <v>8027</v>
      </c>
      <c r="W2273" s="1" t="str">
        <f>HYPERLINK("http://ictvonline.org/taxonomy/p/taxonomy-history?taxnode_id=201904001","ICTVonline=201904001")</f>
        <v>ICTVonline=201904001</v>
      </c>
    </row>
    <row r="2274" spans="1:23">
      <c r="A2274" s="3">
        <v>2273</v>
      </c>
      <c r="B2274" s="1" t="s">
        <v>8017</v>
      </c>
      <c r="D2274" s="1" t="s">
        <v>8049</v>
      </c>
      <c r="F2274" s="1" t="s">
        <v>8050</v>
      </c>
      <c r="H2274" s="1" t="s">
        <v>8053</v>
      </c>
      <c r="J2274" s="1" t="s">
        <v>8060</v>
      </c>
      <c r="L2274" s="1" t="s">
        <v>825</v>
      </c>
      <c r="M2274" s="1" t="s">
        <v>5442</v>
      </c>
      <c r="N2274" s="1" t="s">
        <v>1869</v>
      </c>
      <c r="P2274" s="1" t="s">
        <v>129</v>
      </c>
      <c r="Q2274" s="3">
        <v>0</v>
      </c>
      <c r="R2274" s="22" t="s">
        <v>2721</v>
      </c>
      <c r="S2274" s="42" t="s">
        <v>6912</v>
      </c>
      <c r="T2274" s="3" t="s">
        <v>4868</v>
      </c>
      <c r="U2274" s="45">
        <v>35</v>
      </c>
      <c r="V2274" t="s">
        <v>8027</v>
      </c>
      <c r="W2274" s="1" t="str">
        <f>HYPERLINK("http://ictvonline.org/taxonomy/p/taxonomy-history?taxnode_id=201904002","ICTVonline=201904002")</f>
        <v>ICTVonline=201904002</v>
      </c>
    </row>
    <row r="2275" spans="1:23">
      <c r="A2275" s="3">
        <v>2274</v>
      </c>
      <c r="B2275" s="1" t="s">
        <v>8017</v>
      </c>
      <c r="D2275" s="1" t="s">
        <v>8049</v>
      </c>
      <c r="F2275" s="1" t="s">
        <v>8050</v>
      </c>
      <c r="H2275" s="1" t="s">
        <v>8053</v>
      </c>
      <c r="J2275" s="1" t="s">
        <v>8060</v>
      </c>
      <c r="L2275" s="1" t="s">
        <v>825</v>
      </c>
      <c r="M2275" s="1" t="s">
        <v>5442</v>
      </c>
      <c r="N2275" s="1" t="s">
        <v>1869</v>
      </c>
      <c r="P2275" s="1" t="s">
        <v>130</v>
      </c>
      <c r="Q2275" s="3">
        <v>0</v>
      </c>
      <c r="R2275" s="22" t="s">
        <v>2721</v>
      </c>
      <c r="S2275" s="42" t="s">
        <v>6912</v>
      </c>
      <c r="T2275" s="3" t="s">
        <v>4868</v>
      </c>
      <c r="U2275" s="45">
        <v>35</v>
      </c>
      <c r="V2275" t="s">
        <v>8027</v>
      </c>
      <c r="W2275" s="1" t="str">
        <f>HYPERLINK("http://ictvonline.org/taxonomy/p/taxonomy-history?taxnode_id=201904003","ICTVonline=201904003")</f>
        <v>ICTVonline=201904003</v>
      </c>
    </row>
    <row r="2276" spans="1:23">
      <c r="A2276" s="3">
        <v>2275</v>
      </c>
      <c r="B2276" s="1" t="s">
        <v>8017</v>
      </c>
      <c r="D2276" s="1" t="s">
        <v>8049</v>
      </c>
      <c r="F2276" s="1" t="s">
        <v>8050</v>
      </c>
      <c r="H2276" s="1" t="s">
        <v>8053</v>
      </c>
      <c r="J2276" s="1" t="s">
        <v>8060</v>
      </c>
      <c r="L2276" s="1" t="s">
        <v>825</v>
      </c>
      <c r="M2276" s="1" t="s">
        <v>5442</v>
      </c>
      <c r="N2276" s="1" t="s">
        <v>1869</v>
      </c>
      <c r="P2276" s="1" t="s">
        <v>131</v>
      </c>
      <c r="Q2276" s="3">
        <v>0</v>
      </c>
      <c r="R2276" s="22" t="s">
        <v>2721</v>
      </c>
      <c r="S2276" s="42" t="s">
        <v>6912</v>
      </c>
      <c r="T2276" s="3" t="s">
        <v>4868</v>
      </c>
      <c r="U2276" s="45">
        <v>35</v>
      </c>
      <c r="V2276" t="s">
        <v>8027</v>
      </c>
      <c r="W2276" s="1" t="str">
        <f>HYPERLINK("http://ictvonline.org/taxonomy/p/taxonomy-history?taxnode_id=201904004","ICTVonline=201904004")</f>
        <v>ICTVonline=201904004</v>
      </c>
    </row>
    <row r="2277" spans="1:23">
      <c r="A2277" s="3">
        <v>2276</v>
      </c>
      <c r="B2277" s="1" t="s">
        <v>8017</v>
      </c>
      <c r="D2277" s="1" t="s">
        <v>8049</v>
      </c>
      <c r="F2277" s="1" t="s">
        <v>8050</v>
      </c>
      <c r="H2277" s="1" t="s">
        <v>8053</v>
      </c>
      <c r="J2277" s="1" t="s">
        <v>8060</v>
      </c>
      <c r="L2277" s="1" t="s">
        <v>825</v>
      </c>
      <c r="M2277" s="1" t="s">
        <v>5442</v>
      </c>
      <c r="N2277" s="1" t="s">
        <v>1869</v>
      </c>
      <c r="P2277" s="1" t="s">
        <v>2471</v>
      </c>
      <c r="Q2277" s="3">
        <v>0</v>
      </c>
      <c r="R2277" s="22" t="s">
        <v>2721</v>
      </c>
      <c r="S2277" s="42" t="s">
        <v>6912</v>
      </c>
      <c r="T2277" s="3" t="s">
        <v>4868</v>
      </c>
      <c r="U2277" s="45">
        <v>35</v>
      </c>
      <c r="V2277" t="s">
        <v>8027</v>
      </c>
      <c r="W2277" s="1" t="str">
        <f>HYPERLINK("http://ictvonline.org/taxonomy/p/taxonomy-history?taxnode_id=201904005","ICTVonline=201904005")</f>
        <v>ICTVonline=201904005</v>
      </c>
    </row>
    <row r="2278" spans="1:23">
      <c r="A2278" s="3">
        <v>2277</v>
      </c>
      <c r="B2278" s="1" t="s">
        <v>8017</v>
      </c>
      <c r="D2278" s="1" t="s">
        <v>8049</v>
      </c>
      <c r="F2278" s="1" t="s">
        <v>8050</v>
      </c>
      <c r="H2278" s="1" t="s">
        <v>8053</v>
      </c>
      <c r="J2278" s="1" t="s">
        <v>8060</v>
      </c>
      <c r="L2278" s="1" t="s">
        <v>825</v>
      </c>
      <c r="M2278" s="1" t="s">
        <v>5442</v>
      </c>
      <c r="N2278" s="1" t="s">
        <v>1869</v>
      </c>
      <c r="P2278" s="1" t="s">
        <v>5443</v>
      </c>
      <c r="Q2278" s="3">
        <v>0</v>
      </c>
      <c r="R2278" s="22" t="s">
        <v>2721</v>
      </c>
      <c r="S2278" s="42" t="s">
        <v>6912</v>
      </c>
      <c r="T2278" s="3" t="s">
        <v>4868</v>
      </c>
      <c r="U2278" s="45">
        <v>35</v>
      </c>
      <c r="V2278" t="s">
        <v>8027</v>
      </c>
      <c r="W2278" s="1" t="str">
        <f>HYPERLINK("http://ictvonline.org/taxonomy/p/taxonomy-history?taxnode_id=201905864","ICTVonline=201905864")</f>
        <v>ICTVonline=201905864</v>
      </c>
    </row>
    <row r="2279" spans="1:23">
      <c r="A2279" s="3">
        <v>2278</v>
      </c>
      <c r="B2279" s="1" t="s">
        <v>8017</v>
      </c>
      <c r="D2279" s="1" t="s">
        <v>8049</v>
      </c>
      <c r="F2279" s="1" t="s">
        <v>8050</v>
      </c>
      <c r="H2279" s="1" t="s">
        <v>8053</v>
      </c>
      <c r="J2279" s="1" t="s">
        <v>8060</v>
      </c>
      <c r="L2279" s="1" t="s">
        <v>825</v>
      </c>
      <c r="M2279" s="1" t="s">
        <v>5442</v>
      </c>
      <c r="N2279" s="1" t="s">
        <v>3834</v>
      </c>
      <c r="P2279" s="1" t="s">
        <v>3835</v>
      </c>
      <c r="Q2279" s="3">
        <v>1</v>
      </c>
      <c r="R2279" s="22" t="s">
        <v>2721</v>
      </c>
      <c r="S2279" s="42" t="s">
        <v>6912</v>
      </c>
      <c r="T2279" s="3" t="s">
        <v>4868</v>
      </c>
      <c r="U2279" s="45">
        <v>35</v>
      </c>
      <c r="V2279" t="s">
        <v>8027</v>
      </c>
      <c r="W2279" s="1" t="str">
        <f>HYPERLINK("http://ictvonline.org/taxonomy/p/taxonomy-history?taxnode_id=201904007","ICTVonline=201904007")</f>
        <v>ICTVonline=201904007</v>
      </c>
    </row>
    <row r="2280" spans="1:23">
      <c r="A2280" s="3">
        <v>2279</v>
      </c>
      <c r="B2280" s="1" t="s">
        <v>8017</v>
      </c>
      <c r="D2280" s="1" t="s">
        <v>8049</v>
      </c>
      <c r="F2280" s="1" t="s">
        <v>8050</v>
      </c>
      <c r="H2280" s="1" t="s">
        <v>8053</v>
      </c>
      <c r="J2280" s="1" t="s">
        <v>8060</v>
      </c>
      <c r="L2280" s="1" t="s">
        <v>825</v>
      </c>
      <c r="M2280" s="1" t="s">
        <v>5442</v>
      </c>
      <c r="N2280" s="1" t="s">
        <v>132</v>
      </c>
      <c r="P2280" s="1" t="s">
        <v>133</v>
      </c>
      <c r="Q2280" s="3">
        <v>1</v>
      </c>
      <c r="R2280" s="22" t="s">
        <v>2721</v>
      </c>
      <c r="S2280" s="42" t="s">
        <v>6912</v>
      </c>
      <c r="T2280" s="3" t="s">
        <v>4868</v>
      </c>
      <c r="U2280" s="45">
        <v>35</v>
      </c>
      <c r="V2280" t="s">
        <v>8027</v>
      </c>
      <c r="W2280" s="1" t="str">
        <f>HYPERLINK("http://ictvonline.org/taxonomy/p/taxonomy-history?taxnode_id=201904009","ICTVonline=201904009")</f>
        <v>ICTVonline=201904009</v>
      </c>
    </row>
    <row r="2281" spans="1:23">
      <c r="A2281" s="3">
        <v>2280</v>
      </c>
      <c r="B2281" s="1" t="s">
        <v>8017</v>
      </c>
      <c r="D2281" s="1" t="s">
        <v>8049</v>
      </c>
      <c r="F2281" s="1" t="s">
        <v>8050</v>
      </c>
      <c r="H2281" s="1" t="s">
        <v>8053</v>
      </c>
      <c r="J2281" s="1" t="s">
        <v>8060</v>
      </c>
      <c r="L2281" s="1" t="s">
        <v>825</v>
      </c>
      <c r="M2281" s="1" t="s">
        <v>5442</v>
      </c>
      <c r="N2281" s="1" t="s">
        <v>134</v>
      </c>
      <c r="P2281" s="1" t="s">
        <v>135</v>
      </c>
      <c r="Q2281" s="3">
        <v>1</v>
      </c>
      <c r="R2281" s="22" t="s">
        <v>2721</v>
      </c>
      <c r="S2281" s="42" t="s">
        <v>6912</v>
      </c>
      <c r="T2281" s="3" t="s">
        <v>4868</v>
      </c>
      <c r="U2281" s="45">
        <v>35</v>
      </c>
      <c r="V2281" t="s">
        <v>8027</v>
      </c>
      <c r="W2281" s="1" t="str">
        <f>HYPERLINK("http://ictvonline.org/taxonomy/p/taxonomy-history?taxnode_id=201904011","ICTVonline=201904011")</f>
        <v>ICTVonline=201904011</v>
      </c>
    </row>
    <row r="2282" spans="1:23">
      <c r="A2282" s="3">
        <v>2281</v>
      </c>
      <c r="B2282" s="1" t="s">
        <v>8017</v>
      </c>
      <c r="D2282" s="1" t="s">
        <v>8049</v>
      </c>
      <c r="F2282" s="1" t="s">
        <v>8050</v>
      </c>
      <c r="H2282" s="1" t="s">
        <v>8053</v>
      </c>
      <c r="J2282" s="1" t="s">
        <v>8060</v>
      </c>
      <c r="L2282" s="1" t="s">
        <v>825</v>
      </c>
      <c r="M2282" s="1" t="s">
        <v>5442</v>
      </c>
      <c r="N2282" s="1" t="s">
        <v>136</v>
      </c>
      <c r="P2282" s="1" t="s">
        <v>137</v>
      </c>
      <c r="Q2282" s="3">
        <v>1</v>
      </c>
      <c r="R2282" s="22" t="s">
        <v>2721</v>
      </c>
      <c r="S2282" s="42" t="s">
        <v>6912</v>
      </c>
      <c r="T2282" s="3" t="s">
        <v>4868</v>
      </c>
      <c r="U2282" s="45">
        <v>35</v>
      </c>
      <c r="V2282" t="s">
        <v>8027</v>
      </c>
      <c r="W2282" s="1" t="str">
        <f>HYPERLINK("http://ictvonline.org/taxonomy/p/taxonomy-history?taxnode_id=201904013","ICTVonline=201904013")</f>
        <v>ICTVonline=201904013</v>
      </c>
    </row>
    <row r="2283" spans="1:23">
      <c r="A2283" s="3">
        <v>2282</v>
      </c>
      <c r="B2283" s="1" t="s">
        <v>8017</v>
      </c>
      <c r="D2283" s="1" t="s">
        <v>8049</v>
      </c>
      <c r="F2283" s="1" t="s">
        <v>8050</v>
      </c>
      <c r="H2283" s="1" t="s">
        <v>8053</v>
      </c>
      <c r="J2283" s="1" t="s">
        <v>8060</v>
      </c>
      <c r="L2283" s="1" t="s">
        <v>825</v>
      </c>
      <c r="M2283" s="1" t="s">
        <v>5442</v>
      </c>
      <c r="N2283" s="1" t="s">
        <v>138</v>
      </c>
      <c r="P2283" s="1" t="s">
        <v>139</v>
      </c>
      <c r="Q2283" s="3">
        <v>1</v>
      </c>
      <c r="R2283" s="22" t="s">
        <v>2721</v>
      </c>
      <c r="S2283" s="42" t="s">
        <v>6912</v>
      </c>
      <c r="T2283" s="3" t="s">
        <v>4868</v>
      </c>
      <c r="U2283" s="45">
        <v>35</v>
      </c>
      <c r="V2283" t="s">
        <v>8027</v>
      </c>
      <c r="W2283" s="1" t="str">
        <f>HYPERLINK("http://ictvonline.org/taxonomy/p/taxonomy-history?taxnode_id=201904015","ICTVonline=201904015")</f>
        <v>ICTVonline=201904015</v>
      </c>
    </row>
    <row r="2284" spans="1:23">
      <c r="A2284" s="3">
        <v>2283</v>
      </c>
      <c r="B2284" s="1" t="s">
        <v>8017</v>
      </c>
      <c r="D2284" s="1" t="s">
        <v>8049</v>
      </c>
      <c r="F2284" s="1" t="s">
        <v>8050</v>
      </c>
      <c r="H2284" s="1" t="s">
        <v>8053</v>
      </c>
      <c r="J2284" s="1" t="s">
        <v>8060</v>
      </c>
      <c r="L2284" s="1" t="s">
        <v>825</v>
      </c>
      <c r="M2284" s="1" t="s">
        <v>5442</v>
      </c>
      <c r="N2284" s="1" t="s">
        <v>138</v>
      </c>
      <c r="P2284" s="1" t="s">
        <v>2472</v>
      </c>
      <c r="Q2284" s="3">
        <v>0</v>
      </c>
      <c r="R2284" s="22" t="s">
        <v>2721</v>
      </c>
      <c r="S2284" s="42" t="s">
        <v>6912</v>
      </c>
      <c r="T2284" s="3" t="s">
        <v>4868</v>
      </c>
      <c r="U2284" s="45">
        <v>35</v>
      </c>
      <c r="V2284" t="s">
        <v>8027</v>
      </c>
      <c r="W2284" s="1" t="str">
        <f>HYPERLINK("http://ictvonline.org/taxonomy/p/taxonomy-history?taxnode_id=201904016","ICTVonline=201904016")</f>
        <v>ICTVonline=201904016</v>
      </c>
    </row>
    <row r="2285" spans="1:23">
      <c r="A2285" s="3">
        <v>2284</v>
      </c>
      <c r="B2285" s="1" t="s">
        <v>8017</v>
      </c>
      <c r="D2285" s="1" t="s">
        <v>8049</v>
      </c>
      <c r="F2285" s="1" t="s">
        <v>8050</v>
      </c>
      <c r="H2285" s="1" t="s">
        <v>8053</v>
      </c>
      <c r="J2285" s="1" t="s">
        <v>8060</v>
      </c>
      <c r="L2285" s="1" t="s">
        <v>825</v>
      </c>
      <c r="M2285" s="1" t="s">
        <v>5442</v>
      </c>
      <c r="N2285" s="1" t="s">
        <v>2473</v>
      </c>
      <c r="P2285" s="1" t="s">
        <v>2474</v>
      </c>
      <c r="Q2285" s="3">
        <v>1</v>
      </c>
      <c r="R2285" s="22" t="s">
        <v>2721</v>
      </c>
      <c r="S2285" s="42" t="s">
        <v>6912</v>
      </c>
      <c r="T2285" s="3" t="s">
        <v>4868</v>
      </c>
      <c r="U2285" s="45">
        <v>35</v>
      </c>
      <c r="V2285" t="s">
        <v>8027</v>
      </c>
      <c r="W2285" s="1" t="str">
        <f>HYPERLINK("http://ictvonline.org/taxonomy/p/taxonomy-history?taxnode_id=201904018","ICTVonline=201904018")</f>
        <v>ICTVonline=201904018</v>
      </c>
    </row>
    <row r="2286" spans="1:23">
      <c r="A2286" s="3">
        <v>2285</v>
      </c>
      <c r="B2286" s="1" t="s">
        <v>8017</v>
      </c>
      <c r="D2286" s="1" t="s">
        <v>8049</v>
      </c>
      <c r="F2286" s="1" t="s">
        <v>8050</v>
      </c>
      <c r="H2286" s="1" t="s">
        <v>8053</v>
      </c>
      <c r="J2286" s="1" t="s">
        <v>8060</v>
      </c>
      <c r="L2286" s="1" t="s">
        <v>825</v>
      </c>
      <c r="M2286" s="1" t="s">
        <v>5442</v>
      </c>
      <c r="N2286" s="1" t="s">
        <v>2473</v>
      </c>
      <c r="P2286" s="1" t="s">
        <v>3836</v>
      </c>
      <c r="Q2286" s="3">
        <v>0</v>
      </c>
      <c r="R2286" s="22" t="s">
        <v>2721</v>
      </c>
      <c r="S2286" s="42" t="s">
        <v>6912</v>
      </c>
      <c r="T2286" s="3" t="s">
        <v>4868</v>
      </c>
      <c r="U2286" s="45">
        <v>35</v>
      </c>
      <c r="V2286" t="s">
        <v>8027</v>
      </c>
      <c r="W2286" s="1" t="str">
        <f>HYPERLINK("http://ictvonline.org/taxonomy/p/taxonomy-history?taxnode_id=201904019","ICTVonline=201904019")</f>
        <v>ICTVonline=201904019</v>
      </c>
    </row>
    <row r="2287" spans="1:23">
      <c r="A2287" s="3">
        <v>2286</v>
      </c>
      <c r="B2287" s="1" t="s">
        <v>8017</v>
      </c>
      <c r="D2287" s="1" t="s">
        <v>8049</v>
      </c>
      <c r="F2287" s="1" t="s">
        <v>8050</v>
      </c>
      <c r="H2287" s="1" t="s">
        <v>8053</v>
      </c>
      <c r="J2287" s="1" t="s">
        <v>8060</v>
      </c>
      <c r="L2287" s="1" t="s">
        <v>825</v>
      </c>
      <c r="M2287" s="1" t="s">
        <v>5442</v>
      </c>
      <c r="N2287" s="1" t="s">
        <v>2473</v>
      </c>
      <c r="P2287" s="1" t="s">
        <v>5444</v>
      </c>
      <c r="Q2287" s="3">
        <v>0</v>
      </c>
      <c r="R2287" s="22" t="s">
        <v>2721</v>
      </c>
      <c r="S2287" s="42" t="s">
        <v>6912</v>
      </c>
      <c r="T2287" s="3" t="s">
        <v>4868</v>
      </c>
      <c r="U2287" s="45">
        <v>35</v>
      </c>
      <c r="V2287" t="s">
        <v>8027</v>
      </c>
      <c r="W2287" s="1" t="str">
        <f>HYPERLINK("http://ictvonline.org/taxonomy/p/taxonomy-history?taxnode_id=201905865","ICTVonline=201905865")</f>
        <v>ICTVonline=201905865</v>
      </c>
    </row>
    <row r="2288" spans="1:23">
      <c r="A2288" s="3">
        <v>2287</v>
      </c>
      <c r="B2288" s="1" t="s">
        <v>8017</v>
      </c>
      <c r="D2288" s="1" t="s">
        <v>8049</v>
      </c>
      <c r="F2288" s="1" t="s">
        <v>8050</v>
      </c>
      <c r="H2288" s="1" t="s">
        <v>8053</v>
      </c>
      <c r="J2288" s="1" t="s">
        <v>8060</v>
      </c>
      <c r="L2288" s="1" t="s">
        <v>825</v>
      </c>
      <c r="M2288" s="1" t="s">
        <v>5442</v>
      </c>
      <c r="N2288" s="1" t="s">
        <v>2473</v>
      </c>
      <c r="P2288" s="1" t="s">
        <v>5445</v>
      </c>
      <c r="Q2288" s="3">
        <v>0</v>
      </c>
      <c r="R2288" s="22" t="s">
        <v>2721</v>
      </c>
      <c r="S2288" s="42" t="s">
        <v>6912</v>
      </c>
      <c r="T2288" s="3" t="s">
        <v>4868</v>
      </c>
      <c r="U2288" s="45">
        <v>35</v>
      </c>
      <c r="V2288" t="s">
        <v>8027</v>
      </c>
      <c r="W2288" s="1" t="str">
        <f>HYPERLINK("http://ictvonline.org/taxonomy/p/taxonomy-history?taxnode_id=201905866","ICTVonline=201905866")</f>
        <v>ICTVonline=201905866</v>
      </c>
    </row>
    <row r="2289" spans="1:23">
      <c r="A2289" s="3">
        <v>2288</v>
      </c>
      <c r="B2289" s="1" t="s">
        <v>8017</v>
      </c>
      <c r="D2289" s="1" t="s">
        <v>8049</v>
      </c>
      <c r="F2289" s="1" t="s">
        <v>8050</v>
      </c>
      <c r="H2289" s="1" t="s">
        <v>8053</v>
      </c>
      <c r="J2289" s="1" t="s">
        <v>8060</v>
      </c>
      <c r="L2289" s="1" t="s">
        <v>825</v>
      </c>
      <c r="M2289" s="1" t="s">
        <v>5442</v>
      </c>
      <c r="N2289" s="1" t="s">
        <v>2473</v>
      </c>
      <c r="P2289" s="1" t="s">
        <v>5446</v>
      </c>
      <c r="Q2289" s="3">
        <v>0</v>
      </c>
      <c r="R2289" s="22" t="s">
        <v>2721</v>
      </c>
      <c r="S2289" s="42" t="s">
        <v>6912</v>
      </c>
      <c r="T2289" s="3" t="s">
        <v>4868</v>
      </c>
      <c r="U2289" s="45">
        <v>35</v>
      </c>
      <c r="V2289" t="s">
        <v>8027</v>
      </c>
      <c r="W2289" s="1" t="str">
        <f>HYPERLINK("http://ictvonline.org/taxonomy/p/taxonomy-history?taxnode_id=201905867","ICTVonline=201905867")</f>
        <v>ICTVonline=201905867</v>
      </c>
    </row>
    <row r="2290" spans="1:23">
      <c r="A2290" s="3">
        <v>2289</v>
      </c>
      <c r="B2290" s="1" t="s">
        <v>8017</v>
      </c>
      <c r="D2290" s="1" t="s">
        <v>8049</v>
      </c>
      <c r="F2290" s="1" t="s">
        <v>8050</v>
      </c>
      <c r="H2290" s="1" t="s">
        <v>8053</v>
      </c>
      <c r="J2290" s="1" t="s">
        <v>8060</v>
      </c>
      <c r="L2290" s="1" t="s">
        <v>825</v>
      </c>
      <c r="M2290" s="1" t="s">
        <v>5442</v>
      </c>
      <c r="N2290" s="1" t="s">
        <v>2475</v>
      </c>
      <c r="P2290" s="1" t="s">
        <v>2476</v>
      </c>
      <c r="Q2290" s="3">
        <v>1</v>
      </c>
      <c r="R2290" s="22" t="s">
        <v>2721</v>
      </c>
      <c r="S2290" s="42" t="s">
        <v>6912</v>
      </c>
      <c r="T2290" s="3" t="s">
        <v>4868</v>
      </c>
      <c r="U2290" s="45">
        <v>35</v>
      </c>
      <c r="V2290" t="s">
        <v>8027</v>
      </c>
      <c r="W2290" s="1" t="str">
        <f>HYPERLINK("http://ictvonline.org/taxonomy/p/taxonomy-history?taxnode_id=201904021","ICTVonline=201904021")</f>
        <v>ICTVonline=201904021</v>
      </c>
    </row>
    <row r="2291" spans="1:23">
      <c r="A2291" s="3">
        <v>2290</v>
      </c>
      <c r="B2291" s="1" t="s">
        <v>8017</v>
      </c>
      <c r="D2291" s="1" t="s">
        <v>8049</v>
      </c>
      <c r="F2291" s="1" t="s">
        <v>8050</v>
      </c>
      <c r="H2291" s="1" t="s">
        <v>8053</v>
      </c>
      <c r="J2291" s="1" t="s">
        <v>8060</v>
      </c>
      <c r="L2291" s="1" t="s">
        <v>825</v>
      </c>
      <c r="M2291" s="1" t="s">
        <v>5442</v>
      </c>
      <c r="N2291" s="1" t="s">
        <v>2477</v>
      </c>
      <c r="P2291" s="1" t="s">
        <v>2478</v>
      </c>
      <c r="Q2291" s="3">
        <v>1</v>
      </c>
      <c r="R2291" s="22" t="s">
        <v>2721</v>
      </c>
      <c r="S2291" s="42" t="s">
        <v>6912</v>
      </c>
      <c r="T2291" s="3" t="s">
        <v>4868</v>
      </c>
      <c r="U2291" s="45">
        <v>35</v>
      </c>
      <c r="V2291" t="s">
        <v>8027</v>
      </c>
      <c r="W2291" s="1" t="str">
        <f>HYPERLINK("http://ictvonline.org/taxonomy/p/taxonomy-history?taxnode_id=201904023","ICTVonline=201904023")</f>
        <v>ICTVonline=201904023</v>
      </c>
    </row>
    <row r="2292" spans="1:23">
      <c r="A2292" s="3">
        <v>2291</v>
      </c>
      <c r="B2292" s="1" t="s">
        <v>8017</v>
      </c>
      <c r="D2292" s="1" t="s">
        <v>8049</v>
      </c>
      <c r="F2292" s="1" t="s">
        <v>8050</v>
      </c>
      <c r="H2292" s="1" t="s">
        <v>8053</v>
      </c>
      <c r="J2292" s="1" t="s">
        <v>8060</v>
      </c>
      <c r="L2292" s="1" t="s">
        <v>825</v>
      </c>
      <c r="M2292" s="1" t="s">
        <v>5442</v>
      </c>
      <c r="N2292" s="1" t="s">
        <v>2479</v>
      </c>
      <c r="P2292" s="1" t="s">
        <v>2480</v>
      </c>
      <c r="Q2292" s="3">
        <v>1</v>
      </c>
      <c r="R2292" s="22" t="s">
        <v>2721</v>
      </c>
      <c r="S2292" s="42" t="s">
        <v>6912</v>
      </c>
      <c r="T2292" s="3" t="s">
        <v>4868</v>
      </c>
      <c r="U2292" s="45">
        <v>35</v>
      </c>
      <c r="V2292" t="s">
        <v>8027</v>
      </c>
      <c r="W2292" s="1" t="str">
        <f>HYPERLINK("http://ictvonline.org/taxonomy/p/taxonomy-history?taxnode_id=201904025","ICTVonline=201904025")</f>
        <v>ICTVonline=201904025</v>
      </c>
    </row>
    <row r="2293" spans="1:23">
      <c r="A2293" s="3">
        <v>2292</v>
      </c>
      <c r="B2293" s="1" t="s">
        <v>8017</v>
      </c>
      <c r="D2293" s="1" t="s">
        <v>8049</v>
      </c>
      <c r="F2293" s="1" t="s">
        <v>8050</v>
      </c>
      <c r="H2293" s="1" t="s">
        <v>8053</v>
      </c>
      <c r="J2293" s="1" t="s">
        <v>8060</v>
      </c>
      <c r="L2293" s="1" t="s">
        <v>825</v>
      </c>
      <c r="M2293" s="1" t="s">
        <v>5442</v>
      </c>
      <c r="N2293" s="1" t="s">
        <v>3997</v>
      </c>
      <c r="P2293" s="1" t="s">
        <v>3837</v>
      </c>
      <c r="Q2293" s="3">
        <v>1</v>
      </c>
      <c r="R2293" s="22" t="s">
        <v>2721</v>
      </c>
      <c r="S2293" s="42" t="s">
        <v>6912</v>
      </c>
      <c r="T2293" s="3" t="s">
        <v>4868</v>
      </c>
      <c r="U2293" s="45">
        <v>35</v>
      </c>
      <c r="V2293" t="s">
        <v>8027</v>
      </c>
      <c r="W2293" s="1" t="str">
        <f>HYPERLINK("http://ictvonline.org/taxonomy/p/taxonomy-history?taxnode_id=201904027","ICTVonline=201904027")</f>
        <v>ICTVonline=201904027</v>
      </c>
    </row>
    <row r="2294" spans="1:23">
      <c r="A2294" s="3">
        <v>2293</v>
      </c>
      <c r="B2294" s="1" t="s">
        <v>8017</v>
      </c>
      <c r="D2294" s="1" t="s">
        <v>8049</v>
      </c>
      <c r="F2294" s="1" t="s">
        <v>8050</v>
      </c>
      <c r="H2294" s="1" t="s">
        <v>8053</v>
      </c>
      <c r="J2294" s="1" t="s">
        <v>8060</v>
      </c>
      <c r="L2294" s="1" t="s">
        <v>825</v>
      </c>
      <c r="M2294" s="1" t="s">
        <v>5442</v>
      </c>
      <c r="N2294" s="1" t="s">
        <v>2481</v>
      </c>
      <c r="P2294" s="1" t="s">
        <v>2482</v>
      </c>
      <c r="Q2294" s="3">
        <v>1</v>
      </c>
      <c r="R2294" s="22" t="s">
        <v>2721</v>
      </c>
      <c r="S2294" s="42" t="s">
        <v>6912</v>
      </c>
      <c r="T2294" s="3" t="s">
        <v>4868</v>
      </c>
      <c r="U2294" s="45">
        <v>35</v>
      </c>
      <c r="V2294" t="s">
        <v>8027</v>
      </c>
      <c r="W2294" s="1" t="str">
        <f>HYPERLINK("http://ictvonline.org/taxonomy/p/taxonomy-history?taxnode_id=201904029","ICTVonline=201904029")</f>
        <v>ICTVonline=201904029</v>
      </c>
    </row>
    <row r="2295" spans="1:23">
      <c r="A2295" s="3">
        <v>2294</v>
      </c>
      <c r="B2295" s="1" t="s">
        <v>8017</v>
      </c>
      <c r="D2295" s="1" t="s">
        <v>8049</v>
      </c>
      <c r="F2295" s="1" t="s">
        <v>8050</v>
      </c>
      <c r="H2295" s="1" t="s">
        <v>8053</v>
      </c>
      <c r="J2295" s="1" t="s">
        <v>8060</v>
      </c>
      <c r="L2295" s="1" t="s">
        <v>825</v>
      </c>
      <c r="M2295" s="1" t="s">
        <v>5442</v>
      </c>
      <c r="N2295" s="1" t="s">
        <v>3838</v>
      </c>
      <c r="P2295" s="1" t="s">
        <v>3839</v>
      </c>
      <c r="Q2295" s="3">
        <v>1</v>
      </c>
      <c r="R2295" s="22" t="s">
        <v>2721</v>
      </c>
      <c r="S2295" s="42" t="s">
        <v>6912</v>
      </c>
      <c r="T2295" s="3" t="s">
        <v>4868</v>
      </c>
      <c r="U2295" s="45">
        <v>35</v>
      </c>
      <c r="V2295" t="s">
        <v>8027</v>
      </c>
      <c r="W2295" s="1" t="str">
        <f>HYPERLINK("http://ictvonline.org/taxonomy/p/taxonomy-history?taxnode_id=201904031","ICTVonline=201904031")</f>
        <v>ICTVonline=201904031</v>
      </c>
    </row>
    <row r="2296" spans="1:23">
      <c r="A2296" s="3">
        <v>2295</v>
      </c>
      <c r="B2296" s="1" t="s">
        <v>8017</v>
      </c>
      <c r="D2296" s="1" t="s">
        <v>8049</v>
      </c>
      <c r="F2296" s="1" t="s">
        <v>8050</v>
      </c>
      <c r="H2296" s="1" t="s">
        <v>8053</v>
      </c>
      <c r="J2296" s="1" t="s">
        <v>8060</v>
      </c>
      <c r="L2296" s="1" t="s">
        <v>825</v>
      </c>
      <c r="M2296" s="1" t="s">
        <v>5442</v>
      </c>
      <c r="N2296" s="1" t="s">
        <v>2483</v>
      </c>
      <c r="P2296" s="1" t="s">
        <v>2484</v>
      </c>
      <c r="Q2296" s="3">
        <v>1</v>
      </c>
      <c r="R2296" s="22" t="s">
        <v>2721</v>
      </c>
      <c r="S2296" s="42" t="s">
        <v>6912</v>
      </c>
      <c r="T2296" s="3" t="s">
        <v>4868</v>
      </c>
      <c r="U2296" s="45">
        <v>35</v>
      </c>
      <c r="V2296" t="s">
        <v>8027</v>
      </c>
      <c r="W2296" s="1" t="str">
        <f>HYPERLINK("http://ictvonline.org/taxonomy/p/taxonomy-history?taxnode_id=201904033","ICTVonline=201904033")</f>
        <v>ICTVonline=201904033</v>
      </c>
    </row>
    <row r="2297" spans="1:23">
      <c r="A2297" s="3">
        <v>2296</v>
      </c>
      <c r="B2297" s="1" t="s">
        <v>8017</v>
      </c>
      <c r="D2297" s="1" t="s">
        <v>8049</v>
      </c>
      <c r="F2297" s="1" t="s">
        <v>8050</v>
      </c>
      <c r="H2297" s="1" t="s">
        <v>8053</v>
      </c>
      <c r="J2297" s="1" t="s">
        <v>8060</v>
      </c>
      <c r="L2297" s="1" t="s">
        <v>825</v>
      </c>
      <c r="M2297" s="1" t="s">
        <v>5442</v>
      </c>
      <c r="N2297" s="1" t="s">
        <v>3840</v>
      </c>
      <c r="P2297" s="1" t="s">
        <v>3841</v>
      </c>
      <c r="Q2297" s="3">
        <v>1</v>
      </c>
      <c r="R2297" s="22" t="s">
        <v>2721</v>
      </c>
      <c r="S2297" s="42" t="s">
        <v>6912</v>
      </c>
      <c r="T2297" s="3" t="s">
        <v>4868</v>
      </c>
      <c r="U2297" s="45">
        <v>35</v>
      </c>
      <c r="V2297" t="s">
        <v>8027</v>
      </c>
      <c r="W2297" s="1" t="str">
        <f>HYPERLINK("http://ictvonline.org/taxonomy/p/taxonomy-history?taxnode_id=201904035","ICTVonline=201904035")</f>
        <v>ICTVonline=201904035</v>
      </c>
    </row>
    <row r="2298" spans="1:23">
      <c r="A2298" s="3">
        <v>2297</v>
      </c>
      <c r="B2298" s="1" t="s">
        <v>8017</v>
      </c>
      <c r="D2298" s="1" t="s">
        <v>8049</v>
      </c>
      <c r="F2298" s="1" t="s">
        <v>8050</v>
      </c>
      <c r="H2298" s="1" t="s">
        <v>8053</v>
      </c>
      <c r="J2298" s="1" t="s">
        <v>8060</v>
      </c>
      <c r="L2298" s="1" t="s">
        <v>825</v>
      </c>
      <c r="M2298" s="1" t="s">
        <v>5442</v>
      </c>
      <c r="N2298" s="1" t="s">
        <v>2485</v>
      </c>
      <c r="P2298" s="1" t="s">
        <v>2486</v>
      </c>
      <c r="Q2298" s="3">
        <v>1</v>
      </c>
      <c r="R2298" s="22" t="s">
        <v>2721</v>
      </c>
      <c r="S2298" s="42" t="s">
        <v>6912</v>
      </c>
      <c r="T2298" s="3" t="s">
        <v>4868</v>
      </c>
      <c r="U2298" s="45">
        <v>35</v>
      </c>
      <c r="V2298" t="s">
        <v>8027</v>
      </c>
      <c r="W2298" s="1" t="str">
        <f>HYPERLINK("http://ictvonline.org/taxonomy/p/taxonomy-history?taxnode_id=201904037","ICTVonline=201904037")</f>
        <v>ICTVonline=201904037</v>
      </c>
    </row>
    <row r="2299" spans="1:23">
      <c r="A2299" s="3">
        <v>2298</v>
      </c>
      <c r="B2299" s="1" t="s">
        <v>8017</v>
      </c>
      <c r="D2299" s="1" t="s">
        <v>8049</v>
      </c>
      <c r="F2299" s="1" t="s">
        <v>8050</v>
      </c>
      <c r="H2299" s="1" t="s">
        <v>8053</v>
      </c>
      <c r="J2299" s="1" t="s">
        <v>8060</v>
      </c>
      <c r="L2299" s="1" t="s">
        <v>825</v>
      </c>
      <c r="M2299" s="1" t="s">
        <v>5442</v>
      </c>
      <c r="N2299" s="1" t="s">
        <v>2487</v>
      </c>
      <c r="P2299" s="1" t="s">
        <v>2488</v>
      </c>
      <c r="Q2299" s="3">
        <v>1</v>
      </c>
      <c r="R2299" s="22" t="s">
        <v>2721</v>
      </c>
      <c r="S2299" s="42" t="s">
        <v>6912</v>
      </c>
      <c r="T2299" s="3" t="s">
        <v>4868</v>
      </c>
      <c r="U2299" s="45">
        <v>35</v>
      </c>
      <c r="V2299" t="s">
        <v>8027</v>
      </c>
      <c r="W2299" s="1" t="str">
        <f>HYPERLINK("http://ictvonline.org/taxonomy/p/taxonomy-history?taxnode_id=201904039","ICTVonline=201904039")</f>
        <v>ICTVonline=201904039</v>
      </c>
    </row>
    <row r="2300" spans="1:23">
      <c r="A2300" s="3">
        <v>2299</v>
      </c>
      <c r="B2300" s="1" t="s">
        <v>8017</v>
      </c>
      <c r="D2300" s="1" t="s">
        <v>8049</v>
      </c>
      <c r="F2300" s="1" t="s">
        <v>8050</v>
      </c>
      <c r="H2300" s="1" t="s">
        <v>8053</v>
      </c>
      <c r="J2300" s="1" t="s">
        <v>8060</v>
      </c>
      <c r="L2300" s="1" t="s">
        <v>825</v>
      </c>
      <c r="M2300" s="1" t="s">
        <v>5442</v>
      </c>
      <c r="N2300" s="1" t="s">
        <v>3842</v>
      </c>
      <c r="P2300" s="1" t="s">
        <v>3843</v>
      </c>
      <c r="Q2300" s="3">
        <v>1</v>
      </c>
      <c r="R2300" s="22" t="s">
        <v>2721</v>
      </c>
      <c r="S2300" s="42" t="s">
        <v>6912</v>
      </c>
      <c r="T2300" s="3" t="s">
        <v>4868</v>
      </c>
      <c r="U2300" s="45">
        <v>35</v>
      </c>
      <c r="V2300" t="s">
        <v>8027</v>
      </c>
      <c r="W2300" s="1" t="str">
        <f>HYPERLINK("http://ictvonline.org/taxonomy/p/taxonomy-history?taxnode_id=201904041","ICTVonline=201904041")</f>
        <v>ICTVonline=201904041</v>
      </c>
    </row>
    <row r="2301" spans="1:23">
      <c r="A2301" s="3">
        <v>2300</v>
      </c>
      <c r="B2301" s="1" t="s">
        <v>8017</v>
      </c>
      <c r="D2301" s="1" t="s">
        <v>8049</v>
      </c>
      <c r="F2301" s="1" t="s">
        <v>8050</v>
      </c>
      <c r="H2301" s="1" t="s">
        <v>8053</v>
      </c>
      <c r="J2301" s="1" t="s">
        <v>8060</v>
      </c>
      <c r="L2301" s="1" t="s">
        <v>825</v>
      </c>
      <c r="M2301" s="1" t="s">
        <v>5442</v>
      </c>
      <c r="N2301" s="1" t="s">
        <v>140</v>
      </c>
      <c r="P2301" s="1" t="s">
        <v>141</v>
      </c>
      <c r="Q2301" s="3">
        <v>1</v>
      </c>
      <c r="R2301" s="22" t="s">
        <v>2721</v>
      </c>
      <c r="S2301" s="42" t="s">
        <v>6912</v>
      </c>
      <c r="T2301" s="3" t="s">
        <v>4868</v>
      </c>
      <c r="U2301" s="45">
        <v>35</v>
      </c>
      <c r="V2301" t="s">
        <v>8027</v>
      </c>
      <c r="W2301" s="1" t="str">
        <f>HYPERLINK("http://ictvonline.org/taxonomy/p/taxonomy-history?taxnode_id=201904043","ICTVonline=201904043")</f>
        <v>ICTVonline=201904043</v>
      </c>
    </row>
    <row r="2302" spans="1:23">
      <c r="A2302" s="3">
        <v>2301</v>
      </c>
      <c r="B2302" s="1" t="s">
        <v>8017</v>
      </c>
      <c r="D2302" s="1" t="s">
        <v>8049</v>
      </c>
      <c r="F2302" s="1" t="s">
        <v>8050</v>
      </c>
      <c r="H2302" s="1" t="s">
        <v>8053</v>
      </c>
      <c r="J2302" s="1" t="s">
        <v>8060</v>
      </c>
      <c r="L2302" s="1" t="s">
        <v>825</v>
      </c>
      <c r="M2302" s="1" t="s">
        <v>5442</v>
      </c>
      <c r="N2302" s="1" t="s">
        <v>3844</v>
      </c>
      <c r="P2302" s="1" t="s">
        <v>3845</v>
      </c>
      <c r="Q2302" s="3">
        <v>1</v>
      </c>
      <c r="R2302" s="22" t="s">
        <v>2721</v>
      </c>
      <c r="S2302" s="42" t="s">
        <v>6912</v>
      </c>
      <c r="T2302" s="3" t="s">
        <v>4868</v>
      </c>
      <c r="U2302" s="45">
        <v>35</v>
      </c>
      <c r="V2302" t="s">
        <v>8027</v>
      </c>
      <c r="W2302" s="1" t="str">
        <f>HYPERLINK("http://ictvonline.org/taxonomy/p/taxonomy-history?taxnode_id=201904045","ICTVonline=201904045")</f>
        <v>ICTVonline=201904045</v>
      </c>
    </row>
    <row r="2303" spans="1:23">
      <c r="A2303" s="3">
        <v>2302</v>
      </c>
      <c r="B2303" s="1" t="s">
        <v>8017</v>
      </c>
      <c r="D2303" s="1" t="s">
        <v>8049</v>
      </c>
      <c r="F2303" s="1" t="s">
        <v>8050</v>
      </c>
      <c r="H2303" s="1" t="s">
        <v>8053</v>
      </c>
      <c r="J2303" s="1" t="s">
        <v>8060</v>
      </c>
      <c r="L2303" s="1" t="s">
        <v>825</v>
      </c>
      <c r="M2303" s="1" t="s">
        <v>5442</v>
      </c>
      <c r="N2303" s="1" t="s">
        <v>2489</v>
      </c>
      <c r="P2303" s="1" t="s">
        <v>2490</v>
      </c>
      <c r="Q2303" s="3">
        <v>1</v>
      </c>
      <c r="R2303" s="22" t="s">
        <v>2721</v>
      </c>
      <c r="S2303" s="42" t="s">
        <v>6912</v>
      </c>
      <c r="T2303" s="3" t="s">
        <v>4868</v>
      </c>
      <c r="U2303" s="45">
        <v>35</v>
      </c>
      <c r="V2303" t="s">
        <v>8027</v>
      </c>
      <c r="W2303" s="1" t="str">
        <f>HYPERLINK("http://ictvonline.org/taxonomy/p/taxonomy-history?taxnode_id=201904047","ICTVonline=201904047")</f>
        <v>ICTVonline=201904047</v>
      </c>
    </row>
    <row r="2304" spans="1:23">
      <c r="A2304" s="3">
        <v>2303</v>
      </c>
      <c r="B2304" s="1" t="s">
        <v>8017</v>
      </c>
      <c r="D2304" s="1" t="s">
        <v>8049</v>
      </c>
      <c r="F2304" s="1" t="s">
        <v>8050</v>
      </c>
      <c r="H2304" s="1" t="s">
        <v>8053</v>
      </c>
      <c r="J2304" s="1" t="s">
        <v>8060</v>
      </c>
      <c r="L2304" s="1" t="s">
        <v>825</v>
      </c>
      <c r="M2304" s="1" t="s">
        <v>5442</v>
      </c>
      <c r="N2304" s="1" t="s">
        <v>2489</v>
      </c>
      <c r="P2304" s="1" t="s">
        <v>5447</v>
      </c>
      <c r="Q2304" s="3">
        <v>0</v>
      </c>
      <c r="R2304" s="22" t="s">
        <v>2721</v>
      </c>
      <c r="S2304" s="42" t="s">
        <v>6912</v>
      </c>
      <c r="T2304" s="3" t="s">
        <v>4868</v>
      </c>
      <c r="U2304" s="45">
        <v>35</v>
      </c>
      <c r="V2304" t="s">
        <v>8027</v>
      </c>
      <c r="W2304" s="1" t="str">
        <f>HYPERLINK("http://ictvonline.org/taxonomy/p/taxonomy-history?taxnode_id=201905868","ICTVonline=201905868")</f>
        <v>ICTVonline=201905868</v>
      </c>
    </row>
    <row r="2305" spans="1:23">
      <c r="A2305" s="3">
        <v>2304</v>
      </c>
      <c r="B2305" s="1" t="s">
        <v>8017</v>
      </c>
      <c r="D2305" s="1" t="s">
        <v>8049</v>
      </c>
      <c r="F2305" s="1" t="s">
        <v>8050</v>
      </c>
      <c r="H2305" s="1" t="s">
        <v>8053</v>
      </c>
      <c r="J2305" s="1" t="s">
        <v>8060</v>
      </c>
      <c r="L2305" s="1" t="s">
        <v>825</v>
      </c>
      <c r="M2305" s="1" t="s">
        <v>5442</v>
      </c>
      <c r="N2305" s="1" t="s">
        <v>142</v>
      </c>
      <c r="P2305" s="1" t="s">
        <v>143</v>
      </c>
      <c r="Q2305" s="3">
        <v>1</v>
      </c>
      <c r="R2305" s="22" t="s">
        <v>2721</v>
      </c>
      <c r="S2305" s="42" t="s">
        <v>6912</v>
      </c>
      <c r="T2305" s="3" t="s">
        <v>4868</v>
      </c>
      <c r="U2305" s="45">
        <v>35</v>
      </c>
      <c r="V2305" t="s">
        <v>8027</v>
      </c>
      <c r="W2305" s="1" t="str">
        <f>HYPERLINK("http://ictvonline.org/taxonomy/p/taxonomy-history?taxnode_id=201904049","ICTVonline=201904049")</f>
        <v>ICTVonline=201904049</v>
      </c>
    </row>
    <row r="2306" spans="1:23">
      <c r="A2306" s="3">
        <v>2305</v>
      </c>
      <c r="B2306" s="1" t="s">
        <v>8017</v>
      </c>
      <c r="D2306" s="1" t="s">
        <v>8049</v>
      </c>
      <c r="F2306" s="1" t="s">
        <v>8050</v>
      </c>
      <c r="H2306" s="1" t="s">
        <v>8053</v>
      </c>
      <c r="J2306" s="1" t="s">
        <v>8060</v>
      </c>
      <c r="L2306" s="1" t="s">
        <v>825</v>
      </c>
      <c r="M2306" s="1" t="s">
        <v>5442</v>
      </c>
      <c r="N2306" s="1" t="s">
        <v>836</v>
      </c>
      <c r="P2306" s="1" t="s">
        <v>144</v>
      </c>
      <c r="Q2306" s="3">
        <v>1</v>
      </c>
      <c r="R2306" s="22" t="s">
        <v>2721</v>
      </c>
      <c r="S2306" s="42" t="s">
        <v>6912</v>
      </c>
      <c r="T2306" s="3" t="s">
        <v>4868</v>
      </c>
      <c r="U2306" s="45">
        <v>35</v>
      </c>
      <c r="V2306" t="s">
        <v>8027</v>
      </c>
      <c r="W2306" s="1" t="str">
        <f>HYPERLINK("http://ictvonline.org/taxonomy/p/taxonomy-history?taxnode_id=201904051","ICTVonline=201904051")</f>
        <v>ICTVonline=201904051</v>
      </c>
    </row>
    <row r="2307" spans="1:23">
      <c r="A2307" s="3">
        <v>2306</v>
      </c>
      <c r="B2307" s="1" t="s">
        <v>8017</v>
      </c>
      <c r="D2307" s="1" t="s">
        <v>8049</v>
      </c>
      <c r="F2307" s="1" t="s">
        <v>8050</v>
      </c>
      <c r="H2307" s="1" t="s">
        <v>8053</v>
      </c>
      <c r="J2307" s="1" t="s">
        <v>8060</v>
      </c>
      <c r="L2307" s="1" t="s">
        <v>825</v>
      </c>
      <c r="M2307" s="1" t="s">
        <v>5442</v>
      </c>
      <c r="N2307" s="1" t="s">
        <v>836</v>
      </c>
      <c r="P2307" s="1" t="s">
        <v>5448</v>
      </c>
      <c r="Q2307" s="3">
        <v>0</v>
      </c>
      <c r="R2307" s="22" t="s">
        <v>2721</v>
      </c>
      <c r="S2307" s="42" t="s">
        <v>6912</v>
      </c>
      <c r="T2307" s="3" t="s">
        <v>4868</v>
      </c>
      <c r="U2307" s="45">
        <v>35</v>
      </c>
      <c r="V2307" t="s">
        <v>8027</v>
      </c>
      <c r="W2307" s="1" t="str">
        <f>HYPERLINK("http://ictvonline.org/taxonomy/p/taxonomy-history?taxnode_id=201905869","ICTVonline=201905869")</f>
        <v>ICTVonline=201905869</v>
      </c>
    </row>
    <row r="2308" spans="1:23">
      <c r="A2308" s="3">
        <v>2307</v>
      </c>
      <c r="B2308" s="1" t="s">
        <v>8017</v>
      </c>
      <c r="D2308" s="1" t="s">
        <v>8049</v>
      </c>
      <c r="F2308" s="1" t="s">
        <v>8050</v>
      </c>
      <c r="H2308" s="1" t="s">
        <v>8053</v>
      </c>
      <c r="J2308" s="1" t="s">
        <v>8060</v>
      </c>
      <c r="L2308" s="1" t="s">
        <v>825</v>
      </c>
      <c r="M2308" s="1" t="s">
        <v>5442</v>
      </c>
      <c r="N2308" s="1" t="s">
        <v>922</v>
      </c>
      <c r="P2308" s="1" t="s">
        <v>145</v>
      </c>
      <c r="Q2308" s="3">
        <v>1</v>
      </c>
      <c r="R2308" s="22" t="s">
        <v>2721</v>
      </c>
      <c r="S2308" s="42" t="s">
        <v>6912</v>
      </c>
      <c r="T2308" s="3" t="s">
        <v>4868</v>
      </c>
      <c r="U2308" s="45">
        <v>35</v>
      </c>
      <c r="V2308" t="s">
        <v>8027</v>
      </c>
      <c r="W2308" s="1" t="str">
        <f>HYPERLINK("http://ictvonline.org/taxonomy/p/taxonomy-history?taxnode_id=201904053","ICTVonline=201904053")</f>
        <v>ICTVonline=201904053</v>
      </c>
    </row>
    <row r="2309" spans="1:23">
      <c r="A2309" s="3">
        <v>2308</v>
      </c>
      <c r="B2309" s="1" t="s">
        <v>8017</v>
      </c>
      <c r="D2309" s="1" t="s">
        <v>8049</v>
      </c>
      <c r="F2309" s="1" t="s">
        <v>8050</v>
      </c>
      <c r="H2309" s="1" t="s">
        <v>8053</v>
      </c>
      <c r="J2309" s="1" t="s">
        <v>8060</v>
      </c>
      <c r="L2309" s="1" t="s">
        <v>825</v>
      </c>
      <c r="M2309" s="1" t="s">
        <v>5442</v>
      </c>
      <c r="N2309" s="1" t="s">
        <v>923</v>
      </c>
      <c r="P2309" s="1" t="s">
        <v>146</v>
      </c>
      <c r="Q2309" s="3">
        <v>1</v>
      </c>
      <c r="R2309" s="22" t="s">
        <v>2721</v>
      </c>
      <c r="S2309" s="42" t="s">
        <v>6912</v>
      </c>
      <c r="T2309" s="3" t="s">
        <v>4868</v>
      </c>
      <c r="U2309" s="45">
        <v>35</v>
      </c>
      <c r="V2309" t="s">
        <v>8027</v>
      </c>
      <c r="W2309" s="1" t="str">
        <f>HYPERLINK("http://ictvonline.org/taxonomy/p/taxonomy-history?taxnode_id=201904055","ICTVonline=201904055")</f>
        <v>ICTVonline=201904055</v>
      </c>
    </row>
    <row r="2310" spans="1:23">
      <c r="A2310" s="3">
        <v>2309</v>
      </c>
      <c r="B2310" s="1" t="s">
        <v>8017</v>
      </c>
      <c r="D2310" s="1" t="s">
        <v>8049</v>
      </c>
      <c r="F2310" s="1" t="s">
        <v>8050</v>
      </c>
      <c r="H2310" s="1" t="s">
        <v>8053</v>
      </c>
      <c r="J2310" s="1" t="s">
        <v>8060</v>
      </c>
      <c r="L2310" s="1" t="s">
        <v>825</v>
      </c>
      <c r="M2310" s="1" t="s">
        <v>5442</v>
      </c>
      <c r="N2310" s="1" t="s">
        <v>923</v>
      </c>
      <c r="P2310" s="1" t="s">
        <v>148</v>
      </c>
      <c r="Q2310" s="3">
        <v>0</v>
      </c>
      <c r="R2310" s="22" t="s">
        <v>2721</v>
      </c>
      <c r="S2310" s="42" t="s">
        <v>6912</v>
      </c>
      <c r="T2310" s="3" t="s">
        <v>4868</v>
      </c>
      <c r="U2310" s="45">
        <v>35</v>
      </c>
      <c r="V2310" t="s">
        <v>8027</v>
      </c>
      <c r="W2310" s="1" t="str">
        <f>HYPERLINK("http://ictvonline.org/taxonomy/p/taxonomy-history?taxnode_id=201904056","ICTVonline=201904056")</f>
        <v>ICTVonline=201904056</v>
      </c>
    </row>
    <row r="2311" spans="1:23">
      <c r="A2311" s="3">
        <v>2310</v>
      </c>
      <c r="B2311" s="1" t="s">
        <v>8017</v>
      </c>
      <c r="D2311" s="1" t="s">
        <v>8049</v>
      </c>
      <c r="F2311" s="1" t="s">
        <v>8050</v>
      </c>
      <c r="H2311" s="1" t="s">
        <v>8053</v>
      </c>
      <c r="J2311" s="1" t="s">
        <v>8060</v>
      </c>
      <c r="L2311" s="1" t="s">
        <v>825</v>
      </c>
      <c r="M2311" s="1" t="s">
        <v>5442</v>
      </c>
      <c r="N2311" s="1" t="s">
        <v>923</v>
      </c>
      <c r="P2311" s="1" t="s">
        <v>149</v>
      </c>
      <c r="Q2311" s="3">
        <v>0</v>
      </c>
      <c r="R2311" s="22" t="s">
        <v>2721</v>
      </c>
      <c r="S2311" s="42" t="s">
        <v>6912</v>
      </c>
      <c r="T2311" s="3" t="s">
        <v>4868</v>
      </c>
      <c r="U2311" s="45">
        <v>35</v>
      </c>
      <c r="V2311" t="s">
        <v>8027</v>
      </c>
      <c r="W2311" s="1" t="str">
        <f>HYPERLINK("http://ictvonline.org/taxonomy/p/taxonomy-history?taxnode_id=201904057","ICTVonline=201904057")</f>
        <v>ICTVonline=201904057</v>
      </c>
    </row>
    <row r="2312" spans="1:23">
      <c r="A2312" s="3">
        <v>2311</v>
      </c>
      <c r="B2312" s="1" t="s">
        <v>8017</v>
      </c>
      <c r="D2312" s="1" t="s">
        <v>8049</v>
      </c>
      <c r="F2312" s="1" t="s">
        <v>8050</v>
      </c>
      <c r="H2312" s="1" t="s">
        <v>8053</v>
      </c>
      <c r="J2312" s="1" t="s">
        <v>8060</v>
      </c>
      <c r="L2312" s="1" t="s">
        <v>825</v>
      </c>
      <c r="M2312" s="1" t="s">
        <v>5442</v>
      </c>
      <c r="N2312" s="1" t="s">
        <v>923</v>
      </c>
      <c r="P2312" s="1" t="s">
        <v>150</v>
      </c>
      <c r="Q2312" s="3">
        <v>0</v>
      </c>
      <c r="R2312" s="22" t="s">
        <v>2721</v>
      </c>
      <c r="S2312" s="42" t="s">
        <v>6912</v>
      </c>
      <c r="T2312" s="3" t="s">
        <v>4868</v>
      </c>
      <c r="U2312" s="45">
        <v>35</v>
      </c>
      <c r="V2312" t="s">
        <v>8027</v>
      </c>
      <c r="W2312" s="1" t="str">
        <f>HYPERLINK("http://ictvonline.org/taxonomy/p/taxonomy-history?taxnode_id=201904058","ICTVonline=201904058")</f>
        <v>ICTVonline=201904058</v>
      </c>
    </row>
    <row r="2313" spans="1:23">
      <c r="A2313" s="3">
        <v>2312</v>
      </c>
      <c r="B2313" s="1" t="s">
        <v>8017</v>
      </c>
      <c r="D2313" s="1" t="s">
        <v>8049</v>
      </c>
      <c r="F2313" s="1" t="s">
        <v>8050</v>
      </c>
      <c r="H2313" s="1" t="s">
        <v>8053</v>
      </c>
      <c r="J2313" s="1" t="s">
        <v>8060</v>
      </c>
      <c r="L2313" s="1" t="s">
        <v>825</v>
      </c>
      <c r="M2313" s="1" t="s">
        <v>5442</v>
      </c>
      <c r="N2313" s="1" t="s">
        <v>923</v>
      </c>
      <c r="P2313" s="1" t="s">
        <v>151</v>
      </c>
      <c r="Q2313" s="3">
        <v>0</v>
      </c>
      <c r="R2313" s="22" t="s">
        <v>2721</v>
      </c>
      <c r="S2313" s="42" t="s">
        <v>6912</v>
      </c>
      <c r="T2313" s="3" t="s">
        <v>4868</v>
      </c>
      <c r="U2313" s="45">
        <v>35</v>
      </c>
      <c r="V2313" t="s">
        <v>8027</v>
      </c>
      <c r="W2313" s="1" t="str">
        <f>HYPERLINK("http://ictvonline.org/taxonomy/p/taxonomy-history?taxnode_id=201904059","ICTVonline=201904059")</f>
        <v>ICTVonline=201904059</v>
      </c>
    </row>
    <row r="2314" spans="1:23">
      <c r="A2314" s="3">
        <v>2313</v>
      </c>
      <c r="B2314" s="1" t="s">
        <v>8017</v>
      </c>
      <c r="D2314" s="1" t="s">
        <v>8049</v>
      </c>
      <c r="F2314" s="1" t="s">
        <v>8050</v>
      </c>
      <c r="H2314" s="1" t="s">
        <v>8053</v>
      </c>
      <c r="J2314" s="1" t="s">
        <v>8060</v>
      </c>
      <c r="L2314" s="1" t="s">
        <v>825</v>
      </c>
      <c r="M2314" s="1" t="s">
        <v>5442</v>
      </c>
      <c r="N2314" s="1" t="s">
        <v>923</v>
      </c>
      <c r="P2314" s="1" t="s">
        <v>152</v>
      </c>
      <c r="Q2314" s="3">
        <v>0</v>
      </c>
      <c r="R2314" s="22" t="s">
        <v>2721</v>
      </c>
      <c r="S2314" s="42" t="s">
        <v>6912</v>
      </c>
      <c r="T2314" s="3" t="s">
        <v>4868</v>
      </c>
      <c r="U2314" s="45">
        <v>35</v>
      </c>
      <c r="V2314" t="s">
        <v>8027</v>
      </c>
      <c r="W2314" s="1" t="str">
        <f>HYPERLINK("http://ictvonline.org/taxonomy/p/taxonomy-history?taxnode_id=201904060","ICTVonline=201904060")</f>
        <v>ICTVonline=201904060</v>
      </c>
    </row>
    <row r="2315" spans="1:23">
      <c r="A2315" s="3">
        <v>2314</v>
      </c>
      <c r="B2315" s="1" t="s">
        <v>8017</v>
      </c>
      <c r="D2315" s="1" t="s">
        <v>8049</v>
      </c>
      <c r="F2315" s="1" t="s">
        <v>8050</v>
      </c>
      <c r="H2315" s="1" t="s">
        <v>8053</v>
      </c>
      <c r="J2315" s="1" t="s">
        <v>8060</v>
      </c>
      <c r="L2315" s="1" t="s">
        <v>825</v>
      </c>
      <c r="M2315" s="1" t="s">
        <v>5442</v>
      </c>
      <c r="N2315" s="1" t="s">
        <v>923</v>
      </c>
      <c r="P2315" s="1" t="s">
        <v>153</v>
      </c>
      <c r="Q2315" s="3">
        <v>0</v>
      </c>
      <c r="R2315" s="22" t="s">
        <v>2721</v>
      </c>
      <c r="S2315" s="42" t="s">
        <v>6912</v>
      </c>
      <c r="T2315" s="3" t="s">
        <v>4868</v>
      </c>
      <c r="U2315" s="45">
        <v>35</v>
      </c>
      <c r="V2315" t="s">
        <v>8027</v>
      </c>
      <c r="W2315" s="1" t="str">
        <f>HYPERLINK("http://ictvonline.org/taxonomy/p/taxonomy-history?taxnode_id=201904061","ICTVonline=201904061")</f>
        <v>ICTVonline=201904061</v>
      </c>
    </row>
    <row r="2316" spans="1:23">
      <c r="A2316" s="3">
        <v>2315</v>
      </c>
      <c r="B2316" s="1" t="s">
        <v>8017</v>
      </c>
      <c r="D2316" s="1" t="s">
        <v>8049</v>
      </c>
      <c r="F2316" s="1" t="s">
        <v>8050</v>
      </c>
      <c r="H2316" s="1" t="s">
        <v>8053</v>
      </c>
      <c r="J2316" s="1" t="s">
        <v>8060</v>
      </c>
      <c r="L2316" s="1" t="s">
        <v>825</v>
      </c>
      <c r="M2316" s="1" t="s">
        <v>5442</v>
      </c>
      <c r="N2316" s="1" t="s">
        <v>923</v>
      </c>
      <c r="P2316" s="1" t="s">
        <v>154</v>
      </c>
      <c r="Q2316" s="3">
        <v>0</v>
      </c>
      <c r="R2316" s="22" t="s">
        <v>2721</v>
      </c>
      <c r="S2316" s="42" t="s">
        <v>6912</v>
      </c>
      <c r="T2316" s="3" t="s">
        <v>4868</v>
      </c>
      <c r="U2316" s="45">
        <v>35</v>
      </c>
      <c r="V2316" t="s">
        <v>8027</v>
      </c>
      <c r="W2316" s="1" t="str">
        <f>HYPERLINK("http://ictvonline.org/taxonomy/p/taxonomy-history?taxnode_id=201904062","ICTVonline=201904062")</f>
        <v>ICTVonline=201904062</v>
      </c>
    </row>
    <row r="2317" spans="1:23">
      <c r="A2317" s="3">
        <v>2316</v>
      </c>
      <c r="B2317" s="1" t="s">
        <v>8017</v>
      </c>
      <c r="D2317" s="1" t="s">
        <v>8049</v>
      </c>
      <c r="F2317" s="1" t="s">
        <v>8050</v>
      </c>
      <c r="H2317" s="1" t="s">
        <v>8053</v>
      </c>
      <c r="J2317" s="1" t="s">
        <v>8060</v>
      </c>
      <c r="L2317" s="1" t="s">
        <v>825</v>
      </c>
      <c r="M2317" s="1" t="s">
        <v>5442</v>
      </c>
      <c r="N2317" s="1" t="s">
        <v>923</v>
      </c>
      <c r="P2317" s="1" t="s">
        <v>155</v>
      </c>
      <c r="Q2317" s="3">
        <v>0</v>
      </c>
      <c r="R2317" s="22" t="s">
        <v>2721</v>
      </c>
      <c r="S2317" s="42" t="s">
        <v>6912</v>
      </c>
      <c r="T2317" s="3" t="s">
        <v>4868</v>
      </c>
      <c r="U2317" s="45">
        <v>35</v>
      </c>
      <c r="V2317" t="s">
        <v>8027</v>
      </c>
      <c r="W2317" s="1" t="str">
        <f>HYPERLINK("http://ictvonline.org/taxonomy/p/taxonomy-history?taxnode_id=201904063","ICTVonline=201904063")</f>
        <v>ICTVonline=201904063</v>
      </c>
    </row>
    <row r="2318" spans="1:23">
      <c r="A2318" s="3">
        <v>2317</v>
      </c>
      <c r="B2318" s="1" t="s">
        <v>8017</v>
      </c>
      <c r="D2318" s="1" t="s">
        <v>8049</v>
      </c>
      <c r="F2318" s="1" t="s">
        <v>8050</v>
      </c>
      <c r="H2318" s="1" t="s">
        <v>8053</v>
      </c>
      <c r="J2318" s="1" t="s">
        <v>8060</v>
      </c>
      <c r="L2318" s="1" t="s">
        <v>825</v>
      </c>
      <c r="M2318" s="1" t="s">
        <v>5442</v>
      </c>
      <c r="N2318" s="1" t="s">
        <v>923</v>
      </c>
      <c r="P2318" s="1" t="s">
        <v>147</v>
      </c>
      <c r="Q2318" s="3">
        <v>0</v>
      </c>
      <c r="R2318" s="22" t="s">
        <v>2721</v>
      </c>
      <c r="S2318" s="42" t="s">
        <v>6912</v>
      </c>
      <c r="T2318" s="3" t="s">
        <v>4868</v>
      </c>
      <c r="U2318" s="45">
        <v>35</v>
      </c>
      <c r="V2318" t="s">
        <v>8027</v>
      </c>
      <c r="W2318" s="1" t="str">
        <f>HYPERLINK("http://ictvonline.org/taxonomy/p/taxonomy-history?taxnode_id=201904064","ICTVonline=201904064")</f>
        <v>ICTVonline=201904064</v>
      </c>
    </row>
    <row r="2319" spans="1:23">
      <c r="A2319" s="3">
        <v>2318</v>
      </c>
      <c r="B2319" s="1" t="s">
        <v>8017</v>
      </c>
      <c r="D2319" s="1" t="s">
        <v>8049</v>
      </c>
      <c r="F2319" s="1" t="s">
        <v>8050</v>
      </c>
      <c r="H2319" s="1" t="s">
        <v>8053</v>
      </c>
      <c r="J2319" s="1" t="s">
        <v>8060</v>
      </c>
      <c r="L2319" s="1" t="s">
        <v>825</v>
      </c>
      <c r="M2319" s="1" t="s">
        <v>5442</v>
      </c>
      <c r="N2319" s="1" t="s">
        <v>923</v>
      </c>
      <c r="P2319" s="1" t="s">
        <v>2491</v>
      </c>
      <c r="Q2319" s="3">
        <v>0</v>
      </c>
      <c r="R2319" s="22" t="s">
        <v>2721</v>
      </c>
      <c r="S2319" s="42" t="s">
        <v>6912</v>
      </c>
      <c r="T2319" s="3" t="s">
        <v>4868</v>
      </c>
      <c r="U2319" s="45">
        <v>35</v>
      </c>
      <c r="V2319" t="s">
        <v>8027</v>
      </c>
      <c r="W2319" s="1" t="str">
        <f>HYPERLINK("http://ictvonline.org/taxonomy/p/taxonomy-history?taxnode_id=201904065","ICTVonline=201904065")</f>
        <v>ICTVonline=201904065</v>
      </c>
    </row>
    <row r="2320" spans="1:23">
      <c r="A2320" s="3">
        <v>2319</v>
      </c>
      <c r="B2320" s="1" t="s">
        <v>8017</v>
      </c>
      <c r="D2320" s="1" t="s">
        <v>8049</v>
      </c>
      <c r="F2320" s="1" t="s">
        <v>8050</v>
      </c>
      <c r="H2320" s="1" t="s">
        <v>8053</v>
      </c>
      <c r="J2320" s="1" t="s">
        <v>8060</v>
      </c>
      <c r="L2320" s="1" t="s">
        <v>825</v>
      </c>
      <c r="M2320" s="1" t="s">
        <v>5442</v>
      </c>
      <c r="N2320" s="1" t="s">
        <v>923</v>
      </c>
      <c r="P2320" s="1" t="s">
        <v>2492</v>
      </c>
      <c r="Q2320" s="3">
        <v>0</v>
      </c>
      <c r="R2320" s="22" t="s">
        <v>2721</v>
      </c>
      <c r="S2320" s="42" t="s">
        <v>6912</v>
      </c>
      <c r="T2320" s="3" t="s">
        <v>4868</v>
      </c>
      <c r="U2320" s="45">
        <v>35</v>
      </c>
      <c r="V2320" t="s">
        <v>8027</v>
      </c>
      <c r="W2320" s="1" t="str">
        <f>HYPERLINK("http://ictvonline.org/taxonomy/p/taxonomy-history?taxnode_id=201904066","ICTVonline=201904066")</f>
        <v>ICTVonline=201904066</v>
      </c>
    </row>
    <row r="2321" spans="1:23">
      <c r="A2321" s="3">
        <v>2320</v>
      </c>
      <c r="B2321" s="1" t="s">
        <v>8017</v>
      </c>
      <c r="D2321" s="1" t="s">
        <v>8049</v>
      </c>
      <c r="F2321" s="1" t="s">
        <v>8050</v>
      </c>
      <c r="H2321" s="1" t="s">
        <v>8053</v>
      </c>
      <c r="J2321" s="1" t="s">
        <v>8060</v>
      </c>
      <c r="L2321" s="1" t="s">
        <v>825</v>
      </c>
      <c r="M2321" s="1" t="s">
        <v>5442</v>
      </c>
      <c r="N2321" s="1" t="s">
        <v>923</v>
      </c>
      <c r="P2321" s="1" t="s">
        <v>2493</v>
      </c>
      <c r="Q2321" s="3">
        <v>0</v>
      </c>
      <c r="R2321" s="22" t="s">
        <v>2721</v>
      </c>
      <c r="S2321" s="42" t="s">
        <v>6912</v>
      </c>
      <c r="T2321" s="3" t="s">
        <v>4868</v>
      </c>
      <c r="U2321" s="45">
        <v>35</v>
      </c>
      <c r="V2321" t="s">
        <v>8027</v>
      </c>
      <c r="W2321" s="1" t="str">
        <f>HYPERLINK("http://ictvonline.org/taxonomy/p/taxonomy-history?taxnode_id=201904067","ICTVonline=201904067")</f>
        <v>ICTVonline=201904067</v>
      </c>
    </row>
    <row r="2322" spans="1:23">
      <c r="A2322" s="3">
        <v>2321</v>
      </c>
      <c r="B2322" s="1" t="s">
        <v>8017</v>
      </c>
      <c r="D2322" s="1" t="s">
        <v>8049</v>
      </c>
      <c r="F2322" s="1" t="s">
        <v>8050</v>
      </c>
      <c r="H2322" s="1" t="s">
        <v>8053</v>
      </c>
      <c r="J2322" s="1" t="s">
        <v>8060</v>
      </c>
      <c r="L2322" s="1" t="s">
        <v>825</v>
      </c>
      <c r="M2322" s="1" t="s">
        <v>5442</v>
      </c>
      <c r="N2322" s="1" t="s">
        <v>923</v>
      </c>
      <c r="P2322" s="1" t="s">
        <v>2494</v>
      </c>
      <c r="Q2322" s="3">
        <v>0</v>
      </c>
      <c r="R2322" s="22" t="s">
        <v>2721</v>
      </c>
      <c r="S2322" s="42" t="s">
        <v>6912</v>
      </c>
      <c r="T2322" s="3" t="s">
        <v>4868</v>
      </c>
      <c r="U2322" s="45">
        <v>35</v>
      </c>
      <c r="V2322" t="s">
        <v>8027</v>
      </c>
      <c r="W2322" s="1" t="str">
        <f>HYPERLINK("http://ictvonline.org/taxonomy/p/taxonomy-history?taxnode_id=201904068","ICTVonline=201904068")</f>
        <v>ICTVonline=201904068</v>
      </c>
    </row>
    <row r="2323" spans="1:23">
      <c r="A2323" s="3">
        <v>2322</v>
      </c>
      <c r="B2323" s="1" t="s">
        <v>8017</v>
      </c>
      <c r="D2323" s="1" t="s">
        <v>8049</v>
      </c>
      <c r="F2323" s="1" t="s">
        <v>8050</v>
      </c>
      <c r="H2323" s="1" t="s">
        <v>8053</v>
      </c>
      <c r="J2323" s="1" t="s">
        <v>8060</v>
      </c>
      <c r="L2323" s="1" t="s">
        <v>825</v>
      </c>
      <c r="M2323" s="1" t="s">
        <v>5442</v>
      </c>
      <c r="N2323" s="1" t="s">
        <v>923</v>
      </c>
      <c r="P2323" s="1" t="s">
        <v>2495</v>
      </c>
      <c r="Q2323" s="3">
        <v>0</v>
      </c>
      <c r="R2323" s="22" t="s">
        <v>2721</v>
      </c>
      <c r="S2323" s="42" t="s">
        <v>6912</v>
      </c>
      <c r="T2323" s="3" t="s">
        <v>4868</v>
      </c>
      <c r="U2323" s="45">
        <v>35</v>
      </c>
      <c r="V2323" t="s">
        <v>8027</v>
      </c>
      <c r="W2323" s="1" t="str">
        <f>HYPERLINK("http://ictvonline.org/taxonomy/p/taxonomy-history?taxnode_id=201904069","ICTVonline=201904069")</f>
        <v>ICTVonline=201904069</v>
      </c>
    </row>
    <row r="2324" spans="1:23">
      <c r="A2324" s="3">
        <v>2323</v>
      </c>
      <c r="B2324" s="1" t="s">
        <v>8017</v>
      </c>
      <c r="D2324" s="1" t="s">
        <v>8049</v>
      </c>
      <c r="F2324" s="1" t="s">
        <v>8050</v>
      </c>
      <c r="H2324" s="1" t="s">
        <v>8053</v>
      </c>
      <c r="J2324" s="1" t="s">
        <v>8060</v>
      </c>
      <c r="L2324" s="1" t="s">
        <v>825</v>
      </c>
      <c r="M2324" s="1" t="s">
        <v>5442</v>
      </c>
      <c r="N2324" s="1" t="s">
        <v>923</v>
      </c>
      <c r="P2324" s="1" t="s">
        <v>2496</v>
      </c>
      <c r="Q2324" s="3">
        <v>0</v>
      </c>
      <c r="R2324" s="22" t="s">
        <v>2721</v>
      </c>
      <c r="S2324" s="42" t="s">
        <v>6912</v>
      </c>
      <c r="T2324" s="3" t="s">
        <v>4868</v>
      </c>
      <c r="U2324" s="45">
        <v>35</v>
      </c>
      <c r="V2324" t="s">
        <v>8027</v>
      </c>
      <c r="W2324" s="1" t="str">
        <f>HYPERLINK("http://ictvonline.org/taxonomy/p/taxonomy-history?taxnode_id=201904070","ICTVonline=201904070")</f>
        <v>ICTVonline=201904070</v>
      </c>
    </row>
    <row r="2325" spans="1:23">
      <c r="A2325" s="3">
        <v>2324</v>
      </c>
      <c r="B2325" s="1" t="s">
        <v>8017</v>
      </c>
      <c r="D2325" s="1" t="s">
        <v>8049</v>
      </c>
      <c r="F2325" s="1" t="s">
        <v>8050</v>
      </c>
      <c r="H2325" s="1" t="s">
        <v>8053</v>
      </c>
      <c r="J2325" s="1" t="s">
        <v>8060</v>
      </c>
      <c r="L2325" s="1" t="s">
        <v>825</v>
      </c>
      <c r="M2325" s="1" t="s">
        <v>5442</v>
      </c>
      <c r="N2325" s="1" t="s">
        <v>923</v>
      </c>
      <c r="P2325" s="1" t="s">
        <v>2497</v>
      </c>
      <c r="Q2325" s="3">
        <v>0</v>
      </c>
      <c r="R2325" s="22" t="s">
        <v>2721</v>
      </c>
      <c r="S2325" s="42" t="s">
        <v>6912</v>
      </c>
      <c r="T2325" s="3" t="s">
        <v>4868</v>
      </c>
      <c r="U2325" s="45">
        <v>35</v>
      </c>
      <c r="V2325" t="s">
        <v>8027</v>
      </c>
      <c r="W2325" s="1" t="str">
        <f>HYPERLINK("http://ictvonline.org/taxonomy/p/taxonomy-history?taxnode_id=201904071","ICTVonline=201904071")</f>
        <v>ICTVonline=201904071</v>
      </c>
    </row>
    <row r="2326" spans="1:23">
      <c r="A2326" s="3">
        <v>2325</v>
      </c>
      <c r="B2326" s="1" t="s">
        <v>8017</v>
      </c>
      <c r="D2326" s="1" t="s">
        <v>8049</v>
      </c>
      <c r="F2326" s="1" t="s">
        <v>8050</v>
      </c>
      <c r="H2326" s="1" t="s">
        <v>8053</v>
      </c>
      <c r="J2326" s="1" t="s">
        <v>8060</v>
      </c>
      <c r="L2326" s="1" t="s">
        <v>825</v>
      </c>
      <c r="M2326" s="1" t="s">
        <v>5442</v>
      </c>
      <c r="N2326" s="1" t="s">
        <v>923</v>
      </c>
      <c r="P2326" s="1" t="s">
        <v>2498</v>
      </c>
      <c r="Q2326" s="3">
        <v>0</v>
      </c>
      <c r="R2326" s="22" t="s">
        <v>2721</v>
      </c>
      <c r="S2326" s="42" t="s">
        <v>6912</v>
      </c>
      <c r="T2326" s="3" t="s">
        <v>4868</v>
      </c>
      <c r="U2326" s="45">
        <v>35</v>
      </c>
      <c r="V2326" t="s">
        <v>8027</v>
      </c>
      <c r="W2326" s="1" t="str">
        <f>HYPERLINK("http://ictvonline.org/taxonomy/p/taxonomy-history?taxnode_id=201904072","ICTVonline=201904072")</f>
        <v>ICTVonline=201904072</v>
      </c>
    </row>
    <row r="2327" spans="1:23">
      <c r="A2327" s="3">
        <v>2326</v>
      </c>
      <c r="B2327" s="1" t="s">
        <v>8017</v>
      </c>
      <c r="D2327" s="1" t="s">
        <v>8049</v>
      </c>
      <c r="F2327" s="1" t="s">
        <v>8050</v>
      </c>
      <c r="H2327" s="1" t="s">
        <v>8053</v>
      </c>
      <c r="J2327" s="1" t="s">
        <v>8060</v>
      </c>
      <c r="L2327" s="1" t="s">
        <v>825</v>
      </c>
      <c r="M2327" s="1" t="s">
        <v>5442</v>
      </c>
      <c r="N2327" s="1" t="s">
        <v>923</v>
      </c>
      <c r="P2327" s="1" t="s">
        <v>2499</v>
      </c>
      <c r="Q2327" s="3">
        <v>0</v>
      </c>
      <c r="R2327" s="22" t="s">
        <v>2721</v>
      </c>
      <c r="S2327" s="42" t="s">
        <v>6912</v>
      </c>
      <c r="T2327" s="3" t="s">
        <v>4868</v>
      </c>
      <c r="U2327" s="45">
        <v>35</v>
      </c>
      <c r="V2327" t="s">
        <v>8027</v>
      </c>
      <c r="W2327" s="1" t="str">
        <f>HYPERLINK("http://ictvonline.org/taxonomy/p/taxonomy-history?taxnode_id=201904073","ICTVonline=201904073")</f>
        <v>ICTVonline=201904073</v>
      </c>
    </row>
    <row r="2328" spans="1:23">
      <c r="A2328" s="3">
        <v>2327</v>
      </c>
      <c r="B2328" s="1" t="s">
        <v>8017</v>
      </c>
      <c r="D2328" s="1" t="s">
        <v>8049</v>
      </c>
      <c r="F2328" s="1" t="s">
        <v>8050</v>
      </c>
      <c r="H2328" s="1" t="s">
        <v>8053</v>
      </c>
      <c r="J2328" s="1" t="s">
        <v>8060</v>
      </c>
      <c r="L2328" s="1" t="s">
        <v>825</v>
      </c>
      <c r="M2328" s="1" t="s">
        <v>5442</v>
      </c>
      <c r="N2328" s="1" t="s">
        <v>923</v>
      </c>
      <c r="P2328" s="1" t="s">
        <v>2500</v>
      </c>
      <c r="Q2328" s="3">
        <v>0</v>
      </c>
      <c r="R2328" s="22" t="s">
        <v>2721</v>
      </c>
      <c r="S2328" s="42" t="s">
        <v>6912</v>
      </c>
      <c r="T2328" s="3" t="s">
        <v>4868</v>
      </c>
      <c r="U2328" s="45">
        <v>35</v>
      </c>
      <c r="V2328" t="s">
        <v>8027</v>
      </c>
      <c r="W2328" s="1" t="str">
        <f>HYPERLINK("http://ictvonline.org/taxonomy/p/taxonomy-history?taxnode_id=201904074","ICTVonline=201904074")</f>
        <v>ICTVonline=201904074</v>
      </c>
    </row>
    <row r="2329" spans="1:23">
      <c r="A2329" s="3">
        <v>2328</v>
      </c>
      <c r="B2329" s="1" t="s">
        <v>8017</v>
      </c>
      <c r="D2329" s="1" t="s">
        <v>8049</v>
      </c>
      <c r="F2329" s="1" t="s">
        <v>8050</v>
      </c>
      <c r="H2329" s="1" t="s">
        <v>8053</v>
      </c>
      <c r="J2329" s="1" t="s">
        <v>8060</v>
      </c>
      <c r="L2329" s="1" t="s">
        <v>825</v>
      </c>
      <c r="M2329" s="1" t="s">
        <v>5442</v>
      </c>
      <c r="N2329" s="1" t="s">
        <v>923</v>
      </c>
      <c r="P2329" s="1" t="s">
        <v>3846</v>
      </c>
      <c r="Q2329" s="3">
        <v>0</v>
      </c>
      <c r="R2329" s="22" t="s">
        <v>2721</v>
      </c>
      <c r="S2329" s="42" t="s">
        <v>6912</v>
      </c>
      <c r="T2329" s="3" t="s">
        <v>4868</v>
      </c>
      <c r="U2329" s="45">
        <v>35</v>
      </c>
      <c r="V2329" t="s">
        <v>8027</v>
      </c>
      <c r="W2329" s="1" t="str">
        <f>HYPERLINK("http://ictvonline.org/taxonomy/p/taxonomy-history?taxnode_id=201904075","ICTVonline=201904075")</f>
        <v>ICTVonline=201904075</v>
      </c>
    </row>
    <row r="2330" spans="1:23">
      <c r="A2330" s="3">
        <v>2329</v>
      </c>
      <c r="B2330" s="1" t="s">
        <v>8017</v>
      </c>
      <c r="D2330" s="1" t="s">
        <v>8049</v>
      </c>
      <c r="F2330" s="1" t="s">
        <v>8050</v>
      </c>
      <c r="H2330" s="1" t="s">
        <v>8053</v>
      </c>
      <c r="J2330" s="1" t="s">
        <v>8060</v>
      </c>
      <c r="L2330" s="1" t="s">
        <v>825</v>
      </c>
      <c r="M2330" s="1" t="s">
        <v>5442</v>
      </c>
      <c r="N2330" s="1" t="s">
        <v>923</v>
      </c>
      <c r="P2330" s="1" t="s">
        <v>3847</v>
      </c>
      <c r="Q2330" s="3">
        <v>0</v>
      </c>
      <c r="R2330" s="22" t="s">
        <v>2721</v>
      </c>
      <c r="S2330" s="42" t="s">
        <v>6912</v>
      </c>
      <c r="T2330" s="3" t="s">
        <v>4868</v>
      </c>
      <c r="U2330" s="45">
        <v>35</v>
      </c>
      <c r="V2330" t="s">
        <v>8027</v>
      </c>
      <c r="W2330" s="1" t="str">
        <f>HYPERLINK("http://ictvonline.org/taxonomy/p/taxonomy-history?taxnode_id=201904076","ICTVonline=201904076")</f>
        <v>ICTVonline=201904076</v>
      </c>
    </row>
    <row r="2331" spans="1:23">
      <c r="A2331" s="3">
        <v>2330</v>
      </c>
      <c r="B2331" s="1" t="s">
        <v>8017</v>
      </c>
      <c r="D2331" s="1" t="s">
        <v>8049</v>
      </c>
      <c r="F2331" s="1" t="s">
        <v>8050</v>
      </c>
      <c r="H2331" s="1" t="s">
        <v>8053</v>
      </c>
      <c r="J2331" s="1" t="s">
        <v>8060</v>
      </c>
      <c r="L2331" s="1" t="s">
        <v>825</v>
      </c>
      <c r="M2331" s="1" t="s">
        <v>5442</v>
      </c>
      <c r="N2331" s="1" t="s">
        <v>923</v>
      </c>
      <c r="P2331" s="1" t="s">
        <v>3848</v>
      </c>
      <c r="Q2331" s="3">
        <v>0</v>
      </c>
      <c r="R2331" s="22" t="s">
        <v>2721</v>
      </c>
      <c r="S2331" s="42" t="s">
        <v>6912</v>
      </c>
      <c r="T2331" s="3" t="s">
        <v>4868</v>
      </c>
      <c r="U2331" s="45">
        <v>35</v>
      </c>
      <c r="V2331" t="s">
        <v>8027</v>
      </c>
      <c r="W2331" s="1" t="str">
        <f>HYPERLINK("http://ictvonline.org/taxonomy/p/taxonomy-history?taxnode_id=201904077","ICTVonline=201904077")</f>
        <v>ICTVonline=201904077</v>
      </c>
    </row>
    <row r="2332" spans="1:23">
      <c r="A2332" s="3">
        <v>2331</v>
      </c>
      <c r="B2332" s="1" t="s">
        <v>8017</v>
      </c>
      <c r="D2332" s="1" t="s">
        <v>8049</v>
      </c>
      <c r="F2332" s="1" t="s">
        <v>8050</v>
      </c>
      <c r="H2332" s="1" t="s">
        <v>8053</v>
      </c>
      <c r="J2332" s="1" t="s">
        <v>8060</v>
      </c>
      <c r="L2332" s="1" t="s">
        <v>825</v>
      </c>
      <c r="M2332" s="1" t="s">
        <v>5442</v>
      </c>
      <c r="N2332" s="1" t="s">
        <v>923</v>
      </c>
      <c r="P2332" s="1" t="s">
        <v>3849</v>
      </c>
      <c r="Q2332" s="3">
        <v>0</v>
      </c>
      <c r="R2332" s="22" t="s">
        <v>2721</v>
      </c>
      <c r="S2332" s="42" t="s">
        <v>6912</v>
      </c>
      <c r="T2332" s="3" t="s">
        <v>4868</v>
      </c>
      <c r="U2332" s="45">
        <v>35</v>
      </c>
      <c r="V2332" t="s">
        <v>8027</v>
      </c>
      <c r="W2332" s="1" t="str">
        <f>HYPERLINK("http://ictvonline.org/taxonomy/p/taxonomy-history?taxnode_id=201904078","ICTVonline=201904078")</f>
        <v>ICTVonline=201904078</v>
      </c>
    </row>
    <row r="2333" spans="1:23">
      <c r="A2333" s="3">
        <v>2332</v>
      </c>
      <c r="B2333" s="1" t="s">
        <v>8017</v>
      </c>
      <c r="D2333" s="1" t="s">
        <v>8049</v>
      </c>
      <c r="F2333" s="1" t="s">
        <v>8050</v>
      </c>
      <c r="H2333" s="1" t="s">
        <v>8053</v>
      </c>
      <c r="J2333" s="1" t="s">
        <v>8060</v>
      </c>
      <c r="L2333" s="1" t="s">
        <v>825</v>
      </c>
      <c r="M2333" s="1" t="s">
        <v>5442</v>
      </c>
      <c r="N2333" s="1" t="s">
        <v>923</v>
      </c>
      <c r="P2333" s="1" t="s">
        <v>3850</v>
      </c>
      <c r="Q2333" s="3">
        <v>0</v>
      </c>
      <c r="R2333" s="22" t="s">
        <v>2721</v>
      </c>
      <c r="S2333" s="42" t="s">
        <v>6912</v>
      </c>
      <c r="T2333" s="3" t="s">
        <v>4868</v>
      </c>
      <c r="U2333" s="45">
        <v>35</v>
      </c>
      <c r="V2333" t="s">
        <v>8027</v>
      </c>
      <c r="W2333" s="1" t="str">
        <f>HYPERLINK("http://ictvonline.org/taxonomy/p/taxonomy-history?taxnode_id=201904079","ICTVonline=201904079")</f>
        <v>ICTVonline=201904079</v>
      </c>
    </row>
    <row r="2334" spans="1:23">
      <c r="A2334" s="3">
        <v>2333</v>
      </c>
      <c r="B2334" s="1" t="s">
        <v>8017</v>
      </c>
      <c r="D2334" s="1" t="s">
        <v>8049</v>
      </c>
      <c r="F2334" s="1" t="s">
        <v>8050</v>
      </c>
      <c r="H2334" s="1" t="s">
        <v>8053</v>
      </c>
      <c r="J2334" s="1" t="s">
        <v>8060</v>
      </c>
      <c r="L2334" s="1" t="s">
        <v>825</v>
      </c>
      <c r="M2334" s="1" t="s">
        <v>5442</v>
      </c>
      <c r="N2334" s="1" t="s">
        <v>923</v>
      </c>
      <c r="P2334" s="1" t="s">
        <v>3851</v>
      </c>
      <c r="Q2334" s="3">
        <v>0</v>
      </c>
      <c r="R2334" s="22" t="s">
        <v>2721</v>
      </c>
      <c r="S2334" s="42" t="s">
        <v>6912</v>
      </c>
      <c r="T2334" s="3" t="s">
        <v>4868</v>
      </c>
      <c r="U2334" s="45">
        <v>35</v>
      </c>
      <c r="V2334" t="s">
        <v>8027</v>
      </c>
      <c r="W2334" s="1" t="str">
        <f>HYPERLINK("http://ictvonline.org/taxonomy/p/taxonomy-history?taxnode_id=201904080","ICTVonline=201904080")</f>
        <v>ICTVonline=201904080</v>
      </c>
    </row>
    <row r="2335" spans="1:23">
      <c r="A2335" s="3">
        <v>2334</v>
      </c>
      <c r="B2335" s="1" t="s">
        <v>8017</v>
      </c>
      <c r="D2335" s="1" t="s">
        <v>8049</v>
      </c>
      <c r="F2335" s="1" t="s">
        <v>8050</v>
      </c>
      <c r="H2335" s="1" t="s">
        <v>8053</v>
      </c>
      <c r="J2335" s="1" t="s">
        <v>8060</v>
      </c>
      <c r="L2335" s="1" t="s">
        <v>825</v>
      </c>
      <c r="M2335" s="1" t="s">
        <v>5442</v>
      </c>
      <c r="N2335" s="1" t="s">
        <v>923</v>
      </c>
      <c r="P2335" s="1" t="s">
        <v>5449</v>
      </c>
      <c r="Q2335" s="3">
        <v>0</v>
      </c>
      <c r="R2335" s="22" t="s">
        <v>2721</v>
      </c>
      <c r="S2335" s="42" t="s">
        <v>6912</v>
      </c>
      <c r="T2335" s="3" t="s">
        <v>4868</v>
      </c>
      <c r="U2335" s="45">
        <v>35</v>
      </c>
      <c r="V2335" t="s">
        <v>8027</v>
      </c>
      <c r="W2335" s="1" t="str">
        <f>HYPERLINK("http://ictvonline.org/taxonomy/p/taxonomy-history?taxnode_id=201905870","ICTVonline=201905870")</f>
        <v>ICTVonline=201905870</v>
      </c>
    </row>
    <row r="2336" spans="1:23">
      <c r="A2336" s="3">
        <v>2335</v>
      </c>
      <c r="B2336" s="1" t="s">
        <v>8017</v>
      </c>
      <c r="D2336" s="1" t="s">
        <v>8049</v>
      </c>
      <c r="F2336" s="1" t="s">
        <v>8050</v>
      </c>
      <c r="H2336" s="1" t="s">
        <v>8053</v>
      </c>
      <c r="J2336" s="1" t="s">
        <v>8060</v>
      </c>
      <c r="L2336" s="1" t="s">
        <v>825</v>
      </c>
      <c r="M2336" s="1" t="s">
        <v>5442</v>
      </c>
      <c r="N2336" s="1" t="s">
        <v>1046</v>
      </c>
      <c r="P2336" s="1" t="s">
        <v>156</v>
      </c>
      <c r="Q2336" s="3">
        <v>1</v>
      </c>
      <c r="R2336" s="22" t="s">
        <v>2721</v>
      </c>
      <c r="S2336" s="42" t="s">
        <v>6912</v>
      </c>
      <c r="T2336" s="3" t="s">
        <v>4868</v>
      </c>
      <c r="U2336" s="45">
        <v>35</v>
      </c>
      <c r="V2336" t="s">
        <v>8027</v>
      </c>
      <c r="W2336" s="1" t="str">
        <f>HYPERLINK("http://ictvonline.org/taxonomy/p/taxonomy-history?taxnode_id=201904082","ICTVonline=201904082")</f>
        <v>ICTVonline=201904082</v>
      </c>
    </row>
    <row r="2337" spans="1:23">
      <c r="A2337" s="3">
        <v>2336</v>
      </c>
      <c r="B2337" s="1" t="s">
        <v>8017</v>
      </c>
      <c r="D2337" s="1" t="s">
        <v>8049</v>
      </c>
      <c r="F2337" s="1" t="s">
        <v>8050</v>
      </c>
      <c r="H2337" s="1" t="s">
        <v>8053</v>
      </c>
      <c r="J2337" s="1" t="s">
        <v>8060</v>
      </c>
      <c r="L2337" s="1" t="s">
        <v>825</v>
      </c>
      <c r="M2337" s="1" t="s">
        <v>5442</v>
      </c>
      <c r="N2337" s="1" t="s">
        <v>1046</v>
      </c>
      <c r="P2337" s="1" t="s">
        <v>5450</v>
      </c>
      <c r="Q2337" s="3">
        <v>0</v>
      </c>
      <c r="R2337" s="22" t="s">
        <v>2721</v>
      </c>
      <c r="S2337" s="42" t="s">
        <v>6912</v>
      </c>
      <c r="T2337" s="3" t="s">
        <v>4868</v>
      </c>
      <c r="U2337" s="45">
        <v>35</v>
      </c>
      <c r="V2337" t="s">
        <v>8027</v>
      </c>
      <c r="W2337" s="1" t="str">
        <f>HYPERLINK("http://ictvonline.org/taxonomy/p/taxonomy-history?taxnode_id=201905871","ICTVonline=201905871")</f>
        <v>ICTVonline=201905871</v>
      </c>
    </row>
    <row r="2338" spans="1:23">
      <c r="A2338" s="3">
        <v>2337</v>
      </c>
      <c r="B2338" s="1" t="s">
        <v>8017</v>
      </c>
      <c r="D2338" s="1" t="s">
        <v>8049</v>
      </c>
      <c r="F2338" s="1" t="s">
        <v>8050</v>
      </c>
      <c r="H2338" s="1" t="s">
        <v>8053</v>
      </c>
      <c r="J2338" s="1" t="s">
        <v>8060</v>
      </c>
      <c r="L2338" s="1" t="s">
        <v>825</v>
      </c>
      <c r="M2338" s="1" t="s">
        <v>5442</v>
      </c>
      <c r="N2338" s="1" t="s">
        <v>1134</v>
      </c>
      <c r="P2338" s="1" t="s">
        <v>157</v>
      </c>
      <c r="Q2338" s="3">
        <v>0</v>
      </c>
      <c r="R2338" s="22" t="s">
        <v>2721</v>
      </c>
      <c r="S2338" s="42" t="s">
        <v>6912</v>
      </c>
      <c r="T2338" s="3" t="s">
        <v>4868</v>
      </c>
      <c r="U2338" s="45">
        <v>35</v>
      </c>
      <c r="V2338" t="s">
        <v>8027</v>
      </c>
      <c r="W2338" s="1" t="str">
        <f>HYPERLINK("http://ictvonline.org/taxonomy/p/taxonomy-history?taxnode_id=201904084","ICTVonline=201904084")</f>
        <v>ICTVonline=201904084</v>
      </c>
    </row>
    <row r="2339" spans="1:23">
      <c r="A2339" s="3">
        <v>2338</v>
      </c>
      <c r="B2339" s="1" t="s">
        <v>8017</v>
      </c>
      <c r="D2339" s="1" t="s">
        <v>8049</v>
      </c>
      <c r="F2339" s="1" t="s">
        <v>8050</v>
      </c>
      <c r="H2339" s="1" t="s">
        <v>8053</v>
      </c>
      <c r="J2339" s="1" t="s">
        <v>8060</v>
      </c>
      <c r="L2339" s="1" t="s">
        <v>825</v>
      </c>
      <c r="M2339" s="1" t="s">
        <v>5442</v>
      </c>
      <c r="N2339" s="1" t="s">
        <v>1134</v>
      </c>
      <c r="P2339" s="1" t="s">
        <v>158</v>
      </c>
      <c r="Q2339" s="3">
        <v>1</v>
      </c>
      <c r="R2339" s="22" t="s">
        <v>2721</v>
      </c>
      <c r="S2339" s="42" t="s">
        <v>6912</v>
      </c>
      <c r="T2339" s="3" t="s">
        <v>4868</v>
      </c>
      <c r="U2339" s="45">
        <v>35</v>
      </c>
      <c r="V2339" t="s">
        <v>8027</v>
      </c>
      <c r="W2339" s="1" t="str">
        <f>HYPERLINK("http://ictvonline.org/taxonomy/p/taxonomy-history?taxnode_id=201904085","ICTVonline=201904085")</f>
        <v>ICTVonline=201904085</v>
      </c>
    </row>
    <row r="2340" spans="1:23">
      <c r="A2340" s="3">
        <v>2339</v>
      </c>
      <c r="B2340" s="1" t="s">
        <v>8017</v>
      </c>
      <c r="D2340" s="1" t="s">
        <v>8049</v>
      </c>
      <c r="F2340" s="1" t="s">
        <v>8050</v>
      </c>
      <c r="H2340" s="1" t="s">
        <v>8053</v>
      </c>
      <c r="J2340" s="1" t="s">
        <v>8060</v>
      </c>
      <c r="L2340" s="1" t="s">
        <v>825</v>
      </c>
      <c r="M2340" s="1" t="s">
        <v>5442</v>
      </c>
      <c r="N2340" s="1" t="s">
        <v>1135</v>
      </c>
      <c r="P2340" s="1" t="s">
        <v>159</v>
      </c>
      <c r="Q2340" s="3">
        <v>0</v>
      </c>
      <c r="R2340" s="22" t="s">
        <v>2721</v>
      </c>
      <c r="S2340" s="42" t="s">
        <v>6912</v>
      </c>
      <c r="T2340" s="3" t="s">
        <v>4868</v>
      </c>
      <c r="U2340" s="45">
        <v>35</v>
      </c>
      <c r="V2340" t="s">
        <v>8027</v>
      </c>
      <c r="W2340" s="1" t="str">
        <f>HYPERLINK("http://ictvonline.org/taxonomy/p/taxonomy-history?taxnode_id=201904087","ICTVonline=201904087")</f>
        <v>ICTVonline=201904087</v>
      </c>
    </row>
    <row r="2341" spans="1:23">
      <c r="A2341" s="3">
        <v>2340</v>
      </c>
      <c r="B2341" s="1" t="s">
        <v>8017</v>
      </c>
      <c r="D2341" s="1" t="s">
        <v>8049</v>
      </c>
      <c r="F2341" s="1" t="s">
        <v>8050</v>
      </c>
      <c r="H2341" s="1" t="s">
        <v>8053</v>
      </c>
      <c r="J2341" s="1" t="s">
        <v>8060</v>
      </c>
      <c r="L2341" s="1" t="s">
        <v>825</v>
      </c>
      <c r="M2341" s="1" t="s">
        <v>5442</v>
      </c>
      <c r="N2341" s="1" t="s">
        <v>1135</v>
      </c>
      <c r="P2341" s="1" t="s">
        <v>160</v>
      </c>
      <c r="Q2341" s="3">
        <v>1</v>
      </c>
      <c r="R2341" s="22" t="s">
        <v>2721</v>
      </c>
      <c r="S2341" s="42" t="s">
        <v>6912</v>
      </c>
      <c r="T2341" s="3" t="s">
        <v>4868</v>
      </c>
      <c r="U2341" s="45">
        <v>35</v>
      </c>
      <c r="V2341" t="s">
        <v>8027</v>
      </c>
      <c r="W2341" s="1" t="str">
        <f>HYPERLINK("http://ictvonline.org/taxonomy/p/taxonomy-history?taxnode_id=201904088","ICTVonline=201904088")</f>
        <v>ICTVonline=201904088</v>
      </c>
    </row>
    <row r="2342" spans="1:23">
      <c r="A2342" s="3">
        <v>2341</v>
      </c>
      <c r="B2342" s="1" t="s">
        <v>8017</v>
      </c>
      <c r="D2342" s="1" t="s">
        <v>8049</v>
      </c>
      <c r="F2342" s="1" t="s">
        <v>8050</v>
      </c>
      <c r="H2342" s="1" t="s">
        <v>8053</v>
      </c>
      <c r="J2342" s="1" t="s">
        <v>8060</v>
      </c>
      <c r="L2342" s="1" t="s">
        <v>825</v>
      </c>
      <c r="M2342" s="1" t="s">
        <v>5442</v>
      </c>
      <c r="N2342" s="1" t="s">
        <v>1135</v>
      </c>
      <c r="P2342" s="1" t="s">
        <v>161</v>
      </c>
      <c r="Q2342" s="3">
        <v>0</v>
      </c>
      <c r="R2342" s="22" t="s">
        <v>2721</v>
      </c>
      <c r="S2342" s="42" t="s">
        <v>6912</v>
      </c>
      <c r="T2342" s="3" t="s">
        <v>4868</v>
      </c>
      <c r="U2342" s="45">
        <v>35</v>
      </c>
      <c r="V2342" t="s">
        <v>8027</v>
      </c>
      <c r="W2342" s="1" t="str">
        <f>HYPERLINK("http://ictvonline.org/taxonomy/p/taxonomy-history?taxnode_id=201904089","ICTVonline=201904089")</f>
        <v>ICTVonline=201904089</v>
      </c>
    </row>
    <row r="2343" spans="1:23">
      <c r="A2343" s="3">
        <v>2342</v>
      </c>
      <c r="B2343" s="1" t="s">
        <v>8017</v>
      </c>
      <c r="D2343" s="1" t="s">
        <v>8049</v>
      </c>
      <c r="F2343" s="1" t="s">
        <v>8050</v>
      </c>
      <c r="H2343" s="1" t="s">
        <v>8053</v>
      </c>
      <c r="J2343" s="1" t="s">
        <v>8060</v>
      </c>
      <c r="L2343" s="1" t="s">
        <v>825</v>
      </c>
      <c r="M2343" s="1" t="s">
        <v>5442</v>
      </c>
      <c r="N2343" s="1" t="s">
        <v>1135</v>
      </c>
      <c r="P2343" s="1" t="s">
        <v>162</v>
      </c>
      <c r="Q2343" s="3">
        <v>0</v>
      </c>
      <c r="R2343" s="22" t="s">
        <v>2721</v>
      </c>
      <c r="S2343" s="42" t="s">
        <v>6912</v>
      </c>
      <c r="T2343" s="3" t="s">
        <v>4868</v>
      </c>
      <c r="U2343" s="45">
        <v>35</v>
      </c>
      <c r="V2343" t="s">
        <v>8027</v>
      </c>
      <c r="W2343" s="1" t="str">
        <f>HYPERLINK("http://ictvonline.org/taxonomy/p/taxonomy-history?taxnode_id=201904090","ICTVonline=201904090")</f>
        <v>ICTVonline=201904090</v>
      </c>
    </row>
    <row r="2344" spans="1:23">
      <c r="A2344" s="3">
        <v>2343</v>
      </c>
      <c r="B2344" s="1" t="s">
        <v>8017</v>
      </c>
      <c r="D2344" s="1" t="s">
        <v>8049</v>
      </c>
      <c r="F2344" s="1" t="s">
        <v>8050</v>
      </c>
      <c r="H2344" s="1" t="s">
        <v>8053</v>
      </c>
      <c r="J2344" s="1" t="s">
        <v>8060</v>
      </c>
      <c r="L2344" s="1" t="s">
        <v>825</v>
      </c>
      <c r="M2344" s="1" t="s">
        <v>5442</v>
      </c>
      <c r="N2344" s="1" t="s">
        <v>1135</v>
      </c>
      <c r="P2344" s="1" t="s">
        <v>2501</v>
      </c>
      <c r="Q2344" s="3">
        <v>0</v>
      </c>
      <c r="R2344" s="22" t="s">
        <v>2721</v>
      </c>
      <c r="S2344" s="42" t="s">
        <v>6912</v>
      </c>
      <c r="T2344" s="3" t="s">
        <v>4868</v>
      </c>
      <c r="U2344" s="45">
        <v>35</v>
      </c>
      <c r="V2344" t="s">
        <v>8027</v>
      </c>
      <c r="W2344" s="1" t="str">
        <f>HYPERLINK("http://ictvonline.org/taxonomy/p/taxonomy-history?taxnode_id=201904091","ICTVonline=201904091")</f>
        <v>ICTVonline=201904091</v>
      </c>
    </row>
    <row r="2345" spans="1:23">
      <c r="A2345" s="3">
        <v>2344</v>
      </c>
      <c r="B2345" s="1" t="s">
        <v>8017</v>
      </c>
      <c r="D2345" s="1" t="s">
        <v>8049</v>
      </c>
      <c r="F2345" s="1" t="s">
        <v>8050</v>
      </c>
      <c r="H2345" s="1" t="s">
        <v>8053</v>
      </c>
      <c r="J2345" s="1" t="s">
        <v>8060</v>
      </c>
      <c r="L2345" s="1" t="s">
        <v>825</v>
      </c>
      <c r="M2345" s="1" t="s">
        <v>5442</v>
      </c>
      <c r="N2345" s="1" t="s">
        <v>1136</v>
      </c>
      <c r="P2345" s="1" t="s">
        <v>163</v>
      </c>
      <c r="Q2345" s="3">
        <v>1</v>
      </c>
      <c r="R2345" s="22" t="s">
        <v>2721</v>
      </c>
      <c r="S2345" s="42" t="s">
        <v>6912</v>
      </c>
      <c r="T2345" s="3" t="s">
        <v>4868</v>
      </c>
      <c r="U2345" s="45">
        <v>35</v>
      </c>
      <c r="V2345" t="s">
        <v>8027</v>
      </c>
      <c r="W2345" s="1" t="str">
        <f>HYPERLINK("http://ictvonline.org/taxonomy/p/taxonomy-history?taxnode_id=201904093","ICTVonline=201904093")</f>
        <v>ICTVonline=201904093</v>
      </c>
    </row>
    <row r="2346" spans="1:23">
      <c r="A2346" s="3">
        <v>2345</v>
      </c>
      <c r="B2346" s="1" t="s">
        <v>8017</v>
      </c>
      <c r="D2346" s="1" t="s">
        <v>8049</v>
      </c>
      <c r="F2346" s="1" t="s">
        <v>8050</v>
      </c>
      <c r="H2346" s="1" t="s">
        <v>8053</v>
      </c>
      <c r="J2346" s="1" t="s">
        <v>8060</v>
      </c>
      <c r="L2346" s="1" t="s">
        <v>825</v>
      </c>
      <c r="M2346" s="1" t="s">
        <v>5442</v>
      </c>
      <c r="N2346" s="1" t="s">
        <v>1136</v>
      </c>
      <c r="P2346" s="1" t="s">
        <v>164</v>
      </c>
      <c r="Q2346" s="3">
        <v>0</v>
      </c>
      <c r="R2346" s="22" t="s">
        <v>2721</v>
      </c>
      <c r="S2346" s="42" t="s">
        <v>6912</v>
      </c>
      <c r="T2346" s="3" t="s">
        <v>4868</v>
      </c>
      <c r="U2346" s="45">
        <v>35</v>
      </c>
      <c r="V2346" t="s">
        <v>8027</v>
      </c>
      <c r="W2346" s="1" t="str">
        <f>HYPERLINK("http://ictvonline.org/taxonomy/p/taxonomy-history?taxnode_id=201904094","ICTVonline=201904094")</f>
        <v>ICTVonline=201904094</v>
      </c>
    </row>
    <row r="2347" spans="1:23">
      <c r="A2347" s="3">
        <v>2346</v>
      </c>
      <c r="B2347" s="1" t="s">
        <v>8017</v>
      </c>
      <c r="D2347" s="1" t="s">
        <v>8049</v>
      </c>
      <c r="F2347" s="1" t="s">
        <v>8050</v>
      </c>
      <c r="H2347" s="1" t="s">
        <v>8053</v>
      </c>
      <c r="J2347" s="1" t="s">
        <v>8060</v>
      </c>
      <c r="L2347" s="1" t="s">
        <v>825</v>
      </c>
      <c r="M2347" s="1" t="s">
        <v>5442</v>
      </c>
      <c r="N2347" s="1" t="s">
        <v>1136</v>
      </c>
      <c r="P2347" s="1" t="s">
        <v>3852</v>
      </c>
      <c r="Q2347" s="3">
        <v>0</v>
      </c>
      <c r="R2347" s="22" t="s">
        <v>2721</v>
      </c>
      <c r="S2347" s="42" t="s">
        <v>6912</v>
      </c>
      <c r="T2347" s="3" t="s">
        <v>4868</v>
      </c>
      <c r="U2347" s="45">
        <v>35</v>
      </c>
      <c r="V2347" t="s">
        <v>8027</v>
      </c>
      <c r="W2347" s="1" t="str">
        <f>HYPERLINK("http://ictvonline.org/taxonomy/p/taxonomy-history?taxnode_id=201904095","ICTVonline=201904095")</f>
        <v>ICTVonline=201904095</v>
      </c>
    </row>
    <row r="2348" spans="1:23">
      <c r="A2348" s="3">
        <v>2347</v>
      </c>
      <c r="B2348" s="1" t="s">
        <v>8017</v>
      </c>
      <c r="D2348" s="1" t="s">
        <v>8049</v>
      </c>
      <c r="F2348" s="1" t="s">
        <v>8050</v>
      </c>
      <c r="H2348" s="1" t="s">
        <v>8053</v>
      </c>
      <c r="J2348" s="1" t="s">
        <v>8060</v>
      </c>
      <c r="L2348" s="1" t="s">
        <v>825</v>
      </c>
      <c r="M2348" s="1" t="s">
        <v>5442</v>
      </c>
      <c r="N2348" s="1" t="s">
        <v>1137</v>
      </c>
      <c r="P2348" s="1" t="s">
        <v>165</v>
      </c>
      <c r="Q2348" s="3">
        <v>1</v>
      </c>
      <c r="R2348" s="22" t="s">
        <v>2721</v>
      </c>
      <c r="S2348" s="42" t="s">
        <v>6912</v>
      </c>
      <c r="T2348" s="3" t="s">
        <v>4868</v>
      </c>
      <c r="U2348" s="45">
        <v>35</v>
      </c>
      <c r="V2348" t="s">
        <v>8027</v>
      </c>
      <c r="W2348" s="1" t="str">
        <f>HYPERLINK("http://ictvonline.org/taxonomy/p/taxonomy-history?taxnode_id=201904097","ICTVonline=201904097")</f>
        <v>ICTVonline=201904097</v>
      </c>
    </row>
    <row r="2349" spans="1:23">
      <c r="A2349" s="3">
        <v>2348</v>
      </c>
      <c r="B2349" s="1" t="s">
        <v>8017</v>
      </c>
      <c r="D2349" s="1" t="s">
        <v>8049</v>
      </c>
      <c r="F2349" s="1" t="s">
        <v>8050</v>
      </c>
      <c r="H2349" s="1" t="s">
        <v>8053</v>
      </c>
      <c r="J2349" s="1" t="s">
        <v>8060</v>
      </c>
      <c r="L2349" s="1" t="s">
        <v>825</v>
      </c>
      <c r="M2349" s="1" t="s">
        <v>5442</v>
      </c>
      <c r="N2349" s="1" t="s">
        <v>166</v>
      </c>
      <c r="P2349" s="1" t="s">
        <v>167</v>
      </c>
      <c r="Q2349" s="3">
        <v>1</v>
      </c>
      <c r="R2349" s="22" t="s">
        <v>2721</v>
      </c>
      <c r="S2349" s="42" t="s">
        <v>6912</v>
      </c>
      <c r="T2349" s="3" t="s">
        <v>4868</v>
      </c>
      <c r="U2349" s="45">
        <v>35</v>
      </c>
      <c r="V2349" t="s">
        <v>8027</v>
      </c>
      <c r="W2349" s="1" t="str">
        <f>HYPERLINK("http://ictvonline.org/taxonomy/p/taxonomy-history?taxnode_id=201904099","ICTVonline=201904099")</f>
        <v>ICTVonline=201904099</v>
      </c>
    </row>
    <row r="2350" spans="1:23">
      <c r="A2350" s="3">
        <v>2349</v>
      </c>
      <c r="B2350" s="1" t="s">
        <v>8017</v>
      </c>
      <c r="D2350" s="1" t="s">
        <v>8049</v>
      </c>
      <c r="F2350" s="1" t="s">
        <v>8050</v>
      </c>
      <c r="H2350" s="1" t="s">
        <v>8053</v>
      </c>
      <c r="J2350" s="1" t="s">
        <v>8060</v>
      </c>
      <c r="L2350" s="1" t="s">
        <v>825</v>
      </c>
      <c r="M2350" s="1" t="s">
        <v>5442</v>
      </c>
      <c r="N2350" s="1" t="s">
        <v>550</v>
      </c>
      <c r="P2350" s="1" t="s">
        <v>168</v>
      </c>
      <c r="Q2350" s="3">
        <v>1</v>
      </c>
      <c r="R2350" s="22" t="s">
        <v>2721</v>
      </c>
      <c r="S2350" s="42" t="s">
        <v>6912</v>
      </c>
      <c r="T2350" s="3" t="s">
        <v>4868</v>
      </c>
      <c r="U2350" s="45">
        <v>35</v>
      </c>
      <c r="V2350" t="s">
        <v>8027</v>
      </c>
      <c r="W2350" s="1" t="str">
        <f>HYPERLINK("http://ictvonline.org/taxonomy/p/taxonomy-history?taxnode_id=201904101","ICTVonline=201904101")</f>
        <v>ICTVonline=201904101</v>
      </c>
    </row>
    <row r="2351" spans="1:23">
      <c r="A2351" s="3">
        <v>2350</v>
      </c>
      <c r="B2351" s="1" t="s">
        <v>8017</v>
      </c>
      <c r="D2351" s="1" t="s">
        <v>8049</v>
      </c>
      <c r="F2351" s="1" t="s">
        <v>8050</v>
      </c>
      <c r="H2351" s="1" t="s">
        <v>8053</v>
      </c>
      <c r="J2351" s="1" t="s">
        <v>8060</v>
      </c>
      <c r="L2351" s="1" t="s">
        <v>825</v>
      </c>
      <c r="M2351" s="1" t="s">
        <v>5442</v>
      </c>
      <c r="N2351" s="1" t="s">
        <v>169</v>
      </c>
      <c r="P2351" s="1" t="s">
        <v>170</v>
      </c>
      <c r="Q2351" s="3">
        <v>1</v>
      </c>
      <c r="R2351" s="22" t="s">
        <v>2721</v>
      </c>
      <c r="S2351" s="42" t="s">
        <v>6912</v>
      </c>
      <c r="T2351" s="3" t="s">
        <v>4868</v>
      </c>
      <c r="U2351" s="45">
        <v>35</v>
      </c>
      <c r="V2351" t="s">
        <v>8027</v>
      </c>
      <c r="W2351" s="1" t="str">
        <f>HYPERLINK("http://ictvonline.org/taxonomy/p/taxonomy-history?taxnode_id=201904103","ICTVonline=201904103")</f>
        <v>ICTVonline=201904103</v>
      </c>
    </row>
    <row r="2352" spans="1:23">
      <c r="A2352" s="3">
        <v>2351</v>
      </c>
      <c r="B2352" s="1" t="s">
        <v>8017</v>
      </c>
      <c r="D2352" s="1" t="s">
        <v>8049</v>
      </c>
      <c r="F2352" s="1" t="s">
        <v>8050</v>
      </c>
      <c r="H2352" s="1" t="s">
        <v>8053</v>
      </c>
      <c r="J2352" s="1" t="s">
        <v>8060</v>
      </c>
      <c r="L2352" s="1" t="s">
        <v>825</v>
      </c>
      <c r="M2352" s="1" t="s">
        <v>5442</v>
      </c>
      <c r="N2352" s="1" t="s">
        <v>1138</v>
      </c>
      <c r="P2352" s="1" t="s">
        <v>171</v>
      </c>
      <c r="Q2352" s="3">
        <v>1</v>
      </c>
      <c r="R2352" s="22" t="s">
        <v>2721</v>
      </c>
      <c r="S2352" s="42" t="s">
        <v>6912</v>
      </c>
      <c r="T2352" s="3" t="s">
        <v>4868</v>
      </c>
      <c r="U2352" s="45">
        <v>35</v>
      </c>
      <c r="V2352" t="s">
        <v>8027</v>
      </c>
      <c r="W2352" s="1" t="str">
        <f>HYPERLINK("http://ictvonline.org/taxonomy/p/taxonomy-history?taxnode_id=201904105","ICTVonline=201904105")</f>
        <v>ICTVonline=201904105</v>
      </c>
    </row>
    <row r="2353" spans="1:23">
      <c r="A2353" s="3">
        <v>2352</v>
      </c>
      <c r="B2353" s="1" t="s">
        <v>8017</v>
      </c>
      <c r="D2353" s="1" t="s">
        <v>8049</v>
      </c>
      <c r="F2353" s="1" t="s">
        <v>8050</v>
      </c>
      <c r="H2353" s="1" t="s">
        <v>8053</v>
      </c>
      <c r="J2353" s="1" t="s">
        <v>8060</v>
      </c>
      <c r="L2353" s="1" t="s">
        <v>825</v>
      </c>
      <c r="M2353" s="1" t="s">
        <v>5442</v>
      </c>
      <c r="N2353" s="1" t="s">
        <v>1138</v>
      </c>
      <c r="P2353" s="1" t="s">
        <v>172</v>
      </c>
      <c r="Q2353" s="3">
        <v>0</v>
      </c>
      <c r="R2353" s="22" t="s">
        <v>2721</v>
      </c>
      <c r="S2353" s="42" t="s">
        <v>6912</v>
      </c>
      <c r="T2353" s="3" t="s">
        <v>4868</v>
      </c>
      <c r="U2353" s="45">
        <v>35</v>
      </c>
      <c r="V2353" t="s">
        <v>8027</v>
      </c>
      <c r="W2353" s="1" t="str">
        <f>HYPERLINK("http://ictvonline.org/taxonomy/p/taxonomy-history?taxnode_id=201904106","ICTVonline=201904106")</f>
        <v>ICTVonline=201904106</v>
      </c>
    </row>
    <row r="2354" spans="1:23">
      <c r="A2354" s="3">
        <v>2353</v>
      </c>
      <c r="B2354" s="1" t="s">
        <v>8017</v>
      </c>
      <c r="D2354" s="1" t="s">
        <v>8049</v>
      </c>
      <c r="F2354" s="1" t="s">
        <v>8050</v>
      </c>
      <c r="H2354" s="1" t="s">
        <v>8053</v>
      </c>
      <c r="J2354" s="1" t="s">
        <v>8060</v>
      </c>
      <c r="L2354" s="1" t="s">
        <v>825</v>
      </c>
      <c r="M2354" s="1" t="s">
        <v>5442</v>
      </c>
      <c r="N2354" s="1" t="s">
        <v>173</v>
      </c>
      <c r="P2354" s="1" t="s">
        <v>174</v>
      </c>
      <c r="Q2354" s="3">
        <v>1</v>
      </c>
      <c r="R2354" s="22" t="s">
        <v>2721</v>
      </c>
      <c r="S2354" s="42" t="s">
        <v>6912</v>
      </c>
      <c r="T2354" s="3" t="s">
        <v>4868</v>
      </c>
      <c r="U2354" s="45">
        <v>35</v>
      </c>
      <c r="V2354" t="s">
        <v>8027</v>
      </c>
      <c r="W2354" s="1" t="str">
        <f>HYPERLINK("http://ictvonline.org/taxonomy/p/taxonomy-history?taxnode_id=201904108","ICTVonline=201904108")</f>
        <v>ICTVonline=201904108</v>
      </c>
    </row>
    <row r="2355" spans="1:23">
      <c r="A2355" s="3">
        <v>2354</v>
      </c>
      <c r="B2355" s="1" t="s">
        <v>8017</v>
      </c>
      <c r="D2355" s="1" t="s">
        <v>8049</v>
      </c>
      <c r="F2355" s="1" t="s">
        <v>8050</v>
      </c>
      <c r="H2355" s="1" t="s">
        <v>8053</v>
      </c>
      <c r="J2355" s="1" t="s">
        <v>8060</v>
      </c>
      <c r="L2355" s="1" t="s">
        <v>825</v>
      </c>
      <c r="M2355" s="1" t="s">
        <v>5442</v>
      </c>
      <c r="N2355" s="1" t="s">
        <v>173</v>
      </c>
      <c r="P2355" s="1" t="s">
        <v>5451</v>
      </c>
      <c r="Q2355" s="3">
        <v>0</v>
      </c>
      <c r="R2355" s="22" t="s">
        <v>2721</v>
      </c>
      <c r="S2355" s="42" t="s">
        <v>6912</v>
      </c>
      <c r="T2355" s="3" t="s">
        <v>4868</v>
      </c>
      <c r="U2355" s="45">
        <v>35</v>
      </c>
      <c r="V2355" t="s">
        <v>8027</v>
      </c>
      <c r="W2355" s="1" t="str">
        <f>HYPERLINK("http://ictvonline.org/taxonomy/p/taxonomy-history?taxnode_id=201905872","ICTVonline=201905872")</f>
        <v>ICTVonline=201905872</v>
      </c>
    </row>
    <row r="2356" spans="1:23">
      <c r="A2356" s="3">
        <v>2355</v>
      </c>
      <c r="B2356" s="1" t="s">
        <v>8017</v>
      </c>
      <c r="D2356" s="1" t="s">
        <v>8049</v>
      </c>
      <c r="F2356" s="1" t="s">
        <v>8050</v>
      </c>
      <c r="H2356" s="1" t="s">
        <v>8053</v>
      </c>
      <c r="J2356" s="1" t="s">
        <v>8060</v>
      </c>
      <c r="L2356" s="1" t="s">
        <v>825</v>
      </c>
      <c r="M2356" s="1" t="s">
        <v>5442</v>
      </c>
      <c r="N2356" s="1" t="s">
        <v>173</v>
      </c>
      <c r="P2356" s="1" t="s">
        <v>5452</v>
      </c>
      <c r="Q2356" s="3">
        <v>0</v>
      </c>
      <c r="R2356" s="22" t="s">
        <v>2721</v>
      </c>
      <c r="S2356" s="42" t="s">
        <v>6912</v>
      </c>
      <c r="T2356" s="3" t="s">
        <v>4868</v>
      </c>
      <c r="U2356" s="45">
        <v>35</v>
      </c>
      <c r="V2356" t="s">
        <v>8027</v>
      </c>
      <c r="W2356" s="1" t="str">
        <f>HYPERLINK("http://ictvonline.org/taxonomy/p/taxonomy-history?taxnode_id=201905873","ICTVonline=201905873")</f>
        <v>ICTVonline=201905873</v>
      </c>
    </row>
    <row r="2357" spans="1:23">
      <c r="A2357" s="3">
        <v>2356</v>
      </c>
      <c r="B2357" s="1" t="s">
        <v>8017</v>
      </c>
      <c r="D2357" s="1" t="s">
        <v>8049</v>
      </c>
      <c r="F2357" s="1" t="s">
        <v>8050</v>
      </c>
      <c r="H2357" s="1" t="s">
        <v>8053</v>
      </c>
      <c r="J2357" s="1" t="s">
        <v>8060</v>
      </c>
      <c r="L2357" s="1" t="s">
        <v>825</v>
      </c>
      <c r="M2357" s="1" t="s">
        <v>5442</v>
      </c>
      <c r="N2357" s="1" t="s">
        <v>175</v>
      </c>
      <c r="P2357" s="1" t="s">
        <v>176</v>
      </c>
      <c r="Q2357" s="3">
        <v>1</v>
      </c>
      <c r="R2357" s="22" t="s">
        <v>2721</v>
      </c>
      <c r="S2357" s="42" t="s">
        <v>6912</v>
      </c>
      <c r="T2357" s="3" t="s">
        <v>4868</v>
      </c>
      <c r="U2357" s="45">
        <v>35</v>
      </c>
      <c r="V2357" t="s">
        <v>8027</v>
      </c>
      <c r="W2357" s="1" t="str">
        <f>HYPERLINK("http://ictvonline.org/taxonomy/p/taxonomy-history?taxnode_id=201904110","ICTVonline=201904110")</f>
        <v>ICTVonline=201904110</v>
      </c>
    </row>
    <row r="2358" spans="1:23">
      <c r="A2358" s="3">
        <v>2357</v>
      </c>
      <c r="B2358" s="1" t="s">
        <v>8017</v>
      </c>
      <c r="D2358" s="1" t="s">
        <v>8049</v>
      </c>
      <c r="F2358" s="1" t="s">
        <v>8050</v>
      </c>
      <c r="H2358" s="1" t="s">
        <v>8053</v>
      </c>
      <c r="J2358" s="1" t="s">
        <v>8060</v>
      </c>
      <c r="L2358" s="1" t="s">
        <v>825</v>
      </c>
      <c r="M2358" s="1" t="s">
        <v>5442</v>
      </c>
      <c r="N2358" s="1" t="s">
        <v>175</v>
      </c>
      <c r="P2358" s="1" t="s">
        <v>3853</v>
      </c>
      <c r="Q2358" s="3">
        <v>0</v>
      </c>
      <c r="R2358" s="22" t="s">
        <v>2721</v>
      </c>
      <c r="S2358" s="42" t="s">
        <v>6912</v>
      </c>
      <c r="T2358" s="3" t="s">
        <v>4868</v>
      </c>
      <c r="U2358" s="45">
        <v>35</v>
      </c>
      <c r="V2358" t="s">
        <v>8027</v>
      </c>
      <c r="W2358" s="1" t="str">
        <f>HYPERLINK("http://ictvonline.org/taxonomy/p/taxonomy-history?taxnode_id=201904111","ICTVonline=201904111")</f>
        <v>ICTVonline=201904111</v>
      </c>
    </row>
    <row r="2359" spans="1:23">
      <c r="A2359" s="3">
        <v>2358</v>
      </c>
      <c r="B2359" s="1" t="s">
        <v>8017</v>
      </c>
      <c r="D2359" s="1" t="s">
        <v>8049</v>
      </c>
      <c r="F2359" s="1" t="s">
        <v>8050</v>
      </c>
      <c r="H2359" s="1" t="s">
        <v>8053</v>
      </c>
      <c r="J2359" s="1" t="s">
        <v>8060</v>
      </c>
      <c r="L2359" s="1" t="s">
        <v>825</v>
      </c>
      <c r="M2359" s="1" t="s">
        <v>5442</v>
      </c>
      <c r="N2359" s="1" t="s">
        <v>177</v>
      </c>
      <c r="P2359" s="1" t="s">
        <v>178</v>
      </c>
      <c r="Q2359" s="3">
        <v>1</v>
      </c>
      <c r="R2359" s="22" t="s">
        <v>2721</v>
      </c>
      <c r="S2359" s="42" t="s">
        <v>6912</v>
      </c>
      <c r="T2359" s="3" t="s">
        <v>4868</v>
      </c>
      <c r="U2359" s="45">
        <v>35</v>
      </c>
      <c r="V2359" t="s">
        <v>8027</v>
      </c>
      <c r="W2359" s="1" t="str">
        <f>HYPERLINK("http://ictvonline.org/taxonomy/p/taxonomy-history?taxnode_id=201904113","ICTVonline=201904113")</f>
        <v>ICTVonline=201904113</v>
      </c>
    </row>
    <row r="2360" spans="1:23">
      <c r="A2360" s="3">
        <v>2359</v>
      </c>
      <c r="B2360" s="1" t="s">
        <v>8017</v>
      </c>
      <c r="D2360" s="1" t="s">
        <v>8049</v>
      </c>
      <c r="F2360" s="1" t="s">
        <v>8050</v>
      </c>
      <c r="H2360" s="1" t="s">
        <v>8053</v>
      </c>
      <c r="J2360" s="1" t="s">
        <v>8060</v>
      </c>
      <c r="L2360" s="1" t="s">
        <v>825</v>
      </c>
      <c r="M2360" s="1" t="s">
        <v>5442</v>
      </c>
      <c r="N2360" s="1" t="s">
        <v>179</v>
      </c>
      <c r="P2360" s="1" t="s">
        <v>180</v>
      </c>
      <c r="Q2360" s="3">
        <v>1</v>
      </c>
      <c r="R2360" s="22" t="s">
        <v>2721</v>
      </c>
      <c r="S2360" s="42" t="s">
        <v>6912</v>
      </c>
      <c r="T2360" s="3" t="s">
        <v>4868</v>
      </c>
      <c r="U2360" s="45">
        <v>35</v>
      </c>
      <c r="V2360" t="s">
        <v>8027</v>
      </c>
      <c r="W2360" s="1" t="str">
        <f>HYPERLINK("http://ictvonline.org/taxonomy/p/taxonomy-history?taxnode_id=201904115","ICTVonline=201904115")</f>
        <v>ICTVonline=201904115</v>
      </c>
    </row>
    <row r="2361" spans="1:23">
      <c r="A2361" s="3">
        <v>2360</v>
      </c>
      <c r="B2361" s="1" t="s">
        <v>8017</v>
      </c>
      <c r="D2361" s="1" t="s">
        <v>8049</v>
      </c>
      <c r="F2361" s="1" t="s">
        <v>8050</v>
      </c>
      <c r="H2361" s="1" t="s">
        <v>8053</v>
      </c>
      <c r="J2361" s="1" t="s">
        <v>8060</v>
      </c>
      <c r="L2361" s="1" t="s">
        <v>825</v>
      </c>
      <c r="M2361" s="1" t="s">
        <v>5442</v>
      </c>
      <c r="N2361" s="1" t="s">
        <v>179</v>
      </c>
      <c r="P2361" s="1" t="s">
        <v>2502</v>
      </c>
      <c r="Q2361" s="3">
        <v>0</v>
      </c>
      <c r="R2361" s="22" t="s">
        <v>2721</v>
      </c>
      <c r="S2361" s="42" t="s">
        <v>6912</v>
      </c>
      <c r="T2361" s="3" t="s">
        <v>4868</v>
      </c>
      <c r="U2361" s="45">
        <v>35</v>
      </c>
      <c r="V2361" t="s">
        <v>8027</v>
      </c>
      <c r="W2361" s="1" t="str">
        <f>HYPERLINK("http://ictvonline.org/taxonomy/p/taxonomy-history?taxnode_id=201904116","ICTVonline=201904116")</f>
        <v>ICTVonline=201904116</v>
      </c>
    </row>
    <row r="2362" spans="1:23">
      <c r="A2362" s="3">
        <v>2361</v>
      </c>
      <c r="B2362" s="1" t="s">
        <v>8017</v>
      </c>
      <c r="D2362" s="1" t="s">
        <v>8049</v>
      </c>
      <c r="F2362" s="1" t="s">
        <v>8050</v>
      </c>
      <c r="H2362" s="1" t="s">
        <v>8053</v>
      </c>
      <c r="J2362" s="1" t="s">
        <v>8060</v>
      </c>
      <c r="L2362" s="1" t="s">
        <v>825</v>
      </c>
      <c r="M2362" s="1" t="s">
        <v>5442</v>
      </c>
      <c r="N2362" s="1" t="s">
        <v>179</v>
      </c>
      <c r="P2362" s="1" t="s">
        <v>3854</v>
      </c>
      <c r="Q2362" s="3">
        <v>0</v>
      </c>
      <c r="R2362" s="22" t="s">
        <v>2721</v>
      </c>
      <c r="S2362" s="42" t="s">
        <v>6912</v>
      </c>
      <c r="T2362" s="3" t="s">
        <v>4868</v>
      </c>
      <c r="U2362" s="45">
        <v>35</v>
      </c>
      <c r="V2362" t="s">
        <v>8027</v>
      </c>
      <c r="W2362" s="1" t="str">
        <f>HYPERLINK("http://ictvonline.org/taxonomy/p/taxonomy-history?taxnode_id=201904117","ICTVonline=201904117")</f>
        <v>ICTVonline=201904117</v>
      </c>
    </row>
    <row r="2363" spans="1:23">
      <c r="A2363" s="3">
        <v>2362</v>
      </c>
      <c r="B2363" s="1" t="s">
        <v>8017</v>
      </c>
      <c r="D2363" s="1" t="s">
        <v>8049</v>
      </c>
      <c r="F2363" s="1" t="s">
        <v>8050</v>
      </c>
      <c r="H2363" s="1" t="s">
        <v>8053</v>
      </c>
      <c r="J2363" s="1" t="s">
        <v>8060</v>
      </c>
      <c r="L2363" s="1" t="s">
        <v>825</v>
      </c>
      <c r="M2363" s="1" t="s">
        <v>5442</v>
      </c>
      <c r="N2363" s="1" t="s">
        <v>179</v>
      </c>
      <c r="P2363" s="1" t="s">
        <v>5453</v>
      </c>
      <c r="Q2363" s="3">
        <v>0</v>
      </c>
      <c r="R2363" s="22" t="s">
        <v>2721</v>
      </c>
      <c r="S2363" s="42" t="s">
        <v>6912</v>
      </c>
      <c r="T2363" s="3" t="s">
        <v>4868</v>
      </c>
      <c r="U2363" s="45">
        <v>35</v>
      </c>
      <c r="V2363" t="s">
        <v>8027</v>
      </c>
      <c r="W2363" s="1" t="str">
        <f>HYPERLINK("http://ictvonline.org/taxonomy/p/taxonomy-history?taxnode_id=201905874","ICTVonline=201905874")</f>
        <v>ICTVonline=201905874</v>
      </c>
    </row>
    <row r="2364" spans="1:23">
      <c r="A2364" s="3">
        <v>2363</v>
      </c>
      <c r="B2364" s="1" t="s">
        <v>8017</v>
      </c>
      <c r="D2364" s="1" t="s">
        <v>8049</v>
      </c>
      <c r="F2364" s="1" t="s">
        <v>8050</v>
      </c>
      <c r="H2364" s="1" t="s">
        <v>8053</v>
      </c>
      <c r="J2364" s="1" t="s">
        <v>8060</v>
      </c>
      <c r="L2364" s="1" t="s">
        <v>825</v>
      </c>
      <c r="M2364" s="1" t="s">
        <v>5442</v>
      </c>
      <c r="N2364" s="1" t="s">
        <v>1139</v>
      </c>
      <c r="P2364" s="1" t="s">
        <v>181</v>
      </c>
      <c r="Q2364" s="3">
        <v>1</v>
      </c>
      <c r="R2364" s="22" t="s">
        <v>2721</v>
      </c>
      <c r="S2364" s="42" t="s">
        <v>6912</v>
      </c>
      <c r="T2364" s="3" t="s">
        <v>4868</v>
      </c>
      <c r="U2364" s="45">
        <v>35</v>
      </c>
      <c r="V2364" t="s">
        <v>8027</v>
      </c>
      <c r="W2364" s="1" t="str">
        <f>HYPERLINK("http://ictvonline.org/taxonomy/p/taxonomy-history?taxnode_id=201904119","ICTVonline=201904119")</f>
        <v>ICTVonline=201904119</v>
      </c>
    </row>
    <row r="2365" spans="1:23">
      <c r="A2365" s="3">
        <v>2364</v>
      </c>
      <c r="B2365" s="1" t="s">
        <v>8017</v>
      </c>
      <c r="D2365" s="1" t="s">
        <v>8049</v>
      </c>
      <c r="F2365" s="1" t="s">
        <v>8050</v>
      </c>
      <c r="H2365" s="1" t="s">
        <v>8053</v>
      </c>
      <c r="J2365" s="1" t="s">
        <v>8060</v>
      </c>
      <c r="L2365" s="1" t="s">
        <v>825</v>
      </c>
      <c r="M2365" s="1" t="s">
        <v>5442</v>
      </c>
      <c r="N2365" s="1" t="s">
        <v>3855</v>
      </c>
      <c r="P2365" s="1" t="s">
        <v>3856</v>
      </c>
      <c r="Q2365" s="3">
        <v>1</v>
      </c>
      <c r="R2365" s="22" t="s">
        <v>2721</v>
      </c>
      <c r="S2365" s="42" t="s">
        <v>6912</v>
      </c>
      <c r="T2365" s="3" t="s">
        <v>4868</v>
      </c>
      <c r="U2365" s="45">
        <v>35</v>
      </c>
      <c r="V2365" t="s">
        <v>8027</v>
      </c>
      <c r="W2365" s="1" t="str">
        <f>HYPERLINK("http://ictvonline.org/taxonomy/p/taxonomy-history?taxnode_id=201904121","ICTVonline=201904121")</f>
        <v>ICTVonline=201904121</v>
      </c>
    </row>
    <row r="2366" spans="1:23">
      <c r="A2366" s="3">
        <v>2365</v>
      </c>
      <c r="B2366" s="1" t="s">
        <v>8017</v>
      </c>
      <c r="D2366" s="1" t="s">
        <v>8049</v>
      </c>
      <c r="F2366" s="1" t="s">
        <v>8050</v>
      </c>
      <c r="H2366" s="1" t="s">
        <v>8053</v>
      </c>
      <c r="J2366" s="1" t="s">
        <v>8060</v>
      </c>
      <c r="L2366" s="1" t="s">
        <v>825</v>
      </c>
      <c r="M2366" s="1" t="s">
        <v>5442</v>
      </c>
      <c r="N2366" s="1" t="s">
        <v>3857</v>
      </c>
      <c r="P2366" s="1" t="s">
        <v>3858</v>
      </c>
      <c r="Q2366" s="3">
        <v>1</v>
      </c>
      <c r="R2366" s="22" t="s">
        <v>2721</v>
      </c>
      <c r="S2366" s="42" t="s">
        <v>6912</v>
      </c>
      <c r="T2366" s="3" t="s">
        <v>4868</v>
      </c>
      <c r="U2366" s="45">
        <v>35</v>
      </c>
      <c r="V2366" t="s">
        <v>8027</v>
      </c>
      <c r="W2366" s="1" t="str">
        <f>HYPERLINK("http://ictvonline.org/taxonomy/p/taxonomy-history?taxnode_id=201904123","ICTVonline=201904123")</f>
        <v>ICTVonline=201904123</v>
      </c>
    </row>
    <row r="2367" spans="1:23">
      <c r="A2367" s="3">
        <v>2366</v>
      </c>
      <c r="B2367" s="1" t="s">
        <v>8017</v>
      </c>
      <c r="D2367" s="1" t="s">
        <v>8049</v>
      </c>
      <c r="F2367" s="1" t="s">
        <v>8050</v>
      </c>
      <c r="H2367" s="1" t="s">
        <v>8053</v>
      </c>
      <c r="J2367" s="1" t="s">
        <v>8060</v>
      </c>
      <c r="L2367" s="1" t="s">
        <v>825</v>
      </c>
      <c r="M2367" s="1" t="s">
        <v>5442</v>
      </c>
      <c r="N2367" s="1" t="s">
        <v>3859</v>
      </c>
      <c r="P2367" s="1" t="s">
        <v>3860</v>
      </c>
      <c r="Q2367" s="3">
        <v>1</v>
      </c>
      <c r="R2367" s="22" t="s">
        <v>2721</v>
      </c>
      <c r="S2367" s="42" t="s">
        <v>6912</v>
      </c>
      <c r="T2367" s="3" t="s">
        <v>4868</v>
      </c>
      <c r="U2367" s="45">
        <v>35</v>
      </c>
      <c r="V2367" t="s">
        <v>8027</v>
      </c>
      <c r="W2367" s="1" t="str">
        <f>HYPERLINK("http://ictvonline.org/taxonomy/p/taxonomy-history?taxnode_id=201904125","ICTVonline=201904125")</f>
        <v>ICTVonline=201904125</v>
      </c>
    </row>
    <row r="2368" spans="1:23">
      <c r="A2368" s="3">
        <v>2367</v>
      </c>
      <c r="B2368" s="1" t="s">
        <v>8017</v>
      </c>
      <c r="D2368" s="1" t="s">
        <v>8049</v>
      </c>
      <c r="F2368" s="1" t="s">
        <v>8050</v>
      </c>
      <c r="H2368" s="1" t="s">
        <v>8053</v>
      </c>
      <c r="J2368" s="1" t="s">
        <v>8060</v>
      </c>
      <c r="L2368" s="1" t="s">
        <v>825</v>
      </c>
      <c r="M2368" s="1" t="s">
        <v>5442</v>
      </c>
      <c r="N2368" s="1" t="s">
        <v>5454</v>
      </c>
      <c r="P2368" s="1" t="s">
        <v>5455</v>
      </c>
      <c r="Q2368" s="3">
        <v>1</v>
      </c>
      <c r="R2368" s="22" t="s">
        <v>2721</v>
      </c>
      <c r="S2368" s="42" t="s">
        <v>6912</v>
      </c>
      <c r="T2368" s="3" t="s">
        <v>4868</v>
      </c>
      <c r="U2368" s="45">
        <v>35</v>
      </c>
      <c r="V2368" t="s">
        <v>8027</v>
      </c>
      <c r="W2368" s="1" t="str">
        <f>HYPERLINK("http://ictvonline.org/taxonomy/p/taxonomy-history?taxnode_id=201905875","ICTVonline=201905875")</f>
        <v>ICTVonline=201905875</v>
      </c>
    </row>
    <row r="2369" spans="1:23">
      <c r="A2369" s="3">
        <v>2368</v>
      </c>
      <c r="B2369" s="1" t="s">
        <v>8017</v>
      </c>
      <c r="D2369" s="1" t="s">
        <v>8049</v>
      </c>
      <c r="F2369" s="1" t="s">
        <v>8050</v>
      </c>
      <c r="H2369" s="1" t="s">
        <v>8053</v>
      </c>
      <c r="J2369" s="1" t="s">
        <v>8060</v>
      </c>
      <c r="L2369" s="1" t="s">
        <v>825</v>
      </c>
      <c r="M2369" s="1" t="s">
        <v>5442</v>
      </c>
      <c r="N2369" s="1" t="s">
        <v>5456</v>
      </c>
      <c r="P2369" s="1" t="s">
        <v>5457</v>
      </c>
      <c r="Q2369" s="3">
        <v>1</v>
      </c>
      <c r="R2369" s="22" t="s">
        <v>2721</v>
      </c>
      <c r="S2369" s="42" t="s">
        <v>6912</v>
      </c>
      <c r="T2369" s="3" t="s">
        <v>4868</v>
      </c>
      <c r="U2369" s="45">
        <v>35</v>
      </c>
      <c r="V2369" t="s">
        <v>8027</v>
      </c>
      <c r="W2369" s="1" t="str">
        <f>HYPERLINK("http://ictvonline.org/taxonomy/p/taxonomy-history?taxnode_id=201905877","ICTVonline=201905877")</f>
        <v>ICTVonline=201905877</v>
      </c>
    </row>
    <row r="2370" spans="1:23">
      <c r="A2370" s="3">
        <v>2369</v>
      </c>
      <c r="B2370" s="1" t="s">
        <v>8017</v>
      </c>
      <c r="D2370" s="1" t="s">
        <v>8049</v>
      </c>
      <c r="F2370" s="1" t="s">
        <v>8050</v>
      </c>
      <c r="H2370" s="1" t="s">
        <v>8053</v>
      </c>
      <c r="J2370" s="1" t="s">
        <v>8060</v>
      </c>
      <c r="L2370" s="1" t="s">
        <v>825</v>
      </c>
      <c r="M2370" s="1" t="s">
        <v>5442</v>
      </c>
      <c r="N2370" s="1" t="s">
        <v>5458</v>
      </c>
      <c r="P2370" s="1" t="s">
        <v>5459</v>
      </c>
      <c r="Q2370" s="3">
        <v>1</v>
      </c>
      <c r="R2370" s="22" t="s">
        <v>2721</v>
      </c>
      <c r="S2370" s="42" t="s">
        <v>6912</v>
      </c>
      <c r="T2370" s="3" t="s">
        <v>4868</v>
      </c>
      <c r="U2370" s="45">
        <v>35</v>
      </c>
      <c r="V2370" t="s">
        <v>8027</v>
      </c>
      <c r="W2370" s="1" t="str">
        <f>HYPERLINK("http://ictvonline.org/taxonomy/p/taxonomy-history?taxnode_id=201905879","ICTVonline=201905879")</f>
        <v>ICTVonline=201905879</v>
      </c>
    </row>
    <row r="2371" spans="1:23">
      <c r="A2371" s="3">
        <v>2370</v>
      </c>
      <c r="B2371" s="1" t="s">
        <v>8017</v>
      </c>
      <c r="D2371" s="1" t="s">
        <v>8049</v>
      </c>
      <c r="F2371" s="1" t="s">
        <v>8050</v>
      </c>
      <c r="H2371" s="1" t="s">
        <v>8053</v>
      </c>
      <c r="J2371" s="1" t="s">
        <v>8060</v>
      </c>
      <c r="L2371" s="1" t="s">
        <v>825</v>
      </c>
      <c r="M2371" s="1" t="s">
        <v>5442</v>
      </c>
      <c r="N2371" s="1" t="s">
        <v>3861</v>
      </c>
      <c r="P2371" s="1" t="s">
        <v>3862</v>
      </c>
      <c r="Q2371" s="3">
        <v>1</v>
      </c>
      <c r="R2371" s="22" t="s">
        <v>2721</v>
      </c>
      <c r="S2371" s="42" t="s">
        <v>6912</v>
      </c>
      <c r="T2371" s="3" t="s">
        <v>4868</v>
      </c>
      <c r="U2371" s="45">
        <v>35</v>
      </c>
      <c r="V2371" t="s">
        <v>8027</v>
      </c>
      <c r="W2371" s="1" t="str">
        <f>HYPERLINK("http://ictvonline.org/taxonomy/p/taxonomy-history?taxnode_id=201904127","ICTVonline=201904127")</f>
        <v>ICTVonline=201904127</v>
      </c>
    </row>
    <row r="2372" spans="1:23">
      <c r="A2372" s="3">
        <v>2371</v>
      </c>
      <c r="B2372" s="1" t="s">
        <v>8017</v>
      </c>
      <c r="D2372" s="1" t="s">
        <v>8049</v>
      </c>
      <c r="F2372" s="1" t="s">
        <v>8050</v>
      </c>
      <c r="H2372" s="1" t="s">
        <v>8053</v>
      </c>
      <c r="J2372" s="1" t="s">
        <v>8060</v>
      </c>
      <c r="L2372" s="1" t="s">
        <v>825</v>
      </c>
      <c r="M2372" s="1" t="s">
        <v>5442</v>
      </c>
      <c r="N2372" s="1" t="s">
        <v>182</v>
      </c>
      <c r="P2372" s="1" t="s">
        <v>183</v>
      </c>
      <c r="Q2372" s="3">
        <v>1</v>
      </c>
      <c r="R2372" s="22" t="s">
        <v>2721</v>
      </c>
      <c r="S2372" s="42" t="s">
        <v>6912</v>
      </c>
      <c r="T2372" s="3" t="s">
        <v>4868</v>
      </c>
      <c r="U2372" s="45">
        <v>35</v>
      </c>
      <c r="V2372" t="s">
        <v>8027</v>
      </c>
      <c r="W2372" s="1" t="str">
        <f>HYPERLINK("http://ictvonline.org/taxonomy/p/taxonomy-history?taxnode_id=201904129","ICTVonline=201904129")</f>
        <v>ICTVonline=201904129</v>
      </c>
    </row>
    <row r="2373" spans="1:23">
      <c r="A2373" s="3">
        <v>2372</v>
      </c>
      <c r="B2373" s="1" t="s">
        <v>8017</v>
      </c>
      <c r="D2373" s="1" t="s">
        <v>8049</v>
      </c>
      <c r="F2373" s="1" t="s">
        <v>8050</v>
      </c>
      <c r="H2373" s="1" t="s">
        <v>8053</v>
      </c>
      <c r="J2373" s="1" t="s">
        <v>8060</v>
      </c>
      <c r="L2373" s="1" t="s">
        <v>825</v>
      </c>
      <c r="M2373" s="1" t="s">
        <v>5442</v>
      </c>
      <c r="N2373" s="1" t="s">
        <v>182</v>
      </c>
      <c r="P2373" s="1" t="s">
        <v>184</v>
      </c>
      <c r="Q2373" s="3">
        <v>0</v>
      </c>
      <c r="R2373" s="22" t="s">
        <v>2721</v>
      </c>
      <c r="S2373" s="42" t="s">
        <v>6912</v>
      </c>
      <c r="T2373" s="3" t="s">
        <v>4868</v>
      </c>
      <c r="U2373" s="45">
        <v>35</v>
      </c>
      <c r="V2373" t="s">
        <v>8027</v>
      </c>
      <c r="W2373" s="1" t="str">
        <f>HYPERLINK("http://ictvonline.org/taxonomy/p/taxonomy-history?taxnode_id=201904130","ICTVonline=201904130")</f>
        <v>ICTVonline=201904130</v>
      </c>
    </row>
    <row r="2374" spans="1:23">
      <c r="A2374" s="3">
        <v>2373</v>
      </c>
      <c r="B2374" s="1" t="s">
        <v>8017</v>
      </c>
      <c r="D2374" s="1" t="s">
        <v>8049</v>
      </c>
      <c r="F2374" s="1" t="s">
        <v>8050</v>
      </c>
      <c r="H2374" s="1" t="s">
        <v>8053</v>
      </c>
      <c r="J2374" s="1" t="s">
        <v>8060</v>
      </c>
      <c r="L2374" s="1" t="s">
        <v>825</v>
      </c>
      <c r="M2374" s="1" t="s">
        <v>5442</v>
      </c>
      <c r="N2374" s="1" t="s">
        <v>182</v>
      </c>
      <c r="P2374" s="1" t="s">
        <v>2503</v>
      </c>
      <c r="Q2374" s="3">
        <v>0</v>
      </c>
      <c r="R2374" s="22" t="s">
        <v>2721</v>
      </c>
      <c r="S2374" s="42" t="s">
        <v>6912</v>
      </c>
      <c r="T2374" s="3" t="s">
        <v>4868</v>
      </c>
      <c r="U2374" s="45">
        <v>35</v>
      </c>
      <c r="V2374" t="s">
        <v>8027</v>
      </c>
      <c r="W2374" s="1" t="str">
        <f>HYPERLINK("http://ictvonline.org/taxonomy/p/taxonomy-history?taxnode_id=201904131","ICTVonline=201904131")</f>
        <v>ICTVonline=201904131</v>
      </c>
    </row>
    <row r="2375" spans="1:23">
      <c r="A2375" s="3">
        <v>2374</v>
      </c>
      <c r="B2375" s="1" t="s">
        <v>8017</v>
      </c>
      <c r="D2375" s="1" t="s">
        <v>8049</v>
      </c>
      <c r="F2375" s="1" t="s">
        <v>8050</v>
      </c>
      <c r="H2375" s="1" t="s">
        <v>8053</v>
      </c>
      <c r="J2375" s="1" t="s">
        <v>8060</v>
      </c>
      <c r="L2375" s="1" t="s">
        <v>825</v>
      </c>
      <c r="M2375" s="1" t="s">
        <v>5442</v>
      </c>
      <c r="N2375" s="1" t="s">
        <v>1655</v>
      </c>
      <c r="P2375" s="1" t="s">
        <v>185</v>
      </c>
      <c r="Q2375" s="3">
        <v>1</v>
      </c>
      <c r="R2375" s="22" t="s">
        <v>2721</v>
      </c>
      <c r="S2375" s="42" t="s">
        <v>6912</v>
      </c>
      <c r="T2375" s="3" t="s">
        <v>4868</v>
      </c>
      <c r="U2375" s="45">
        <v>35</v>
      </c>
      <c r="V2375" t="s">
        <v>8027</v>
      </c>
      <c r="W2375" s="1" t="str">
        <f>HYPERLINK("http://ictvonline.org/taxonomy/p/taxonomy-history?taxnode_id=201904133","ICTVonline=201904133")</f>
        <v>ICTVonline=201904133</v>
      </c>
    </row>
    <row r="2376" spans="1:23">
      <c r="A2376" s="3">
        <v>2375</v>
      </c>
      <c r="B2376" s="1" t="s">
        <v>8017</v>
      </c>
      <c r="D2376" s="1" t="s">
        <v>8049</v>
      </c>
      <c r="F2376" s="1" t="s">
        <v>8050</v>
      </c>
      <c r="H2376" s="1" t="s">
        <v>8053</v>
      </c>
      <c r="J2376" s="1" t="s">
        <v>8060</v>
      </c>
      <c r="L2376" s="1" t="s">
        <v>825</v>
      </c>
      <c r="M2376" s="1" t="s">
        <v>5442</v>
      </c>
      <c r="N2376" s="1" t="s">
        <v>1655</v>
      </c>
      <c r="P2376" s="1" t="s">
        <v>2504</v>
      </c>
      <c r="Q2376" s="3">
        <v>0</v>
      </c>
      <c r="R2376" s="22" t="s">
        <v>2721</v>
      </c>
      <c r="S2376" s="42" t="s">
        <v>6912</v>
      </c>
      <c r="T2376" s="3" t="s">
        <v>4868</v>
      </c>
      <c r="U2376" s="45">
        <v>35</v>
      </c>
      <c r="V2376" t="s">
        <v>8027</v>
      </c>
      <c r="W2376" s="1" t="str">
        <f>HYPERLINK("http://ictvonline.org/taxonomy/p/taxonomy-history?taxnode_id=201904134","ICTVonline=201904134")</f>
        <v>ICTVonline=201904134</v>
      </c>
    </row>
    <row r="2377" spans="1:23">
      <c r="A2377" s="3">
        <v>2376</v>
      </c>
      <c r="B2377" s="1" t="s">
        <v>8017</v>
      </c>
      <c r="D2377" s="1" t="s">
        <v>8049</v>
      </c>
      <c r="F2377" s="1" t="s">
        <v>8050</v>
      </c>
      <c r="H2377" s="1" t="s">
        <v>8053</v>
      </c>
      <c r="J2377" s="1" t="s">
        <v>8060</v>
      </c>
      <c r="L2377" s="1" t="s">
        <v>825</v>
      </c>
      <c r="M2377" s="1" t="s">
        <v>5442</v>
      </c>
      <c r="N2377" s="1" t="s">
        <v>1655</v>
      </c>
      <c r="P2377" s="1" t="s">
        <v>3863</v>
      </c>
      <c r="Q2377" s="3">
        <v>0</v>
      </c>
      <c r="R2377" s="22" t="s">
        <v>2721</v>
      </c>
      <c r="S2377" s="42" t="s">
        <v>6912</v>
      </c>
      <c r="T2377" s="3" t="s">
        <v>4868</v>
      </c>
      <c r="U2377" s="45">
        <v>35</v>
      </c>
      <c r="V2377" t="s">
        <v>8027</v>
      </c>
      <c r="W2377" s="1" t="str">
        <f>HYPERLINK("http://ictvonline.org/taxonomy/p/taxonomy-history?taxnode_id=201904135","ICTVonline=201904135")</f>
        <v>ICTVonline=201904135</v>
      </c>
    </row>
    <row r="2378" spans="1:23">
      <c r="A2378" s="3">
        <v>2377</v>
      </c>
      <c r="B2378" s="1" t="s">
        <v>8017</v>
      </c>
      <c r="D2378" s="1" t="s">
        <v>8049</v>
      </c>
      <c r="F2378" s="1" t="s">
        <v>8050</v>
      </c>
      <c r="H2378" s="1" t="s">
        <v>8053</v>
      </c>
      <c r="J2378" s="1" t="s">
        <v>8060</v>
      </c>
      <c r="L2378" s="1" t="s">
        <v>825</v>
      </c>
      <c r="M2378" s="1" t="s">
        <v>5442</v>
      </c>
      <c r="N2378" s="1" t="s">
        <v>1655</v>
      </c>
      <c r="P2378" s="1" t="s">
        <v>5460</v>
      </c>
      <c r="Q2378" s="3">
        <v>0</v>
      </c>
      <c r="R2378" s="22" t="s">
        <v>2721</v>
      </c>
      <c r="S2378" s="42" t="s">
        <v>6912</v>
      </c>
      <c r="T2378" s="3" t="s">
        <v>4868</v>
      </c>
      <c r="U2378" s="45">
        <v>35</v>
      </c>
      <c r="V2378" t="s">
        <v>8027</v>
      </c>
      <c r="W2378" s="1" t="str">
        <f>HYPERLINK("http://ictvonline.org/taxonomy/p/taxonomy-history?taxnode_id=201905881","ICTVonline=201905881")</f>
        <v>ICTVonline=201905881</v>
      </c>
    </row>
    <row r="2379" spans="1:23">
      <c r="A2379" s="3">
        <v>2378</v>
      </c>
      <c r="B2379" s="1" t="s">
        <v>8017</v>
      </c>
      <c r="D2379" s="1" t="s">
        <v>8049</v>
      </c>
      <c r="F2379" s="1" t="s">
        <v>8050</v>
      </c>
      <c r="H2379" s="1" t="s">
        <v>8053</v>
      </c>
      <c r="J2379" s="1" t="s">
        <v>8060</v>
      </c>
      <c r="L2379" s="1" t="s">
        <v>825</v>
      </c>
      <c r="M2379" s="1" t="s">
        <v>5442</v>
      </c>
      <c r="N2379" s="1" t="s">
        <v>1655</v>
      </c>
      <c r="P2379" s="1" t="s">
        <v>5461</v>
      </c>
      <c r="Q2379" s="3">
        <v>0</v>
      </c>
      <c r="R2379" s="22" t="s">
        <v>2721</v>
      </c>
      <c r="S2379" s="42" t="s">
        <v>6912</v>
      </c>
      <c r="T2379" s="3" t="s">
        <v>4868</v>
      </c>
      <c r="U2379" s="45">
        <v>35</v>
      </c>
      <c r="V2379" t="s">
        <v>8027</v>
      </c>
      <c r="W2379" s="1" t="str">
        <f>HYPERLINK("http://ictvonline.org/taxonomy/p/taxonomy-history?taxnode_id=201905882","ICTVonline=201905882")</f>
        <v>ICTVonline=201905882</v>
      </c>
    </row>
    <row r="2380" spans="1:23">
      <c r="A2380" s="3">
        <v>2379</v>
      </c>
      <c r="B2380" s="1" t="s">
        <v>8017</v>
      </c>
      <c r="D2380" s="1" t="s">
        <v>8049</v>
      </c>
      <c r="F2380" s="1" t="s">
        <v>8050</v>
      </c>
      <c r="H2380" s="1" t="s">
        <v>8053</v>
      </c>
      <c r="J2380" s="1" t="s">
        <v>8060</v>
      </c>
      <c r="L2380" s="1" t="s">
        <v>825</v>
      </c>
      <c r="M2380" s="1" t="s">
        <v>5442</v>
      </c>
      <c r="N2380" s="1" t="s">
        <v>1656</v>
      </c>
      <c r="P2380" s="1" t="s">
        <v>186</v>
      </c>
      <c r="Q2380" s="3">
        <v>1</v>
      </c>
      <c r="R2380" s="22" t="s">
        <v>2721</v>
      </c>
      <c r="S2380" s="42" t="s">
        <v>6912</v>
      </c>
      <c r="T2380" s="3" t="s">
        <v>4868</v>
      </c>
      <c r="U2380" s="45">
        <v>35</v>
      </c>
      <c r="V2380" t="s">
        <v>8027</v>
      </c>
      <c r="W2380" s="1" t="str">
        <f>HYPERLINK("http://ictvonline.org/taxonomy/p/taxonomy-history?taxnode_id=201904137","ICTVonline=201904137")</f>
        <v>ICTVonline=201904137</v>
      </c>
    </row>
    <row r="2381" spans="1:23">
      <c r="A2381" s="3">
        <v>2380</v>
      </c>
      <c r="B2381" s="1" t="s">
        <v>8017</v>
      </c>
      <c r="D2381" s="1" t="s">
        <v>8049</v>
      </c>
      <c r="F2381" s="1" t="s">
        <v>8050</v>
      </c>
      <c r="H2381" s="1" t="s">
        <v>8053</v>
      </c>
      <c r="J2381" s="1" t="s">
        <v>8060</v>
      </c>
      <c r="L2381" s="1" t="s">
        <v>825</v>
      </c>
      <c r="M2381" s="1" t="s">
        <v>5462</v>
      </c>
      <c r="N2381" s="1" t="s">
        <v>5463</v>
      </c>
      <c r="P2381" s="1" t="s">
        <v>5464</v>
      </c>
      <c r="Q2381" s="3">
        <v>1</v>
      </c>
      <c r="R2381" s="22" t="s">
        <v>2721</v>
      </c>
      <c r="S2381" s="42" t="s">
        <v>6912</v>
      </c>
      <c r="T2381" s="3" t="s">
        <v>4868</v>
      </c>
      <c r="U2381" s="45">
        <v>35</v>
      </c>
      <c r="V2381" t="s">
        <v>8027</v>
      </c>
      <c r="W2381" s="1" t="str">
        <f>HYPERLINK("http://ictvonline.org/taxonomy/p/taxonomy-history?taxnode_id=201905884","ICTVonline=201905884")</f>
        <v>ICTVonline=201905884</v>
      </c>
    </row>
    <row r="2382" spans="1:23">
      <c r="A2382" s="3">
        <v>2381</v>
      </c>
      <c r="B2382" s="1" t="s">
        <v>8017</v>
      </c>
      <c r="D2382" s="1" t="s">
        <v>8049</v>
      </c>
      <c r="F2382" s="1" t="s">
        <v>8050</v>
      </c>
      <c r="H2382" s="1" t="s">
        <v>8061</v>
      </c>
      <c r="J2382" s="1" t="s">
        <v>8062</v>
      </c>
      <c r="L2382" s="1" t="s">
        <v>1906</v>
      </c>
      <c r="M2382" s="1" t="s">
        <v>1907</v>
      </c>
      <c r="N2382" s="1" t="s">
        <v>8063</v>
      </c>
      <c r="P2382" s="1" t="s">
        <v>8064</v>
      </c>
      <c r="Q2382" s="3">
        <v>0</v>
      </c>
      <c r="R2382" s="22" t="s">
        <v>2724</v>
      </c>
      <c r="S2382" s="42" t="s">
        <v>6914</v>
      </c>
      <c r="T2382" s="3" t="s">
        <v>4867</v>
      </c>
      <c r="U2382" s="45">
        <v>35</v>
      </c>
      <c r="V2382" t="s">
        <v>8065</v>
      </c>
      <c r="W2382" s="1" t="str">
        <f>HYPERLINK("http://ictvonline.org/taxonomy/p/taxonomy-history?taxnode_id=201904209","ICTVonline=201904209")</f>
        <v>ICTVonline=201904209</v>
      </c>
    </row>
    <row r="2383" spans="1:23">
      <c r="A2383" s="3">
        <v>2382</v>
      </c>
      <c r="B2383" s="1" t="s">
        <v>8017</v>
      </c>
      <c r="D2383" s="1" t="s">
        <v>8049</v>
      </c>
      <c r="F2383" s="1" t="s">
        <v>8050</v>
      </c>
      <c r="H2383" s="1" t="s">
        <v>8061</v>
      </c>
      <c r="J2383" s="1" t="s">
        <v>8062</v>
      </c>
      <c r="L2383" s="1" t="s">
        <v>1906</v>
      </c>
      <c r="M2383" s="1" t="s">
        <v>1907</v>
      </c>
      <c r="N2383" s="1" t="s">
        <v>8063</v>
      </c>
      <c r="P2383" s="1" t="s">
        <v>8066</v>
      </c>
      <c r="Q2383" s="3">
        <v>1</v>
      </c>
      <c r="R2383" s="22" t="s">
        <v>2724</v>
      </c>
      <c r="S2383" s="42" t="s">
        <v>6914</v>
      </c>
      <c r="T2383" s="3" t="s">
        <v>4872</v>
      </c>
      <c r="U2383" s="45">
        <v>35</v>
      </c>
      <c r="V2383" t="s">
        <v>8065</v>
      </c>
      <c r="W2383" s="1" t="str">
        <f>HYPERLINK("http://ictvonline.org/taxonomy/p/taxonomy-history?taxnode_id=201904212","ICTVonline=201904212")</f>
        <v>ICTVonline=201904212</v>
      </c>
    </row>
    <row r="2384" spans="1:23">
      <c r="A2384" s="3">
        <v>2383</v>
      </c>
      <c r="B2384" s="1" t="s">
        <v>8017</v>
      </c>
      <c r="D2384" s="1" t="s">
        <v>8049</v>
      </c>
      <c r="F2384" s="1" t="s">
        <v>8050</v>
      </c>
      <c r="H2384" s="1" t="s">
        <v>8061</v>
      </c>
      <c r="J2384" s="1" t="s">
        <v>8062</v>
      </c>
      <c r="L2384" s="1" t="s">
        <v>1906</v>
      </c>
      <c r="M2384" s="1" t="s">
        <v>1907</v>
      </c>
      <c r="N2384" s="1" t="s">
        <v>8067</v>
      </c>
      <c r="P2384" s="1" t="s">
        <v>8068</v>
      </c>
      <c r="Q2384" s="3">
        <v>1</v>
      </c>
      <c r="R2384" s="22" t="s">
        <v>2724</v>
      </c>
      <c r="S2384" s="42" t="s">
        <v>6914</v>
      </c>
      <c r="T2384" s="3" t="s">
        <v>4872</v>
      </c>
      <c r="U2384" s="45">
        <v>35</v>
      </c>
      <c r="V2384" t="s">
        <v>8065</v>
      </c>
      <c r="W2384" s="1" t="str">
        <f>HYPERLINK("http://ictvonline.org/taxonomy/p/taxonomy-history?taxnode_id=201904211","ICTVonline=201904211")</f>
        <v>ICTVonline=201904211</v>
      </c>
    </row>
    <row r="2385" spans="1:23">
      <c r="A2385" s="3">
        <v>2384</v>
      </c>
      <c r="B2385" s="1" t="s">
        <v>8017</v>
      </c>
      <c r="D2385" s="1" t="s">
        <v>8049</v>
      </c>
      <c r="F2385" s="1" t="s">
        <v>8050</v>
      </c>
      <c r="H2385" s="1" t="s">
        <v>8061</v>
      </c>
      <c r="J2385" s="1" t="s">
        <v>8062</v>
      </c>
      <c r="L2385" s="1" t="s">
        <v>1906</v>
      </c>
      <c r="M2385" s="1" t="s">
        <v>1907</v>
      </c>
      <c r="N2385" s="1" t="s">
        <v>8069</v>
      </c>
      <c r="P2385" s="1" t="s">
        <v>8070</v>
      </c>
      <c r="Q2385" s="3">
        <v>1</v>
      </c>
      <c r="R2385" s="22" t="s">
        <v>2724</v>
      </c>
      <c r="S2385" s="42" t="s">
        <v>6914</v>
      </c>
      <c r="T2385" s="3" t="s">
        <v>4872</v>
      </c>
      <c r="U2385" s="45">
        <v>35</v>
      </c>
      <c r="V2385" t="s">
        <v>8065</v>
      </c>
      <c r="W2385" s="1" t="str">
        <f>HYPERLINK("http://ictvonline.org/taxonomy/p/taxonomy-history?taxnode_id=201904215","ICTVonline=201904215")</f>
        <v>ICTVonline=201904215</v>
      </c>
    </row>
    <row r="2386" spans="1:23">
      <c r="A2386" s="3">
        <v>2385</v>
      </c>
      <c r="B2386" s="1" t="s">
        <v>8017</v>
      </c>
      <c r="D2386" s="1" t="s">
        <v>8049</v>
      </c>
      <c r="F2386" s="1" t="s">
        <v>8050</v>
      </c>
      <c r="H2386" s="1" t="s">
        <v>8061</v>
      </c>
      <c r="J2386" s="1" t="s">
        <v>8062</v>
      </c>
      <c r="L2386" s="1" t="s">
        <v>1906</v>
      </c>
      <c r="M2386" s="1" t="s">
        <v>1907</v>
      </c>
      <c r="N2386" s="1" t="s">
        <v>8069</v>
      </c>
      <c r="P2386" s="1" t="s">
        <v>8071</v>
      </c>
      <c r="Q2386" s="3">
        <v>0</v>
      </c>
      <c r="R2386" s="22" t="s">
        <v>2724</v>
      </c>
      <c r="S2386" s="42" t="s">
        <v>6914</v>
      </c>
      <c r="T2386" s="3" t="s">
        <v>4867</v>
      </c>
      <c r="U2386" s="45">
        <v>35</v>
      </c>
      <c r="V2386" t="s">
        <v>8065</v>
      </c>
      <c r="W2386" s="1" t="str">
        <f>HYPERLINK("http://ictvonline.org/taxonomy/p/taxonomy-history?taxnode_id=201904216","ICTVonline=201904216")</f>
        <v>ICTVonline=201904216</v>
      </c>
    </row>
    <row r="2387" spans="1:23">
      <c r="A2387" s="3">
        <v>2386</v>
      </c>
      <c r="B2387" s="1" t="s">
        <v>8017</v>
      </c>
      <c r="D2387" s="1" t="s">
        <v>8049</v>
      </c>
      <c r="F2387" s="1" t="s">
        <v>8050</v>
      </c>
      <c r="H2387" s="1" t="s">
        <v>8061</v>
      </c>
      <c r="J2387" s="1" t="s">
        <v>8062</v>
      </c>
      <c r="L2387" s="1" t="s">
        <v>1906</v>
      </c>
      <c r="M2387" s="1" t="s">
        <v>1907</v>
      </c>
      <c r="N2387" s="1" t="s">
        <v>2521</v>
      </c>
      <c r="P2387" s="1" t="s">
        <v>2522</v>
      </c>
      <c r="Q2387" s="3">
        <v>1</v>
      </c>
      <c r="R2387" s="22" t="s">
        <v>2724</v>
      </c>
      <c r="S2387" s="42" t="s">
        <v>6912</v>
      </c>
      <c r="T2387" s="3" t="s">
        <v>4868</v>
      </c>
      <c r="U2387" s="45">
        <v>35</v>
      </c>
      <c r="V2387" t="s">
        <v>8065</v>
      </c>
      <c r="W2387" s="1" t="str">
        <f>HYPERLINK("http://ictvonline.org/taxonomy/p/taxonomy-history?taxnode_id=201904226","ICTVonline=201904226")</f>
        <v>ICTVonline=201904226</v>
      </c>
    </row>
    <row r="2388" spans="1:23">
      <c r="A2388" s="3">
        <v>2387</v>
      </c>
      <c r="B2388" s="1" t="s">
        <v>8017</v>
      </c>
      <c r="D2388" s="1" t="s">
        <v>8049</v>
      </c>
      <c r="F2388" s="1" t="s">
        <v>8050</v>
      </c>
      <c r="H2388" s="1" t="s">
        <v>8061</v>
      </c>
      <c r="J2388" s="1" t="s">
        <v>8062</v>
      </c>
      <c r="L2388" s="1" t="s">
        <v>1906</v>
      </c>
      <c r="M2388" s="1" t="s">
        <v>1907</v>
      </c>
      <c r="N2388" s="1" t="s">
        <v>2521</v>
      </c>
      <c r="P2388" s="1" t="s">
        <v>2523</v>
      </c>
      <c r="Q2388" s="3">
        <v>0</v>
      </c>
      <c r="R2388" s="22" t="s">
        <v>2724</v>
      </c>
      <c r="S2388" s="42" t="s">
        <v>6912</v>
      </c>
      <c r="T2388" s="3" t="s">
        <v>4868</v>
      </c>
      <c r="U2388" s="45">
        <v>35</v>
      </c>
      <c r="V2388" t="s">
        <v>8065</v>
      </c>
      <c r="W2388" s="1" t="str">
        <f>HYPERLINK("http://ictvonline.org/taxonomy/p/taxonomy-history?taxnode_id=201904227","ICTVonline=201904227")</f>
        <v>ICTVonline=201904227</v>
      </c>
    </row>
    <row r="2389" spans="1:23">
      <c r="A2389" s="3">
        <v>2388</v>
      </c>
      <c r="B2389" s="1" t="s">
        <v>8017</v>
      </c>
      <c r="D2389" s="1" t="s">
        <v>8049</v>
      </c>
      <c r="F2389" s="1" t="s">
        <v>8050</v>
      </c>
      <c r="H2389" s="1" t="s">
        <v>8061</v>
      </c>
      <c r="J2389" s="1" t="s">
        <v>8062</v>
      </c>
      <c r="L2389" s="1" t="s">
        <v>1906</v>
      </c>
      <c r="M2389" s="1" t="s">
        <v>1907</v>
      </c>
      <c r="N2389" s="1" t="s">
        <v>2521</v>
      </c>
      <c r="P2389" s="1" t="s">
        <v>2524</v>
      </c>
      <c r="Q2389" s="3">
        <v>0</v>
      </c>
      <c r="R2389" s="22" t="s">
        <v>2724</v>
      </c>
      <c r="S2389" s="42" t="s">
        <v>6912</v>
      </c>
      <c r="T2389" s="3" t="s">
        <v>4868</v>
      </c>
      <c r="U2389" s="45">
        <v>35</v>
      </c>
      <c r="V2389" t="s">
        <v>8065</v>
      </c>
      <c r="W2389" s="1" t="str">
        <f>HYPERLINK("http://ictvonline.org/taxonomy/p/taxonomy-history?taxnode_id=201904228","ICTVonline=201904228")</f>
        <v>ICTVonline=201904228</v>
      </c>
    </row>
    <row r="2390" spans="1:23">
      <c r="A2390" s="3">
        <v>2389</v>
      </c>
      <c r="B2390" s="1" t="s">
        <v>8017</v>
      </c>
      <c r="D2390" s="1" t="s">
        <v>8049</v>
      </c>
      <c r="F2390" s="1" t="s">
        <v>8050</v>
      </c>
      <c r="H2390" s="1" t="s">
        <v>8061</v>
      </c>
      <c r="J2390" s="1" t="s">
        <v>8062</v>
      </c>
      <c r="L2390" s="1" t="s">
        <v>1906</v>
      </c>
      <c r="M2390" s="1" t="s">
        <v>1907</v>
      </c>
      <c r="N2390" s="1" t="s">
        <v>2521</v>
      </c>
      <c r="P2390" s="1" t="s">
        <v>2525</v>
      </c>
      <c r="Q2390" s="3">
        <v>0</v>
      </c>
      <c r="R2390" s="22" t="s">
        <v>2724</v>
      </c>
      <c r="S2390" s="42" t="s">
        <v>6912</v>
      </c>
      <c r="T2390" s="3" t="s">
        <v>4868</v>
      </c>
      <c r="U2390" s="45">
        <v>35</v>
      </c>
      <c r="V2390" t="s">
        <v>8065</v>
      </c>
      <c r="W2390" s="1" t="str">
        <f>HYPERLINK("http://ictvonline.org/taxonomy/p/taxonomy-history?taxnode_id=201904229","ICTVonline=201904229")</f>
        <v>ICTVonline=201904229</v>
      </c>
    </row>
    <row r="2391" spans="1:23">
      <c r="A2391" s="3">
        <v>2390</v>
      </c>
      <c r="B2391" s="1" t="s">
        <v>8017</v>
      </c>
      <c r="D2391" s="1" t="s">
        <v>8049</v>
      </c>
      <c r="F2391" s="1" t="s">
        <v>8050</v>
      </c>
      <c r="H2391" s="1" t="s">
        <v>8061</v>
      </c>
      <c r="J2391" s="1" t="s">
        <v>8062</v>
      </c>
      <c r="L2391" s="1" t="s">
        <v>1906</v>
      </c>
      <c r="M2391" s="1" t="s">
        <v>1907</v>
      </c>
      <c r="N2391" s="1" t="s">
        <v>2521</v>
      </c>
      <c r="P2391" s="1" t="s">
        <v>2526</v>
      </c>
      <c r="Q2391" s="3">
        <v>0</v>
      </c>
      <c r="R2391" s="22" t="s">
        <v>2724</v>
      </c>
      <c r="S2391" s="42" t="s">
        <v>6912</v>
      </c>
      <c r="T2391" s="3" t="s">
        <v>4868</v>
      </c>
      <c r="U2391" s="45">
        <v>35</v>
      </c>
      <c r="V2391" t="s">
        <v>8065</v>
      </c>
      <c r="W2391" s="1" t="str">
        <f>HYPERLINK("http://ictvonline.org/taxonomy/p/taxonomy-history?taxnode_id=201904230","ICTVonline=201904230")</f>
        <v>ICTVonline=201904230</v>
      </c>
    </row>
    <row r="2392" spans="1:23">
      <c r="A2392" s="3">
        <v>2391</v>
      </c>
      <c r="B2392" s="1" t="s">
        <v>8017</v>
      </c>
      <c r="D2392" s="1" t="s">
        <v>8049</v>
      </c>
      <c r="F2392" s="1" t="s">
        <v>8050</v>
      </c>
      <c r="H2392" s="1" t="s">
        <v>8061</v>
      </c>
      <c r="J2392" s="1" t="s">
        <v>8062</v>
      </c>
      <c r="L2392" s="1" t="s">
        <v>1906</v>
      </c>
      <c r="M2392" s="1" t="s">
        <v>1907</v>
      </c>
      <c r="N2392" s="1" t="s">
        <v>8072</v>
      </c>
      <c r="P2392" s="1" t="s">
        <v>8073</v>
      </c>
      <c r="Q2392" s="3">
        <v>1</v>
      </c>
      <c r="R2392" s="22" t="s">
        <v>2724</v>
      </c>
      <c r="S2392" s="42" t="s">
        <v>6914</v>
      </c>
      <c r="T2392" s="3" t="s">
        <v>4872</v>
      </c>
      <c r="U2392" s="45">
        <v>35</v>
      </c>
      <c r="V2392" t="s">
        <v>8065</v>
      </c>
      <c r="W2392" s="1" t="str">
        <f>HYPERLINK("http://ictvonline.org/taxonomy/p/taxonomy-history?taxnode_id=201904234","ICTVonline=201904234")</f>
        <v>ICTVonline=201904234</v>
      </c>
    </row>
    <row r="2393" spans="1:23">
      <c r="A2393" s="3">
        <v>2392</v>
      </c>
      <c r="B2393" s="1" t="s">
        <v>8017</v>
      </c>
      <c r="D2393" s="1" t="s">
        <v>8049</v>
      </c>
      <c r="F2393" s="1" t="s">
        <v>8050</v>
      </c>
      <c r="H2393" s="1" t="s">
        <v>8061</v>
      </c>
      <c r="J2393" s="1" t="s">
        <v>8062</v>
      </c>
      <c r="L2393" s="1" t="s">
        <v>1906</v>
      </c>
      <c r="M2393" s="1" t="s">
        <v>1907</v>
      </c>
      <c r="N2393" s="1" t="s">
        <v>8074</v>
      </c>
      <c r="P2393" s="1" t="s">
        <v>8075</v>
      </c>
      <c r="Q2393" s="3">
        <v>1</v>
      </c>
      <c r="R2393" s="22" t="s">
        <v>2724</v>
      </c>
      <c r="S2393" s="42" t="s">
        <v>6914</v>
      </c>
      <c r="T2393" s="3" t="s">
        <v>4872</v>
      </c>
      <c r="U2393" s="45">
        <v>35</v>
      </c>
      <c r="V2393" t="s">
        <v>8065</v>
      </c>
      <c r="W2393" s="1" t="str">
        <f>HYPERLINK("http://ictvonline.org/taxonomy/p/taxonomy-history?taxnode_id=201904210","ICTVonline=201904210")</f>
        <v>ICTVonline=201904210</v>
      </c>
    </row>
    <row r="2394" spans="1:23">
      <c r="A2394" s="3">
        <v>2393</v>
      </c>
      <c r="B2394" s="1" t="s">
        <v>8017</v>
      </c>
      <c r="D2394" s="1" t="s">
        <v>8049</v>
      </c>
      <c r="F2394" s="1" t="s">
        <v>8050</v>
      </c>
      <c r="H2394" s="1" t="s">
        <v>8061</v>
      </c>
      <c r="J2394" s="1" t="s">
        <v>8062</v>
      </c>
      <c r="L2394" s="1" t="s">
        <v>1906</v>
      </c>
      <c r="M2394" s="1" t="s">
        <v>1907</v>
      </c>
      <c r="N2394" s="1" t="s">
        <v>8078</v>
      </c>
      <c r="P2394" s="1" t="s">
        <v>8079</v>
      </c>
      <c r="Q2394" s="3">
        <v>0</v>
      </c>
      <c r="R2394" s="22" t="s">
        <v>2724</v>
      </c>
      <c r="S2394" s="42" t="s">
        <v>6914</v>
      </c>
      <c r="T2394" s="3" t="s">
        <v>4867</v>
      </c>
      <c r="U2394" s="45">
        <v>35</v>
      </c>
      <c r="V2394" t="s">
        <v>8065</v>
      </c>
      <c r="W2394" s="1" t="str">
        <f>HYPERLINK("http://ictvonline.org/taxonomy/p/taxonomy-history?taxnode_id=201904213","ICTVonline=201904213")</f>
        <v>ICTVonline=201904213</v>
      </c>
    </row>
    <row r="2395" spans="1:23">
      <c r="A2395" s="3">
        <v>2394</v>
      </c>
      <c r="B2395" s="1" t="s">
        <v>8017</v>
      </c>
      <c r="D2395" s="1" t="s">
        <v>8049</v>
      </c>
      <c r="F2395" s="1" t="s">
        <v>8050</v>
      </c>
      <c r="H2395" s="1" t="s">
        <v>8061</v>
      </c>
      <c r="J2395" s="1" t="s">
        <v>8062</v>
      </c>
      <c r="L2395" s="1" t="s">
        <v>1906</v>
      </c>
      <c r="M2395" s="1" t="s">
        <v>1907</v>
      </c>
      <c r="N2395" s="1" t="s">
        <v>8078</v>
      </c>
      <c r="P2395" s="1" t="s">
        <v>8080</v>
      </c>
      <c r="Q2395" s="3">
        <v>1</v>
      </c>
      <c r="R2395" s="22" t="s">
        <v>2724</v>
      </c>
      <c r="S2395" s="42" t="s">
        <v>6914</v>
      </c>
      <c r="T2395" s="3" t="s">
        <v>4867</v>
      </c>
      <c r="U2395" s="45">
        <v>35</v>
      </c>
      <c r="V2395" t="s">
        <v>8065</v>
      </c>
      <c r="W2395" s="1" t="str">
        <f>HYPERLINK("http://ictvonline.org/taxonomy/p/taxonomy-history?taxnode_id=201904218","ICTVonline=201904218")</f>
        <v>ICTVonline=201904218</v>
      </c>
    </row>
    <row r="2396" spans="1:23">
      <c r="A2396" s="3">
        <v>2395</v>
      </c>
      <c r="B2396" s="1" t="s">
        <v>8017</v>
      </c>
      <c r="D2396" s="1" t="s">
        <v>8049</v>
      </c>
      <c r="F2396" s="1" t="s">
        <v>8050</v>
      </c>
      <c r="H2396" s="1" t="s">
        <v>8061</v>
      </c>
      <c r="J2396" s="1" t="s">
        <v>8062</v>
      </c>
      <c r="L2396" s="1" t="s">
        <v>1906</v>
      </c>
      <c r="M2396" s="1" t="s">
        <v>1907</v>
      </c>
      <c r="N2396" s="1" t="s">
        <v>8081</v>
      </c>
      <c r="P2396" s="1" t="s">
        <v>8082</v>
      </c>
      <c r="Q2396" s="3">
        <v>0</v>
      </c>
      <c r="R2396" s="22" t="s">
        <v>2724</v>
      </c>
      <c r="S2396" s="42" t="s">
        <v>6914</v>
      </c>
      <c r="T2396" s="3" t="s">
        <v>4867</v>
      </c>
      <c r="U2396" s="45">
        <v>35</v>
      </c>
      <c r="V2396" t="s">
        <v>8065</v>
      </c>
      <c r="W2396" s="1" t="str">
        <f>HYPERLINK("http://ictvonline.org/taxonomy/p/taxonomy-history?taxnode_id=201904214","ICTVonline=201904214")</f>
        <v>ICTVonline=201904214</v>
      </c>
    </row>
    <row r="2397" spans="1:23">
      <c r="A2397" s="3">
        <v>2396</v>
      </c>
      <c r="B2397" s="1" t="s">
        <v>8017</v>
      </c>
      <c r="D2397" s="1" t="s">
        <v>8049</v>
      </c>
      <c r="F2397" s="1" t="s">
        <v>8050</v>
      </c>
      <c r="H2397" s="1" t="s">
        <v>8061</v>
      </c>
      <c r="J2397" s="1" t="s">
        <v>8062</v>
      </c>
      <c r="L2397" s="1" t="s">
        <v>1906</v>
      </c>
      <c r="M2397" s="1" t="s">
        <v>1907</v>
      </c>
      <c r="N2397" s="1" t="s">
        <v>8081</v>
      </c>
      <c r="P2397" s="1" t="s">
        <v>8083</v>
      </c>
      <c r="Q2397" s="3">
        <v>0</v>
      </c>
      <c r="R2397" s="22" t="s">
        <v>2724</v>
      </c>
      <c r="S2397" s="42" t="s">
        <v>6914</v>
      </c>
      <c r="T2397" s="3" t="s">
        <v>4867</v>
      </c>
      <c r="U2397" s="45">
        <v>35</v>
      </c>
      <c r="V2397" t="s">
        <v>8065</v>
      </c>
      <c r="W2397" s="1" t="str">
        <f>HYPERLINK("http://ictvonline.org/taxonomy/p/taxonomy-history?taxnode_id=201904217","ICTVonline=201904217")</f>
        <v>ICTVonline=201904217</v>
      </c>
    </row>
    <row r="2398" spans="1:23">
      <c r="A2398" s="3">
        <v>2397</v>
      </c>
      <c r="B2398" s="1" t="s">
        <v>8017</v>
      </c>
      <c r="D2398" s="1" t="s">
        <v>8049</v>
      </c>
      <c r="F2398" s="1" t="s">
        <v>8050</v>
      </c>
      <c r="H2398" s="1" t="s">
        <v>8061</v>
      </c>
      <c r="J2398" s="1" t="s">
        <v>8062</v>
      </c>
      <c r="L2398" s="1" t="s">
        <v>1906</v>
      </c>
      <c r="M2398" s="1" t="s">
        <v>1907</v>
      </c>
      <c r="N2398" s="1" t="s">
        <v>8081</v>
      </c>
      <c r="P2398" s="1" t="s">
        <v>8084</v>
      </c>
      <c r="Q2398" s="3">
        <v>1</v>
      </c>
      <c r="R2398" s="22" t="s">
        <v>2724</v>
      </c>
      <c r="S2398" s="42" t="s">
        <v>6914</v>
      </c>
      <c r="T2398" s="3" t="s">
        <v>4872</v>
      </c>
      <c r="U2398" s="45">
        <v>35</v>
      </c>
      <c r="V2398" t="s">
        <v>8065</v>
      </c>
      <c r="W2398" s="1" t="str">
        <f>HYPERLINK("http://ictvonline.org/taxonomy/p/taxonomy-history?taxnode_id=201904219","ICTVonline=201904219")</f>
        <v>ICTVonline=201904219</v>
      </c>
    </row>
    <row r="2399" spans="1:23">
      <c r="A2399" s="3">
        <v>2398</v>
      </c>
      <c r="B2399" s="1" t="s">
        <v>8017</v>
      </c>
      <c r="D2399" s="1" t="s">
        <v>8049</v>
      </c>
      <c r="F2399" s="1" t="s">
        <v>8050</v>
      </c>
      <c r="H2399" s="1" t="s">
        <v>8061</v>
      </c>
      <c r="J2399" s="1" t="s">
        <v>8062</v>
      </c>
      <c r="L2399" s="1" t="s">
        <v>1906</v>
      </c>
      <c r="M2399" s="1" t="s">
        <v>8085</v>
      </c>
      <c r="N2399" s="1" t="s">
        <v>8086</v>
      </c>
      <c r="P2399" s="1" t="s">
        <v>8087</v>
      </c>
      <c r="Q2399" s="3">
        <v>1</v>
      </c>
      <c r="R2399" s="22" t="s">
        <v>2724</v>
      </c>
      <c r="S2399" s="42" t="s">
        <v>6914</v>
      </c>
      <c r="T2399" s="3" t="s">
        <v>4867</v>
      </c>
      <c r="U2399" s="45">
        <v>35</v>
      </c>
      <c r="V2399" t="s">
        <v>8065</v>
      </c>
      <c r="W2399" s="1" t="str">
        <f>HYPERLINK("http://ictvonline.org/taxonomy/p/taxonomy-history?taxnode_id=201904221","ICTVonline=201904221")</f>
        <v>ICTVonline=201904221</v>
      </c>
    </row>
    <row r="2400" spans="1:23">
      <c r="A2400" s="3">
        <v>2399</v>
      </c>
      <c r="B2400" s="1" t="s">
        <v>8017</v>
      </c>
      <c r="D2400" s="1" t="s">
        <v>8049</v>
      </c>
      <c r="F2400" s="1" t="s">
        <v>8050</v>
      </c>
      <c r="H2400" s="1" t="s">
        <v>8061</v>
      </c>
      <c r="J2400" s="1" t="s">
        <v>8062</v>
      </c>
      <c r="L2400" s="1" t="s">
        <v>1906</v>
      </c>
      <c r="M2400" s="1" t="s">
        <v>8085</v>
      </c>
      <c r="N2400" s="1" t="s">
        <v>8086</v>
      </c>
      <c r="P2400" s="1" t="s">
        <v>8088</v>
      </c>
      <c r="Q2400" s="3">
        <v>0</v>
      </c>
      <c r="R2400" s="22" t="s">
        <v>2724</v>
      </c>
      <c r="S2400" s="42" t="s">
        <v>6914</v>
      </c>
      <c r="T2400" s="3" t="s">
        <v>4867</v>
      </c>
      <c r="U2400" s="45">
        <v>35</v>
      </c>
      <c r="V2400" t="s">
        <v>8065</v>
      </c>
      <c r="W2400" s="1" t="str">
        <f>HYPERLINK("http://ictvonline.org/taxonomy/p/taxonomy-history?taxnode_id=201904222","ICTVonline=201904222")</f>
        <v>ICTVonline=201904222</v>
      </c>
    </row>
    <row r="2401" spans="1:23">
      <c r="A2401" s="3">
        <v>2400</v>
      </c>
      <c r="B2401" s="1" t="s">
        <v>8017</v>
      </c>
      <c r="D2401" s="1" t="s">
        <v>8049</v>
      </c>
      <c r="F2401" s="1" t="s">
        <v>8050</v>
      </c>
      <c r="H2401" s="1" t="s">
        <v>8061</v>
      </c>
      <c r="J2401" s="1" t="s">
        <v>8062</v>
      </c>
      <c r="L2401" s="1" t="s">
        <v>1906</v>
      </c>
      <c r="M2401" s="1" t="s">
        <v>8085</v>
      </c>
      <c r="N2401" s="1" t="s">
        <v>8089</v>
      </c>
      <c r="P2401" s="1" t="s">
        <v>8090</v>
      </c>
      <c r="Q2401" s="3">
        <v>0</v>
      </c>
      <c r="R2401" s="22" t="s">
        <v>2724</v>
      </c>
      <c r="S2401" s="42" t="s">
        <v>6914</v>
      </c>
      <c r="T2401" s="3" t="s">
        <v>4866</v>
      </c>
      <c r="U2401" s="45">
        <v>35</v>
      </c>
      <c r="V2401" t="s">
        <v>8065</v>
      </c>
      <c r="W2401" s="1" t="str">
        <f>HYPERLINK("http://ictvonline.org/taxonomy/p/taxonomy-history?taxnode_id=201907331","ICTVonline=201907331")</f>
        <v>ICTVonline=201907331</v>
      </c>
    </row>
    <row r="2402" spans="1:23">
      <c r="A2402" s="3">
        <v>2401</v>
      </c>
      <c r="B2402" s="1" t="s">
        <v>8017</v>
      </c>
      <c r="D2402" s="1" t="s">
        <v>8049</v>
      </c>
      <c r="F2402" s="1" t="s">
        <v>8050</v>
      </c>
      <c r="H2402" s="1" t="s">
        <v>8061</v>
      </c>
      <c r="J2402" s="1" t="s">
        <v>8062</v>
      </c>
      <c r="L2402" s="1" t="s">
        <v>1906</v>
      </c>
      <c r="M2402" s="1" t="s">
        <v>8085</v>
      </c>
      <c r="N2402" s="1" t="s">
        <v>8089</v>
      </c>
      <c r="P2402" s="1" t="s">
        <v>8091</v>
      </c>
      <c r="Q2402" s="3">
        <v>0</v>
      </c>
      <c r="R2402" s="22" t="s">
        <v>2724</v>
      </c>
      <c r="S2402" s="42" t="s">
        <v>6914</v>
      </c>
      <c r="T2402" s="3" t="s">
        <v>4866</v>
      </c>
      <c r="U2402" s="45">
        <v>35</v>
      </c>
      <c r="V2402" t="s">
        <v>8065</v>
      </c>
      <c r="W2402" s="1" t="str">
        <f>HYPERLINK("http://ictvonline.org/taxonomy/p/taxonomy-history?taxnode_id=201907332","ICTVonline=201907332")</f>
        <v>ICTVonline=201907332</v>
      </c>
    </row>
    <row r="2403" spans="1:23">
      <c r="A2403" s="3">
        <v>2402</v>
      </c>
      <c r="B2403" s="1" t="s">
        <v>8017</v>
      </c>
      <c r="D2403" s="1" t="s">
        <v>8049</v>
      </c>
      <c r="F2403" s="1" t="s">
        <v>8050</v>
      </c>
      <c r="H2403" s="1" t="s">
        <v>8061</v>
      </c>
      <c r="J2403" s="1" t="s">
        <v>8062</v>
      </c>
      <c r="L2403" s="1" t="s">
        <v>1906</v>
      </c>
      <c r="M2403" s="1" t="s">
        <v>8085</v>
      </c>
      <c r="N2403" s="1" t="s">
        <v>8089</v>
      </c>
      <c r="P2403" s="1" t="s">
        <v>8092</v>
      </c>
      <c r="Q2403" s="3">
        <v>0</v>
      </c>
      <c r="R2403" s="22" t="s">
        <v>2724</v>
      </c>
      <c r="S2403" s="42" t="s">
        <v>6914</v>
      </c>
      <c r="T2403" s="3" t="s">
        <v>4866</v>
      </c>
      <c r="U2403" s="45">
        <v>35</v>
      </c>
      <c r="V2403" t="s">
        <v>8065</v>
      </c>
      <c r="W2403" s="1" t="str">
        <f>HYPERLINK("http://ictvonline.org/taxonomy/p/taxonomy-history?taxnode_id=201907333","ICTVonline=201907333")</f>
        <v>ICTVonline=201907333</v>
      </c>
    </row>
    <row r="2404" spans="1:23">
      <c r="A2404" s="3">
        <v>2403</v>
      </c>
      <c r="B2404" s="1" t="s">
        <v>8017</v>
      </c>
      <c r="D2404" s="1" t="s">
        <v>8049</v>
      </c>
      <c r="F2404" s="1" t="s">
        <v>8050</v>
      </c>
      <c r="H2404" s="1" t="s">
        <v>8061</v>
      </c>
      <c r="J2404" s="1" t="s">
        <v>8062</v>
      </c>
      <c r="L2404" s="1" t="s">
        <v>1906</v>
      </c>
      <c r="M2404" s="1" t="s">
        <v>8085</v>
      </c>
      <c r="N2404" s="1" t="s">
        <v>8089</v>
      </c>
      <c r="P2404" s="1" t="s">
        <v>8093</v>
      </c>
      <c r="Q2404" s="3">
        <v>0</v>
      </c>
      <c r="R2404" s="22" t="s">
        <v>2724</v>
      </c>
      <c r="S2404" s="42" t="s">
        <v>6914</v>
      </c>
      <c r="T2404" s="3" t="s">
        <v>4866</v>
      </c>
      <c r="U2404" s="45">
        <v>35</v>
      </c>
      <c r="V2404" t="s">
        <v>8065</v>
      </c>
      <c r="W2404" s="1" t="str">
        <f>HYPERLINK("http://ictvonline.org/taxonomy/p/taxonomy-history?taxnode_id=201907334","ICTVonline=201907334")</f>
        <v>ICTVonline=201907334</v>
      </c>
    </row>
    <row r="2405" spans="1:23">
      <c r="A2405" s="3">
        <v>2404</v>
      </c>
      <c r="B2405" s="1" t="s">
        <v>8017</v>
      </c>
      <c r="D2405" s="1" t="s">
        <v>8049</v>
      </c>
      <c r="F2405" s="1" t="s">
        <v>8050</v>
      </c>
      <c r="H2405" s="1" t="s">
        <v>8061</v>
      </c>
      <c r="J2405" s="1" t="s">
        <v>8062</v>
      </c>
      <c r="L2405" s="1" t="s">
        <v>1906</v>
      </c>
      <c r="M2405" s="1" t="s">
        <v>8085</v>
      </c>
      <c r="N2405" s="1" t="s">
        <v>8089</v>
      </c>
      <c r="P2405" s="1" t="s">
        <v>8094</v>
      </c>
      <c r="Q2405" s="3">
        <v>0</v>
      </c>
      <c r="R2405" s="22" t="s">
        <v>2724</v>
      </c>
      <c r="S2405" s="42" t="s">
        <v>6914</v>
      </c>
      <c r="T2405" s="3" t="s">
        <v>4866</v>
      </c>
      <c r="U2405" s="45">
        <v>35</v>
      </c>
      <c r="V2405" t="s">
        <v>8065</v>
      </c>
      <c r="W2405" s="1" t="str">
        <f>HYPERLINK("http://ictvonline.org/taxonomy/p/taxonomy-history?taxnode_id=201907335","ICTVonline=201907335")</f>
        <v>ICTVonline=201907335</v>
      </c>
    </row>
    <row r="2406" spans="1:23">
      <c r="A2406" s="3">
        <v>2405</v>
      </c>
      <c r="B2406" s="1" t="s">
        <v>8017</v>
      </c>
      <c r="D2406" s="1" t="s">
        <v>8049</v>
      </c>
      <c r="F2406" s="1" t="s">
        <v>8050</v>
      </c>
      <c r="H2406" s="1" t="s">
        <v>8061</v>
      </c>
      <c r="J2406" s="1" t="s">
        <v>8062</v>
      </c>
      <c r="L2406" s="1" t="s">
        <v>1906</v>
      </c>
      <c r="M2406" s="1" t="s">
        <v>8085</v>
      </c>
      <c r="N2406" s="1" t="s">
        <v>8089</v>
      </c>
      <c r="P2406" s="1" t="s">
        <v>8095</v>
      </c>
      <c r="Q2406" s="3">
        <v>1</v>
      </c>
      <c r="R2406" s="22" t="s">
        <v>2724</v>
      </c>
      <c r="S2406" s="42" t="s">
        <v>6914</v>
      </c>
      <c r="T2406" s="3" t="s">
        <v>4866</v>
      </c>
      <c r="U2406" s="45">
        <v>35</v>
      </c>
      <c r="V2406" t="s">
        <v>8065</v>
      </c>
      <c r="W2406" s="1" t="str">
        <f>HYPERLINK("http://ictvonline.org/taxonomy/p/taxonomy-history?taxnode_id=201907329","ICTVonline=201907329")</f>
        <v>ICTVonline=201907329</v>
      </c>
    </row>
    <row r="2407" spans="1:23">
      <c r="A2407" s="3">
        <v>2406</v>
      </c>
      <c r="B2407" s="1" t="s">
        <v>8017</v>
      </c>
      <c r="D2407" s="1" t="s">
        <v>8049</v>
      </c>
      <c r="F2407" s="1" t="s">
        <v>8050</v>
      </c>
      <c r="H2407" s="1" t="s">
        <v>8061</v>
      </c>
      <c r="J2407" s="1" t="s">
        <v>8062</v>
      </c>
      <c r="L2407" s="1" t="s">
        <v>1906</v>
      </c>
      <c r="M2407" s="1" t="s">
        <v>8085</v>
      </c>
      <c r="N2407" s="1" t="s">
        <v>8089</v>
      </c>
      <c r="P2407" s="1" t="s">
        <v>8096</v>
      </c>
      <c r="Q2407" s="3">
        <v>0</v>
      </c>
      <c r="R2407" s="22" t="s">
        <v>2724</v>
      </c>
      <c r="S2407" s="42" t="s">
        <v>6914</v>
      </c>
      <c r="T2407" s="3" t="s">
        <v>4866</v>
      </c>
      <c r="U2407" s="45">
        <v>35</v>
      </c>
      <c r="V2407" t="s">
        <v>8065</v>
      </c>
      <c r="W2407" s="1" t="str">
        <f>HYPERLINK("http://ictvonline.org/taxonomy/p/taxonomy-history?taxnode_id=201907330","ICTVonline=201907330")</f>
        <v>ICTVonline=201907330</v>
      </c>
    </row>
    <row r="2408" spans="1:23">
      <c r="A2408" s="3">
        <v>2407</v>
      </c>
      <c r="B2408" s="1" t="s">
        <v>8017</v>
      </c>
      <c r="D2408" s="1" t="s">
        <v>8049</v>
      </c>
      <c r="F2408" s="1" t="s">
        <v>8050</v>
      </c>
      <c r="H2408" s="1" t="s">
        <v>8061</v>
      </c>
      <c r="J2408" s="1" t="s">
        <v>8062</v>
      </c>
      <c r="L2408" s="1" t="s">
        <v>1906</v>
      </c>
      <c r="M2408" s="1" t="s">
        <v>8085</v>
      </c>
      <c r="N2408" s="1" t="s">
        <v>8089</v>
      </c>
      <c r="P2408" s="1" t="s">
        <v>8097</v>
      </c>
      <c r="Q2408" s="3">
        <v>0</v>
      </c>
      <c r="R2408" s="22" t="s">
        <v>2724</v>
      </c>
      <c r="S2408" s="42" t="s">
        <v>6914</v>
      </c>
      <c r="T2408" s="3" t="s">
        <v>4866</v>
      </c>
      <c r="U2408" s="45">
        <v>35</v>
      </c>
      <c r="V2408" t="s">
        <v>8065</v>
      </c>
      <c r="W2408" s="1" t="str">
        <f>HYPERLINK("http://ictvonline.org/taxonomy/p/taxonomy-history?taxnode_id=201907328","ICTVonline=201907328")</f>
        <v>ICTVonline=201907328</v>
      </c>
    </row>
    <row r="2409" spans="1:23">
      <c r="A2409" s="3">
        <v>2408</v>
      </c>
      <c r="B2409" s="1" t="s">
        <v>8017</v>
      </c>
      <c r="D2409" s="1" t="s">
        <v>8049</v>
      </c>
      <c r="F2409" s="1" t="s">
        <v>8050</v>
      </c>
      <c r="H2409" s="1" t="s">
        <v>8061</v>
      </c>
      <c r="J2409" s="1" t="s">
        <v>8062</v>
      </c>
      <c r="L2409" s="1" t="s">
        <v>1906</v>
      </c>
      <c r="M2409" s="1" t="s">
        <v>8085</v>
      </c>
      <c r="N2409" s="1" t="s">
        <v>8098</v>
      </c>
      <c r="P2409" s="1" t="s">
        <v>8099</v>
      </c>
      <c r="Q2409" s="3">
        <v>1</v>
      </c>
      <c r="R2409" s="22" t="s">
        <v>2724</v>
      </c>
      <c r="S2409" s="42" t="s">
        <v>6914</v>
      </c>
      <c r="T2409" s="3" t="s">
        <v>4867</v>
      </c>
      <c r="U2409" s="45">
        <v>35</v>
      </c>
      <c r="V2409" t="s">
        <v>8065</v>
      </c>
      <c r="W2409" s="1" t="str">
        <f>HYPERLINK("http://ictvonline.org/taxonomy/p/taxonomy-history?taxnode_id=201904224","ICTVonline=201904224")</f>
        <v>ICTVonline=201904224</v>
      </c>
    </row>
    <row r="2410" spans="1:23">
      <c r="A2410" s="3">
        <v>2409</v>
      </c>
      <c r="B2410" s="1" t="s">
        <v>8017</v>
      </c>
      <c r="D2410" s="1" t="s">
        <v>8049</v>
      </c>
      <c r="F2410" s="1" t="s">
        <v>8050</v>
      </c>
      <c r="H2410" s="1" t="s">
        <v>8061</v>
      </c>
      <c r="J2410" s="1" t="s">
        <v>8062</v>
      </c>
      <c r="L2410" s="1" t="s">
        <v>1906</v>
      </c>
      <c r="M2410" s="1" t="s">
        <v>8085</v>
      </c>
      <c r="N2410" s="1" t="s">
        <v>8100</v>
      </c>
      <c r="P2410" s="1" t="s">
        <v>8101</v>
      </c>
      <c r="Q2410" s="3">
        <v>1</v>
      </c>
      <c r="R2410" s="22" t="s">
        <v>2724</v>
      </c>
      <c r="S2410" s="42" t="s">
        <v>6914</v>
      </c>
      <c r="T2410" s="3" t="s">
        <v>4866</v>
      </c>
      <c r="U2410" s="45">
        <v>35</v>
      </c>
      <c r="V2410" t="s">
        <v>8065</v>
      </c>
      <c r="W2410" s="1" t="str">
        <f>HYPERLINK("http://ictvonline.org/taxonomy/p/taxonomy-history?taxnode_id=201907326","ICTVonline=201907326")</f>
        <v>ICTVonline=201907326</v>
      </c>
    </row>
    <row r="2411" spans="1:23">
      <c r="A2411" s="3">
        <v>2410</v>
      </c>
      <c r="B2411" s="1" t="s">
        <v>8017</v>
      </c>
      <c r="D2411" s="1" t="s">
        <v>8049</v>
      </c>
      <c r="F2411" s="1" t="s">
        <v>8050</v>
      </c>
      <c r="H2411" s="1" t="s">
        <v>8061</v>
      </c>
      <c r="J2411" s="1" t="s">
        <v>8062</v>
      </c>
      <c r="L2411" s="1" t="s">
        <v>1906</v>
      </c>
      <c r="M2411" s="1" t="s">
        <v>8085</v>
      </c>
      <c r="N2411" s="1" t="s">
        <v>8076</v>
      </c>
      <c r="P2411" s="1" t="s">
        <v>8077</v>
      </c>
      <c r="Q2411" s="3">
        <v>1</v>
      </c>
      <c r="R2411" s="22" t="s">
        <v>2724</v>
      </c>
      <c r="S2411" s="42" t="s">
        <v>6914</v>
      </c>
      <c r="T2411" s="3" t="s">
        <v>4867</v>
      </c>
      <c r="U2411" s="45">
        <v>35</v>
      </c>
      <c r="V2411" t="s">
        <v>8065</v>
      </c>
      <c r="W2411" s="1" t="str">
        <f>HYPERLINK("http://ictvonline.org/taxonomy/p/taxonomy-history?taxnode_id=201904232","ICTVonline=201904232")</f>
        <v>ICTVonline=201904232</v>
      </c>
    </row>
    <row r="2412" spans="1:23">
      <c r="A2412" s="3">
        <v>2411</v>
      </c>
      <c r="B2412" s="1" t="s">
        <v>8017</v>
      </c>
      <c r="D2412" s="1" t="s">
        <v>8049</v>
      </c>
      <c r="F2412" s="1" t="s">
        <v>8050</v>
      </c>
      <c r="H2412" s="1" t="s">
        <v>8061</v>
      </c>
      <c r="J2412" s="1" t="s">
        <v>8062</v>
      </c>
      <c r="L2412" s="1" t="s">
        <v>1906</v>
      </c>
      <c r="M2412" s="1" t="s">
        <v>1607</v>
      </c>
      <c r="N2412" s="1" t="s">
        <v>2527</v>
      </c>
      <c r="P2412" s="1" t="s">
        <v>2528</v>
      </c>
      <c r="Q2412" s="3">
        <v>1</v>
      </c>
      <c r="R2412" s="22" t="s">
        <v>2724</v>
      </c>
      <c r="S2412" s="42" t="s">
        <v>6912</v>
      </c>
      <c r="T2412" s="3" t="s">
        <v>4868</v>
      </c>
      <c r="U2412" s="45">
        <v>35</v>
      </c>
      <c r="V2412" t="s">
        <v>8027</v>
      </c>
      <c r="W2412" s="1" t="str">
        <f>HYPERLINK("http://ictvonline.org/taxonomy/p/taxonomy-history?taxnode_id=201904237","ICTVonline=201904237")</f>
        <v>ICTVonline=201904237</v>
      </c>
    </row>
    <row r="2413" spans="1:23">
      <c r="A2413" s="3">
        <v>2412</v>
      </c>
      <c r="B2413" s="1" t="s">
        <v>8017</v>
      </c>
      <c r="D2413" s="1" t="s">
        <v>8049</v>
      </c>
      <c r="F2413" s="1" t="s">
        <v>8050</v>
      </c>
      <c r="H2413" s="1" t="s">
        <v>8061</v>
      </c>
      <c r="J2413" s="1" t="s">
        <v>8062</v>
      </c>
      <c r="L2413" s="1" t="s">
        <v>1906</v>
      </c>
      <c r="M2413" s="1" t="s">
        <v>1607</v>
      </c>
      <c r="N2413" s="1" t="s">
        <v>2527</v>
      </c>
      <c r="P2413" s="1" t="s">
        <v>2529</v>
      </c>
      <c r="Q2413" s="3">
        <v>0</v>
      </c>
      <c r="R2413" s="22" t="s">
        <v>2724</v>
      </c>
      <c r="S2413" s="42" t="s">
        <v>6912</v>
      </c>
      <c r="T2413" s="3" t="s">
        <v>4868</v>
      </c>
      <c r="U2413" s="45">
        <v>35</v>
      </c>
      <c r="V2413" t="s">
        <v>8027</v>
      </c>
      <c r="W2413" s="1" t="str">
        <f>HYPERLINK("http://ictvonline.org/taxonomy/p/taxonomy-history?taxnode_id=201904238","ICTVonline=201904238")</f>
        <v>ICTVonline=201904238</v>
      </c>
    </row>
    <row r="2414" spans="1:23">
      <c r="A2414" s="3">
        <v>2413</v>
      </c>
      <c r="B2414" s="1" t="s">
        <v>8017</v>
      </c>
      <c r="D2414" s="1" t="s">
        <v>8049</v>
      </c>
      <c r="F2414" s="1" t="s">
        <v>8050</v>
      </c>
      <c r="H2414" s="1" t="s">
        <v>8061</v>
      </c>
      <c r="J2414" s="1" t="s">
        <v>8062</v>
      </c>
      <c r="L2414" s="1" t="s">
        <v>1906</v>
      </c>
      <c r="M2414" s="1" t="s">
        <v>1607</v>
      </c>
      <c r="N2414" s="1" t="s">
        <v>2527</v>
      </c>
      <c r="P2414" s="1" t="s">
        <v>5467</v>
      </c>
      <c r="Q2414" s="3">
        <v>0</v>
      </c>
      <c r="R2414" s="22" t="s">
        <v>2724</v>
      </c>
      <c r="S2414" s="42" t="s">
        <v>6912</v>
      </c>
      <c r="T2414" s="3" t="s">
        <v>4868</v>
      </c>
      <c r="U2414" s="45">
        <v>35</v>
      </c>
      <c r="V2414" t="s">
        <v>8027</v>
      </c>
      <c r="W2414" s="1" t="str">
        <f>HYPERLINK("http://ictvonline.org/taxonomy/p/taxonomy-history?taxnode_id=201905887","ICTVonline=201905887")</f>
        <v>ICTVonline=201905887</v>
      </c>
    </row>
    <row r="2415" spans="1:23">
      <c r="A2415" s="3">
        <v>2414</v>
      </c>
      <c r="B2415" s="1" t="s">
        <v>8017</v>
      </c>
      <c r="D2415" s="1" t="s">
        <v>8049</v>
      </c>
      <c r="F2415" s="1" t="s">
        <v>8050</v>
      </c>
      <c r="H2415" s="1" t="s">
        <v>8061</v>
      </c>
      <c r="J2415" s="1" t="s">
        <v>8062</v>
      </c>
      <c r="L2415" s="1" t="s">
        <v>1906</v>
      </c>
      <c r="M2415" s="1" t="s">
        <v>1607</v>
      </c>
      <c r="N2415" s="1" t="s">
        <v>2527</v>
      </c>
      <c r="P2415" s="1" t="s">
        <v>5468</v>
      </c>
      <c r="Q2415" s="3">
        <v>0</v>
      </c>
      <c r="R2415" s="22" t="s">
        <v>2724</v>
      </c>
      <c r="S2415" s="42" t="s">
        <v>6912</v>
      </c>
      <c r="T2415" s="3" t="s">
        <v>4868</v>
      </c>
      <c r="U2415" s="45">
        <v>35</v>
      </c>
      <c r="V2415" t="s">
        <v>8027</v>
      </c>
      <c r="W2415" s="1" t="str">
        <f>HYPERLINK("http://ictvonline.org/taxonomy/p/taxonomy-history?taxnode_id=201905888","ICTVonline=201905888")</f>
        <v>ICTVonline=201905888</v>
      </c>
    </row>
    <row r="2416" spans="1:23">
      <c r="A2416" s="3">
        <v>2415</v>
      </c>
      <c r="B2416" s="1" t="s">
        <v>8017</v>
      </c>
      <c r="D2416" s="1" t="s">
        <v>8049</v>
      </c>
      <c r="F2416" s="1" t="s">
        <v>8050</v>
      </c>
      <c r="H2416" s="1" t="s">
        <v>8061</v>
      </c>
      <c r="J2416" s="1" t="s">
        <v>8062</v>
      </c>
      <c r="L2416" s="1" t="s">
        <v>1906</v>
      </c>
      <c r="M2416" s="1" t="s">
        <v>1607</v>
      </c>
      <c r="N2416" s="1" t="s">
        <v>2527</v>
      </c>
      <c r="P2416" s="1" t="s">
        <v>8102</v>
      </c>
      <c r="Q2416" s="3">
        <v>0</v>
      </c>
      <c r="R2416" s="22" t="s">
        <v>2724</v>
      </c>
      <c r="S2416" s="42" t="s">
        <v>6914</v>
      </c>
      <c r="T2416" s="3" t="s">
        <v>4866</v>
      </c>
      <c r="U2416" s="45">
        <v>35</v>
      </c>
      <c r="V2416" t="s">
        <v>8065</v>
      </c>
      <c r="W2416" s="1" t="str">
        <f>HYPERLINK("http://ictvonline.org/taxonomy/p/taxonomy-history?taxnode_id=201907355","ICTVonline=201907355")</f>
        <v>ICTVonline=201907355</v>
      </c>
    </row>
    <row r="2417" spans="1:23">
      <c r="A2417" s="3">
        <v>2416</v>
      </c>
      <c r="B2417" s="1" t="s">
        <v>8017</v>
      </c>
      <c r="D2417" s="1" t="s">
        <v>8049</v>
      </c>
      <c r="F2417" s="1" t="s">
        <v>8050</v>
      </c>
      <c r="H2417" s="1" t="s">
        <v>8061</v>
      </c>
      <c r="J2417" s="1" t="s">
        <v>8062</v>
      </c>
      <c r="L2417" s="1" t="s">
        <v>1906</v>
      </c>
      <c r="M2417" s="1" t="s">
        <v>1607</v>
      </c>
      <c r="N2417" s="1" t="s">
        <v>8103</v>
      </c>
      <c r="P2417" s="1" t="s">
        <v>8104</v>
      </c>
      <c r="Q2417" s="3">
        <v>1</v>
      </c>
      <c r="R2417" s="22" t="s">
        <v>2724</v>
      </c>
      <c r="S2417" s="42" t="s">
        <v>6914</v>
      </c>
      <c r="T2417" s="3" t="s">
        <v>4866</v>
      </c>
      <c r="U2417" s="45">
        <v>35</v>
      </c>
      <c r="V2417" t="s">
        <v>8065</v>
      </c>
      <c r="W2417" s="1" t="str">
        <f>HYPERLINK("http://ictvonline.org/taxonomy/p/taxonomy-history?taxnode_id=201907337","ICTVonline=201907337")</f>
        <v>ICTVonline=201907337</v>
      </c>
    </row>
    <row r="2418" spans="1:23">
      <c r="A2418" s="3">
        <v>2417</v>
      </c>
      <c r="B2418" s="1" t="s">
        <v>8017</v>
      </c>
      <c r="D2418" s="1" t="s">
        <v>8049</v>
      </c>
      <c r="F2418" s="1" t="s">
        <v>8050</v>
      </c>
      <c r="H2418" s="1" t="s">
        <v>8061</v>
      </c>
      <c r="J2418" s="1" t="s">
        <v>8062</v>
      </c>
      <c r="L2418" s="1" t="s">
        <v>1906</v>
      </c>
      <c r="M2418" s="1" t="s">
        <v>1607</v>
      </c>
      <c r="N2418" s="1" t="s">
        <v>2530</v>
      </c>
      <c r="P2418" s="1" t="s">
        <v>2531</v>
      </c>
      <c r="Q2418" s="3">
        <v>1</v>
      </c>
      <c r="R2418" s="22" t="s">
        <v>2724</v>
      </c>
      <c r="S2418" s="42" t="s">
        <v>6912</v>
      </c>
      <c r="T2418" s="3" t="s">
        <v>4868</v>
      </c>
      <c r="U2418" s="45">
        <v>35</v>
      </c>
      <c r="V2418" t="s">
        <v>8027</v>
      </c>
      <c r="W2418" s="1" t="str">
        <f>HYPERLINK("http://ictvonline.org/taxonomy/p/taxonomy-history?taxnode_id=201904240","ICTVonline=201904240")</f>
        <v>ICTVonline=201904240</v>
      </c>
    </row>
    <row r="2419" spans="1:23">
      <c r="A2419" s="3">
        <v>2418</v>
      </c>
      <c r="B2419" s="1" t="s">
        <v>8017</v>
      </c>
      <c r="D2419" s="1" t="s">
        <v>8049</v>
      </c>
      <c r="F2419" s="1" t="s">
        <v>8050</v>
      </c>
      <c r="H2419" s="1" t="s">
        <v>8061</v>
      </c>
      <c r="J2419" s="1" t="s">
        <v>8062</v>
      </c>
      <c r="L2419" s="1" t="s">
        <v>1906</v>
      </c>
      <c r="M2419" s="1" t="s">
        <v>1607</v>
      </c>
      <c r="N2419" s="1" t="s">
        <v>2530</v>
      </c>
      <c r="P2419" s="1" t="s">
        <v>8105</v>
      </c>
      <c r="Q2419" s="3">
        <v>0</v>
      </c>
      <c r="R2419" s="22" t="s">
        <v>2724</v>
      </c>
      <c r="S2419" s="42" t="s">
        <v>6914</v>
      </c>
      <c r="T2419" s="3" t="s">
        <v>4866</v>
      </c>
      <c r="U2419" s="45">
        <v>35</v>
      </c>
      <c r="V2419" t="s">
        <v>8065</v>
      </c>
      <c r="W2419" s="1" t="str">
        <f>HYPERLINK("http://ictvonline.org/taxonomy/p/taxonomy-history?taxnode_id=201907350","ICTVonline=201907350")</f>
        <v>ICTVonline=201907350</v>
      </c>
    </row>
    <row r="2420" spans="1:23">
      <c r="A2420" s="3">
        <v>2419</v>
      </c>
      <c r="B2420" s="1" t="s">
        <v>8017</v>
      </c>
      <c r="D2420" s="1" t="s">
        <v>8049</v>
      </c>
      <c r="F2420" s="1" t="s">
        <v>8050</v>
      </c>
      <c r="H2420" s="1" t="s">
        <v>8061</v>
      </c>
      <c r="J2420" s="1" t="s">
        <v>8062</v>
      </c>
      <c r="L2420" s="1" t="s">
        <v>1906</v>
      </c>
      <c r="M2420" s="1" t="s">
        <v>1607</v>
      </c>
      <c r="N2420" s="1" t="s">
        <v>2532</v>
      </c>
      <c r="P2420" s="1" t="s">
        <v>2533</v>
      </c>
      <c r="Q2420" s="3">
        <v>0</v>
      </c>
      <c r="R2420" s="22" t="s">
        <v>2724</v>
      </c>
      <c r="S2420" s="42" t="s">
        <v>6912</v>
      </c>
      <c r="T2420" s="3" t="s">
        <v>4868</v>
      </c>
      <c r="U2420" s="45">
        <v>35</v>
      </c>
      <c r="V2420" t="s">
        <v>8027</v>
      </c>
      <c r="W2420" s="1" t="str">
        <f>HYPERLINK("http://ictvonline.org/taxonomy/p/taxonomy-history?taxnode_id=201904242","ICTVonline=201904242")</f>
        <v>ICTVonline=201904242</v>
      </c>
    </row>
    <row r="2421" spans="1:23">
      <c r="A2421" s="3">
        <v>2420</v>
      </c>
      <c r="B2421" s="1" t="s">
        <v>8017</v>
      </c>
      <c r="D2421" s="1" t="s">
        <v>8049</v>
      </c>
      <c r="F2421" s="1" t="s">
        <v>8050</v>
      </c>
      <c r="H2421" s="1" t="s">
        <v>8061</v>
      </c>
      <c r="J2421" s="1" t="s">
        <v>8062</v>
      </c>
      <c r="L2421" s="1" t="s">
        <v>1906</v>
      </c>
      <c r="M2421" s="1" t="s">
        <v>1607</v>
      </c>
      <c r="N2421" s="1" t="s">
        <v>2532</v>
      </c>
      <c r="P2421" s="1" t="s">
        <v>2534</v>
      </c>
      <c r="Q2421" s="3">
        <v>0</v>
      </c>
      <c r="R2421" s="22" t="s">
        <v>2724</v>
      </c>
      <c r="S2421" s="42" t="s">
        <v>6912</v>
      </c>
      <c r="T2421" s="3" t="s">
        <v>4868</v>
      </c>
      <c r="U2421" s="45">
        <v>35</v>
      </c>
      <c r="V2421" t="s">
        <v>8027</v>
      </c>
      <c r="W2421" s="1" t="str">
        <f>HYPERLINK("http://ictvonline.org/taxonomy/p/taxonomy-history?taxnode_id=201904243","ICTVonline=201904243")</f>
        <v>ICTVonline=201904243</v>
      </c>
    </row>
    <row r="2422" spans="1:23">
      <c r="A2422" s="3">
        <v>2421</v>
      </c>
      <c r="B2422" s="1" t="s">
        <v>8017</v>
      </c>
      <c r="D2422" s="1" t="s">
        <v>8049</v>
      </c>
      <c r="F2422" s="1" t="s">
        <v>8050</v>
      </c>
      <c r="H2422" s="1" t="s">
        <v>8061</v>
      </c>
      <c r="J2422" s="1" t="s">
        <v>8062</v>
      </c>
      <c r="L2422" s="1" t="s">
        <v>1906</v>
      </c>
      <c r="M2422" s="1" t="s">
        <v>1607</v>
      </c>
      <c r="N2422" s="1" t="s">
        <v>2532</v>
      </c>
      <c r="P2422" s="1" t="s">
        <v>2535</v>
      </c>
      <c r="Q2422" s="3">
        <v>0</v>
      </c>
      <c r="R2422" s="22" t="s">
        <v>2724</v>
      </c>
      <c r="S2422" s="42" t="s">
        <v>6912</v>
      </c>
      <c r="T2422" s="3" t="s">
        <v>4868</v>
      </c>
      <c r="U2422" s="45">
        <v>35</v>
      </c>
      <c r="V2422" t="s">
        <v>8027</v>
      </c>
      <c r="W2422" s="1" t="str">
        <f>HYPERLINK("http://ictvonline.org/taxonomy/p/taxonomy-history?taxnode_id=201904244","ICTVonline=201904244")</f>
        <v>ICTVonline=201904244</v>
      </c>
    </row>
    <row r="2423" spans="1:23">
      <c r="A2423" s="3">
        <v>2422</v>
      </c>
      <c r="B2423" s="1" t="s">
        <v>8017</v>
      </c>
      <c r="D2423" s="1" t="s">
        <v>8049</v>
      </c>
      <c r="F2423" s="1" t="s">
        <v>8050</v>
      </c>
      <c r="H2423" s="1" t="s">
        <v>8061</v>
      </c>
      <c r="J2423" s="1" t="s">
        <v>8062</v>
      </c>
      <c r="L2423" s="1" t="s">
        <v>1906</v>
      </c>
      <c r="M2423" s="1" t="s">
        <v>1607</v>
      </c>
      <c r="N2423" s="1" t="s">
        <v>2532</v>
      </c>
      <c r="P2423" s="1" t="s">
        <v>5469</v>
      </c>
      <c r="Q2423" s="3">
        <v>0</v>
      </c>
      <c r="R2423" s="22" t="s">
        <v>2724</v>
      </c>
      <c r="S2423" s="42" t="s">
        <v>6912</v>
      </c>
      <c r="T2423" s="3" t="s">
        <v>4868</v>
      </c>
      <c r="U2423" s="45">
        <v>35</v>
      </c>
      <c r="V2423" t="s">
        <v>8027</v>
      </c>
      <c r="W2423" s="1" t="str">
        <f>HYPERLINK("http://ictvonline.org/taxonomy/p/taxonomy-history?taxnode_id=201905889","ICTVonline=201905889")</f>
        <v>ICTVonline=201905889</v>
      </c>
    </row>
    <row r="2424" spans="1:23">
      <c r="A2424" s="3">
        <v>2423</v>
      </c>
      <c r="B2424" s="1" t="s">
        <v>8017</v>
      </c>
      <c r="D2424" s="1" t="s">
        <v>8049</v>
      </c>
      <c r="F2424" s="1" t="s">
        <v>8050</v>
      </c>
      <c r="H2424" s="1" t="s">
        <v>8061</v>
      </c>
      <c r="J2424" s="1" t="s">
        <v>8062</v>
      </c>
      <c r="L2424" s="1" t="s">
        <v>1906</v>
      </c>
      <c r="M2424" s="1" t="s">
        <v>1607</v>
      </c>
      <c r="N2424" s="1" t="s">
        <v>2532</v>
      </c>
      <c r="P2424" s="1" t="s">
        <v>5470</v>
      </c>
      <c r="Q2424" s="3">
        <v>0</v>
      </c>
      <c r="R2424" s="22" t="s">
        <v>2724</v>
      </c>
      <c r="S2424" s="42" t="s">
        <v>6912</v>
      </c>
      <c r="T2424" s="3" t="s">
        <v>4868</v>
      </c>
      <c r="U2424" s="45">
        <v>35</v>
      </c>
      <c r="V2424" t="s">
        <v>8027</v>
      </c>
      <c r="W2424" s="1" t="str">
        <f>HYPERLINK("http://ictvonline.org/taxonomy/p/taxonomy-history?taxnode_id=201905890","ICTVonline=201905890")</f>
        <v>ICTVonline=201905890</v>
      </c>
    </row>
    <row r="2425" spans="1:23">
      <c r="A2425" s="3">
        <v>2424</v>
      </c>
      <c r="B2425" s="1" t="s">
        <v>8017</v>
      </c>
      <c r="D2425" s="1" t="s">
        <v>8049</v>
      </c>
      <c r="F2425" s="1" t="s">
        <v>8050</v>
      </c>
      <c r="H2425" s="1" t="s">
        <v>8061</v>
      </c>
      <c r="J2425" s="1" t="s">
        <v>8062</v>
      </c>
      <c r="L2425" s="1" t="s">
        <v>1906</v>
      </c>
      <c r="M2425" s="1" t="s">
        <v>1607</v>
      </c>
      <c r="N2425" s="1" t="s">
        <v>2532</v>
      </c>
      <c r="P2425" s="1" t="s">
        <v>5471</v>
      </c>
      <c r="Q2425" s="3">
        <v>0</v>
      </c>
      <c r="R2425" s="22" t="s">
        <v>2724</v>
      </c>
      <c r="S2425" s="42" t="s">
        <v>6912</v>
      </c>
      <c r="T2425" s="3" t="s">
        <v>4868</v>
      </c>
      <c r="U2425" s="45">
        <v>35</v>
      </c>
      <c r="V2425" t="s">
        <v>8027</v>
      </c>
      <c r="W2425" s="1" t="str">
        <f>HYPERLINK("http://ictvonline.org/taxonomy/p/taxonomy-history?taxnode_id=201905891","ICTVonline=201905891")</f>
        <v>ICTVonline=201905891</v>
      </c>
    </row>
    <row r="2426" spans="1:23">
      <c r="A2426" s="3">
        <v>2425</v>
      </c>
      <c r="B2426" s="1" t="s">
        <v>8017</v>
      </c>
      <c r="D2426" s="1" t="s">
        <v>8049</v>
      </c>
      <c r="F2426" s="1" t="s">
        <v>8050</v>
      </c>
      <c r="H2426" s="1" t="s">
        <v>8061</v>
      </c>
      <c r="J2426" s="1" t="s">
        <v>8062</v>
      </c>
      <c r="L2426" s="1" t="s">
        <v>1906</v>
      </c>
      <c r="M2426" s="1" t="s">
        <v>1607</v>
      </c>
      <c r="N2426" s="1" t="s">
        <v>2532</v>
      </c>
      <c r="P2426" s="1" t="s">
        <v>5472</v>
      </c>
      <c r="Q2426" s="3">
        <v>0</v>
      </c>
      <c r="R2426" s="22" t="s">
        <v>2724</v>
      </c>
      <c r="S2426" s="42" t="s">
        <v>6912</v>
      </c>
      <c r="T2426" s="3" t="s">
        <v>4868</v>
      </c>
      <c r="U2426" s="45">
        <v>35</v>
      </c>
      <c r="V2426" t="s">
        <v>8027</v>
      </c>
      <c r="W2426" s="1" t="str">
        <f>HYPERLINK("http://ictvonline.org/taxonomy/p/taxonomy-history?taxnode_id=201905892","ICTVonline=201905892")</f>
        <v>ICTVonline=201905892</v>
      </c>
    </row>
    <row r="2427" spans="1:23">
      <c r="A2427" s="3">
        <v>2426</v>
      </c>
      <c r="B2427" s="1" t="s">
        <v>8017</v>
      </c>
      <c r="D2427" s="1" t="s">
        <v>8049</v>
      </c>
      <c r="F2427" s="1" t="s">
        <v>8050</v>
      </c>
      <c r="H2427" s="1" t="s">
        <v>8061</v>
      </c>
      <c r="J2427" s="1" t="s">
        <v>8062</v>
      </c>
      <c r="L2427" s="1" t="s">
        <v>1906</v>
      </c>
      <c r="M2427" s="1" t="s">
        <v>1607</v>
      </c>
      <c r="N2427" s="1" t="s">
        <v>2532</v>
      </c>
      <c r="P2427" s="1" t="s">
        <v>5473</v>
      </c>
      <c r="Q2427" s="3">
        <v>0</v>
      </c>
      <c r="R2427" s="22" t="s">
        <v>2724</v>
      </c>
      <c r="S2427" s="42" t="s">
        <v>6912</v>
      </c>
      <c r="T2427" s="3" t="s">
        <v>4868</v>
      </c>
      <c r="U2427" s="45">
        <v>35</v>
      </c>
      <c r="V2427" t="s">
        <v>8027</v>
      </c>
      <c r="W2427" s="1" t="str">
        <f>HYPERLINK("http://ictvonline.org/taxonomy/p/taxonomy-history?taxnode_id=201905893","ICTVonline=201905893")</f>
        <v>ICTVonline=201905893</v>
      </c>
    </row>
    <row r="2428" spans="1:23">
      <c r="A2428" s="3">
        <v>2427</v>
      </c>
      <c r="B2428" s="1" t="s">
        <v>8017</v>
      </c>
      <c r="D2428" s="1" t="s">
        <v>8049</v>
      </c>
      <c r="F2428" s="1" t="s">
        <v>8050</v>
      </c>
      <c r="H2428" s="1" t="s">
        <v>8061</v>
      </c>
      <c r="J2428" s="1" t="s">
        <v>8062</v>
      </c>
      <c r="L2428" s="1" t="s">
        <v>1906</v>
      </c>
      <c r="M2428" s="1" t="s">
        <v>1607</v>
      </c>
      <c r="N2428" s="1" t="s">
        <v>2532</v>
      </c>
      <c r="P2428" s="1" t="s">
        <v>5474</v>
      </c>
      <c r="Q2428" s="3">
        <v>0</v>
      </c>
      <c r="R2428" s="22" t="s">
        <v>2724</v>
      </c>
      <c r="S2428" s="42" t="s">
        <v>6912</v>
      </c>
      <c r="T2428" s="3" t="s">
        <v>4868</v>
      </c>
      <c r="U2428" s="45">
        <v>35</v>
      </c>
      <c r="V2428" t="s">
        <v>8027</v>
      </c>
      <c r="W2428" s="1" t="str">
        <f>HYPERLINK("http://ictvonline.org/taxonomy/p/taxonomy-history?taxnode_id=201905894","ICTVonline=201905894")</f>
        <v>ICTVonline=201905894</v>
      </c>
    </row>
    <row r="2429" spans="1:23">
      <c r="A2429" s="3">
        <v>2428</v>
      </c>
      <c r="B2429" s="1" t="s">
        <v>8017</v>
      </c>
      <c r="D2429" s="1" t="s">
        <v>8049</v>
      </c>
      <c r="F2429" s="1" t="s">
        <v>8050</v>
      </c>
      <c r="H2429" s="1" t="s">
        <v>8061</v>
      </c>
      <c r="J2429" s="1" t="s">
        <v>8062</v>
      </c>
      <c r="L2429" s="1" t="s">
        <v>1906</v>
      </c>
      <c r="M2429" s="1" t="s">
        <v>1607</v>
      </c>
      <c r="N2429" s="1" t="s">
        <v>2532</v>
      </c>
      <c r="P2429" s="1" t="s">
        <v>5475</v>
      </c>
      <c r="Q2429" s="3">
        <v>0</v>
      </c>
      <c r="R2429" s="22" t="s">
        <v>2724</v>
      </c>
      <c r="S2429" s="42" t="s">
        <v>6912</v>
      </c>
      <c r="T2429" s="3" t="s">
        <v>4868</v>
      </c>
      <c r="U2429" s="45">
        <v>35</v>
      </c>
      <c r="V2429" t="s">
        <v>8027</v>
      </c>
      <c r="W2429" s="1" t="str">
        <f>HYPERLINK("http://ictvonline.org/taxonomy/p/taxonomy-history?taxnode_id=201905895","ICTVonline=201905895")</f>
        <v>ICTVonline=201905895</v>
      </c>
    </row>
    <row r="2430" spans="1:23">
      <c r="A2430" s="3">
        <v>2429</v>
      </c>
      <c r="B2430" s="1" t="s">
        <v>8017</v>
      </c>
      <c r="D2430" s="1" t="s">
        <v>8049</v>
      </c>
      <c r="F2430" s="1" t="s">
        <v>8050</v>
      </c>
      <c r="H2430" s="1" t="s">
        <v>8061</v>
      </c>
      <c r="J2430" s="1" t="s">
        <v>8062</v>
      </c>
      <c r="L2430" s="1" t="s">
        <v>1906</v>
      </c>
      <c r="M2430" s="1" t="s">
        <v>1607</v>
      </c>
      <c r="N2430" s="1" t="s">
        <v>2532</v>
      </c>
      <c r="P2430" s="1" t="s">
        <v>5476</v>
      </c>
      <c r="Q2430" s="3">
        <v>0</v>
      </c>
      <c r="R2430" s="22" t="s">
        <v>2724</v>
      </c>
      <c r="S2430" s="42" t="s">
        <v>6912</v>
      </c>
      <c r="T2430" s="3" t="s">
        <v>4868</v>
      </c>
      <c r="U2430" s="45">
        <v>35</v>
      </c>
      <c r="V2430" t="s">
        <v>8027</v>
      </c>
      <c r="W2430" s="1" t="str">
        <f>HYPERLINK("http://ictvonline.org/taxonomy/p/taxonomy-history?taxnode_id=201905896","ICTVonline=201905896")</f>
        <v>ICTVonline=201905896</v>
      </c>
    </row>
    <row r="2431" spans="1:23">
      <c r="A2431" s="3">
        <v>2430</v>
      </c>
      <c r="B2431" s="1" t="s">
        <v>8017</v>
      </c>
      <c r="D2431" s="1" t="s">
        <v>8049</v>
      </c>
      <c r="F2431" s="1" t="s">
        <v>8050</v>
      </c>
      <c r="H2431" s="1" t="s">
        <v>8061</v>
      </c>
      <c r="J2431" s="1" t="s">
        <v>8062</v>
      </c>
      <c r="L2431" s="1" t="s">
        <v>1906</v>
      </c>
      <c r="M2431" s="1" t="s">
        <v>1607</v>
      </c>
      <c r="N2431" s="1" t="s">
        <v>2532</v>
      </c>
      <c r="P2431" s="1" t="s">
        <v>2536</v>
      </c>
      <c r="Q2431" s="3">
        <v>0</v>
      </c>
      <c r="R2431" s="22" t="s">
        <v>2724</v>
      </c>
      <c r="S2431" s="42" t="s">
        <v>6912</v>
      </c>
      <c r="T2431" s="3" t="s">
        <v>4868</v>
      </c>
      <c r="U2431" s="45">
        <v>35</v>
      </c>
      <c r="V2431" t="s">
        <v>8027</v>
      </c>
      <c r="W2431" s="1" t="str">
        <f>HYPERLINK("http://ictvonline.org/taxonomy/p/taxonomy-history?taxnode_id=201904245","ICTVonline=201904245")</f>
        <v>ICTVonline=201904245</v>
      </c>
    </row>
    <row r="2432" spans="1:23">
      <c r="A2432" s="3">
        <v>2431</v>
      </c>
      <c r="B2432" s="1" t="s">
        <v>8017</v>
      </c>
      <c r="D2432" s="1" t="s">
        <v>8049</v>
      </c>
      <c r="F2432" s="1" t="s">
        <v>8050</v>
      </c>
      <c r="H2432" s="1" t="s">
        <v>8061</v>
      </c>
      <c r="J2432" s="1" t="s">
        <v>8062</v>
      </c>
      <c r="L2432" s="1" t="s">
        <v>1906</v>
      </c>
      <c r="M2432" s="1" t="s">
        <v>1607</v>
      </c>
      <c r="N2432" s="1" t="s">
        <v>2532</v>
      </c>
      <c r="P2432" s="1" t="s">
        <v>2537</v>
      </c>
      <c r="Q2432" s="3">
        <v>0</v>
      </c>
      <c r="R2432" s="22" t="s">
        <v>2724</v>
      </c>
      <c r="S2432" s="42" t="s">
        <v>6912</v>
      </c>
      <c r="T2432" s="3" t="s">
        <v>4868</v>
      </c>
      <c r="U2432" s="45">
        <v>35</v>
      </c>
      <c r="V2432" t="s">
        <v>8027</v>
      </c>
      <c r="W2432" s="1" t="str">
        <f>HYPERLINK("http://ictvonline.org/taxonomy/p/taxonomy-history?taxnode_id=201904246","ICTVonline=201904246")</f>
        <v>ICTVonline=201904246</v>
      </c>
    </row>
    <row r="2433" spans="1:23">
      <c r="A2433" s="3">
        <v>2432</v>
      </c>
      <c r="B2433" s="1" t="s">
        <v>8017</v>
      </c>
      <c r="D2433" s="1" t="s">
        <v>8049</v>
      </c>
      <c r="F2433" s="1" t="s">
        <v>8050</v>
      </c>
      <c r="H2433" s="1" t="s">
        <v>8061</v>
      </c>
      <c r="J2433" s="1" t="s">
        <v>8062</v>
      </c>
      <c r="L2433" s="1" t="s">
        <v>1906</v>
      </c>
      <c r="M2433" s="1" t="s">
        <v>1607</v>
      </c>
      <c r="N2433" s="1" t="s">
        <v>2532</v>
      </c>
      <c r="P2433" s="1" t="s">
        <v>2538</v>
      </c>
      <c r="Q2433" s="3">
        <v>0</v>
      </c>
      <c r="R2433" s="22" t="s">
        <v>2724</v>
      </c>
      <c r="S2433" s="42" t="s">
        <v>6912</v>
      </c>
      <c r="T2433" s="3" t="s">
        <v>4868</v>
      </c>
      <c r="U2433" s="45">
        <v>35</v>
      </c>
      <c r="V2433" t="s">
        <v>8027</v>
      </c>
      <c r="W2433" s="1" t="str">
        <f>HYPERLINK("http://ictvonline.org/taxonomy/p/taxonomy-history?taxnode_id=201904247","ICTVonline=201904247")</f>
        <v>ICTVonline=201904247</v>
      </c>
    </row>
    <row r="2434" spans="1:23">
      <c r="A2434" s="3">
        <v>2433</v>
      </c>
      <c r="B2434" s="1" t="s">
        <v>8017</v>
      </c>
      <c r="D2434" s="1" t="s">
        <v>8049</v>
      </c>
      <c r="F2434" s="1" t="s">
        <v>8050</v>
      </c>
      <c r="H2434" s="1" t="s">
        <v>8061</v>
      </c>
      <c r="J2434" s="1" t="s">
        <v>8062</v>
      </c>
      <c r="L2434" s="1" t="s">
        <v>1906</v>
      </c>
      <c r="M2434" s="1" t="s">
        <v>1607</v>
      </c>
      <c r="N2434" s="1" t="s">
        <v>2532</v>
      </c>
      <c r="P2434" s="1" t="s">
        <v>2539</v>
      </c>
      <c r="Q2434" s="3">
        <v>0</v>
      </c>
      <c r="R2434" s="22" t="s">
        <v>2724</v>
      </c>
      <c r="S2434" s="42" t="s">
        <v>6912</v>
      </c>
      <c r="T2434" s="3" t="s">
        <v>4868</v>
      </c>
      <c r="U2434" s="45">
        <v>35</v>
      </c>
      <c r="V2434" t="s">
        <v>8027</v>
      </c>
      <c r="W2434" s="1" t="str">
        <f>HYPERLINK("http://ictvonline.org/taxonomy/p/taxonomy-history?taxnode_id=201904248","ICTVonline=201904248")</f>
        <v>ICTVonline=201904248</v>
      </c>
    </row>
    <row r="2435" spans="1:23">
      <c r="A2435" s="3">
        <v>2434</v>
      </c>
      <c r="B2435" s="1" t="s">
        <v>8017</v>
      </c>
      <c r="D2435" s="1" t="s">
        <v>8049</v>
      </c>
      <c r="F2435" s="1" t="s">
        <v>8050</v>
      </c>
      <c r="H2435" s="1" t="s">
        <v>8061</v>
      </c>
      <c r="J2435" s="1" t="s">
        <v>8062</v>
      </c>
      <c r="L2435" s="1" t="s">
        <v>1906</v>
      </c>
      <c r="M2435" s="1" t="s">
        <v>1607</v>
      </c>
      <c r="N2435" s="1" t="s">
        <v>2532</v>
      </c>
      <c r="P2435" s="1" t="s">
        <v>8106</v>
      </c>
      <c r="Q2435" s="3">
        <v>0</v>
      </c>
      <c r="R2435" s="22" t="s">
        <v>2724</v>
      </c>
      <c r="S2435" s="42" t="s">
        <v>6914</v>
      </c>
      <c r="T2435" s="3" t="s">
        <v>4866</v>
      </c>
      <c r="U2435" s="45">
        <v>35</v>
      </c>
      <c r="V2435" t="s">
        <v>8065</v>
      </c>
      <c r="W2435" s="1" t="str">
        <f>HYPERLINK("http://ictvonline.org/taxonomy/p/taxonomy-history?taxnode_id=201907348","ICTVonline=201907348")</f>
        <v>ICTVonline=201907348</v>
      </c>
    </row>
    <row r="2436" spans="1:23">
      <c r="A2436" s="3">
        <v>2435</v>
      </c>
      <c r="B2436" s="1" t="s">
        <v>8017</v>
      </c>
      <c r="D2436" s="1" t="s">
        <v>8049</v>
      </c>
      <c r="F2436" s="1" t="s">
        <v>8050</v>
      </c>
      <c r="H2436" s="1" t="s">
        <v>8061</v>
      </c>
      <c r="J2436" s="1" t="s">
        <v>8062</v>
      </c>
      <c r="L2436" s="1" t="s">
        <v>1906</v>
      </c>
      <c r="M2436" s="1" t="s">
        <v>1607</v>
      </c>
      <c r="N2436" s="1" t="s">
        <v>2532</v>
      </c>
      <c r="P2436" s="1" t="s">
        <v>8107</v>
      </c>
      <c r="Q2436" s="3">
        <v>0</v>
      </c>
      <c r="R2436" s="22" t="s">
        <v>2724</v>
      </c>
      <c r="S2436" s="42" t="s">
        <v>6914</v>
      </c>
      <c r="T2436" s="3" t="s">
        <v>4866</v>
      </c>
      <c r="U2436" s="45">
        <v>35</v>
      </c>
      <c r="V2436" t="s">
        <v>8065</v>
      </c>
      <c r="W2436" s="1" t="str">
        <f>HYPERLINK("http://ictvonline.org/taxonomy/p/taxonomy-history?taxnode_id=201907349","ICTVonline=201907349")</f>
        <v>ICTVonline=201907349</v>
      </c>
    </row>
    <row r="2437" spans="1:23">
      <c r="A2437" s="3">
        <v>2436</v>
      </c>
      <c r="B2437" s="1" t="s">
        <v>8017</v>
      </c>
      <c r="D2437" s="1" t="s">
        <v>8049</v>
      </c>
      <c r="F2437" s="1" t="s">
        <v>8050</v>
      </c>
      <c r="H2437" s="1" t="s">
        <v>8061</v>
      </c>
      <c r="J2437" s="1" t="s">
        <v>8062</v>
      </c>
      <c r="L2437" s="1" t="s">
        <v>1906</v>
      </c>
      <c r="M2437" s="1" t="s">
        <v>1607</v>
      </c>
      <c r="N2437" s="1" t="s">
        <v>2532</v>
      </c>
      <c r="P2437" s="1" t="s">
        <v>2540</v>
      </c>
      <c r="Q2437" s="3">
        <v>1</v>
      </c>
      <c r="R2437" s="22" t="s">
        <v>2724</v>
      </c>
      <c r="S2437" s="42" t="s">
        <v>6912</v>
      </c>
      <c r="T2437" s="3" t="s">
        <v>4868</v>
      </c>
      <c r="U2437" s="45">
        <v>35</v>
      </c>
      <c r="V2437" t="s">
        <v>8027</v>
      </c>
      <c r="W2437" s="1" t="str">
        <f>HYPERLINK("http://ictvonline.org/taxonomy/p/taxonomy-history?taxnode_id=201904249","ICTVonline=201904249")</f>
        <v>ICTVonline=201904249</v>
      </c>
    </row>
    <row r="2438" spans="1:23">
      <c r="A2438" s="3">
        <v>2437</v>
      </c>
      <c r="B2438" s="1" t="s">
        <v>8017</v>
      </c>
      <c r="D2438" s="1" t="s">
        <v>8049</v>
      </c>
      <c r="F2438" s="1" t="s">
        <v>8050</v>
      </c>
      <c r="H2438" s="1" t="s">
        <v>8061</v>
      </c>
      <c r="J2438" s="1" t="s">
        <v>8062</v>
      </c>
      <c r="L2438" s="1" t="s">
        <v>1906</v>
      </c>
      <c r="M2438" s="1" t="s">
        <v>1607</v>
      </c>
      <c r="N2438" s="1" t="s">
        <v>2532</v>
      </c>
      <c r="P2438" s="1" t="s">
        <v>2541</v>
      </c>
      <c r="Q2438" s="3">
        <v>0</v>
      </c>
      <c r="R2438" s="22" t="s">
        <v>2724</v>
      </c>
      <c r="S2438" s="42" t="s">
        <v>6912</v>
      </c>
      <c r="T2438" s="3" t="s">
        <v>4868</v>
      </c>
      <c r="U2438" s="45">
        <v>35</v>
      </c>
      <c r="V2438" t="s">
        <v>8027</v>
      </c>
      <c r="W2438" s="1" t="str">
        <f>HYPERLINK("http://ictvonline.org/taxonomy/p/taxonomy-history?taxnode_id=201904250","ICTVonline=201904250")</f>
        <v>ICTVonline=201904250</v>
      </c>
    </row>
    <row r="2439" spans="1:23">
      <c r="A2439" s="3">
        <v>2438</v>
      </c>
      <c r="B2439" s="1" t="s">
        <v>8017</v>
      </c>
      <c r="D2439" s="1" t="s">
        <v>8049</v>
      </c>
      <c r="F2439" s="1" t="s">
        <v>8050</v>
      </c>
      <c r="H2439" s="1" t="s">
        <v>8061</v>
      </c>
      <c r="J2439" s="1" t="s">
        <v>8062</v>
      </c>
      <c r="L2439" s="1" t="s">
        <v>1906</v>
      </c>
      <c r="M2439" s="1" t="s">
        <v>1607</v>
      </c>
      <c r="N2439" s="1" t="s">
        <v>2532</v>
      </c>
      <c r="P2439" s="1" t="s">
        <v>2542</v>
      </c>
      <c r="Q2439" s="3">
        <v>0</v>
      </c>
      <c r="R2439" s="22" t="s">
        <v>2724</v>
      </c>
      <c r="S2439" s="42" t="s">
        <v>6912</v>
      </c>
      <c r="T2439" s="3" t="s">
        <v>4868</v>
      </c>
      <c r="U2439" s="45">
        <v>35</v>
      </c>
      <c r="V2439" t="s">
        <v>8027</v>
      </c>
      <c r="W2439" s="1" t="str">
        <f>HYPERLINK("http://ictvonline.org/taxonomy/p/taxonomy-history?taxnode_id=201904251","ICTVonline=201904251")</f>
        <v>ICTVonline=201904251</v>
      </c>
    </row>
    <row r="2440" spans="1:23">
      <c r="A2440" s="3">
        <v>2439</v>
      </c>
      <c r="B2440" s="1" t="s">
        <v>8017</v>
      </c>
      <c r="D2440" s="1" t="s">
        <v>8049</v>
      </c>
      <c r="F2440" s="1" t="s">
        <v>8050</v>
      </c>
      <c r="H2440" s="1" t="s">
        <v>8061</v>
      </c>
      <c r="J2440" s="1" t="s">
        <v>8062</v>
      </c>
      <c r="L2440" s="1" t="s">
        <v>1906</v>
      </c>
      <c r="M2440" s="1" t="s">
        <v>1607</v>
      </c>
      <c r="N2440" s="1" t="s">
        <v>2532</v>
      </c>
      <c r="P2440" s="1" t="s">
        <v>2543</v>
      </c>
      <c r="Q2440" s="3">
        <v>0</v>
      </c>
      <c r="R2440" s="22" t="s">
        <v>2724</v>
      </c>
      <c r="S2440" s="42" t="s">
        <v>6912</v>
      </c>
      <c r="T2440" s="3" t="s">
        <v>4868</v>
      </c>
      <c r="U2440" s="45">
        <v>35</v>
      </c>
      <c r="V2440" t="s">
        <v>8027</v>
      </c>
      <c r="W2440" s="1" t="str">
        <f>HYPERLINK("http://ictvonline.org/taxonomy/p/taxonomy-history?taxnode_id=201904252","ICTVonline=201904252")</f>
        <v>ICTVonline=201904252</v>
      </c>
    </row>
    <row r="2441" spans="1:23">
      <c r="A2441" s="3">
        <v>2440</v>
      </c>
      <c r="B2441" s="1" t="s">
        <v>8017</v>
      </c>
      <c r="D2441" s="1" t="s">
        <v>8049</v>
      </c>
      <c r="F2441" s="1" t="s">
        <v>8050</v>
      </c>
      <c r="H2441" s="1" t="s">
        <v>8061</v>
      </c>
      <c r="J2441" s="1" t="s">
        <v>8062</v>
      </c>
      <c r="L2441" s="1" t="s">
        <v>1906</v>
      </c>
      <c r="M2441" s="1" t="s">
        <v>1607</v>
      </c>
      <c r="N2441" s="1" t="s">
        <v>2532</v>
      </c>
      <c r="P2441" s="1" t="s">
        <v>2544</v>
      </c>
      <c r="Q2441" s="3">
        <v>0</v>
      </c>
      <c r="R2441" s="22" t="s">
        <v>2724</v>
      </c>
      <c r="S2441" s="42" t="s">
        <v>6912</v>
      </c>
      <c r="T2441" s="3" t="s">
        <v>4868</v>
      </c>
      <c r="U2441" s="45">
        <v>35</v>
      </c>
      <c r="V2441" t="s">
        <v>8027</v>
      </c>
      <c r="W2441" s="1" t="str">
        <f>HYPERLINK("http://ictvonline.org/taxonomy/p/taxonomy-history?taxnode_id=201904253","ICTVonline=201904253")</f>
        <v>ICTVonline=201904253</v>
      </c>
    </row>
    <row r="2442" spans="1:23">
      <c r="A2442" s="3">
        <v>2441</v>
      </c>
      <c r="B2442" s="1" t="s">
        <v>8017</v>
      </c>
      <c r="D2442" s="1" t="s">
        <v>8049</v>
      </c>
      <c r="F2442" s="1" t="s">
        <v>8050</v>
      </c>
      <c r="H2442" s="1" t="s">
        <v>8061</v>
      </c>
      <c r="J2442" s="1" t="s">
        <v>8062</v>
      </c>
      <c r="L2442" s="1" t="s">
        <v>1906</v>
      </c>
      <c r="M2442" s="1" t="s">
        <v>1607</v>
      </c>
      <c r="N2442" s="1" t="s">
        <v>2532</v>
      </c>
      <c r="P2442" s="1" t="s">
        <v>5477</v>
      </c>
      <c r="Q2442" s="3">
        <v>0</v>
      </c>
      <c r="R2442" s="22" t="s">
        <v>2724</v>
      </c>
      <c r="S2442" s="42" t="s">
        <v>6912</v>
      </c>
      <c r="T2442" s="3" t="s">
        <v>4868</v>
      </c>
      <c r="U2442" s="45">
        <v>35</v>
      </c>
      <c r="V2442" t="s">
        <v>8027</v>
      </c>
      <c r="W2442" s="1" t="str">
        <f>HYPERLINK("http://ictvonline.org/taxonomy/p/taxonomy-history?taxnode_id=201905897","ICTVonline=201905897")</f>
        <v>ICTVonline=201905897</v>
      </c>
    </row>
    <row r="2443" spans="1:23">
      <c r="A2443" s="3">
        <v>2442</v>
      </c>
      <c r="B2443" s="1" t="s">
        <v>8017</v>
      </c>
      <c r="D2443" s="1" t="s">
        <v>8049</v>
      </c>
      <c r="F2443" s="1" t="s">
        <v>8050</v>
      </c>
      <c r="H2443" s="1" t="s">
        <v>8061</v>
      </c>
      <c r="J2443" s="1" t="s">
        <v>8062</v>
      </c>
      <c r="L2443" s="1" t="s">
        <v>1906</v>
      </c>
      <c r="M2443" s="1" t="s">
        <v>1607</v>
      </c>
      <c r="N2443" s="1" t="s">
        <v>2532</v>
      </c>
      <c r="P2443" s="1" t="s">
        <v>8108</v>
      </c>
      <c r="Q2443" s="3">
        <v>0</v>
      </c>
      <c r="R2443" s="22" t="s">
        <v>2724</v>
      </c>
      <c r="S2443" s="42" t="s">
        <v>6914</v>
      </c>
      <c r="T2443" s="3" t="s">
        <v>4866</v>
      </c>
      <c r="U2443" s="45">
        <v>35</v>
      </c>
      <c r="V2443" t="s">
        <v>8065</v>
      </c>
      <c r="W2443" s="1" t="str">
        <f>HYPERLINK("http://ictvonline.org/taxonomy/p/taxonomy-history?taxnode_id=201907346","ICTVonline=201907346")</f>
        <v>ICTVonline=201907346</v>
      </c>
    </row>
    <row r="2444" spans="1:23">
      <c r="A2444" s="3">
        <v>2443</v>
      </c>
      <c r="B2444" s="1" t="s">
        <v>8017</v>
      </c>
      <c r="D2444" s="1" t="s">
        <v>8049</v>
      </c>
      <c r="F2444" s="1" t="s">
        <v>8050</v>
      </c>
      <c r="H2444" s="1" t="s">
        <v>8061</v>
      </c>
      <c r="J2444" s="1" t="s">
        <v>8062</v>
      </c>
      <c r="L2444" s="1" t="s">
        <v>1906</v>
      </c>
      <c r="M2444" s="1" t="s">
        <v>1607</v>
      </c>
      <c r="N2444" s="1" t="s">
        <v>2532</v>
      </c>
      <c r="P2444" s="1" t="s">
        <v>8109</v>
      </c>
      <c r="Q2444" s="3">
        <v>0</v>
      </c>
      <c r="R2444" s="22" t="s">
        <v>2724</v>
      </c>
      <c r="S2444" s="42" t="s">
        <v>6914</v>
      </c>
      <c r="T2444" s="3" t="s">
        <v>4866</v>
      </c>
      <c r="U2444" s="45">
        <v>35</v>
      </c>
      <c r="V2444" t="s">
        <v>8065</v>
      </c>
      <c r="W2444" s="1" t="str">
        <f>HYPERLINK("http://ictvonline.org/taxonomy/p/taxonomy-history?taxnode_id=201907347","ICTVonline=201907347")</f>
        <v>ICTVonline=201907347</v>
      </c>
    </row>
    <row r="2445" spans="1:23">
      <c r="A2445" s="3">
        <v>2444</v>
      </c>
      <c r="B2445" s="1" t="s">
        <v>8017</v>
      </c>
      <c r="D2445" s="1" t="s">
        <v>8049</v>
      </c>
      <c r="F2445" s="1" t="s">
        <v>8050</v>
      </c>
      <c r="H2445" s="1" t="s">
        <v>8061</v>
      </c>
      <c r="J2445" s="1" t="s">
        <v>8062</v>
      </c>
      <c r="L2445" s="1" t="s">
        <v>1906</v>
      </c>
      <c r="M2445" s="1" t="s">
        <v>1607</v>
      </c>
      <c r="N2445" s="1" t="s">
        <v>2545</v>
      </c>
      <c r="P2445" s="1" t="s">
        <v>8110</v>
      </c>
      <c r="Q2445" s="3">
        <v>0</v>
      </c>
      <c r="R2445" s="22" t="s">
        <v>2724</v>
      </c>
      <c r="S2445" s="42" t="s">
        <v>6914</v>
      </c>
      <c r="T2445" s="3" t="s">
        <v>4866</v>
      </c>
      <c r="U2445" s="45">
        <v>35</v>
      </c>
      <c r="V2445" t="s">
        <v>8065</v>
      </c>
      <c r="W2445" s="1" t="str">
        <f>HYPERLINK("http://ictvonline.org/taxonomy/p/taxonomy-history?taxnode_id=201907344","ICTVonline=201907344")</f>
        <v>ICTVonline=201907344</v>
      </c>
    </row>
    <row r="2446" spans="1:23">
      <c r="A2446" s="3">
        <v>2445</v>
      </c>
      <c r="B2446" s="1" t="s">
        <v>8017</v>
      </c>
      <c r="D2446" s="1" t="s">
        <v>8049</v>
      </c>
      <c r="F2446" s="1" t="s">
        <v>8050</v>
      </c>
      <c r="H2446" s="1" t="s">
        <v>8061</v>
      </c>
      <c r="J2446" s="1" t="s">
        <v>8062</v>
      </c>
      <c r="L2446" s="1" t="s">
        <v>1906</v>
      </c>
      <c r="M2446" s="1" t="s">
        <v>1607</v>
      </c>
      <c r="N2446" s="1" t="s">
        <v>2545</v>
      </c>
      <c r="P2446" s="1" t="s">
        <v>2546</v>
      </c>
      <c r="Q2446" s="3">
        <v>1</v>
      </c>
      <c r="R2446" s="22" t="s">
        <v>2724</v>
      </c>
      <c r="S2446" s="42" t="s">
        <v>6912</v>
      </c>
      <c r="T2446" s="3" t="s">
        <v>4868</v>
      </c>
      <c r="U2446" s="45">
        <v>35</v>
      </c>
      <c r="V2446" t="s">
        <v>8027</v>
      </c>
      <c r="W2446" s="1" t="str">
        <f>HYPERLINK("http://ictvonline.org/taxonomy/p/taxonomy-history?taxnode_id=201904255","ICTVonline=201904255")</f>
        <v>ICTVonline=201904255</v>
      </c>
    </row>
    <row r="2447" spans="1:23">
      <c r="A2447" s="3">
        <v>2446</v>
      </c>
      <c r="B2447" s="1" t="s">
        <v>8017</v>
      </c>
      <c r="D2447" s="1" t="s">
        <v>8049</v>
      </c>
      <c r="F2447" s="1" t="s">
        <v>8050</v>
      </c>
      <c r="H2447" s="1" t="s">
        <v>8061</v>
      </c>
      <c r="J2447" s="1" t="s">
        <v>8062</v>
      </c>
      <c r="L2447" s="1" t="s">
        <v>1906</v>
      </c>
      <c r="M2447" s="1" t="s">
        <v>1607</v>
      </c>
      <c r="N2447" s="1" t="s">
        <v>2545</v>
      </c>
      <c r="P2447" s="1" t="s">
        <v>2547</v>
      </c>
      <c r="Q2447" s="3">
        <v>0</v>
      </c>
      <c r="R2447" s="22" t="s">
        <v>2724</v>
      </c>
      <c r="S2447" s="42" t="s">
        <v>6912</v>
      </c>
      <c r="T2447" s="3" t="s">
        <v>4868</v>
      </c>
      <c r="U2447" s="45">
        <v>35</v>
      </c>
      <c r="V2447" t="s">
        <v>8027</v>
      </c>
      <c r="W2447" s="1" t="str">
        <f>HYPERLINK("http://ictvonline.org/taxonomy/p/taxonomy-history?taxnode_id=201904256","ICTVonline=201904256")</f>
        <v>ICTVonline=201904256</v>
      </c>
    </row>
    <row r="2448" spans="1:23">
      <c r="A2448" s="3">
        <v>2447</v>
      </c>
      <c r="B2448" s="1" t="s">
        <v>8017</v>
      </c>
      <c r="D2448" s="1" t="s">
        <v>8049</v>
      </c>
      <c r="F2448" s="1" t="s">
        <v>8050</v>
      </c>
      <c r="H2448" s="1" t="s">
        <v>8061</v>
      </c>
      <c r="J2448" s="1" t="s">
        <v>8062</v>
      </c>
      <c r="L2448" s="1" t="s">
        <v>1906</v>
      </c>
      <c r="M2448" s="1" t="s">
        <v>1607</v>
      </c>
      <c r="N2448" s="1" t="s">
        <v>2545</v>
      </c>
      <c r="P2448" s="1" t="s">
        <v>8111</v>
      </c>
      <c r="Q2448" s="3">
        <v>0</v>
      </c>
      <c r="R2448" s="22" t="s">
        <v>2724</v>
      </c>
      <c r="S2448" s="42" t="s">
        <v>6914</v>
      </c>
      <c r="T2448" s="3" t="s">
        <v>4866</v>
      </c>
      <c r="U2448" s="45">
        <v>35</v>
      </c>
      <c r="V2448" t="s">
        <v>8065</v>
      </c>
      <c r="W2448" s="1" t="str">
        <f>HYPERLINK("http://ictvonline.org/taxonomy/p/taxonomy-history?taxnode_id=201907340","ICTVonline=201907340")</f>
        <v>ICTVonline=201907340</v>
      </c>
    </row>
    <row r="2449" spans="1:23">
      <c r="A2449" s="3">
        <v>2448</v>
      </c>
      <c r="B2449" s="1" t="s">
        <v>8017</v>
      </c>
      <c r="D2449" s="1" t="s">
        <v>8049</v>
      </c>
      <c r="F2449" s="1" t="s">
        <v>8050</v>
      </c>
      <c r="H2449" s="1" t="s">
        <v>8061</v>
      </c>
      <c r="J2449" s="1" t="s">
        <v>8062</v>
      </c>
      <c r="L2449" s="1" t="s">
        <v>1906</v>
      </c>
      <c r="M2449" s="1" t="s">
        <v>1607</v>
      </c>
      <c r="N2449" s="1" t="s">
        <v>2545</v>
      </c>
      <c r="P2449" s="1" t="s">
        <v>8112</v>
      </c>
      <c r="Q2449" s="3">
        <v>0</v>
      </c>
      <c r="R2449" s="22" t="s">
        <v>2724</v>
      </c>
      <c r="S2449" s="42" t="s">
        <v>6914</v>
      </c>
      <c r="T2449" s="3" t="s">
        <v>4866</v>
      </c>
      <c r="U2449" s="45">
        <v>35</v>
      </c>
      <c r="V2449" t="s">
        <v>8065</v>
      </c>
      <c r="W2449" s="1" t="str">
        <f>HYPERLINK("http://ictvonline.org/taxonomy/p/taxonomy-history?taxnode_id=201907341","ICTVonline=201907341")</f>
        <v>ICTVonline=201907341</v>
      </c>
    </row>
    <row r="2450" spans="1:23">
      <c r="A2450" s="3">
        <v>2449</v>
      </c>
      <c r="B2450" s="1" t="s">
        <v>8017</v>
      </c>
      <c r="D2450" s="1" t="s">
        <v>8049</v>
      </c>
      <c r="F2450" s="1" t="s">
        <v>8050</v>
      </c>
      <c r="H2450" s="1" t="s">
        <v>8061</v>
      </c>
      <c r="J2450" s="1" t="s">
        <v>8062</v>
      </c>
      <c r="L2450" s="1" t="s">
        <v>1906</v>
      </c>
      <c r="M2450" s="1" t="s">
        <v>1607</v>
      </c>
      <c r="N2450" s="1" t="s">
        <v>2545</v>
      </c>
      <c r="P2450" s="1" t="s">
        <v>8113</v>
      </c>
      <c r="Q2450" s="3">
        <v>0</v>
      </c>
      <c r="R2450" s="22" t="s">
        <v>2724</v>
      </c>
      <c r="S2450" s="42" t="s">
        <v>6914</v>
      </c>
      <c r="T2450" s="3" t="s">
        <v>4866</v>
      </c>
      <c r="U2450" s="45">
        <v>35</v>
      </c>
      <c r="V2450" t="s">
        <v>8065</v>
      </c>
      <c r="W2450" s="1" t="str">
        <f>HYPERLINK("http://ictvonline.org/taxonomy/p/taxonomy-history?taxnode_id=201907342","ICTVonline=201907342")</f>
        <v>ICTVonline=201907342</v>
      </c>
    </row>
    <row r="2451" spans="1:23">
      <c r="A2451" s="3">
        <v>2450</v>
      </c>
      <c r="B2451" s="1" t="s">
        <v>8017</v>
      </c>
      <c r="D2451" s="1" t="s">
        <v>8049</v>
      </c>
      <c r="F2451" s="1" t="s">
        <v>8050</v>
      </c>
      <c r="H2451" s="1" t="s">
        <v>8061</v>
      </c>
      <c r="J2451" s="1" t="s">
        <v>8062</v>
      </c>
      <c r="L2451" s="1" t="s">
        <v>1906</v>
      </c>
      <c r="M2451" s="1" t="s">
        <v>1607</v>
      </c>
      <c r="N2451" s="1" t="s">
        <v>2545</v>
      </c>
      <c r="P2451" s="1" t="s">
        <v>8114</v>
      </c>
      <c r="Q2451" s="3">
        <v>0</v>
      </c>
      <c r="R2451" s="22" t="s">
        <v>2724</v>
      </c>
      <c r="S2451" s="42" t="s">
        <v>6914</v>
      </c>
      <c r="T2451" s="3" t="s">
        <v>4866</v>
      </c>
      <c r="U2451" s="45">
        <v>35</v>
      </c>
      <c r="V2451" t="s">
        <v>8065</v>
      </c>
      <c r="W2451" s="1" t="str">
        <f>HYPERLINK("http://ictvonline.org/taxonomy/p/taxonomy-history?taxnode_id=201907343","ICTVonline=201907343")</f>
        <v>ICTVonline=201907343</v>
      </c>
    </row>
    <row r="2452" spans="1:23">
      <c r="A2452" s="3">
        <v>2451</v>
      </c>
      <c r="B2452" s="1" t="s">
        <v>8017</v>
      </c>
      <c r="D2452" s="1" t="s">
        <v>8049</v>
      </c>
      <c r="F2452" s="1" t="s">
        <v>8050</v>
      </c>
      <c r="H2452" s="1" t="s">
        <v>8061</v>
      </c>
      <c r="J2452" s="1" t="s">
        <v>8062</v>
      </c>
      <c r="L2452" s="1" t="s">
        <v>1906</v>
      </c>
      <c r="M2452" s="1" t="s">
        <v>1607</v>
      </c>
      <c r="N2452" s="1" t="s">
        <v>2548</v>
      </c>
      <c r="P2452" s="1" t="s">
        <v>2549</v>
      </c>
      <c r="Q2452" s="3">
        <v>1</v>
      </c>
      <c r="R2452" s="22" t="s">
        <v>2724</v>
      </c>
      <c r="S2452" s="42" t="s">
        <v>6912</v>
      </c>
      <c r="T2452" s="3" t="s">
        <v>4868</v>
      </c>
      <c r="U2452" s="45">
        <v>35</v>
      </c>
      <c r="V2452" t="s">
        <v>8027</v>
      </c>
      <c r="W2452" s="1" t="str">
        <f>HYPERLINK("http://ictvonline.org/taxonomy/p/taxonomy-history?taxnode_id=201904258","ICTVonline=201904258")</f>
        <v>ICTVonline=201904258</v>
      </c>
    </row>
    <row r="2453" spans="1:23">
      <c r="A2453" s="3">
        <v>2452</v>
      </c>
      <c r="B2453" s="1" t="s">
        <v>8017</v>
      </c>
      <c r="D2453" s="1" t="s">
        <v>8049</v>
      </c>
      <c r="F2453" s="1" t="s">
        <v>8050</v>
      </c>
      <c r="H2453" s="1" t="s">
        <v>8061</v>
      </c>
      <c r="J2453" s="1" t="s">
        <v>8062</v>
      </c>
      <c r="L2453" s="1" t="s">
        <v>1906</v>
      </c>
      <c r="M2453" s="1" t="s">
        <v>1607</v>
      </c>
      <c r="N2453" s="1" t="s">
        <v>2548</v>
      </c>
      <c r="P2453" s="1" t="s">
        <v>2550</v>
      </c>
      <c r="Q2453" s="3">
        <v>0</v>
      </c>
      <c r="R2453" s="22" t="s">
        <v>2724</v>
      </c>
      <c r="S2453" s="42" t="s">
        <v>6912</v>
      </c>
      <c r="T2453" s="3" t="s">
        <v>4868</v>
      </c>
      <c r="U2453" s="45">
        <v>35</v>
      </c>
      <c r="V2453" t="s">
        <v>8027</v>
      </c>
      <c r="W2453" s="1" t="str">
        <f>HYPERLINK("http://ictvonline.org/taxonomy/p/taxonomy-history?taxnode_id=201904259","ICTVonline=201904259")</f>
        <v>ICTVonline=201904259</v>
      </c>
    </row>
    <row r="2454" spans="1:23">
      <c r="A2454" s="3">
        <v>2453</v>
      </c>
      <c r="B2454" s="1" t="s">
        <v>8017</v>
      </c>
      <c r="D2454" s="1" t="s">
        <v>8049</v>
      </c>
      <c r="F2454" s="1" t="s">
        <v>8050</v>
      </c>
      <c r="H2454" s="1" t="s">
        <v>8061</v>
      </c>
      <c r="J2454" s="1" t="s">
        <v>8062</v>
      </c>
      <c r="L2454" s="1" t="s">
        <v>1906</v>
      </c>
      <c r="M2454" s="1" t="s">
        <v>1607</v>
      </c>
      <c r="N2454" s="1" t="s">
        <v>2548</v>
      </c>
      <c r="P2454" s="1" t="s">
        <v>2551</v>
      </c>
      <c r="Q2454" s="3">
        <v>0</v>
      </c>
      <c r="R2454" s="22" t="s">
        <v>2724</v>
      </c>
      <c r="S2454" s="42" t="s">
        <v>6912</v>
      </c>
      <c r="T2454" s="3" t="s">
        <v>4868</v>
      </c>
      <c r="U2454" s="45">
        <v>35</v>
      </c>
      <c r="V2454" t="s">
        <v>8027</v>
      </c>
      <c r="W2454" s="1" t="str">
        <f>HYPERLINK("http://ictvonline.org/taxonomy/p/taxonomy-history?taxnode_id=201904260","ICTVonline=201904260")</f>
        <v>ICTVonline=201904260</v>
      </c>
    </row>
    <row r="2455" spans="1:23">
      <c r="A2455" s="3">
        <v>2454</v>
      </c>
      <c r="B2455" s="1" t="s">
        <v>8017</v>
      </c>
      <c r="D2455" s="1" t="s">
        <v>8049</v>
      </c>
      <c r="F2455" s="1" t="s">
        <v>8050</v>
      </c>
      <c r="H2455" s="1" t="s">
        <v>8061</v>
      </c>
      <c r="J2455" s="1" t="s">
        <v>8062</v>
      </c>
      <c r="L2455" s="1" t="s">
        <v>1906</v>
      </c>
      <c r="M2455" s="1" t="s">
        <v>1607</v>
      </c>
      <c r="N2455" s="1" t="s">
        <v>2548</v>
      </c>
      <c r="P2455" s="1" t="s">
        <v>2552</v>
      </c>
      <c r="Q2455" s="3">
        <v>0</v>
      </c>
      <c r="R2455" s="22" t="s">
        <v>2724</v>
      </c>
      <c r="S2455" s="42" t="s">
        <v>6912</v>
      </c>
      <c r="T2455" s="3" t="s">
        <v>4868</v>
      </c>
      <c r="U2455" s="45">
        <v>35</v>
      </c>
      <c r="V2455" t="s">
        <v>8027</v>
      </c>
      <c r="W2455" s="1" t="str">
        <f>HYPERLINK("http://ictvonline.org/taxonomy/p/taxonomy-history?taxnode_id=201904261","ICTVonline=201904261")</f>
        <v>ICTVonline=201904261</v>
      </c>
    </row>
    <row r="2456" spans="1:23">
      <c r="A2456" s="3">
        <v>2455</v>
      </c>
      <c r="B2456" s="1" t="s">
        <v>8017</v>
      </c>
      <c r="D2456" s="1" t="s">
        <v>8049</v>
      </c>
      <c r="F2456" s="1" t="s">
        <v>8050</v>
      </c>
      <c r="H2456" s="1" t="s">
        <v>8061</v>
      </c>
      <c r="J2456" s="1" t="s">
        <v>8062</v>
      </c>
      <c r="L2456" s="1" t="s">
        <v>1906</v>
      </c>
      <c r="M2456" s="1" t="s">
        <v>1607</v>
      </c>
      <c r="N2456" s="1" t="s">
        <v>2548</v>
      </c>
      <c r="P2456" s="1" t="s">
        <v>2553</v>
      </c>
      <c r="Q2456" s="3">
        <v>0</v>
      </c>
      <c r="R2456" s="22" t="s">
        <v>2724</v>
      </c>
      <c r="S2456" s="42" t="s">
        <v>6912</v>
      </c>
      <c r="T2456" s="3" t="s">
        <v>4868</v>
      </c>
      <c r="U2456" s="45">
        <v>35</v>
      </c>
      <c r="V2456" t="s">
        <v>8027</v>
      </c>
      <c r="W2456" s="1" t="str">
        <f>HYPERLINK("http://ictvonline.org/taxonomy/p/taxonomy-history?taxnode_id=201904262","ICTVonline=201904262")</f>
        <v>ICTVonline=201904262</v>
      </c>
    </row>
    <row r="2457" spans="1:23">
      <c r="A2457" s="3">
        <v>2456</v>
      </c>
      <c r="B2457" s="1" t="s">
        <v>8017</v>
      </c>
      <c r="D2457" s="1" t="s">
        <v>8049</v>
      </c>
      <c r="F2457" s="1" t="s">
        <v>8050</v>
      </c>
      <c r="H2457" s="1" t="s">
        <v>8061</v>
      </c>
      <c r="J2457" s="1" t="s">
        <v>8062</v>
      </c>
      <c r="L2457" s="1" t="s">
        <v>1906</v>
      </c>
      <c r="M2457" s="1" t="s">
        <v>1607</v>
      </c>
      <c r="N2457" s="1" t="s">
        <v>2548</v>
      </c>
      <c r="P2457" s="1" t="s">
        <v>2554</v>
      </c>
      <c r="Q2457" s="3">
        <v>0</v>
      </c>
      <c r="R2457" s="22" t="s">
        <v>2724</v>
      </c>
      <c r="S2457" s="42" t="s">
        <v>6912</v>
      </c>
      <c r="T2457" s="3" t="s">
        <v>4868</v>
      </c>
      <c r="U2457" s="45">
        <v>35</v>
      </c>
      <c r="V2457" t="s">
        <v>8027</v>
      </c>
      <c r="W2457" s="1" t="str">
        <f>HYPERLINK("http://ictvonline.org/taxonomy/p/taxonomy-history?taxnode_id=201904263","ICTVonline=201904263")</f>
        <v>ICTVonline=201904263</v>
      </c>
    </row>
    <row r="2458" spans="1:23">
      <c r="A2458" s="3">
        <v>2457</v>
      </c>
      <c r="B2458" s="1" t="s">
        <v>8017</v>
      </c>
      <c r="D2458" s="1" t="s">
        <v>8049</v>
      </c>
      <c r="F2458" s="1" t="s">
        <v>8050</v>
      </c>
      <c r="H2458" s="1" t="s">
        <v>8061</v>
      </c>
      <c r="J2458" s="1" t="s">
        <v>8062</v>
      </c>
      <c r="L2458" s="1" t="s">
        <v>1906</v>
      </c>
      <c r="M2458" s="1" t="s">
        <v>1607</v>
      </c>
      <c r="N2458" s="1" t="s">
        <v>2548</v>
      </c>
      <c r="P2458" s="1" t="s">
        <v>8115</v>
      </c>
      <c r="Q2458" s="3">
        <v>0</v>
      </c>
      <c r="R2458" s="22" t="s">
        <v>2724</v>
      </c>
      <c r="S2458" s="42" t="s">
        <v>6914</v>
      </c>
      <c r="T2458" s="3" t="s">
        <v>4866</v>
      </c>
      <c r="U2458" s="45">
        <v>35</v>
      </c>
      <c r="V2458" t="s">
        <v>8065</v>
      </c>
      <c r="W2458" s="1" t="str">
        <f>HYPERLINK("http://ictvonline.org/taxonomy/p/taxonomy-history?taxnode_id=201907353","ICTVonline=201907353")</f>
        <v>ICTVonline=201907353</v>
      </c>
    </row>
    <row r="2459" spans="1:23">
      <c r="A2459" s="3">
        <v>2458</v>
      </c>
      <c r="B2459" s="1" t="s">
        <v>8017</v>
      </c>
      <c r="D2459" s="1" t="s">
        <v>8049</v>
      </c>
      <c r="F2459" s="1" t="s">
        <v>8050</v>
      </c>
      <c r="H2459" s="1" t="s">
        <v>8061</v>
      </c>
      <c r="J2459" s="1" t="s">
        <v>8062</v>
      </c>
      <c r="L2459" s="1" t="s">
        <v>1906</v>
      </c>
      <c r="M2459" s="1" t="s">
        <v>1607</v>
      </c>
      <c r="N2459" s="1" t="s">
        <v>2548</v>
      </c>
      <c r="P2459" s="1" t="s">
        <v>8116</v>
      </c>
      <c r="Q2459" s="3">
        <v>0</v>
      </c>
      <c r="R2459" s="22" t="s">
        <v>2724</v>
      </c>
      <c r="S2459" s="42" t="s">
        <v>6914</v>
      </c>
      <c r="T2459" s="3" t="s">
        <v>4866</v>
      </c>
      <c r="U2459" s="45">
        <v>35</v>
      </c>
      <c r="V2459" t="s">
        <v>8065</v>
      </c>
      <c r="W2459" s="1" t="str">
        <f>HYPERLINK("http://ictvonline.org/taxonomy/p/taxonomy-history?taxnode_id=201907354","ICTVonline=201907354")</f>
        <v>ICTVonline=201907354</v>
      </c>
    </row>
    <row r="2460" spans="1:23">
      <c r="A2460" s="3">
        <v>2459</v>
      </c>
      <c r="B2460" s="1" t="s">
        <v>8017</v>
      </c>
      <c r="D2460" s="1" t="s">
        <v>8049</v>
      </c>
      <c r="F2460" s="1" t="s">
        <v>8050</v>
      </c>
      <c r="H2460" s="1" t="s">
        <v>8061</v>
      </c>
      <c r="J2460" s="1" t="s">
        <v>8062</v>
      </c>
      <c r="L2460" s="1" t="s">
        <v>1906</v>
      </c>
      <c r="M2460" s="1" t="s">
        <v>1607</v>
      </c>
      <c r="N2460" s="1" t="s">
        <v>2548</v>
      </c>
      <c r="P2460" s="1" t="s">
        <v>2555</v>
      </c>
      <c r="Q2460" s="3">
        <v>0</v>
      </c>
      <c r="R2460" s="22" t="s">
        <v>2724</v>
      </c>
      <c r="S2460" s="42" t="s">
        <v>6912</v>
      </c>
      <c r="T2460" s="3" t="s">
        <v>4868</v>
      </c>
      <c r="U2460" s="45">
        <v>35</v>
      </c>
      <c r="V2460" t="s">
        <v>8027</v>
      </c>
      <c r="W2460" s="1" t="str">
        <f>HYPERLINK("http://ictvonline.org/taxonomy/p/taxonomy-history?taxnode_id=201904264","ICTVonline=201904264")</f>
        <v>ICTVonline=201904264</v>
      </c>
    </row>
    <row r="2461" spans="1:23">
      <c r="A2461" s="3">
        <v>2460</v>
      </c>
      <c r="B2461" s="1" t="s">
        <v>8017</v>
      </c>
      <c r="D2461" s="1" t="s">
        <v>8049</v>
      </c>
      <c r="F2461" s="1" t="s">
        <v>8050</v>
      </c>
      <c r="H2461" s="1" t="s">
        <v>8061</v>
      </c>
      <c r="J2461" s="1" t="s">
        <v>8062</v>
      </c>
      <c r="L2461" s="1" t="s">
        <v>1906</v>
      </c>
      <c r="M2461" s="1" t="s">
        <v>1607</v>
      </c>
      <c r="N2461" s="1" t="s">
        <v>2548</v>
      </c>
      <c r="P2461" s="1" t="s">
        <v>6889</v>
      </c>
      <c r="Q2461" s="3">
        <v>0</v>
      </c>
      <c r="R2461" s="22" t="s">
        <v>2724</v>
      </c>
      <c r="S2461" s="42" t="s">
        <v>6912</v>
      </c>
      <c r="T2461" s="3" t="s">
        <v>4868</v>
      </c>
      <c r="U2461" s="45">
        <v>35</v>
      </c>
      <c r="V2461" t="s">
        <v>8027</v>
      </c>
      <c r="W2461" s="1" t="str">
        <f>HYPERLINK("http://ictvonline.org/taxonomy/p/taxonomy-history?taxnode_id=201906425","ICTVonline=201906425")</f>
        <v>ICTVonline=201906425</v>
      </c>
    </row>
    <row r="2462" spans="1:23">
      <c r="A2462" s="3">
        <v>2461</v>
      </c>
      <c r="B2462" s="1" t="s">
        <v>8017</v>
      </c>
      <c r="D2462" s="1" t="s">
        <v>8049</v>
      </c>
      <c r="F2462" s="1" t="s">
        <v>8050</v>
      </c>
      <c r="H2462" s="1" t="s">
        <v>8061</v>
      </c>
      <c r="J2462" s="1" t="s">
        <v>8062</v>
      </c>
      <c r="L2462" s="1" t="s">
        <v>1906</v>
      </c>
      <c r="M2462" s="1" t="s">
        <v>1607</v>
      </c>
      <c r="N2462" s="1" t="s">
        <v>2556</v>
      </c>
      <c r="P2462" s="1" t="s">
        <v>8117</v>
      </c>
      <c r="Q2462" s="3">
        <v>0</v>
      </c>
      <c r="R2462" s="22" t="s">
        <v>2724</v>
      </c>
      <c r="S2462" s="42" t="s">
        <v>6914</v>
      </c>
      <c r="T2462" s="3" t="s">
        <v>4866</v>
      </c>
      <c r="U2462" s="45">
        <v>35</v>
      </c>
      <c r="V2462" t="s">
        <v>8065</v>
      </c>
      <c r="W2462" s="1" t="str">
        <f>HYPERLINK("http://ictvonline.org/taxonomy/p/taxonomy-history?taxnode_id=201907345","ICTVonline=201907345")</f>
        <v>ICTVonline=201907345</v>
      </c>
    </row>
    <row r="2463" spans="1:23">
      <c r="A2463" s="3">
        <v>2462</v>
      </c>
      <c r="B2463" s="1" t="s">
        <v>8017</v>
      </c>
      <c r="D2463" s="1" t="s">
        <v>8049</v>
      </c>
      <c r="F2463" s="1" t="s">
        <v>8050</v>
      </c>
      <c r="H2463" s="1" t="s">
        <v>8061</v>
      </c>
      <c r="J2463" s="1" t="s">
        <v>8062</v>
      </c>
      <c r="L2463" s="1" t="s">
        <v>1906</v>
      </c>
      <c r="M2463" s="1" t="s">
        <v>1607</v>
      </c>
      <c r="N2463" s="1" t="s">
        <v>2556</v>
      </c>
      <c r="P2463" s="1" t="s">
        <v>2557</v>
      </c>
      <c r="Q2463" s="3">
        <v>1</v>
      </c>
      <c r="R2463" s="22" t="s">
        <v>2724</v>
      </c>
      <c r="S2463" s="42" t="s">
        <v>6912</v>
      </c>
      <c r="T2463" s="3" t="s">
        <v>4868</v>
      </c>
      <c r="U2463" s="45">
        <v>35</v>
      </c>
      <c r="V2463" t="s">
        <v>8027</v>
      </c>
      <c r="W2463" s="1" t="str">
        <f>HYPERLINK("http://ictvonline.org/taxonomy/p/taxonomy-history?taxnode_id=201904266","ICTVonline=201904266")</f>
        <v>ICTVonline=201904266</v>
      </c>
    </row>
    <row r="2464" spans="1:23">
      <c r="A2464" s="3">
        <v>2463</v>
      </c>
      <c r="B2464" s="1" t="s">
        <v>8017</v>
      </c>
      <c r="D2464" s="1" t="s">
        <v>8049</v>
      </c>
      <c r="F2464" s="1" t="s">
        <v>8050</v>
      </c>
      <c r="H2464" s="1" t="s">
        <v>8061</v>
      </c>
      <c r="J2464" s="1" t="s">
        <v>8062</v>
      </c>
      <c r="L2464" s="1" t="s">
        <v>1906</v>
      </c>
      <c r="M2464" s="1" t="s">
        <v>1607</v>
      </c>
      <c r="N2464" s="1" t="s">
        <v>2556</v>
      </c>
      <c r="P2464" s="1" t="s">
        <v>2558</v>
      </c>
      <c r="Q2464" s="3">
        <v>0</v>
      </c>
      <c r="R2464" s="22" t="s">
        <v>2724</v>
      </c>
      <c r="S2464" s="42" t="s">
        <v>6912</v>
      </c>
      <c r="T2464" s="3" t="s">
        <v>4868</v>
      </c>
      <c r="U2464" s="45">
        <v>35</v>
      </c>
      <c r="V2464" t="s">
        <v>8027</v>
      </c>
      <c r="W2464" s="1" t="str">
        <f>HYPERLINK("http://ictvonline.org/taxonomy/p/taxonomy-history?taxnode_id=201904267","ICTVonline=201904267")</f>
        <v>ICTVonline=201904267</v>
      </c>
    </row>
    <row r="2465" spans="1:23">
      <c r="A2465" s="3">
        <v>2464</v>
      </c>
      <c r="B2465" s="1" t="s">
        <v>8017</v>
      </c>
      <c r="D2465" s="1" t="s">
        <v>8049</v>
      </c>
      <c r="F2465" s="1" t="s">
        <v>8050</v>
      </c>
      <c r="H2465" s="1" t="s">
        <v>8061</v>
      </c>
      <c r="J2465" s="1" t="s">
        <v>8062</v>
      </c>
      <c r="L2465" s="1" t="s">
        <v>1906</v>
      </c>
      <c r="M2465" s="1" t="s">
        <v>1607</v>
      </c>
      <c r="N2465" s="1" t="s">
        <v>2556</v>
      </c>
      <c r="P2465" s="1" t="s">
        <v>2559</v>
      </c>
      <c r="Q2465" s="3">
        <v>0</v>
      </c>
      <c r="R2465" s="22" t="s">
        <v>2724</v>
      </c>
      <c r="S2465" s="42" t="s">
        <v>6912</v>
      </c>
      <c r="T2465" s="3" t="s">
        <v>4868</v>
      </c>
      <c r="U2465" s="45">
        <v>35</v>
      </c>
      <c r="V2465" t="s">
        <v>8027</v>
      </c>
      <c r="W2465" s="1" t="str">
        <f>HYPERLINK("http://ictvonline.org/taxonomy/p/taxonomy-history?taxnode_id=201904268","ICTVonline=201904268")</f>
        <v>ICTVonline=201904268</v>
      </c>
    </row>
    <row r="2466" spans="1:23">
      <c r="A2466" s="3">
        <v>2465</v>
      </c>
      <c r="B2466" s="1" t="s">
        <v>8017</v>
      </c>
      <c r="D2466" s="1" t="s">
        <v>8049</v>
      </c>
      <c r="F2466" s="1" t="s">
        <v>8050</v>
      </c>
      <c r="H2466" s="1" t="s">
        <v>8061</v>
      </c>
      <c r="J2466" s="1" t="s">
        <v>8062</v>
      </c>
      <c r="L2466" s="1" t="s">
        <v>1906</v>
      </c>
      <c r="M2466" s="1" t="s">
        <v>1607</v>
      </c>
      <c r="N2466" s="1" t="s">
        <v>2556</v>
      </c>
      <c r="P2466" s="1" t="s">
        <v>2560</v>
      </c>
      <c r="Q2466" s="3">
        <v>0</v>
      </c>
      <c r="R2466" s="22" t="s">
        <v>2724</v>
      </c>
      <c r="S2466" s="42" t="s">
        <v>6912</v>
      </c>
      <c r="T2466" s="3" t="s">
        <v>4868</v>
      </c>
      <c r="U2466" s="45">
        <v>35</v>
      </c>
      <c r="V2466" t="s">
        <v>8027</v>
      </c>
      <c r="W2466" s="1" t="str">
        <f>HYPERLINK("http://ictvonline.org/taxonomy/p/taxonomy-history?taxnode_id=201904269","ICTVonline=201904269")</f>
        <v>ICTVonline=201904269</v>
      </c>
    </row>
    <row r="2467" spans="1:23">
      <c r="A2467" s="3">
        <v>2466</v>
      </c>
      <c r="B2467" s="1" t="s">
        <v>8017</v>
      </c>
      <c r="D2467" s="1" t="s">
        <v>8049</v>
      </c>
      <c r="F2467" s="1" t="s">
        <v>8050</v>
      </c>
      <c r="H2467" s="1" t="s">
        <v>8061</v>
      </c>
      <c r="J2467" s="1" t="s">
        <v>8062</v>
      </c>
      <c r="L2467" s="1" t="s">
        <v>1906</v>
      </c>
      <c r="M2467" s="1" t="s">
        <v>1607</v>
      </c>
      <c r="N2467" s="1" t="s">
        <v>2556</v>
      </c>
      <c r="P2467" s="1" t="s">
        <v>2561</v>
      </c>
      <c r="Q2467" s="3">
        <v>0</v>
      </c>
      <c r="R2467" s="22" t="s">
        <v>2724</v>
      </c>
      <c r="S2467" s="42" t="s">
        <v>6912</v>
      </c>
      <c r="T2467" s="3" t="s">
        <v>4868</v>
      </c>
      <c r="U2467" s="45">
        <v>35</v>
      </c>
      <c r="V2467" t="s">
        <v>8027</v>
      </c>
      <c r="W2467" s="1" t="str">
        <f>HYPERLINK("http://ictvonline.org/taxonomy/p/taxonomy-history?taxnode_id=201904270","ICTVonline=201904270")</f>
        <v>ICTVonline=201904270</v>
      </c>
    </row>
    <row r="2468" spans="1:23">
      <c r="A2468" s="3">
        <v>2467</v>
      </c>
      <c r="B2468" s="1" t="s">
        <v>8017</v>
      </c>
      <c r="D2468" s="1" t="s">
        <v>8049</v>
      </c>
      <c r="F2468" s="1" t="s">
        <v>8050</v>
      </c>
      <c r="H2468" s="1" t="s">
        <v>8061</v>
      </c>
      <c r="J2468" s="1" t="s">
        <v>8062</v>
      </c>
      <c r="L2468" s="1" t="s">
        <v>1906</v>
      </c>
      <c r="M2468" s="1" t="s">
        <v>1607</v>
      </c>
      <c r="N2468" s="1" t="s">
        <v>2556</v>
      </c>
      <c r="P2468" s="1" t="s">
        <v>2562</v>
      </c>
      <c r="Q2468" s="3">
        <v>0</v>
      </c>
      <c r="R2468" s="22" t="s">
        <v>2724</v>
      </c>
      <c r="S2468" s="42" t="s">
        <v>6912</v>
      </c>
      <c r="T2468" s="3" t="s">
        <v>4868</v>
      </c>
      <c r="U2468" s="45">
        <v>35</v>
      </c>
      <c r="V2468" t="s">
        <v>8027</v>
      </c>
      <c r="W2468" s="1" t="str">
        <f>HYPERLINK("http://ictvonline.org/taxonomy/p/taxonomy-history?taxnode_id=201904271","ICTVonline=201904271")</f>
        <v>ICTVonline=201904271</v>
      </c>
    </row>
    <row r="2469" spans="1:23">
      <c r="A2469" s="3">
        <v>2468</v>
      </c>
      <c r="B2469" s="1" t="s">
        <v>8017</v>
      </c>
      <c r="D2469" s="1" t="s">
        <v>8049</v>
      </c>
      <c r="F2469" s="1" t="s">
        <v>8050</v>
      </c>
      <c r="H2469" s="1" t="s">
        <v>8061</v>
      </c>
      <c r="J2469" s="1" t="s">
        <v>8062</v>
      </c>
      <c r="L2469" s="1" t="s">
        <v>1906</v>
      </c>
      <c r="M2469" s="1" t="s">
        <v>1607</v>
      </c>
      <c r="N2469" s="1" t="s">
        <v>8118</v>
      </c>
      <c r="P2469" s="1" t="s">
        <v>8119</v>
      </c>
      <c r="Q2469" s="3">
        <v>1</v>
      </c>
      <c r="R2469" s="22" t="s">
        <v>2724</v>
      </c>
      <c r="S2469" s="42" t="s">
        <v>6914</v>
      </c>
      <c r="T2469" s="3" t="s">
        <v>4866</v>
      </c>
      <c r="U2469" s="45">
        <v>35</v>
      </c>
      <c r="V2469" t="s">
        <v>8065</v>
      </c>
      <c r="W2469" s="1" t="str">
        <f>HYPERLINK("http://ictvonline.org/taxonomy/p/taxonomy-history?taxnode_id=201907339","ICTVonline=201907339")</f>
        <v>ICTVonline=201907339</v>
      </c>
    </row>
    <row r="2470" spans="1:23">
      <c r="A2470" s="3">
        <v>2469</v>
      </c>
      <c r="B2470" s="1" t="s">
        <v>8017</v>
      </c>
      <c r="D2470" s="1" t="s">
        <v>8049</v>
      </c>
      <c r="F2470" s="1" t="s">
        <v>8050</v>
      </c>
      <c r="H2470" s="1" t="s">
        <v>8061</v>
      </c>
      <c r="J2470" s="1" t="s">
        <v>8062</v>
      </c>
      <c r="L2470" s="1" t="s">
        <v>1906</v>
      </c>
      <c r="M2470" s="1" t="s">
        <v>1607</v>
      </c>
      <c r="N2470" s="1" t="s">
        <v>2563</v>
      </c>
      <c r="P2470" s="1" t="s">
        <v>8120</v>
      </c>
      <c r="Q2470" s="3">
        <v>0</v>
      </c>
      <c r="R2470" s="22" t="s">
        <v>2724</v>
      </c>
      <c r="S2470" s="42" t="s">
        <v>6914</v>
      </c>
      <c r="T2470" s="3" t="s">
        <v>4866</v>
      </c>
      <c r="U2470" s="45">
        <v>35</v>
      </c>
      <c r="V2470" t="s">
        <v>8065</v>
      </c>
      <c r="W2470" s="1" t="str">
        <f>HYPERLINK("http://ictvonline.org/taxonomy/p/taxonomy-history?taxnode_id=201907352","ICTVonline=201907352")</f>
        <v>ICTVonline=201907352</v>
      </c>
    </row>
    <row r="2471" spans="1:23">
      <c r="A2471" s="3">
        <v>2470</v>
      </c>
      <c r="B2471" s="1" t="s">
        <v>8017</v>
      </c>
      <c r="D2471" s="1" t="s">
        <v>8049</v>
      </c>
      <c r="F2471" s="1" t="s">
        <v>8050</v>
      </c>
      <c r="H2471" s="1" t="s">
        <v>8061</v>
      </c>
      <c r="J2471" s="1" t="s">
        <v>8062</v>
      </c>
      <c r="L2471" s="1" t="s">
        <v>1906</v>
      </c>
      <c r="M2471" s="1" t="s">
        <v>1607</v>
      </c>
      <c r="N2471" s="1" t="s">
        <v>2563</v>
      </c>
      <c r="P2471" s="1" t="s">
        <v>2564</v>
      </c>
      <c r="Q2471" s="3">
        <v>0</v>
      </c>
      <c r="R2471" s="22" t="s">
        <v>2724</v>
      </c>
      <c r="S2471" s="42" t="s">
        <v>6912</v>
      </c>
      <c r="T2471" s="3" t="s">
        <v>4868</v>
      </c>
      <c r="U2471" s="45">
        <v>35</v>
      </c>
      <c r="V2471" t="s">
        <v>8027</v>
      </c>
      <c r="W2471" s="1" t="str">
        <f>HYPERLINK("http://ictvonline.org/taxonomy/p/taxonomy-history?taxnode_id=201904273","ICTVonline=201904273")</f>
        <v>ICTVonline=201904273</v>
      </c>
    </row>
    <row r="2472" spans="1:23">
      <c r="A2472" s="3">
        <v>2471</v>
      </c>
      <c r="B2472" s="1" t="s">
        <v>8017</v>
      </c>
      <c r="D2472" s="1" t="s">
        <v>8049</v>
      </c>
      <c r="F2472" s="1" t="s">
        <v>8050</v>
      </c>
      <c r="H2472" s="1" t="s">
        <v>8061</v>
      </c>
      <c r="J2472" s="1" t="s">
        <v>8062</v>
      </c>
      <c r="L2472" s="1" t="s">
        <v>1906</v>
      </c>
      <c r="M2472" s="1" t="s">
        <v>1607</v>
      </c>
      <c r="N2472" s="1" t="s">
        <v>2563</v>
      </c>
      <c r="P2472" s="1" t="s">
        <v>5478</v>
      </c>
      <c r="Q2472" s="3">
        <v>0</v>
      </c>
      <c r="R2472" s="22" t="s">
        <v>2724</v>
      </c>
      <c r="S2472" s="42" t="s">
        <v>6912</v>
      </c>
      <c r="T2472" s="3" t="s">
        <v>4868</v>
      </c>
      <c r="U2472" s="45">
        <v>35</v>
      </c>
      <c r="V2472" t="s">
        <v>8027</v>
      </c>
      <c r="W2472" s="1" t="str">
        <f>HYPERLINK("http://ictvonline.org/taxonomy/p/taxonomy-history?taxnode_id=201905898","ICTVonline=201905898")</f>
        <v>ICTVonline=201905898</v>
      </c>
    </row>
    <row r="2473" spans="1:23">
      <c r="A2473" s="3">
        <v>2472</v>
      </c>
      <c r="B2473" s="1" t="s">
        <v>8017</v>
      </c>
      <c r="D2473" s="1" t="s">
        <v>8049</v>
      </c>
      <c r="F2473" s="1" t="s">
        <v>8050</v>
      </c>
      <c r="H2473" s="1" t="s">
        <v>8061</v>
      </c>
      <c r="J2473" s="1" t="s">
        <v>8062</v>
      </c>
      <c r="L2473" s="1" t="s">
        <v>1906</v>
      </c>
      <c r="M2473" s="1" t="s">
        <v>1607</v>
      </c>
      <c r="N2473" s="1" t="s">
        <v>2563</v>
      </c>
      <c r="P2473" s="1" t="s">
        <v>5479</v>
      </c>
      <c r="Q2473" s="3">
        <v>0</v>
      </c>
      <c r="R2473" s="22" t="s">
        <v>2724</v>
      </c>
      <c r="S2473" s="42" t="s">
        <v>6912</v>
      </c>
      <c r="T2473" s="3" t="s">
        <v>4868</v>
      </c>
      <c r="U2473" s="45">
        <v>35</v>
      </c>
      <c r="V2473" t="s">
        <v>8027</v>
      </c>
      <c r="W2473" s="1" t="str">
        <f>HYPERLINK("http://ictvonline.org/taxonomy/p/taxonomy-history?taxnode_id=201905899","ICTVonline=201905899")</f>
        <v>ICTVonline=201905899</v>
      </c>
    </row>
    <row r="2474" spans="1:23">
      <c r="A2474" s="3">
        <v>2473</v>
      </c>
      <c r="B2474" s="1" t="s">
        <v>8017</v>
      </c>
      <c r="D2474" s="1" t="s">
        <v>8049</v>
      </c>
      <c r="F2474" s="1" t="s">
        <v>8050</v>
      </c>
      <c r="H2474" s="1" t="s">
        <v>8061</v>
      </c>
      <c r="J2474" s="1" t="s">
        <v>8062</v>
      </c>
      <c r="L2474" s="1" t="s">
        <v>1906</v>
      </c>
      <c r="M2474" s="1" t="s">
        <v>1607</v>
      </c>
      <c r="N2474" s="1" t="s">
        <v>2563</v>
      </c>
      <c r="P2474" s="1" t="s">
        <v>2565</v>
      </c>
      <c r="Q2474" s="3">
        <v>0</v>
      </c>
      <c r="R2474" s="22" t="s">
        <v>2724</v>
      </c>
      <c r="S2474" s="42" t="s">
        <v>6912</v>
      </c>
      <c r="T2474" s="3" t="s">
        <v>4868</v>
      </c>
      <c r="U2474" s="45">
        <v>35</v>
      </c>
      <c r="V2474" t="s">
        <v>8027</v>
      </c>
      <c r="W2474" s="1" t="str">
        <f>HYPERLINK("http://ictvonline.org/taxonomy/p/taxonomy-history?taxnode_id=201904274","ICTVonline=201904274")</f>
        <v>ICTVonline=201904274</v>
      </c>
    </row>
    <row r="2475" spans="1:23">
      <c r="A2475" s="3">
        <v>2474</v>
      </c>
      <c r="B2475" s="1" t="s">
        <v>8017</v>
      </c>
      <c r="D2475" s="1" t="s">
        <v>8049</v>
      </c>
      <c r="F2475" s="1" t="s">
        <v>8050</v>
      </c>
      <c r="H2475" s="1" t="s">
        <v>8061</v>
      </c>
      <c r="J2475" s="1" t="s">
        <v>8062</v>
      </c>
      <c r="L2475" s="1" t="s">
        <v>1906</v>
      </c>
      <c r="M2475" s="1" t="s">
        <v>1607</v>
      </c>
      <c r="N2475" s="1" t="s">
        <v>2563</v>
      </c>
      <c r="P2475" s="1" t="s">
        <v>5480</v>
      </c>
      <c r="Q2475" s="3">
        <v>0</v>
      </c>
      <c r="R2475" s="22" t="s">
        <v>2724</v>
      </c>
      <c r="S2475" s="42" t="s">
        <v>6912</v>
      </c>
      <c r="T2475" s="3" t="s">
        <v>4868</v>
      </c>
      <c r="U2475" s="45">
        <v>35</v>
      </c>
      <c r="V2475" t="s">
        <v>8027</v>
      </c>
      <c r="W2475" s="1" t="str">
        <f>HYPERLINK("http://ictvonline.org/taxonomy/p/taxonomy-history?taxnode_id=201905900","ICTVonline=201905900")</f>
        <v>ICTVonline=201905900</v>
      </c>
    </row>
    <row r="2476" spans="1:23">
      <c r="A2476" s="3">
        <v>2475</v>
      </c>
      <c r="B2476" s="1" t="s">
        <v>8017</v>
      </c>
      <c r="D2476" s="1" t="s">
        <v>8049</v>
      </c>
      <c r="F2476" s="1" t="s">
        <v>8050</v>
      </c>
      <c r="H2476" s="1" t="s">
        <v>8061</v>
      </c>
      <c r="J2476" s="1" t="s">
        <v>8062</v>
      </c>
      <c r="L2476" s="1" t="s">
        <v>1906</v>
      </c>
      <c r="M2476" s="1" t="s">
        <v>1607</v>
      </c>
      <c r="N2476" s="1" t="s">
        <v>2563</v>
      </c>
      <c r="P2476" s="1" t="s">
        <v>5481</v>
      </c>
      <c r="Q2476" s="3">
        <v>0</v>
      </c>
      <c r="R2476" s="22" t="s">
        <v>2724</v>
      </c>
      <c r="S2476" s="42" t="s">
        <v>6912</v>
      </c>
      <c r="T2476" s="3" t="s">
        <v>4868</v>
      </c>
      <c r="U2476" s="45">
        <v>35</v>
      </c>
      <c r="V2476" t="s">
        <v>8027</v>
      </c>
      <c r="W2476" s="1" t="str">
        <f>HYPERLINK("http://ictvonline.org/taxonomy/p/taxonomy-history?taxnode_id=201905901","ICTVonline=201905901")</f>
        <v>ICTVonline=201905901</v>
      </c>
    </row>
    <row r="2477" spans="1:23">
      <c r="A2477" s="3">
        <v>2476</v>
      </c>
      <c r="B2477" s="1" t="s">
        <v>8017</v>
      </c>
      <c r="D2477" s="1" t="s">
        <v>8049</v>
      </c>
      <c r="F2477" s="1" t="s">
        <v>8050</v>
      </c>
      <c r="H2477" s="1" t="s">
        <v>8061</v>
      </c>
      <c r="J2477" s="1" t="s">
        <v>8062</v>
      </c>
      <c r="L2477" s="1" t="s">
        <v>1906</v>
      </c>
      <c r="M2477" s="1" t="s">
        <v>1607</v>
      </c>
      <c r="N2477" s="1" t="s">
        <v>2563</v>
      </c>
      <c r="P2477" s="1" t="s">
        <v>8121</v>
      </c>
      <c r="Q2477" s="3">
        <v>0</v>
      </c>
      <c r="R2477" s="22" t="s">
        <v>2724</v>
      </c>
      <c r="S2477" s="42" t="s">
        <v>6914</v>
      </c>
      <c r="T2477" s="3" t="s">
        <v>4866</v>
      </c>
      <c r="U2477" s="45">
        <v>35</v>
      </c>
      <c r="V2477" t="s">
        <v>8065</v>
      </c>
      <c r="W2477" s="1" t="str">
        <f>HYPERLINK("http://ictvonline.org/taxonomy/p/taxonomy-history?taxnode_id=201907351","ICTVonline=201907351")</f>
        <v>ICTVonline=201907351</v>
      </c>
    </row>
    <row r="2478" spans="1:23">
      <c r="A2478" s="3">
        <v>2477</v>
      </c>
      <c r="B2478" s="1" t="s">
        <v>8017</v>
      </c>
      <c r="D2478" s="1" t="s">
        <v>8049</v>
      </c>
      <c r="F2478" s="1" t="s">
        <v>8050</v>
      </c>
      <c r="H2478" s="1" t="s">
        <v>8061</v>
      </c>
      <c r="J2478" s="1" t="s">
        <v>8062</v>
      </c>
      <c r="L2478" s="1" t="s">
        <v>1906</v>
      </c>
      <c r="M2478" s="1" t="s">
        <v>1607</v>
      </c>
      <c r="N2478" s="1" t="s">
        <v>2563</v>
      </c>
      <c r="P2478" s="1" t="s">
        <v>2566</v>
      </c>
      <c r="Q2478" s="3">
        <v>1</v>
      </c>
      <c r="R2478" s="22" t="s">
        <v>2724</v>
      </c>
      <c r="S2478" s="42" t="s">
        <v>6912</v>
      </c>
      <c r="T2478" s="3" t="s">
        <v>4868</v>
      </c>
      <c r="U2478" s="45">
        <v>35</v>
      </c>
      <c r="V2478" t="s">
        <v>8027</v>
      </c>
      <c r="W2478" s="1" t="str">
        <f>HYPERLINK("http://ictvonline.org/taxonomy/p/taxonomy-history?taxnode_id=201904275","ICTVonline=201904275")</f>
        <v>ICTVonline=201904275</v>
      </c>
    </row>
    <row r="2479" spans="1:23">
      <c r="A2479" s="3">
        <v>2478</v>
      </c>
      <c r="B2479" s="1" t="s">
        <v>8017</v>
      </c>
      <c r="D2479" s="1" t="s">
        <v>8049</v>
      </c>
      <c r="F2479" s="1" t="s">
        <v>8050</v>
      </c>
      <c r="H2479" s="1" t="s">
        <v>8061</v>
      </c>
      <c r="J2479" s="1" t="s">
        <v>8062</v>
      </c>
      <c r="L2479" s="1" t="s">
        <v>1906</v>
      </c>
      <c r="M2479" s="1" t="s">
        <v>1607</v>
      </c>
      <c r="N2479" s="1" t="s">
        <v>2563</v>
      </c>
      <c r="P2479" s="1" t="s">
        <v>2567</v>
      </c>
      <c r="Q2479" s="3">
        <v>0</v>
      </c>
      <c r="R2479" s="22" t="s">
        <v>2724</v>
      </c>
      <c r="S2479" s="42" t="s">
        <v>6912</v>
      </c>
      <c r="T2479" s="3" t="s">
        <v>4868</v>
      </c>
      <c r="U2479" s="45">
        <v>35</v>
      </c>
      <c r="V2479" t="s">
        <v>8027</v>
      </c>
      <c r="W2479" s="1" t="str">
        <f>HYPERLINK("http://ictvonline.org/taxonomy/p/taxonomy-history?taxnode_id=201904276","ICTVonline=201904276")</f>
        <v>ICTVonline=201904276</v>
      </c>
    </row>
    <row r="2480" spans="1:23">
      <c r="A2480" s="3">
        <v>2479</v>
      </c>
      <c r="B2480" s="1" t="s">
        <v>8017</v>
      </c>
      <c r="D2480" s="1" t="s">
        <v>8049</v>
      </c>
      <c r="F2480" s="1" t="s">
        <v>8050</v>
      </c>
      <c r="H2480" s="1" t="s">
        <v>8061</v>
      </c>
      <c r="J2480" s="1" t="s">
        <v>8062</v>
      </c>
      <c r="L2480" s="1" t="s">
        <v>1906</v>
      </c>
      <c r="M2480" s="1" t="s">
        <v>1607</v>
      </c>
      <c r="N2480" s="1" t="s">
        <v>2563</v>
      </c>
      <c r="P2480" s="1" t="s">
        <v>5482</v>
      </c>
      <c r="Q2480" s="3">
        <v>0</v>
      </c>
      <c r="R2480" s="22" t="s">
        <v>2724</v>
      </c>
      <c r="S2480" s="42" t="s">
        <v>6912</v>
      </c>
      <c r="T2480" s="3" t="s">
        <v>4868</v>
      </c>
      <c r="U2480" s="45">
        <v>35</v>
      </c>
      <c r="V2480" t="s">
        <v>8027</v>
      </c>
      <c r="W2480" s="1" t="str">
        <f>HYPERLINK("http://ictvonline.org/taxonomy/p/taxonomy-history?taxnode_id=201905902","ICTVonline=201905902")</f>
        <v>ICTVonline=201905902</v>
      </c>
    </row>
    <row r="2481" spans="1:23">
      <c r="A2481" s="3">
        <v>2480</v>
      </c>
      <c r="B2481" s="1" t="s">
        <v>8017</v>
      </c>
      <c r="D2481" s="1" t="s">
        <v>8049</v>
      </c>
      <c r="F2481" s="1" t="s">
        <v>8050</v>
      </c>
      <c r="H2481" s="1" t="s">
        <v>8061</v>
      </c>
      <c r="J2481" s="1" t="s">
        <v>8062</v>
      </c>
      <c r="L2481" s="1" t="s">
        <v>1906</v>
      </c>
      <c r="M2481" s="1" t="s">
        <v>1607</v>
      </c>
      <c r="N2481" s="1" t="s">
        <v>2563</v>
      </c>
      <c r="P2481" s="1" t="s">
        <v>2568</v>
      </c>
      <c r="Q2481" s="3">
        <v>0</v>
      </c>
      <c r="R2481" s="22" t="s">
        <v>2724</v>
      </c>
      <c r="S2481" s="42" t="s">
        <v>6912</v>
      </c>
      <c r="T2481" s="3" t="s">
        <v>4868</v>
      </c>
      <c r="U2481" s="45">
        <v>35</v>
      </c>
      <c r="V2481" t="s">
        <v>8027</v>
      </c>
      <c r="W2481" s="1" t="str">
        <f>HYPERLINK("http://ictvonline.org/taxonomy/p/taxonomy-history?taxnode_id=201904277","ICTVonline=201904277")</f>
        <v>ICTVonline=201904277</v>
      </c>
    </row>
    <row r="2482" spans="1:23">
      <c r="A2482" s="3">
        <v>2481</v>
      </c>
      <c r="B2482" s="1" t="s">
        <v>8017</v>
      </c>
      <c r="D2482" s="1" t="s">
        <v>8049</v>
      </c>
      <c r="F2482" s="1" t="s">
        <v>8050</v>
      </c>
      <c r="H2482" s="1" t="s">
        <v>8061</v>
      </c>
      <c r="J2482" s="1" t="s">
        <v>8062</v>
      </c>
      <c r="L2482" s="1" t="s">
        <v>1906</v>
      </c>
      <c r="M2482" s="1" t="s">
        <v>1607</v>
      </c>
      <c r="N2482" s="1" t="s">
        <v>2563</v>
      </c>
      <c r="P2482" s="1" t="s">
        <v>5483</v>
      </c>
      <c r="Q2482" s="3">
        <v>0</v>
      </c>
      <c r="R2482" s="22" t="s">
        <v>2724</v>
      </c>
      <c r="S2482" s="42" t="s">
        <v>6912</v>
      </c>
      <c r="T2482" s="3" t="s">
        <v>4868</v>
      </c>
      <c r="U2482" s="45">
        <v>35</v>
      </c>
      <c r="V2482" t="s">
        <v>8027</v>
      </c>
      <c r="W2482" s="1" t="str">
        <f>HYPERLINK("http://ictvonline.org/taxonomy/p/taxonomy-history?taxnode_id=201905903","ICTVonline=201905903")</f>
        <v>ICTVonline=201905903</v>
      </c>
    </row>
    <row r="2483" spans="1:23">
      <c r="A2483" s="3">
        <v>2482</v>
      </c>
      <c r="B2483" s="1" t="s">
        <v>8017</v>
      </c>
      <c r="D2483" s="1" t="s">
        <v>8049</v>
      </c>
      <c r="F2483" s="1" t="s">
        <v>8050</v>
      </c>
      <c r="H2483" s="1" t="s">
        <v>8061</v>
      </c>
      <c r="J2483" s="1" t="s">
        <v>8062</v>
      </c>
      <c r="L2483" s="1" t="s">
        <v>1906</v>
      </c>
      <c r="M2483" s="1" t="s">
        <v>1607</v>
      </c>
      <c r="N2483" s="1" t="s">
        <v>2569</v>
      </c>
      <c r="P2483" s="1" t="s">
        <v>2570</v>
      </c>
      <c r="Q2483" s="3">
        <v>0</v>
      </c>
      <c r="R2483" s="22" t="s">
        <v>2724</v>
      </c>
      <c r="S2483" s="42" t="s">
        <v>6912</v>
      </c>
      <c r="T2483" s="3" t="s">
        <v>4868</v>
      </c>
      <c r="U2483" s="45">
        <v>35</v>
      </c>
      <c r="V2483" t="s">
        <v>8027</v>
      </c>
      <c r="W2483" s="1" t="str">
        <f>HYPERLINK("http://ictvonline.org/taxonomy/p/taxonomy-history?taxnode_id=201904279","ICTVonline=201904279")</f>
        <v>ICTVonline=201904279</v>
      </c>
    </row>
    <row r="2484" spans="1:23">
      <c r="A2484" s="3">
        <v>2483</v>
      </c>
      <c r="B2484" s="1" t="s">
        <v>8017</v>
      </c>
      <c r="D2484" s="1" t="s">
        <v>8049</v>
      </c>
      <c r="F2484" s="1" t="s">
        <v>8050</v>
      </c>
      <c r="H2484" s="1" t="s">
        <v>8061</v>
      </c>
      <c r="J2484" s="1" t="s">
        <v>8062</v>
      </c>
      <c r="L2484" s="1" t="s">
        <v>1906</v>
      </c>
      <c r="M2484" s="1" t="s">
        <v>1607</v>
      </c>
      <c r="N2484" s="1" t="s">
        <v>2569</v>
      </c>
      <c r="P2484" s="1" t="s">
        <v>2571</v>
      </c>
      <c r="Q2484" s="3">
        <v>1</v>
      </c>
      <c r="R2484" s="22" t="s">
        <v>2724</v>
      </c>
      <c r="S2484" s="42" t="s">
        <v>6912</v>
      </c>
      <c r="T2484" s="3" t="s">
        <v>4868</v>
      </c>
      <c r="U2484" s="45">
        <v>35</v>
      </c>
      <c r="V2484" t="s">
        <v>8027</v>
      </c>
      <c r="W2484" s="1" t="str">
        <f>HYPERLINK("http://ictvonline.org/taxonomy/p/taxonomy-history?taxnode_id=201904280","ICTVonline=201904280")</f>
        <v>ICTVonline=201904280</v>
      </c>
    </row>
    <row r="2485" spans="1:23">
      <c r="A2485" s="3">
        <v>2484</v>
      </c>
      <c r="B2485" s="1" t="s">
        <v>8017</v>
      </c>
      <c r="D2485" s="1" t="s">
        <v>8049</v>
      </c>
      <c r="F2485" s="1" t="s">
        <v>8050</v>
      </c>
      <c r="H2485" s="1" t="s">
        <v>8061</v>
      </c>
      <c r="J2485" s="1" t="s">
        <v>8062</v>
      </c>
      <c r="L2485" s="1" t="s">
        <v>1906</v>
      </c>
      <c r="M2485" s="1" t="s">
        <v>1607</v>
      </c>
      <c r="N2485" s="1" t="s">
        <v>2569</v>
      </c>
      <c r="P2485" s="1" t="s">
        <v>2572</v>
      </c>
      <c r="Q2485" s="3">
        <v>0</v>
      </c>
      <c r="R2485" s="22" t="s">
        <v>2724</v>
      </c>
      <c r="S2485" s="42" t="s">
        <v>6912</v>
      </c>
      <c r="T2485" s="3" t="s">
        <v>4868</v>
      </c>
      <c r="U2485" s="45">
        <v>35</v>
      </c>
      <c r="V2485" t="s">
        <v>8027</v>
      </c>
      <c r="W2485" s="1" t="str">
        <f>HYPERLINK("http://ictvonline.org/taxonomy/p/taxonomy-history?taxnode_id=201904281","ICTVonline=201904281")</f>
        <v>ICTVonline=201904281</v>
      </c>
    </row>
    <row r="2486" spans="1:23">
      <c r="A2486" s="3">
        <v>2485</v>
      </c>
      <c r="B2486" s="1" t="s">
        <v>8017</v>
      </c>
      <c r="D2486" s="1" t="s">
        <v>8049</v>
      </c>
      <c r="F2486" s="1" t="s">
        <v>8050</v>
      </c>
      <c r="H2486" s="1" t="s">
        <v>8061</v>
      </c>
      <c r="J2486" s="1" t="s">
        <v>8062</v>
      </c>
      <c r="L2486" s="1" t="s">
        <v>1906</v>
      </c>
      <c r="M2486" s="1" t="s">
        <v>1607</v>
      </c>
      <c r="N2486" s="1" t="s">
        <v>2569</v>
      </c>
      <c r="P2486" s="1" t="s">
        <v>2573</v>
      </c>
      <c r="Q2486" s="3">
        <v>0</v>
      </c>
      <c r="R2486" s="22" t="s">
        <v>2724</v>
      </c>
      <c r="S2486" s="42" t="s">
        <v>6912</v>
      </c>
      <c r="T2486" s="3" t="s">
        <v>4868</v>
      </c>
      <c r="U2486" s="45">
        <v>35</v>
      </c>
      <c r="V2486" t="s">
        <v>8027</v>
      </c>
      <c r="W2486" s="1" t="str">
        <f>HYPERLINK("http://ictvonline.org/taxonomy/p/taxonomy-history?taxnode_id=201904282","ICTVonline=201904282")</f>
        <v>ICTVonline=201904282</v>
      </c>
    </row>
    <row r="2487" spans="1:23">
      <c r="A2487" s="3">
        <v>2486</v>
      </c>
      <c r="B2487" s="1" t="s">
        <v>8017</v>
      </c>
      <c r="D2487" s="1" t="s">
        <v>8049</v>
      </c>
      <c r="F2487" s="1" t="s">
        <v>8050</v>
      </c>
      <c r="H2487" s="1" t="s">
        <v>8061</v>
      </c>
      <c r="J2487" s="1" t="s">
        <v>8062</v>
      </c>
      <c r="L2487" s="1" t="s">
        <v>1906</v>
      </c>
      <c r="M2487" s="1" t="s">
        <v>1607</v>
      </c>
      <c r="N2487" s="1" t="s">
        <v>2569</v>
      </c>
      <c r="P2487" s="1" t="s">
        <v>2574</v>
      </c>
      <c r="Q2487" s="3">
        <v>0</v>
      </c>
      <c r="R2487" s="22" t="s">
        <v>2724</v>
      </c>
      <c r="S2487" s="42" t="s">
        <v>6912</v>
      </c>
      <c r="T2487" s="3" t="s">
        <v>4868</v>
      </c>
      <c r="U2487" s="45">
        <v>35</v>
      </c>
      <c r="V2487" t="s">
        <v>8027</v>
      </c>
      <c r="W2487" s="1" t="str">
        <f>HYPERLINK("http://ictvonline.org/taxonomy/p/taxonomy-history?taxnode_id=201904283","ICTVonline=201904283")</f>
        <v>ICTVonline=201904283</v>
      </c>
    </row>
    <row r="2488" spans="1:23">
      <c r="A2488" s="3">
        <v>2487</v>
      </c>
      <c r="B2488" s="1" t="s">
        <v>8017</v>
      </c>
      <c r="D2488" s="1" t="s">
        <v>8049</v>
      </c>
      <c r="F2488" s="1" t="s">
        <v>8050</v>
      </c>
      <c r="H2488" s="1" t="s">
        <v>8061</v>
      </c>
      <c r="J2488" s="1" t="s">
        <v>8062</v>
      </c>
      <c r="L2488" s="1" t="s">
        <v>1906</v>
      </c>
      <c r="M2488" s="1" t="s">
        <v>1607</v>
      </c>
      <c r="N2488" s="1" t="s">
        <v>2569</v>
      </c>
      <c r="P2488" s="1" t="s">
        <v>2575</v>
      </c>
      <c r="Q2488" s="3">
        <v>0</v>
      </c>
      <c r="R2488" s="22" t="s">
        <v>2724</v>
      </c>
      <c r="S2488" s="42" t="s">
        <v>6912</v>
      </c>
      <c r="T2488" s="3" t="s">
        <v>4868</v>
      </c>
      <c r="U2488" s="45">
        <v>35</v>
      </c>
      <c r="V2488" t="s">
        <v>8027</v>
      </c>
      <c r="W2488" s="1" t="str">
        <f>HYPERLINK("http://ictvonline.org/taxonomy/p/taxonomy-history?taxnode_id=201904284","ICTVonline=201904284")</f>
        <v>ICTVonline=201904284</v>
      </c>
    </row>
    <row r="2489" spans="1:23">
      <c r="A2489" s="3">
        <v>2488</v>
      </c>
      <c r="B2489" s="1" t="s">
        <v>8017</v>
      </c>
      <c r="D2489" s="1" t="s">
        <v>8049</v>
      </c>
      <c r="F2489" s="1" t="s">
        <v>8122</v>
      </c>
      <c r="H2489" s="1" t="s">
        <v>8123</v>
      </c>
      <c r="J2489" s="1" t="s">
        <v>8124</v>
      </c>
      <c r="L2489" s="1" t="s">
        <v>5273</v>
      </c>
      <c r="N2489" s="1" t="s">
        <v>5274</v>
      </c>
      <c r="P2489" s="1" t="s">
        <v>5275</v>
      </c>
      <c r="Q2489" s="3">
        <v>1</v>
      </c>
      <c r="R2489" s="22" t="s">
        <v>2724</v>
      </c>
      <c r="S2489" s="42" t="s">
        <v>6909</v>
      </c>
      <c r="T2489" s="3" t="s">
        <v>4868</v>
      </c>
      <c r="U2489" s="45">
        <v>35</v>
      </c>
      <c r="V2489" t="s">
        <v>8125</v>
      </c>
      <c r="W2489" s="1" t="str">
        <f>HYPERLINK("http://ictvonline.org/taxonomy/p/taxonomy-history?taxnode_id=201905746","ICTVonline=201905746")</f>
        <v>ICTVonline=201905746</v>
      </c>
    </row>
    <row r="2490" spans="1:23">
      <c r="A2490" s="3">
        <v>2489</v>
      </c>
      <c r="B2490" s="1" t="s">
        <v>8017</v>
      </c>
      <c r="D2490" s="1" t="s">
        <v>8049</v>
      </c>
      <c r="F2490" s="1" t="s">
        <v>8122</v>
      </c>
      <c r="H2490" s="1" t="s">
        <v>8123</v>
      </c>
      <c r="J2490" s="1" t="s">
        <v>8124</v>
      </c>
      <c r="L2490" s="1" t="s">
        <v>5273</v>
      </c>
      <c r="N2490" s="1" t="s">
        <v>5276</v>
      </c>
      <c r="P2490" s="1" t="s">
        <v>5277</v>
      </c>
      <c r="Q2490" s="3">
        <v>1</v>
      </c>
      <c r="R2490" s="22" t="s">
        <v>2724</v>
      </c>
      <c r="S2490" s="42" t="s">
        <v>6909</v>
      </c>
      <c r="T2490" s="3" t="s">
        <v>4868</v>
      </c>
      <c r="U2490" s="45">
        <v>35</v>
      </c>
      <c r="V2490" t="s">
        <v>8125</v>
      </c>
      <c r="W2490" s="1" t="str">
        <f>HYPERLINK("http://ictvonline.org/taxonomy/p/taxonomy-history?taxnode_id=201905748","ICTVonline=201905748")</f>
        <v>ICTVonline=201905748</v>
      </c>
    </row>
    <row r="2491" spans="1:23">
      <c r="A2491" s="3">
        <v>2490</v>
      </c>
      <c r="B2491" s="1" t="s">
        <v>8017</v>
      </c>
      <c r="D2491" s="1" t="s">
        <v>8049</v>
      </c>
      <c r="F2491" s="1" t="s">
        <v>8122</v>
      </c>
      <c r="H2491" s="1" t="s">
        <v>8123</v>
      </c>
      <c r="J2491" s="1" t="s">
        <v>8124</v>
      </c>
      <c r="L2491" s="1" t="s">
        <v>5273</v>
      </c>
      <c r="N2491" s="1" t="s">
        <v>5278</v>
      </c>
      <c r="P2491" s="1" t="s">
        <v>5279</v>
      </c>
      <c r="Q2491" s="3">
        <v>1</v>
      </c>
      <c r="R2491" s="22" t="s">
        <v>2724</v>
      </c>
      <c r="S2491" s="42" t="s">
        <v>6909</v>
      </c>
      <c r="T2491" s="3" t="s">
        <v>4868</v>
      </c>
      <c r="U2491" s="45">
        <v>35</v>
      </c>
      <c r="V2491" t="s">
        <v>8125</v>
      </c>
      <c r="W2491" s="1" t="str">
        <f>HYPERLINK("http://ictvonline.org/taxonomy/p/taxonomy-history?taxnode_id=201905339","ICTVonline=201905339")</f>
        <v>ICTVonline=201905339</v>
      </c>
    </row>
    <row r="2492" spans="1:23">
      <c r="A2492" s="3">
        <v>2491</v>
      </c>
      <c r="B2492" s="1" t="s">
        <v>8017</v>
      </c>
      <c r="D2492" s="1" t="s">
        <v>8049</v>
      </c>
      <c r="F2492" s="1" t="s">
        <v>8122</v>
      </c>
      <c r="H2492" s="1" t="s">
        <v>8123</v>
      </c>
      <c r="J2492" s="1" t="s">
        <v>8124</v>
      </c>
      <c r="L2492" s="1" t="s">
        <v>5273</v>
      </c>
      <c r="N2492" s="1" t="s">
        <v>5278</v>
      </c>
      <c r="P2492" s="1" t="s">
        <v>5280</v>
      </c>
      <c r="Q2492" s="3">
        <v>0</v>
      </c>
      <c r="R2492" s="22" t="s">
        <v>2724</v>
      </c>
      <c r="S2492" s="42" t="s">
        <v>6909</v>
      </c>
      <c r="T2492" s="3" t="s">
        <v>4868</v>
      </c>
      <c r="U2492" s="45">
        <v>35</v>
      </c>
      <c r="V2492" t="s">
        <v>8125</v>
      </c>
      <c r="W2492" s="1" t="str">
        <f>HYPERLINK("http://ictvonline.org/taxonomy/p/taxonomy-history?taxnode_id=201905750","ICTVonline=201905750")</f>
        <v>ICTVonline=201905750</v>
      </c>
    </row>
    <row r="2493" spans="1:23">
      <c r="A2493" s="3">
        <v>2492</v>
      </c>
      <c r="B2493" s="1" t="s">
        <v>8017</v>
      </c>
      <c r="D2493" s="1" t="s">
        <v>8049</v>
      </c>
      <c r="F2493" s="1" t="s">
        <v>8122</v>
      </c>
      <c r="H2493" s="1" t="s">
        <v>8123</v>
      </c>
      <c r="J2493" s="1" t="s">
        <v>8124</v>
      </c>
      <c r="L2493" s="1" t="s">
        <v>5273</v>
      </c>
      <c r="N2493" s="1" t="s">
        <v>5278</v>
      </c>
      <c r="P2493" s="1" t="s">
        <v>5281</v>
      </c>
      <c r="Q2493" s="3">
        <v>0</v>
      </c>
      <c r="R2493" s="22" t="s">
        <v>2724</v>
      </c>
      <c r="S2493" s="42" t="s">
        <v>6909</v>
      </c>
      <c r="T2493" s="3" t="s">
        <v>4868</v>
      </c>
      <c r="U2493" s="45">
        <v>35</v>
      </c>
      <c r="V2493" t="s">
        <v>8125</v>
      </c>
      <c r="W2493" s="1" t="str">
        <f>HYPERLINK("http://ictvonline.org/taxonomy/p/taxonomy-history?taxnode_id=201905751","ICTVonline=201905751")</f>
        <v>ICTVonline=201905751</v>
      </c>
    </row>
    <row r="2494" spans="1:23">
      <c r="A2494" s="3">
        <v>2493</v>
      </c>
      <c r="B2494" s="1" t="s">
        <v>8017</v>
      </c>
      <c r="D2494" s="1" t="s">
        <v>8049</v>
      </c>
      <c r="F2494" s="1" t="s">
        <v>8122</v>
      </c>
      <c r="H2494" s="1" t="s">
        <v>8123</v>
      </c>
      <c r="J2494" s="1" t="s">
        <v>8124</v>
      </c>
      <c r="L2494" s="1" t="s">
        <v>5273</v>
      </c>
      <c r="N2494" s="1" t="s">
        <v>5278</v>
      </c>
      <c r="P2494" s="1" t="s">
        <v>5282</v>
      </c>
      <c r="Q2494" s="3">
        <v>0</v>
      </c>
      <c r="R2494" s="22" t="s">
        <v>2724</v>
      </c>
      <c r="S2494" s="42" t="s">
        <v>6909</v>
      </c>
      <c r="T2494" s="3" t="s">
        <v>4868</v>
      </c>
      <c r="U2494" s="45">
        <v>35</v>
      </c>
      <c r="V2494" t="s">
        <v>8125</v>
      </c>
      <c r="W2494" s="1" t="str">
        <f>HYPERLINK("http://ictvonline.org/taxonomy/p/taxonomy-history?taxnode_id=201905752","ICTVonline=201905752")</f>
        <v>ICTVonline=201905752</v>
      </c>
    </row>
    <row r="2495" spans="1:23">
      <c r="A2495" s="3">
        <v>2494</v>
      </c>
      <c r="B2495" s="1" t="s">
        <v>8017</v>
      </c>
      <c r="D2495" s="1" t="s">
        <v>8049</v>
      </c>
      <c r="F2495" s="1" t="s">
        <v>8122</v>
      </c>
      <c r="H2495" s="1" t="s">
        <v>8123</v>
      </c>
      <c r="J2495" s="1" t="s">
        <v>8124</v>
      </c>
      <c r="L2495" s="1" t="s">
        <v>5273</v>
      </c>
      <c r="N2495" s="1" t="s">
        <v>5278</v>
      </c>
      <c r="P2495" s="1" t="s">
        <v>5283</v>
      </c>
      <c r="Q2495" s="3">
        <v>0</v>
      </c>
      <c r="R2495" s="22" t="s">
        <v>2724</v>
      </c>
      <c r="S2495" s="42" t="s">
        <v>6909</v>
      </c>
      <c r="T2495" s="3" t="s">
        <v>4868</v>
      </c>
      <c r="U2495" s="45">
        <v>35</v>
      </c>
      <c r="V2495" t="s">
        <v>8125</v>
      </c>
      <c r="W2495" s="1" t="str">
        <f>HYPERLINK("http://ictvonline.org/taxonomy/p/taxonomy-history?taxnode_id=201905753","ICTVonline=201905753")</f>
        <v>ICTVonline=201905753</v>
      </c>
    </row>
    <row r="2496" spans="1:23">
      <c r="A2496" s="3">
        <v>2495</v>
      </c>
      <c r="B2496" s="1" t="s">
        <v>8017</v>
      </c>
      <c r="D2496" s="1" t="s">
        <v>8049</v>
      </c>
      <c r="F2496" s="1" t="s">
        <v>8122</v>
      </c>
      <c r="H2496" s="1" t="s">
        <v>8123</v>
      </c>
      <c r="J2496" s="1" t="s">
        <v>8124</v>
      </c>
      <c r="L2496" s="1" t="s">
        <v>5273</v>
      </c>
      <c r="N2496" s="1" t="s">
        <v>5278</v>
      </c>
      <c r="P2496" s="1" t="s">
        <v>5284</v>
      </c>
      <c r="Q2496" s="3">
        <v>0</v>
      </c>
      <c r="R2496" s="22" t="s">
        <v>2724</v>
      </c>
      <c r="S2496" s="42" t="s">
        <v>6909</v>
      </c>
      <c r="T2496" s="3" t="s">
        <v>4868</v>
      </c>
      <c r="U2496" s="45">
        <v>35</v>
      </c>
      <c r="V2496" t="s">
        <v>8125</v>
      </c>
      <c r="W2496" s="1" t="str">
        <f>HYPERLINK("http://ictvonline.org/taxonomy/p/taxonomy-history?taxnode_id=201905754","ICTVonline=201905754")</f>
        <v>ICTVonline=201905754</v>
      </c>
    </row>
    <row r="2497" spans="1:23">
      <c r="A2497" s="3">
        <v>2496</v>
      </c>
      <c r="B2497" s="1" t="s">
        <v>8017</v>
      </c>
      <c r="D2497" s="1" t="s">
        <v>8049</v>
      </c>
      <c r="F2497" s="1" t="s">
        <v>8122</v>
      </c>
      <c r="H2497" s="1" t="s">
        <v>8123</v>
      </c>
      <c r="J2497" s="1" t="s">
        <v>8124</v>
      </c>
      <c r="L2497" s="1" t="s">
        <v>5273</v>
      </c>
      <c r="N2497" s="1" t="s">
        <v>5278</v>
      </c>
      <c r="P2497" s="1" t="s">
        <v>5285</v>
      </c>
      <c r="Q2497" s="3">
        <v>0</v>
      </c>
      <c r="R2497" s="22" t="s">
        <v>2724</v>
      </c>
      <c r="S2497" s="42" t="s">
        <v>6909</v>
      </c>
      <c r="T2497" s="3" t="s">
        <v>4868</v>
      </c>
      <c r="U2497" s="45">
        <v>35</v>
      </c>
      <c r="V2497" t="s">
        <v>8125</v>
      </c>
      <c r="W2497" s="1" t="str">
        <f>HYPERLINK("http://ictvonline.org/taxonomy/p/taxonomy-history?taxnode_id=201905755","ICTVonline=201905755")</f>
        <v>ICTVonline=201905755</v>
      </c>
    </row>
    <row r="2498" spans="1:23">
      <c r="A2498" s="3">
        <v>2497</v>
      </c>
      <c r="B2498" s="1" t="s">
        <v>8017</v>
      </c>
      <c r="D2498" s="1" t="s">
        <v>8049</v>
      </c>
      <c r="F2498" s="1" t="s">
        <v>8122</v>
      </c>
      <c r="H2498" s="1" t="s">
        <v>8123</v>
      </c>
      <c r="J2498" s="1" t="s">
        <v>8126</v>
      </c>
      <c r="L2498" s="1" t="s">
        <v>755</v>
      </c>
      <c r="N2498" s="1" t="s">
        <v>756</v>
      </c>
      <c r="P2498" s="1" t="s">
        <v>3705</v>
      </c>
      <c r="Q2498" s="3">
        <v>0</v>
      </c>
      <c r="R2498" s="22" t="s">
        <v>2724</v>
      </c>
      <c r="S2498" s="42" t="s">
        <v>6909</v>
      </c>
      <c r="T2498" s="3" t="s">
        <v>4868</v>
      </c>
      <c r="U2498" s="45">
        <v>35</v>
      </c>
      <c r="V2498" t="s">
        <v>8125</v>
      </c>
      <c r="W2498" s="1" t="str">
        <f>HYPERLINK("http://ictvonline.org/taxonomy/p/taxonomy-history?taxnode_id=201902903","ICTVonline=201902903")</f>
        <v>ICTVonline=201902903</v>
      </c>
    </row>
    <row r="2499" spans="1:23">
      <c r="A2499" s="3">
        <v>2498</v>
      </c>
      <c r="B2499" s="1" t="s">
        <v>8017</v>
      </c>
      <c r="D2499" s="1" t="s">
        <v>8049</v>
      </c>
      <c r="F2499" s="1" t="s">
        <v>8122</v>
      </c>
      <c r="H2499" s="1" t="s">
        <v>8123</v>
      </c>
      <c r="J2499" s="1" t="s">
        <v>8126</v>
      </c>
      <c r="L2499" s="1" t="s">
        <v>755</v>
      </c>
      <c r="N2499" s="1" t="s">
        <v>756</v>
      </c>
      <c r="P2499" s="1" t="s">
        <v>4898</v>
      </c>
      <c r="Q2499" s="3">
        <v>0</v>
      </c>
      <c r="R2499" s="22" t="s">
        <v>2724</v>
      </c>
      <c r="S2499" s="42" t="s">
        <v>6909</v>
      </c>
      <c r="T2499" s="3" t="s">
        <v>4868</v>
      </c>
      <c r="U2499" s="45">
        <v>35</v>
      </c>
      <c r="V2499" t="s">
        <v>8125</v>
      </c>
      <c r="W2499" s="1" t="str">
        <f>HYPERLINK("http://ictvonline.org/taxonomy/p/taxonomy-history?taxnode_id=201902904","ICTVonline=201902904")</f>
        <v>ICTVonline=201902904</v>
      </c>
    </row>
    <row r="2500" spans="1:23">
      <c r="A2500" s="3">
        <v>2499</v>
      </c>
      <c r="B2500" s="1" t="s">
        <v>8017</v>
      </c>
      <c r="D2500" s="1" t="s">
        <v>8049</v>
      </c>
      <c r="F2500" s="1" t="s">
        <v>8122</v>
      </c>
      <c r="H2500" s="1" t="s">
        <v>8123</v>
      </c>
      <c r="J2500" s="1" t="s">
        <v>8126</v>
      </c>
      <c r="L2500" s="1" t="s">
        <v>755</v>
      </c>
      <c r="N2500" s="1" t="s">
        <v>756</v>
      </c>
      <c r="P2500" s="1" t="s">
        <v>4899</v>
      </c>
      <c r="Q2500" s="3">
        <v>0</v>
      </c>
      <c r="R2500" s="22" t="s">
        <v>2724</v>
      </c>
      <c r="S2500" s="42" t="s">
        <v>6909</v>
      </c>
      <c r="T2500" s="3" t="s">
        <v>4868</v>
      </c>
      <c r="U2500" s="45">
        <v>35</v>
      </c>
      <c r="V2500" t="s">
        <v>8125</v>
      </c>
      <c r="W2500" s="1" t="str">
        <f>HYPERLINK("http://ictvonline.org/taxonomy/p/taxonomy-history?taxnode_id=201902905","ICTVonline=201902905")</f>
        <v>ICTVonline=201902905</v>
      </c>
    </row>
    <row r="2501" spans="1:23">
      <c r="A2501" s="3">
        <v>2500</v>
      </c>
      <c r="B2501" s="1" t="s">
        <v>8017</v>
      </c>
      <c r="D2501" s="1" t="s">
        <v>8049</v>
      </c>
      <c r="F2501" s="1" t="s">
        <v>8122</v>
      </c>
      <c r="H2501" s="1" t="s">
        <v>8123</v>
      </c>
      <c r="J2501" s="1" t="s">
        <v>8126</v>
      </c>
      <c r="L2501" s="1" t="s">
        <v>755</v>
      </c>
      <c r="N2501" s="1" t="s">
        <v>756</v>
      </c>
      <c r="P2501" s="1" t="s">
        <v>4900</v>
      </c>
      <c r="Q2501" s="3">
        <v>0</v>
      </c>
      <c r="R2501" s="22" t="s">
        <v>2724</v>
      </c>
      <c r="S2501" s="42" t="s">
        <v>6909</v>
      </c>
      <c r="T2501" s="3" t="s">
        <v>4868</v>
      </c>
      <c r="U2501" s="45">
        <v>35</v>
      </c>
      <c r="V2501" t="s">
        <v>8125</v>
      </c>
      <c r="W2501" s="1" t="str">
        <f>HYPERLINK("http://ictvonline.org/taxonomy/p/taxonomy-history?taxnode_id=201902906","ICTVonline=201902906")</f>
        <v>ICTVonline=201902906</v>
      </c>
    </row>
    <row r="2502" spans="1:23">
      <c r="A2502" s="3">
        <v>2501</v>
      </c>
      <c r="B2502" s="1" t="s">
        <v>8017</v>
      </c>
      <c r="D2502" s="1" t="s">
        <v>8049</v>
      </c>
      <c r="F2502" s="1" t="s">
        <v>8122</v>
      </c>
      <c r="H2502" s="1" t="s">
        <v>8123</v>
      </c>
      <c r="J2502" s="1" t="s">
        <v>8126</v>
      </c>
      <c r="L2502" s="1" t="s">
        <v>755</v>
      </c>
      <c r="N2502" s="1" t="s">
        <v>756</v>
      </c>
      <c r="P2502" s="1" t="s">
        <v>4589</v>
      </c>
      <c r="Q2502" s="3">
        <v>0</v>
      </c>
      <c r="R2502" s="22" t="s">
        <v>2724</v>
      </c>
      <c r="S2502" s="42" t="s">
        <v>6909</v>
      </c>
      <c r="T2502" s="3" t="s">
        <v>4868</v>
      </c>
      <c r="U2502" s="45">
        <v>35</v>
      </c>
      <c r="V2502" t="s">
        <v>8125</v>
      </c>
      <c r="W2502" s="1" t="str">
        <f>HYPERLINK("http://ictvonline.org/taxonomy/p/taxonomy-history?taxnode_id=201902907","ICTVonline=201902907")</f>
        <v>ICTVonline=201902907</v>
      </c>
    </row>
    <row r="2503" spans="1:23">
      <c r="A2503" s="3">
        <v>2502</v>
      </c>
      <c r="B2503" s="1" t="s">
        <v>8017</v>
      </c>
      <c r="D2503" s="1" t="s">
        <v>8049</v>
      </c>
      <c r="F2503" s="1" t="s">
        <v>8122</v>
      </c>
      <c r="H2503" s="1" t="s">
        <v>8123</v>
      </c>
      <c r="J2503" s="1" t="s">
        <v>8126</v>
      </c>
      <c r="L2503" s="1" t="s">
        <v>755</v>
      </c>
      <c r="N2503" s="1" t="s">
        <v>756</v>
      </c>
      <c r="P2503" s="1" t="s">
        <v>4590</v>
      </c>
      <c r="Q2503" s="3">
        <v>0</v>
      </c>
      <c r="R2503" s="22" t="s">
        <v>2724</v>
      </c>
      <c r="S2503" s="42" t="s">
        <v>6909</v>
      </c>
      <c r="T2503" s="3" t="s">
        <v>4868</v>
      </c>
      <c r="U2503" s="45">
        <v>35</v>
      </c>
      <c r="V2503" t="s">
        <v>8125</v>
      </c>
      <c r="W2503" s="1" t="str">
        <f>HYPERLINK("http://ictvonline.org/taxonomy/p/taxonomy-history?taxnode_id=201902908","ICTVonline=201902908")</f>
        <v>ICTVonline=201902908</v>
      </c>
    </row>
    <row r="2504" spans="1:23">
      <c r="A2504" s="3">
        <v>2503</v>
      </c>
      <c r="B2504" s="1" t="s">
        <v>8017</v>
      </c>
      <c r="D2504" s="1" t="s">
        <v>8049</v>
      </c>
      <c r="F2504" s="1" t="s">
        <v>8122</v>
      </c>
      <c r="H2504" s="1" t="s">
        <v>8123</v>
      </c>
      <c r="J2504" s="1" t="s">
        <v>8126</v>
      </c>
      <c r="L2504" s="1" t="s">
        <v>755</v>
      </c>
      <c r="N2504" s="1" t="s">
        <v>756</v>
      </c>
      <c r="P2504" s="1" t="s">
        <v>4591</v>
      </c>
      <c r="Q2504" s="3">
        <v>0</v>
      </c>
      <c r="R2504" s="22" t="s">
        <v>2724</v>
      </c>
      <c r="S2504" s="42" t="s">
        <v>6909</v>
      </c>
      <c r="T2504" s="3" t="s">
        <v>4868</v>
      </c>
      <c r="U2504" s="45">
        <v>35</v>
      </c>
      <c r="V2504" t="s">
        <v>8125</v>
      </c>
      <c r="W2504" s="1" t="str">
        <f>HYPERLINK("http://ictvonline.org/taxonomy/p/taxonomy-history?taxnode_id=201902909","ICTVonline=201902909")</f>
        <v>ICTVonline=201902909</v>
      </c>
    </row>
    <row r="2505" spans="1:23">
      <c r="A2505" s="3">
        <v>2504</v>
      </c>
      <c r="B2505" s="1" t="s">
        <v>8017</v>
      </c>
      <c r="D2505" s="1" t="s">
        <v>8049</v>
      </c>
      <c r="F2505" s="1" t="s">
        <v>8122</v>
      </c>
      <c r="H2505" s="1" t="s">
        <v>8123</v>
      </c>
      <c r="J2505" s="1" t="s">
        <v>8126</v>
      </c>
      <c r="L2505" s="1" t="s">
        <v>755</v>
      </c>
      <c r="N2505" s="1" t="s">
        <v>756</v>
      </c>
      <c r="P2505" s="1" t="s">
        <v>4592</v>
      </c>
      <c r="Q2505" s="3">
        <v>0</v>
      </c>
      <c r="R2505" s="22" t="s">
        <v>2724</v>
      </c>
      <c r="S2505" s="42" t="s">
        <v>6909</v>
      </c>
      <c r="T2505" s="3" t="s">
        <v>4868</v>
      </c>
      <c r="U2505" s="45">
        <v>35</v>
      </c>
      <c r="V2505" t="s">
        <v>8125</v>
      </c>
      <c r="W2505" s="1" t="str">
        <f>HYPERLINK("http://ictvonline.org/taxonomy/p/taxonomy-history?taxnode_id=201902910","ICTVonline=201902910")</f>
        <v>ICTVonline=201902910</v>
      </c>
    </row>
    <row r="2506" spans="1:23">
      <c r="A2506" s="3">
        <v>2505</v>
      </c>
      <c r="B2506" s="1" t="s">
        <v>8017</v>
      </c>
      <c r="D2506" s="1" t="s">
        <v>8049</v>
      </c>
      <c r="F2506" s="1" t="s">
        <v>8122</v>
      </c>
      <c r="H2506" s="1" t="s">
        <v>8123</v>
      </c>
      <c r="J2506" s="1" t="s">
        <v>8126</v>
      </c>
      <c r="L2506" s="1" t="s">
        <v>755</v>
      </c>
      <c r="N2506" s="1" t="s">
        <v>756</v>
      </c>
      <c r="P2506" s="1" t="s">
        <v>4593</v>
      </c>
      <c r="Q2506" s="3">
        <v>0</v>
      </c>
      <c r="R2506" s="22" t="s">
        <v>2724</v>
      </c>
      <c r="S2506" s="42" t="s">
        <v>6909</v>
      </c>
      <c r="T2506" s="3" t="s">
        <v>4868</v>
      </c>
      <c r="U2506" s="45">
        <v>35</v>
      </c>
      <c r="V2506" t="s">
        <v>8125</v>
      </c>
      <c r="W2506" s="1" t="str">
        <f>HYPERLINK("http://ictvonline.org/taxonomy/p/taxonomy-history?taxnode_id=201902911","ICTVonline=201902911")</f>
        <v>ICTVonline=201902911</v>
      </c>
    </row>
    <row r="2507" spans="1:23">
      <c r="A2507" s="3">
        <v>2506</v>
      </c>
      <c r="B2507" s="1" t="s">
        <v>8017</v>
      </c>
      <c r="D2507" s="1" t="s">
        <v>8049</v>
      </c>
      <c r="F2507" s="1" t="s">
        <v>8122</v>
      </c>
      <c r="H2507" s="1" t="s">
        <v>8123</v>
      </c>
      <c r="J2507" s="1" t="s">
        <v>8126</v>
      </c>
      <c r="L2507" s="1" t="s">
        <v>755</v>
      </c>
      <c r="N2507" s="1" t="s">
        <v>756</v>
      </c>
      <c r="P2507" s="1" t="s">
        <v>5311</v>
      </c>
      <c r="Q2507" s="3">
        <v>0</v>
      </c>
      <c r="R2507" s="22" t="s">
        <v>2724</v>
      </c>
      <c r="S2507" s="42" t="s">
        <v>6909</v>
      </c>
      <c r="T2507" s="3" t="s">
        <v>4868</v>
      </c>
      <c r="U2507" s="45">
        <v>35</v>
      </c>
      <c r="V2507" t="s">
        <v>8125</v>
      </c>
      <c r="W2507" s="1" t="str">
        <f>HYPERLINK("http://ictvonline.org/taxonomy/p/taxonomy-history?taxnode_id=201905767","ICTVonline=201905767")</f>
        <v>ICTVonline=201905767</v>
      </c>
    </row>
    <row r="2508" spans="1:23">
      <c r="A2508" s="3">
        <v>2507</v>
      </c>
      <c r="B2508" s="1" t="s">
        <v>8017</v>
      </c>
      <c r="D2508" s="1" t="s">
        <v>8049</v>
      </c>
      <c r="F2508" s="1" t="s">
        <v>8122</v>
      </c>
      <c r="H2508" s="1" t="s">
        <v>8123</v>
      </c>
      <c r="J2508" s="1" t="s">
        <v>8126</v>
      </c>
      <c r="L2508" s="1" t="s">
        <v>755</v>
      </c>
      <c r="N2508" s="1" t="s">
        <v>756</v>
      </c>
      <c r="P2508" s="1" t="s">
        <v>6822</v>
      </c>
      <c r="Q2508" s="3">
        <v>0</v>
      </c>
      <c r="R2508" s="22" t="s">
        <v>2724</v>
      </c>
      <c r="S2508" s="42" t="s">
        <v>6909</v>
      </c>
      <c r="T2508" s="3" t="s">
        <v>4868</v>
      </c>
      <c r="U2508" s="45">
        <v>35</v>
      </c>
      <c r="V2508" t="s">
        <v>8125</v>
      </c>
      <c r="W2508" s="1" t="str">
        <f>HYPERLINK("http://ictvonline.org/taxonomy/p/taxonomy-history?taxnode_id=201906561","ICTVonline=201906561")</f>
        <v>ICTVonline=201906561</v>
      </c>
    </row>
    <row r="2509" spans="1:23">
      <c r="A2509" s="3">
        <v>2508</v>
      </c>
      <c r="B2509" s="1" t="s">
        <v>8017</v>
      </c>
      <c r="D2509" s="1" t="s">
        <v>8049</v>
      </c>
      <c r="F2509" s="1" t="s">
        <v>8122</v>
      </c>
      <c r="H2509" s="1" t="s">
        <v>8123</v>
      </c>
      <c r="J2509" s="1" t="s">
        <v>8126</v>
      </c>
      <c r="L2509" s="1" t="s">
        <v>755</v>
      </c>
      <c r="N2509" s="1" t="s">
        <v>756</v>
      </c>
      <c r="P2509" s="1" t="s">
        <v>6823</v>
      </c>
      <c r="Q2509" s="3">
        <v>0</v>
      </c>
      <c r="R2509" s="22" t="s">
        <v>2724</v>
      </c>
      <c r="S2509" s="42" t="s">
        <v>6909</v>
      </c>
      <c r="T2509" s="3" t="s">
        <v>4868</v>
      </c>
      <c r="U2509" s="45">
        <v>35</v>
      </c>
      <c r="V2509" t="s">
        <v>8125</v>
      </c>
      <c r="W2509" s="1" t="str">
        <f>HYPERLINK("http://ictvonline.org/taxonomy/p/taxonomy-history?taxnode_id=201906562","ICTVonline=201906562")</f>
        <v>ICTVonline=201906562</v>
      </c>
    </row>
    <row r="2510" spans="1:23">
      <c r="A2510" s="3">
        <v>2509</v>
      </c>
      <c r="B2510" s="1" t="s">
        <v>8017</v>
      </c>
      <c r="D2510" s="1" t="s">
        <v>8049</v>
      </c>
      <c r="F2510" s="1" t="s">
        <v>8122</v>
      </c>
      <c r="H2510" s="1" t="s">
        <v>8123</v>
      </c>
      <c r="J2510" s="1" t="s">
        <v>8126</v>
      </c>
      <c r="L2510" s="1" t="s">
        <v>755</v>
      </c>
      <c r="N2510" s="1" t="s">
        <v>756</v>
      </c>
      <c r="P2510" s="1" t="s">
        <v>8127</v>
      </c>
      <c r="Q2510" s="3">
        <v>0</v>
      </c>
      <c r="R2510" s="22" t="s">
        <v>2724</v>
      </c>
      <c r="S2510" s="42" t="s">
        <v>6914</v>
      </c>
      <c r="T2510" s="3" t="s">
        <v>4866</v>
      </c>
      <c r="U2510" s="45">
        <v>35</v>
      </c>
      <c r="V2510" t="s">
        <v>8128</v>
      </c>
      <c r="W2510" s="1" t="str">
        <f>HYPERLINK("http://ictvonline.org/taxonomy/p/taxonomy-history?taxnode_id=201908676","ICTVonline=201908676")</f>
        <v>ICTVonline=201908676</v>
      </c>
    </row>
    <row r="2511" spans="1:23">
      <c r="A2511" s="3">
        <v>2510</v>
      </c>
      <c r="B2511" s="1" t="s">
        <v>8017</v>
      </c>
      <c r="D2511" s="1" t="s">
        <v>8049</v>
      </c>
      <c r="F2511" s="1" t="s">
        <v>8122</v>
      </c>
      <c r="H2511" s="1" t="s">
        <v>8123</v>
      </c>
      <c r="J2511" s="1" t="s">
        <v>8126</v>
      </c>
      <c r="L2511" s="1" t="s">
        <v>755</v>
      </c>
      <c r="N2511" s="1" t="s">
        <v>756</v>
      </c>
      <c r="P2511" s="1" t="s">
        <v>1781</v>
      </c>
      <c r="Q2511" s="3">
        <v>0</v>
      </c>
      <c r="R2511" s="22" t="s">
        <v>2724</v>
      </c>
      <c r="S2511" s="42" t="s">
        <v>6909</v>
      </c>
      <c r="T2511" s="3" t="s">
        <v>4868</v>
      </c>
      <c r="U2511" s="45">
        <v>35</v>
      </c>
      <c r="V2511" t="s">
        <v>8125</v>
      </c>
      <c r="W2511" s="1" t="str">
        <f>HYPERLINK("http://ictvonline.org/taxonomy/p/taxonomy-history?taxnode_id=201902912","ICTVonline=201902912")</f>
        <v>ICTVonline=201902912</v>
      </c>
    </row>
    <row r="2512" spans="1:23">
      <c r="A2512" s="3">
        <v>2511</v>
      </c>
      <c r="B2512" s="1" t="s">
        <v>8017</v>
      </c>
      <c r="D2512" s="1" t="s">
        <v>8049</v>
      </c>
      <c r="F2512" s="1" t="s">
        <v>8122</v>
      </c>
      <c r="H2512" s="1" t="s">
        <v>8123</v>
      </c>
      <c r="J2512" s="1" t="s">
        <v>8126</v>
      </c>
      <c r="L2512" s="1" t="s">
        <v>755</v>
      </c>
      <c r="N2512" s="1" t="s">
        <v>756</v>
      </c>
      <c r="P2512" s="1" t="s">
        <v>1782</v>
      </c>
      <c r="Q2512" s="3">
        <v>0</v>
      </c>
      <c r="R2512" s="22" t="s">
        <v>2724</v>
      </c>
      <c r="S2512" s="42" t="s">
        <v>6909</v>
      </c>
      <c r="T2512" s="3" t="s">
        <v>4868</v>
      </c>
      <c r="U2512" s="45">
        <v>35</v>
      </c>
      <c r="V2512" t="s">
        <v>8125</v>
      </c>
      <c r="W2512" s="1" t="str">
        <f>HYPERLINK("http://ictvonline.org/taxonomy/p/taxonomy-history?taxnode_id=201902913","ICTVonline=201902913")</f>
        <v>ICTVonline=201902913</v>
      </c>
    </row>
    <row r="2513" spans="1:23">
      <c r="A2513" s="3">
        <v>2512</v>
      </c>
      <c r="B2513" s="1" t="s">
        <v>8017</v>
      </c>
      <c r="D2513" s="1" t="s">
        <v>8049</v>
      </c>
      <c r="F2513" s="1" t="s">
        <v>8122</v>
      </c>
      <c r="H2513" s="1" t="s">
        <v>8123</v>
      </c>
      <c r="J2513" s="1" t="s">
        <v>8126</v>
      </c>
      <c r="L2513" s="1" t="s">
        <v>755</v>
      </c>
      <c r="N2513" s="1" t="s">
        <v>756</v>
      </c>
      <c r="P2513" s="1" t="s">
        <v>3706</v>
      </c>
      <c r="Q2513" s="3">
        <v>0</v>
      </c>
      <c r="R2513" s="22" t="s">
        <v>2724</v>
      </c>
      <c r="S2513" s="42" t="s">
        <v>6909</v>
      </c>
      <c r="T2513" s="3" t="s">
        <v>4868</v>
      </c>
      <c r="U2513" s="45">
        <v>35</v>
      </c>
      <c r="V2513" t="s">
        <v>8125</v>
      </c>
      <c r="W2513" s="1" t="str">
        <f>HYPERLINK("http://ictvonline.org/taxonomy/p/taxonomy-history?taxnode_id=201902914","ICTVonline=201902914")</f>
        <v>ICTVonline=201902914</v>
      </c>
    </row>
    <row r="2514" spans="1:23">
      <c r="A2514" s="3">
        <v>2513</v>
      </c>
      <c r="B2514" s="1" t="s">
        <v>8017</v>
      </c>
      <c r="D2514" s="1" t="s">
        <v>8049</v>
      </c>
      <c r="F2514" s="1" t="s">
        <v>8122</v>
      </c>
      <c r="H2514" s="1" t="s">
        <v>8123</v>
      </c>
      <c r="J2514" s="1" t="s">
        <v>8126</v>
      </c>
      <c r="L2514" s="1" t="s">
        <v>755</v>
      </c>
      <c r="N2514" s="1" t="s">
        <v>756</v>
      </c>
      <c r="P2514" s="1" t="s">
        <v>4901</v>
      </c>
      <c r="Q2514" s="3">
        <v>0</v>
      </c>
      <c r="R2514" s="22" t="s">
        <v>2724</v>
      </c>
      <c r="S2514" s="42" t="s">
        <v>6909</v>
      </c>
      <c r="T2514" s="3" t="s">
        <v>4868</v>
      </c>
      <c r="U2514" s="45">
        <v>35</v>
      </c>
      <c r="V2514" t="s">
        <v>8125</v>
      </c>
      <c r="W2514" s="1" t="str">
        <f>HYPERLINK("http://ictvonline.org/taxonomy/p/taxonomy-history?taxnode_id=201902915","ICTVonline=201902915")</f>
        <v>ICTVonline=201902915</v>
      </c>
    </row>
    <row r="2515" spans="1:23">
      <c r="A2515" s="3">
        <v>2514</v>
      </c>
      <c r="B2515" s="1" t="s">
        <v>8017</v>
      </c>
      <c r="D2515" s="1" t="s">
        <v>8049</v>
      </c>
      <c r="F2515" s="1" t="s">
        <v>8122</v>
      </c>
      <c r="H2515" s="1" t="s">
        <v>8123</v>
      </c>
      <c r="J2515" s="1" t="s">
        <v>8126</v>
      </c>
      <c r="L2515" s="1" t="s">
        <v>755</v>
      </c>
      <c r="N2515" s="1" t="s">
        <v>756</v>
      </c>
      <c r="P2515" s="1" t="s">
        <v>8129</v>
      </c>
      <c r="Q2515" s="3">
        <v>0</v>
      </c>
      <c r="R2515" s="22" t="s">
        <v>2724</v>
      </c>
      <c r="S2515" s="42" t="s">
        <v>6914</v>
      </c>
      <c r="T2515" s="3" t="s">
        <v>4866</v>
      </c>
      <c r="U2515" s="45">
        <v>35</v>
      </c>
      <c r="V2515" t="s">
        <v>8128</v>
      </c>
      <c r="W2515" s="1" t="str">
        <f>HYPERLINK("http://ictvonline.org/taxonomy/p/taxonomy-history?taxnode_id=201908677","ICTVonline=201908677")</f>
        <v>ICTVonline=201908677</v>
      </c>
    </row>
    <row r="2516" spans="1:23">
      <c r="A2516" s="3">
        <v>2515</v>
      </c>
      <c r="B2516" s="1" t="s">
        <v>8017</v>
      </c>
      <c r="D2516" s="1" t="s">
        <v>8049</v>
      </c>
      <c r="F2516" s="1" t="s">
        <v>8122</v>
      </c>
      <c r="H2516" s="1" t="s">
        <v>8123</v>
      </c>
      <c r="J2516" s="1" t="s">
        <v>8126</v>
      </c>
      <c r="L2516" s="1" t="s">
        <v>755</v>
      </c>
      <c r="N2516" s="1" t="s">
        <v>756</v>
      </c>
      <c r="P2516" s="1" t="s">
        <v>758</v>
      </c>
      <c r="Q2516" s="3">
        <v>0</v>
      </c>
      <c r="R2516" s="22" t="s">
        <v>2724</v>
      </c>
      <c r="S2516" s="42" t="s">
        <v>6909</v>
      </c>
      <c r="T2516" s="3" t="s">
        <v>4868</v>
      </c>
      <c r="U2516" s="45">
        <v>35</v>
      </c>
      <c r="V2516" t="s">
        <v>8125</v>
      </c>
      <c r="W2516" s="1" t="str">
        <f>HYPERLINK("http://ictvonline.org/taxonomy/p/taxonomy-history?taxnode_id=201902916","ICTVonline=201902916")</f>
        <v>ICTVonline=201902916</v>
      </c>
    </row>
    <row r="2517" spans="1:23">
      <c r="A2517" s="3">
        <v>2516</v>
      </c>
      <c r="B2517" s="1" t="s">
        <v>8017</v>
      </c>
      <c r="D2517" s="1" t="s">
        <v>8049</v>
      </c>
      <c r="F2517" s="1" t="s">
        <v>8122</v>
      </c>
      <c r="H2517" s="1" t="s">
        <v>8123</v>
      </c>
      <c r="J2517" s="1" t="s">
        <v>8126</v>
      </c>
      <c r="L2517" s="1" t="s">
        <v>755</v>
      </c>
      <c r="N2517" s="1" t="s">
        <v>756</v>
      </c>
      <c r="P2517" s="1" t="s">
        <v>3707</v>
      </c>
      <c r="Q2517" s="3">
        <v>0</v>
      </c>
      <c r="R2517" s="22" t="s">
        <v>2724</v>
      </c>
      <c r="S2517" s="42" t="s">
        <v>6909</v>
      </c>
      <c r="T2517" s="3" t="s">
        <v>4868</v>
      </c>
      <c r="U2517" s="45">
        <v>35</v>
      </c>
      <c r="V2517" t="s">
        <v>8125</v>
      </c>
      <c r="W2517" s="1" t="str">
        <f>HYPERLINK("http://ictvonline.org/taxonomy/p/taxonomy-history?taxnode_id=201902917","ICTVonline=201902917")</f>
        <v>ICTVonline=201902917</v>
      </c>
    </row>
    <row r="2518" spans="1:23">
      <c r="A2518" s="3">
        <v>2517</v>
      </c>
      <c r="B2518" s="1" t="s">
        <v>8017</v>
      </c>
      <c r="D2518" s="1" t="s">
        <v>8049</v>
      </c>
      <c r="F2518" s="1" t="s">
        <v>8122</v>
      </c>
      <c r="H2518" s="1" t="s">
        <v>8123</v>
      </c>
      <c r="J2518" s="1" t="s">
        <v>8126</v>
      </c>
      <c r="L2518" s="1" t="s">
        <v>755</v>
      </c>
      <c r="N2518" s="1" t="s">
        <v>756</v>
      </c>
      <c r="P2518" s="1" t="s">
        <v>1207</v>
      </c>
      <c r="Q2518" s="3">
        <v>0</v>
      </c>
      <c r="R2518" s="22" t="s">
        <v>2724</v>
      </c>
      <c r="S2518" s="42" t="s">
        <v>6909</v>
      </c>
      <c r="T2518" s="3" t="s">
        <v>4868</v>
      </c>
      <c r="U2518" s="45">
        <v>35</v>
      </c>
      <c r="V2518" t="s">
        <v>8125</v>
      </c>
      <c r="W2518" s="1" t="str">
        <f>HYPERLINK("http://ictvonline.org/taxonomy/p/taxonomy-history?taxnode_id=201902918","ICTVonline=201902918")</f>
        <v>ICTVonline=201902918</v>
      </c>
    </row>
    <row r="2519" spans="1:23">
      <c r="A2519" s="3">
        <v>2518</v>
      </c>
      <c r="B2519" s="1" t="s">
        <v>8017</v>
      </c>
      <c r="D2519" s="1" t="s">
        <v>8049</v>
      </c>
      <c r="F2519" s="1" t="s">
        <v>8122</v>
      </c>
      <c r="H2519" s="1" t="s">
        <v>8123</v>
      </c>
      <c r="J2519" s="1" t="s">
        <v>8126</v>
      </c>
      <c r="L2519" s="1" t="s">
        <v>755</v>
      </c>
      <c r="N2519" s="1" t="s">
        <v>756</v>
      </c>
      <c r="P2519" s="1" t="s">
        <v>1208</v>
      </c>
      <c r="Q2519" s="3">
        <v>0</v>
      </c>
      <c r="R2519" s="22" t="s">
        <v>2724</v>
      </c>
      <c r="S2519" s="42" t="s">
        <v>6909</v>
      </c>
      <c r="T2519" s="3" t="s">
        <v>4868</v>
      </c>
      <c r="U2519" s="45">
        <v>35</v>
      </c>
      <c r="V2519" t="s">
        <v>8125</v>
      </c>
      <c r="W2519" s="1" t="str">
        <f>HYPERLINK("http://ictvonline.org/taxonomy/p/taxonomy-history?taxnode_id=201902919","ICTVonline=201902919")</f>
        <v>ICTVonline=201902919</v>
      </c>
    </row>
    <row r="2520" spans="1:23">
      <c r="A2520" s="3">
        <v>2519</v>
      </c>
      <c r="B2520" s="1" t="s">
        <v>8017</v>
      </c>
      <c r="D2520" s="1" t="s">
        <v>8049</v>
      </c>
      <c r="F2520" s="1" t="s">
        <v>8122</v>
      </c>
      <c r="H2520" s="1" t="s">
        <v>8123</v>
      </c>
      <c r="J2520" s="1" t="s">
        <v>8126</v>
      </c>
      <c r="L2520" s="1" t="s">
        <v>755</v>
      </c>
      <c r="N2520" s="1" t="s">
        <v>756</v>
      </c>
      <c r="P2520" s="1" t="s">
        <v>1209</v>
      </c>
      <c r="Q2520" s="3">
        <v>0</v>
      </c>
      <c r="R2520" s="22" t="s">
        <v>2724</v>
      </c>
      <c r="S2520" s="42" t="s">
        <v>6909</v>
      </c>
      <c r="T2520" s="3" t="s">
        <v>4868</v>
      </c>
      <c r="U2520" s="45">
        <v>35</v>
      </c>
      <c r="V2520" t="s">
        <v>8125</v>
      </c>
      <c r="W2520" s="1" t="str">
        <f>HYPERLINK("http://ictvonline.org/taxonomy/p/taxonomy-history?taxnode_id=201902920","ICTVonline=201902920")</f>
        <v>ICTVonline=201902920</v>
      </c>
    </row>
    <row r="2521" spans="1:23">
      <c r="A2521" s="3">
        <v>2520</v>
      </c>
      <c r="B2521" s="1" t="s">
        <v>8017</v>
      </c>
      <c r="D2521" s="1" t="s">
        <v>8049</v>
      </c>
      <c r="F2521" s="1" t="s">
        <v>8122</v>
      </c>
      <c r="H2521" s="1" t="s">
        <v>8123</v>
      </c>
      <c r="J2521" s="1" t="s">
        <v>8126</v>
      </c>
      <c r="L2521" s="1" t="s">
        <v>755</v>
      </c>
      <c r="N2521" s="1" t="s">
        <v>756</v>
      </c>
      <c r="P2521" s="1" t="s">
        <v>4902</v>
      </c>
      <c r="Q2521" s="3">
        <v>0</v>
      </c>
      <c r="R2521" s="22" t="s">
        <v>2724</v>
      </c>
      <c r="S2521" s="42" t="s">
        <v>6909</v>
      </c>
      <c r="T2521" s="3" t="s">
        <v>4868</v>
      </c>
      <c r="U2521" s="45">
        <v>35</v>
      </c>
      <c r="V2521" t="s">
        <v>8125</v>
      </c>
      <c r="W2521" s="1" t="str">
        <f>HYPERLINK("http://ictvonline.org/taxonomy/p/taxonomy-history?taxnode_id=201902921","ICTVonline=201902921")</f>
        <v>ICTVonline=201902921</v>
      </c>
    </row>
    <row r="2522" spans="1:23">
      <c r="A2522" s="3">
        <v>2521</v>
      </c>
      <c r="B2522" s="1" t="s">
        <v>8017</v>
      </c>
      <c r="D2522" s="1" t="s">
        <v>8049</v>
      </c>
      <c r="F2522" s="1" t="s">
        <v>8122</v>
      </c>
      <c r="H2522" s="1" t="s">
        <v>8123</v>
      </c>
      <c r="J2522" s="1" t="s">
        <v>8126</v>
      </c>
      <c r="L2522" s="1" t="s">
        <v>755</v>
      </c>
      <c r="N2522" s="1" t="s">
        <v>756</v>
      </c>
      <c r="P2522" s="1" t="s">
        <v>3708</v>
      </c>
      <c r="Q2522" s="3">
        <v>0</v>
      </c>
      <c r="R2522" s="22" t="s">
        <v>2724</v>
      </c>
      <c r="S2522" s="42" t="s">
        <v>6909</v>
      </c>
      <c r="T2522" s="3" t="s">
        <v>4868</v>
      </c>
      <c r="U2522" s="45">
        <v>35</v>
      </c>
      <c r="V2522" t="s">
        <v>8125</v>
      </c>
      <c r="W2522" s="1" t="str">
        <f>HYPERLINK("http://ictvonline.org/taxonomy/p/taxonomy-history?taxnode_id=201902922","ICTVonline=201902922")</f>
        <v>ICTVonline=201902922</v>
      </c>
    </row>
    <row r="2523" spans="1:23">
      <c r="A2523" s="3">
        <v>2522</v>
      </c>
      <c r="B2523" s="1" t="s">
        <v>8017</v>
      </c>
      <c r="D2523" s="1" t="s">
        <v>8049</v>
      </c>
      <c r="F2523" s="1" t="s">
        <v>8122</v>
      </c>
      <c r="H2523" s="1" t="s">
        <v>8123</v>
      </c>
      <c r="J2523" s="1" t="s">
        <v>8126</v>
      </c>
      <c r="L2523" s="1" t="s">
        <v>755</v>
      </c>
      <c r="N2523" s="1" t="s">
        <v>756</v>
      </c>
      <c r="P2523" s="1" t="s">
        <v>8130</v>
      </c>
      <c r="Q2523" s="3">
        <v>0</v>
      </c>
      <c r="R2523" s="22" t="s">
        <v>2724</v>
      </c>
      <c r="S2523" s="42" t="s">
        <v>6914</v>
      </c>
      <c r="T2523" s="3" t="s">
        <v>4866</v>
      </c>
      <c r="U2523" s="45">
        <v>35</v>
      </c>
      <c r="V2523" t="s">
        <v>8128</v>
      </c>
      <c r="W2523" s="1" t="str">
        <f>HYPERLINK("http://ictvonline.org/taxonomy/p/taxonomy-history?taxnode_id=201908679","ICTVonline=201908679")</f>
        <v>ICTVonline=201908679</v>
      </c>
    </row>
    <row r="2524" spans="1:23">
      <c r="A2524" s="3">
        <v>2523</v>
      </c>
      <c r="B2524" s="1" t="s">
        <v>8017</v>
      </c>
      <c r="D2524" s="1" t="s">
        <v>8049</v>
      </c>
      <c r="F2524" s="1" t="s">
        <v>8122</v>
      </c>
      <c r="H2524" s="1" t="s">
        <v>8123</v>
      </c>
      <c r="J2524" s="1" t="s">
        <v>8126</v>
      </c>
      <c r="L2524" s="1" t="s">
        <v>755</v>
      </c>
      <c r="N2524" s="1" t="s">
        <v>756</v>
      </c>
      <c r="P2524" s="1" t="s">
        <v>757</v>
      </c>
      <c r="Q2524" s="3">
        <v>0</v>
      </c>
      <c r="R2524" s="22" t="s">
        <v>2724</v>
      </c>
      <c r="S2524" s="42" t="s">
        <v>6909</v>
      </c>
      <c r="T2524" s="3" t="s">
        <v>4868</v>
      </c>
      <c r="U2524" s="45">
        <v>35</v>
      </c>
      <c r="V2524" t="s">
        <v>8125</v>
      </c>
      <c r="W2524" s="1" t="str">
        <f>HYPERLINK("http://ictvonline.org/taxonomy/p/taxonomy-history?taxnode_id=201902923","ICTVonline=201902923")</f>
        <v>ICTVonline=201902923</v>
      </c>
    </row>
    <row r="2525" spans="1:23">
      <c r="A2525" s="3">
        <v>2524</v>
      </c>
      <c r="B2525" s="1" t="s">
        <v>8017</v>
      </c>
      <c r="D2525" s="1" t="s">
        <v>8049</v>
      </c>
      <c r="F2525" s="1" t="s">
        <v>8122</v>
      </c>
      <c r="H2525" s="1" t="s">
        <v>8123</v>
      </c>
      <c r="J2525" s="1" t="s">
        <v>8126</v>
      </c>
      <c r="L2525" s="1" t="s">
        <v>755</v>
      </c>
      <c r="N2525" s="1" t="s">
        <v>756</v>
      </c>
      <c r="P2525" s="1" t="s">
        <v>3709</v>
      </c>
      <c r="Q2525" s="3">
        <v>1</v>
      </c>
      <c r="R2525" s="22" t="s">
        <v>2724</v>
      </c>
      <c r="S2525" s="42" t="s">
        <v>6909</v>
      </c>
      <c r="T2525" s="3" t="s">
        <v>4868</v>
      </c>
      <c r="U2525" s="45">
        <v>35</v>
      </c>
      <c r="V2525" t="s">
        <v>8125</v>
      </c>
      <c r="W2525" s="1" t="str">
        <f>HYPERLINK("http://ictvonline.org/taxonomy/p/taxonomy-history?taxnode_id=201902924","ICTVonline=201902924")</f>
        <v>ICTVonline=201902924</v>
      </c>
    </row>
    <row r="2526" spans="1:23">
      <c r="A2526" s="3">
        <v>2525</v>
      </c>
      <c r="B2526" s="1" t="s">
        <v>8017</v>
      </c>
      <c r="D2526" s="1" t="s">
        <v>8049</v>
      </c>
      <c r="F2526" s="1" t="s">
        <v>8122</v>
      </c>
      <c r="H2526" s="1" t="s">
        <v>8123</v>
      </c>
      <c r="J2526" s="1" t="s">
        <v>8126</v>
      </c>
      <c r="L2526" s="1" t="s">
        <v>755</v>
      </c>
      <c r="N2526" s="1" t="s">
        <v>756</v>
      </c>
      <c r="P2526" s="1" t="s">
        <v>3710</v>
      </c>
      <c r="Q2526" s="3">
        <v>0</v>
      </c>
      <c r="R2526" s="22" t="s">
        <v>2724</v>
      </c>
      <c r="S2526" s="42" t="s">
        <v>6909</v>
      </c>
      <c r="T2526" s="3" t="s">
        <v>4868</v>
      </c>
      <c r="U2526" s="45">
        <v>35</v>
      </c>
      <c r="V2526" t="s">
        <v>8125</v>
      </c>
      <c r="W2526" s="1" t="str">
        <f>HYPERLINK("http://ictvonline.org/taxonomy/p/taxonomy-history?taxnode_id=201902925","ICTVonline=201902925")</f>
        <v>ICTVonline=201902925</v>
      </c>
    </row>
    <row r="2527" spans="1:23">
      <c r="A2527" s="3">
        <v>2526</v>
      </c>
      <c r="B2527" s="1" t="s">
        <v>8017</v>
      </c>
      <c r="D2527" s="1" t="s">
        <v>8049</v>
      </c>
      <c r="F2527" s="1" t="s">
        <v>8122</v>
      </c>
      <c r="H2527" s="1" t="s">
        <v>8123</v>
      </c>
      <c r="J2527" s="1" t="s">
        <v>8126</v>
      </c>
      <c r="L2527" s="1" t="s">
        <v>755</v>
      </c>
      <c r="N2527" s="1" t="s">
        <v>756</v>
      </c>
      <c r="P2527" s="1" t="s">
        <v>5312</v>
      </c>
      <c r="Q2527" s="3">
        <v>0</v>
      </c>
      <c r="R2527" s="22" t="s">
        <v>2724</v>
      </c>
      <c r="S2527" s="42" t="s">
        <v>6909</v>
      </c>
      <c r="T2527" s="3" t="s">
        <v>4868</v>
      </c>
      <c r="U2527" s="45">
        <v>35</v>
      </c>
      <c r="V2527" t="s">
        <v>8125</v>
      </c>
      <c r="W2527" s="1" t="str">
        <f>HYPERLINK("http://ictvonline.org/taxonomy/p/taxonomy-history?taxnode_id=201905768","ICTVonline=201905768")</f>
        <v>ICTVonline=201905768</v>
      </c>
    </row>
    <row r="2528" spans="1:23">
      <c r="A2528" s="3">
        <v>2527</v>
      </c>
      <c r="B2528" s="1" t="s">
        <v>8017</v>
      </c>
      <c r="D2528" s="1" t="s">
        <v>8049</v>
      </c>
      <c r="F2528" s="1" t="s">
        <v>8122</v>
      </c>
      <c r="H2528" s="1" t="s">
        <v>8123</v>
      </c>
      <c r="J2528" s="1" t="s">
        <v>8126</v>
      </c>
      <c r="L2528" s="1" t="s">
        <v>755</v>
      </c>
      <c r="N2528" s="1" t="s">
        <v>756</v>
      </c>
      <c r="P2528" s="1" t="s">
        <v>3711</v>
      </c>
      <c r="Q2528" s="3">
        <v>0</v>
      </c>
      <c r="R2528" s="22" t="s">
        <v>2724</v>
      </c>
      <c r="S2528" s="42" t="s">
        <v>6909</v>
      </c>
      <c r="T2528" s="3" t="s">
        <v>4868</v>
      </c>
      <c r="U2528" s="45">
        <v>35</v>
      </c>
      <c r="V2528" t="s">
        <v>8125</v>
      </c>
      <c r="W2528" s="1" t="str">
        <f>HYPERLINK("http://ictvonline.org/taxonomy/p/taxonomy-history?taxnode_id=201902926","ICTVonline=201902926")</f>
        <v>ICTVonline=201902926</v>
      </c>
    </row>
    <row r="2529" spans="1:23">
      <c r="A2529" s="3">
        <v>2528</v>
      </c>
      <c r="B2529" s="1" t="s">
        <v>8017</v>
      </c>
      <c r="D2529" s="1" t="s">
        <v>8049</v>
      </c>
      <c r="F2529" s="1" t="s">
        <v>8122</v>
      </c>
      <c r="H2529" s="1" t="s">
        <v>8123</v>
      </c>
      <c r="J2529" s="1" t="s">
        <v>8126</v>
      </c>
      <c r="L2529" s="1" t="s">
        <v>755</v>
      </c>
      <c r="N2529" s="1" t="s">
        <v>756</v>
      </c>
      <c r="P2529" s="1" t="s">
        <v>6824</v>
      </c>
      <c r="Q2529" s="3">
        <v>0</v>
      </c>
      <c r="R2529" s="22" t="s">
        <v>2724</v>
      </c>
      <c r="S2529" s="42" t="s">
        <v>6909</v>
      </c>
      <c r="T2529" s="3" t="s">
        <v>4868</v>
      </c>
      <c r="U2529" s="45">
        <v>35</v>
      </c>
      <c r="V2529" t="s">
        <v>8125</v>
      </c>
      <c r="W2529" s="1" t="str">
        <f>HYPERLINK("http://ictvonline.org/taxonomy/p/taxonomy-history?taxnode_id=201906563","ICTVonline=201906563")</f>
        <v>ICTVonline=201906563</v>
      </c>
    </row>
    <row r="2530" spans="1:23">
      <c r="A2530" s="3">
        <v>2529</v>
      </c>
      <c r="B2530" s="1" t="s">
        <v>8017</v>
      </c>
      <c r="D2530" s="1" t="s">
        <v>8049</v>
      </c>
      <c r="F2530" s="1" t="s">
        <v>8122</v>
      </c>
      <c r="H2530" s="1" t="s">
        <v>8123</v>
      </c>
      <c r="J2530" s="1" t="s">
        <v>8126</v>
      </c>
      <c r="L2530" s="1" t="s">
        <v>755</v>
      </c>
      <c r="N2530" s="1" t="s">
        <v>756</v>
      </c>
      <c r="P2530" s="1" t="s">
        <v>6825</v>
      </c>
      <c r="Q2530" s="3">
        <v>0</v>
      </c>
      <c r="R2530" s="22" t="s">
        <v>2724</v>
      </c>
      <c r="S2530" s="42" t="s">
        <v>6909</v>
      </c>
      <c r="T2530" s="3" t="s">
        <v>4868</v>
      </c>
      <c r="U2530" s="45">
        <v>35</v>
      </c>
      <c r="V2530" t="s">
        <v>8125</v>
      </c>
      <c r="W2530" s="1" t="str">
        <f>HYPERLINK("http://ictvonline.org/taxonomy/p/taxonomy-history?taxnode_id=201906564","ICTVonline=201906564")</f>
        <v>ICTVonline=201906564</v>
      </c>
    </row>
    <row r="2531" spans="1:23">
      <c r="A2531" s="3">
        <v>2530</v>
      </c>
      <c r="B2531" s="1" t="s">
        <v>8017</v>
      </c>
      <c r="D2531" s="1" t="s">
        <v>8049</v>
      </c>
      <c r="F2531" s="1" t="s">
        <v>8122</v>
      </c>
      <c r="H2531" s="1" t="s">
        <v>8123</v>
      </c>
      <c r="J2531" s="1" t="s">
        <v>8126</v>
      </c>
      <c r="L2531" s="1" t="s">
        <v>755</v>
      </c>
      <c r="N2531" s="1" t="s">
        <v>756</v>
      </c>
      <c r="P2531" s="1" t="s">
        <v>6826</v>
      </c>
      <c r="Q2531" s="3">
        <v>0</v>
      </c>
      <c r="R2531" s="22" t="s">
        <v>2724</v>
      </c>
      <c r="S2531" s="42" t="s">
        <v>6909</v>
      </c>
      <c r="T2531" s="3" t="s">
        <v>4868</v>
      </c>
      <c r="U2531" s="45">
        <v>35</v>
      </c>
      <c r="V2531" t="s">
        <v>8125</v>
      </c>
      <c r="W2531" s="1" t="str">
        <f>HYPERLINK("http://ictvonline.org/taxonomy/p/taxonomy-history?taxnode_id=201906565","ICTVonline=201906565")</f>
        <v>ICTVonline=201906565</v>
      </c>
    </row>
    <row r="2532" spans="1:23">
      <c r="A2532" s="3">
        <v>2531</v>
      </c>
      <c r="B2532" s="1" t="s">
        <v>8017</v>
      </c>
      <c r="D2532" s="1" t="s">
        <v>8049</v>
      </c>
      <c r="F2532" s="1" t="s">
        <v>8122</v>
      </c>
      <c r="H2532" s="1" t="s">
        <v>8123</v>
      </c>
      <c r="J2532" s="1" t="s">
        <v>8126</v>
      </c>
      <c r="L2532" s="1" t="s">
        <v>755</v>
      </c>
      <c r="N2532" s="1" t="s">
        <v>756</v>
      </c>
      <c r="P2532" s="1" t="s">
        <v>6827</v>
      </c>
      <c r="Q2532" s="3">
        <v>0</v>
      </c>
      <c r="R2532" s="22" t="s">
        <v>2724</v>
      </c>
      <c r="S2532" s="42" t="s">
        <v>6909</v>
      </c>
      <c r="T2532" s="3" t="s">
        <v>4868</v>
      </c>
      <c r="U2532" s="45">
        <v>35</v>
      </c>
      <c r="V2532" t="s">
        <v>8125</v>
      </c>
      <c r="W2532" s="1" t="str">
        <f>HYPERLINK("http://ictvonline.org/taxonomy/p/taxonomy-history?taxnode_id=201906566","ICTVonline=201906566")</f>
        <v>ICTVonline=201906566</v>
      </c>
    </row>
    <row r="2533" spans="1:23">
      <c r="A2533" s="3">
        <v>2532</v>
      </c>
      <c r="B2533" s="1" t="s">
        <v>8017</v>
      </c>
      <c r="D2533" s="1" t="s">
        <v>8049</v>
      </c>
      <c r="F2533" s="1" t="s">
        <v>8122</v>
      </c>
      <c r="H2533" s="1" t="s">
        <v>8123</v>
      </c>
      <c r="J2533" s="1" t="s">
        <v>8126</v>
      </c>
      <c r="L2533" s="1" t="s">
        <v>755</v>
      </c>
      <c r="N2533" s="1" t="s">
        <v>756</v>
      </c>
      <c r="P2533" s="1" t="s">
        <v>6828</v>
      </c>
      <c r="Q2533" s="3">
        <v>0</v>
      </c>
      <c r="R2533" s="22" t="s">
        <v>2724</v>
      </c>
      <c r="S2533" s="42" t="s">
        <v>6909</v>
      </c>
      <c r="T2533" s="3" t="s">
        <v>4868</v>
      </c>
      <c r="U2533" s="45">
        <v>35</v>
      </c>
      <c r="V2533" t="s">
        <v>8125</v>
      </c>
      <c r="W2533" s="1" t="str">
        <f>HYPERLINK("http://ictvonline.org/taxonomy/p/taxonomy-history?taxnode_id=201906567","ICTVonline=201906567")</f>
        <v>ICTVonline=201906567</v>
      </c>
    </row>
    <row r="2534" spans="1:23">
      <c r="A2534" s="3">
        <v>2533</v>
      </c>
      <c r="B2534" s="1" t="s">
        <v>8017</v>
      </c>
      <c r="D2534" s="1" t="s">
        <v>8049</v>
      </c>
      <c r="F2534" s="1" t="s">
        <v>8122</v>
      </c>
      <c r="H2534" s="1" t="s">
        <v>8123</v>
      </c>
      <c r="J2534" s="1" t="s">
        <v>8126</v>
      </c>
      <c r="L2534" s="1" t="s">
        <v>755</v>
      </c>
      <c r="N2534" s="1" t="s">
        <v>756</v>
      </c>
      <c r="P2534" s="1" t="s">
        <v>6829</v>
      </c>
      <c r="Q2534" s="3">
        <v>0</v>
      </c>
      <c r="R2534" s="22" t="s">
        <v>2724</v>
      </c>
      <c r="S2534" s="42" t="s">
        <v>6909</v>
      </c>
      <c r="T2534" s="3" t="s">
        <v>4868</v>
      </c>
      <c r="U2534" s="45">
        <v>35</v>
      </c>
      <c r="V2534" t="s">
        <v>8125</v>
      </c>
      <c r="W2534" s="1" t="str">
        <f>HYPERLINK("http://ictvonline.org/taxonomy/p/taxonomy-history?taxnode_id=201906568","ICTVonline=201906568")</f>
        <v>ICTVonline=201906568</v>
      </c>
    </row>
    <row r="2535" spans="1:23">
      <c r="A2535" s="3">
        <v>2534</v>
      </c>
      <c r="B2535" s="1" t="s">
        <v>8017</v>
      </c>
      <c r="D2535" s="1" t="s">
        <v>8049</v>
      </c>
      <c r="F2535" s="1" t="s">
        <v>8122</v>
      </c>
      <c r="H2535" s="1" t="s">
        <v>8123</v>
      </c>
      <c r="J2535" s="1" t="s">
        <v>8126</v>
      </c>
      <c r="L2535" s="1" t="s">
        <v>755</v>
      </c>
      <c r="N2535" s="1" t="s">
        <v>756</v>
      </c>
      <c r="P2535" s="1" t="s">
        <v>8131</v>
      </c>
      <c r="Q2535" s="3">
        <v>0</v>
      </c>
      <c r="R2535" s="22" t="s">
        <v>2724</v>
      </c>
      <c r="S2535" s="42" t="s">
        <v>6914</v>
      </c>
      <c r="T2535" s="3" t="s">
        <v>4866</v>
      </c>
      <c r="U2535" s="45">
        <v>35</v>
      </c>
      <c r="V2535" t="s">
        <v>8128</v>
      </c>
      <c r="W2535" s="1" t="str">
        <f>HYPERLINK("http://ictvonline.org/taxonomy/p/taxonomy-history?taxnode_id=201908678","ICTVonline=201908678")</f>
        <v>ICTVonline=201908678</v>
      </c>
    </row>
    <row r="2536" spans="1:23">
      <c r="A2536" s="3">
        <v>2535</v>
      </c>
      <c r="B2536" s="1" t="s">
        <v>8017</v>
      </c>
      <c r="D2536" s="1" t="s">
        <v>8049</v>
      </c>
      <c r="F2536" s="1" t="s">
        <v>8122</v>
      </c>
      <c r="H2536" s="1" t="s">
        <v>8123</v>
      </c>
      <c r="J2536" s="1" t="s">
        <v>8126</v>
      </c>
      <c r="L2536" s="1" t="s">
        <v>755</v>
      </c>
      <c r="N2536" s="1" t="s">
        <v>756</v>
      </c>
      <c r="P2536" s="1" t="s">
        <v>1944</v>
      </c>
      <c r="Q2536" s="3">
        <v>0</v>
      </c>
      <c r="R2536" s="22" t="s">
        <v>2724</v>
      </c>
      <c r="S2536" s="42" t="s">
        <v>6909</v>
      </c>
      <c r="T2536" s="3" t="s">
        <v>4868</v>
      </c>
      <c r="U2536" s="45">
        <v>35</v>
      </c>
      <c r="V2536" t="s">
        <v>8125</v>
      </c>
      <c r="W2536" s="1" t="str">
        <f>HYPERLINK("http://ictvonline.org/taxonomy/p/taxonomy-history?taxnode_id=201902927","ICTVonline=201902927")</f>
        <v>ICTVonline=201902927</v>
      </c>
    </row>
    <row r="2537" spans="1:23">
      <c r="A2537" s="3">
        <v>2536</v>
      </c>
      <c r="B2537" s="1" t="s">
        <v>8017</v>
      </c>
      <c r="D2537" s="1" t="s">
        <v>8049</v>
      </c>
      <c r="F2537" s="1" t="s">
        <v>8122</v>
      </c>
      <c r="H2537" s="1" t="s">
        <v>8123</v>
      </c>
      <c r="J2537" s="1" t="s">
        <v>8126</v>
      </c>
      <c r="L2537" s="1" t="s">
        <v>755</v>
      </c>
      <c r="N2537" s="1" t="s">
        <v>756</v>
      </c>
      <c r="P2537" s="1" t="s">
        <v>1827</v>
      </c>
      <c r="Q2537" s="3">
        <v>0</v>
      </c>
      <c r="R2537" s="22" t="s">
        <v>2724</v>
      </c>
      <c r="S2537" s="42" t="s">
        <v>6909</v>
      </c>
      <c r="T2537" s="3" t="s">
        <v>4868</v>
      </c>
      <c r="U2537" s="45">
        <v>35</v>
      </c>
      <c r="V2537" t="s">
        <v>8125</v>
      </c>
      <c r="W2537" s="1" t="str">
        <f>HYPERLINK("http://ictvonline.org/taxonomy/p/taxonomy-history?taxnode_id=201902928","ICTVonline=201902928")</f>
        <v>ICTVonline=201902928</v>
      </c>
    </row>
    <row r="2538" spans="1:23">
      <c r="A2538" s="3">
        <v>2537</v>
      </c>
      <c r="B2538" s="1" t="s">
        <v>8017</v>
      </c>
      <c r="D2538" s="1" t="s">
        <v>8049</v>
      </c>
      <c r="F2538" s="1" t="s">
        <v>8122</v>
      </c>
      <c r="H2538" s="1" t="s">
        <v>8123</v>
      </c>
      <c r="J2538" s="1" t="s">
        <v>8126</v>
      </c>
      <c r="L2538" s="1" t="s">
        <v>755</v>
      </c>
      <c r="N2538" s="1" t="s">
        <v>756</v>
      </c>
      <c r="P2538" s="1" t="s">
        <v>6830</v>
      </c>
      <c r="Q2538" s="3">
        <v>0</v>
      </c>
      <c r="R2538" s="22" t="s">
        <v>2724</v>
      </c>
      <c r="S2538" s="42" t="s">
        <v>6909</v>
      </c>
      <c r="T2538" s="3" t="s">
        <v>4868</v>
      </c>
      <c r="U2538" s="45">
        <v>35</v>
      </c>
      <c r="V2538" t="s">
        <v>8125</v>
      </c>
      <c r="W2538" s="1" t="str">
        <f>HYPERLINK("http://ictvonline.org/taxonomy/p/taxonomy-history?taxnode_id=201906569","ICTVonline=201906569")</f>
        <v>ICTVonline=201906569</v>
      </c>
    </row>
    <row r="2539" spans="1:23">
      <c r="A2539" s="3">
        <v>2538</v>
      </c>
      <c r="B2539" s="1" t="s">
        <v>8017</v>
      </c>
      <c r="D2539" s="1" t="s">
        <v>8049</v>
      </c>
      <c r="F2539" s="1" t="s">
        <v>8122</v>
      </c>
      <c r="H2539" s="1" t="s">
        <v>8123</v>
      </c>
      <c r="J2539" s="1" t="s">
        <v>8126</v>
      </c>
      <c r="L2539" s="1" t="s">
        <v>755</v>
      </c>
      <c r="N2539" s="1" t="s">
        <v>756</v>
      </c>
      <c r="P2539" s="1" t="s">
        <v>6831</v>
      </c>
      <c r="Q2539" s="3">
        <v>0</v>
      </c>
      <c r="R2539" s="22" t="s">
        <v>2724</v>
      </c>
      <c r="S2539" s="42" t="s">
        <v>6909</v>
      </c>
      <c r="T2539" s="3" t="s">
        <v>4868</v>
      </c>
      <c r="U2539" s="45">
        <v>35</v>
      </c>
      <c r="V2539" t="s">
        <v>8125</v>
      </c>
      <c r="W2539" s="1" t="str">
        <f>HYPERLINK("http://ictvonline.org/taxonomy/p/taxonomy-history?taxnode_id=201906570","ICTVonline=201906570")</f>
        <v>ICTVonline=201906570</v>
      </c>
    </row>
    <row r="2540" spans="1:23">
      <c r="A2540" s="3">
        <v>2539</v>
      </c>
      <c r="B2540" s="1" t="s">
        <v>8017</v>
      </c>
      <c r="D2540" s="1" t="s">
        <v>8049</v>
      </c>
      <c r="F2540" s="1" t="s">
        <v>8122</v>
      </c>
      <c r="H2540" s="1" t="s">
        <v>8123</v>
      </c>
      <c r="J2540" s="1" t="s">
        <v>8126</v>
      </c>
      <c r="L2540" s="1" t="s">
        <v>755</v>
      </c>
      <c r="N2540" s="1" t="s">
        <v>756</v>
      </c>
      <c r="P2540" s="1" t="s">
        <v>3712</v>
      </c>
      <c r="Q2540" s="3">
        <v>0</v>
      </c>
      <c r="R2540" s="22" t="s">
        <v>2724</v>
      </c>
      <c r="S2540" s="42" t="s">
        <v>6909</v>
      </c>
      <c r="T2540" s="3" t="s">
        <v>4868</v>
      </c>
      <c r="U2540" s="45">
        <v>35</v>
      </c>
      <c r="V2540" t="s">
        <v>8125</v>
      </c>
      <c r="W2540" s="1" t="str">
        <f>HYPERLINK("http://ictvonline.org/taxonomy/p/taxonomy-history?taxnode_id=201902929","ICTVonline=201902929")</f>
        <v>ICTVonline=201902929</v>
      </c>
    </row>
    <row r="2541" spans="1:23">
      <c r="A2541" s="3">
        <v>2540</v>
      </c>
      <c r="B2541" s="1" t="s">
        <v>8017</v>
      </c>
      <c r="D2541" s="1" t="s">
        <v>8049</v>
      </c>
      <c r="F2541" s="1" t="s">
        <v>8122</v>
      </c>
      <c r="H2541" s="1" t="s">
        <v>8123</v>
      </c>
      <c r="J2541" s="1" t="s">
        <v>8126</v>
      </c>
      <c r="L2541" s="1" t="s">
        <v>755</v>
      </c>
      <c r="N2541" s="1" t="s">
        <v>3713</v>
      </c>
      <c r="P2541" s="1" t="s">
        <v>8132</v>
      </c>
      <c r="Q2541" s="3">
        <v>0</v>
      </c>
      <c r="R2541" s="22" t="s">
        <v>2724</v>
      </c>
      <c r="S2541" s="42" t="s">
        <v>6914</v>
      </c>
      <c r="T2541" s="3" t="s">
        <v>4866</v>
      </c>
      <c r="U2541" s="45">
        <v>35</v>
      </c>
      <c r="V2541" t="s">
        <v>8128</v>
      </c>
      <c r="W2541" s="1" t="str">
        <f>HYPERLINK("http://ictvonline.org/taxonomy/p/taxonomy-history?taxnode_id=201908681","ICTVonline=201908681")</f>
        <v>ICTVonline=201908681</v>
      </c>
    </row>
    <row r="2542" spans="1:23">
      <c r="A2542" s="3">
        <v>2541</v>
      </c>
      <c r="B2542" s="1" t="s">
        <v>8017</v>
      </c>
      <c r="D2542" s="1" t="s">
        <v>8049</v>
      </c>
      <c r="F2542" s="1" t="s">
        <v>8122</v>
      </c>
      <c r="H2542" s="1" t="s">
        <v>8123</v>
      </c>
      <c r="J2542" s="1" t="s">
        <v>8126</v>
      </c>
      <c r="L2542" s="1" t="s">
        <v>755</v>
      </c>
      <c r="N2542" s="1" t="s">
        <v>3713</v>
      </c>
      <c r="P2542" s="1" t="s">
        <v>4903</v>
      </c>
      <c r="Q2542" s="3">
        <v>0</v>
      </c>
      <c r="R2542" s="22" t="s">
        <v>2724</v>
      </c>
      <c r="S2542" s="42" t="s">
        <v>6909</v>
      </c>
      <c r="T2542" s="3" t="s">
        <v>4868</v>
      </c>
      <c r="U2542" s="45">
        <v>35</v>
      </c>
      <c r="V2542" t="s">
        <v>8125</v>
      </c>
      <c r="W2542" s="1" t="str">
        <f>HYPERLINK("http://ictvonline.org/taxonomy/p/taxonomy-history?taxnode_id=201902931","ICTVonline=201902931")</f>
        <v>ICTVonline=201902931</v>
      </c>
    </row>
    <row r="2543" spans="1:23">
      <c r="A2543" s="3">
        <v>2542</v>
      </c>
      <c r="B2543" s="1" t="s">
        <v>8017</v>
      </c>
      <c r="D2543" s="1" t="s">
        <v>8049</v>
      </c>
      <c r="F2543" s="1" t="s">
        <v>8122</v>
      </c>
      <c r="H2543" s="1" t="s">
        <v>8123</v>
      </c>
      <c r="J2543" s="1" t="s">
        <v>8126</v>
      </c>
      <c r="L2543" s="1" t="s">
        <v>755</v>
      </c>
      <c r="N2543" s="1" t="s">
        <v>3713</v>
      </c>
      <c r="P2543" s="1" t="s">
        <v>4904</v>
      </c>
      <c r="Q2543" s="3">
        <v>0</v>
      </c>
      <c r="R2543" s="22" t="s">
        <v>2724</v>
      </c>
      <c r="S2543" s="42" t="s">
        <v>6909</v>
      </c>
      <c r="T2543" s="3" t="s">
        <v>4868</v>
      </c>
      <c r="U2543" s="45">
        <v>35</v>
      </c>
      <c r="V2543" t="s">
        <v>8125</v>
      </c>
      <c r="W2543" s="1" t="str">
        <f>HYPERLINK("http://ictvonline.org/taxonomy/p/taxonomy-history?taxnode_id=201902932","ICTVonline=201902932")</f>
        <v>ICTVonline=201902932</v>
      </c>
    </row>
    <row r="2544" spans="1:23">
      <c r="A2544" s="3">
        <v>2543</v>
      </c>
      <c r="B2544" s="1" t="s">
        <v>8017</v>
      </c>
      <c r="D2544" s="1" t="s">
        <v>8049</v>
      </c>
      <c r="F2544" s="1" t="s">
        <v>8122</v>
      </c>
      <c r="H2544" s="1" t="s">
        <v>8123</v>
      </c>
      <c r="J2544" s="1" t="s">
        <v>8126</v>
      </c>
      <c r="L2544" s="1" t="s">
        <v>755</v>
      </c>
      <c r="N2544" s="1" t="s">
        <v>3713</v>
      </c>
      <c r="P2544" s="1" t="s">
        <v>4905</v>
      </c>
      <c r="Q2544" s="3">
        <v>0</v>
      </c>
      <c r="R2544" s="22" t="s">
        <v>2724</v>
      </c>
      <c r="S2544" s="42" t="s">
        <v>6909</v>
      </c>
      <c r="T2544" s="3" t="s">
        <v>4868</v>
      </c>
      <c r="U2544" s="45">
        <v>35</v>
      </c>
      <c r="V2544" t="s">
        <v>8125</v>
      </c>
      <c r="W2544" s="1" t="str">
        <f>HYPERLINK("http://ictvonline.org/taxonomy/p/taxonomy-history?taxnode_id=201902933","ICTVonline=201902933")</f>
        <v>ICTVonline=201902933</v>
      </c>
    </row>
    <row r="2545" spans="1:23">
      <c r="A2545" s="3">
        <v>2544</v>
      </c>
      <c r="B2545" s="1" t="s">
        <v>8017</v>
      </c>
      <c r="D2545" s="1" t="s">
        <v>8049</v>
      </c>
      <c r="F2545" s="1" t="s">
        <v>8122</v>
      </c>
      <c r="H2545" s="1" t="s">
        <v>8123</v>
      </c>
      <c r="J2545" s="1" t="s">
        <v>8126</v>
      </c>
      <c r="L2545" s="1" t="s">
        <v>755</v>
      </c>
      <c r="N2545" s="1" t="s">
        <v>3713</v>
      </c>
      <c r="P2545" s="1" t="s">
        <v>4906</v>
      </c>
      <c r="Q2545" s="3">
        <v>0</v>
      </c>
      <c r="R2545" s="22" t="s">
        <v>2724</v>
      </c>
      <c r="S2545" s="42" t="s">
        <v>6909</v>
      </c>
      <c r="T2545" s="3" t="s">
        <v>4868</v>
      </c>
      <c r="U2545" s="45">
        <v>35</v>
      </c>
      <c r="V2545" t="s">
        <v>8125</v>
      </c>
      <c r="W2545" s="1" t="str">
        <f>HYPERLINK("http://ictvonline.org/taxonomy/p/taxonomy-history?taxnode_id=201902934","ICTVonline=201902934")</f>
        <v>ICTVonline=201902934</v>
      </c>
    </row>
    <row r="2546" spans="1:23">
      <c r="A2546" s="3">
        <v>2545</v>
      </c>
      <c r="B2546" s="1" t="s">
        <v>8017</v>
      </c>
      <c r="D2546" s="1" t="s">
        <v>8049</v>
      </c>
      <c r="F2546" s="1" t="s">
        <v>8122</v>
      </c>
      <c r="H2546" s="1" t="s">
        <v>8123</v>
      </c>
      <c r="J2546" s="1" t="s">
        <v>8126</v>
      </c>
      <c r="L2546" s="1" t="s">
        <v>755</v>
      </c>
      <c r="N2546" s="1" t="s">
        <v>3713</v>
      </c>
      <c r="P2546" s="1" t="s">
        <v>4907</v>
      </c>
      <c r="Q2546" s="3">
        <v>0</v>
      </c>
      <c r="R2546" s="22" t="s">
        <v>2724</v>
      </c>
      <c r="S2546" s="42" t="s">
        <v>6909</v>
      </c>
      <c r="T2546" s="3" t="s">
        <v>4868</v>
      </c>
      <c r="U2546" s="45">
        <v>35</v>
      </c>
      <c r="V2546" t="s">
        <v>8125</v>
      </c>
      <c r="W2546" s="1" t="str">
        <f>HYPERLINK("http://ictvonline.org/taxonomy/p/taxonomy-history?taxnode_id=201902935","ICTVonline=201902935")</f>
        <v>ICTVonline=201902935</v>
      </c>
    </row>
    <row r="2547" spans="1:23">
      <c r="A2547" s="3">
        <v>2546</v>
      </c>
      <c r="B2547" s="1" t="s">
        <v>8017</v>
      </c>
      <c r="D2547" s="1" t="s">
        <v>8049</v>
      </c>
      <c r="F2547" s="1" t="s">
        <v>8122</v>
      </c>
      <c r="H2547" s="1" t="s">
        <v>8123</v>
      </c>
      <c r="J2547" s="1" t="s">
        <v>8126</v>
      </c>
      <c r="L2547" s="1" t="s">
        <v>755</v>
      </c>
      <c r="N2547" s="1" t="s">
        <v>3713</v>
      </c>
      <c r="P2547" s="1" t="s">
        <v>4594</v>
      </c>
      <c r="Q2547" s="3">
        <v>0</v>
      </c>
      <c r="R2547" s="22" t="s">
        <v>2724</v>
      </c>
      <c r="S2547" s="42" t="s">
        <v>6909</v>
      </c>
      <c r="T2547" s="3" t="s">
        <v>4868</v>
      </c>
      <c r="U2547" s="45">
        <v>35</v>
      </c>
      <c r="V2547" t="s">
        <v>8125</v>
      </c>
      <c r="W2547" s="1" t="str">
        <f>HYPERLINK("http://ictvonline.org/taxonomy/p/taxonomy-history?taxnode_id=201902936","ICTVonline=201902936")</f>
        <v>ICTVonline=201902936</v>
      </c>
    </row>
    <row r="2548" spans="1:23">
      <c r="A2548" s="3">
        <v>2547</v>
      </c>
      <c r="B2548" s="1" t="s">
        <v>8017</v>
      </c>
      <c r="D2548" s="1" t="s">
        <v>8049</v>
      </c>
      <c r="F2548" s="1" t="s">
        <v>8122</v>
      </c>
      <c r="H2548" s="1" t="s">
        <v>8123</v>
      </c>
      <c r="J2548" s="1" t="s">
        <v>8126</v>
      </c>
      <c r="L2548" s="1" t="s">
        <v>755</v>
      </c>
      <c r="N2548" s="1" t="s">
        <v>3713</v>
      </c>
      <c r="P2548" s="1" t="s">
        <v>4595</v>
      </c>
      <c r="Q2548" s="3">
        <v>0</v>
      </c>
      <c r="R2548" s="22" t="s">
        <v>2724</v>
      </c>
      <c r="S2548" s="42" t="s">
        <v>6909</v>
      </c>
      <c r="T2548" s="3" t="s">
        <v>4868</v>
      </c>
      <c r="U2548" s="45">
        <v>35</v>
      </c>
      <c r="V2548" t="s">
        <v>8125</v>
      </c>
      <c r="W2548" s="1" t="str">
        <f>HYPERLINK("http://ictvonline.org/taxonomy/p/taxonomy-history?taxnode_id=201902937","ICTVonline=201902937")</f>
        <v>ICTVonline=201902937</v>
      </c>
    </row>
    <row r="2549" spans="1:23">
      <c r="A2549" s="3">
        <v>2548</v>
      </c>
      <c r="B2549" s="1" t="s">
        <v>8017</v>
      </c>
      <c r="D2549" s="1" t="s">
        <v>8049</v>
      </c>
      <c r="F2549" s="1" t="s">
        <v>8122</v>
      </c>
      <c r="H2549" s="1" t="s">
        <v>8123</v>
      </c>
      <c r="J2549" s="1" t="s">
        <v>8126</v>
      </c>
      <c r="L2549" s="1" t="s">
        <v>755</v>
      </c>
      <c r="N2549" s="1" t="s">
        <v>3713</v>
      </c>
      <c r="P2549" s="1" t="s">
        <v>4596</v>
      </c>
      <c r="Q2549" s="3">
        <v>0</v>
      </c>
      <c r="R2549" s="22" t="s">
        <v>2724</v>
      </c>
      <c r="S2549" s="42" t="s">
        <v>6909</v>
      </c>
      <c r="T2549" s="3" t="s">
        <v>4868</v>
      </c>
      <c r="U2549" s="45">
        <v>35</v>
      </c>
      <c r="V2549" t="s">
        <v>8125</v>
      </c>
      <c r="W2549" s="1" t="str">
        <f>HYPERLINK("http://ictvonline.org/taxonomy/p/taxonomy-history?taxnode_id=201902938","ICTVonline=201902938")</f>
        <v>ICTVonline=201902938</v>
      </c>
    </row>
    <row r="2550" spans="1:23">
      <c r="A2550" s="3">
        <v>2549</v>
      </c>
      <c r="B2550" s="1" t="s">
        <v>8017</v>
      </c>
      <c r="D2550" s="1" t="s">
        <v>8049</v>
      </c>
      <c r="F2550" s="1" t="s">
        <v>8122</v>
      </c>
      <c r="H2550" s="1" t="s">
        <v>8123</v>
      </c>
      <c r="J2550" s="1" t="s">
        <v>8126</v>
      </c>
      <c r="L2550" s="1" t="s">
        <v>755</v>
      </c>
      <c r="N2550" s="1" t="s">
        <v>3713</v>
      </c>
      <c r="P2550" s="1" t="s">
        <v>4597</v>
      </c>
      <c r="Q2550" s="3">
        <v>0</v>
      </c>
      <c r="R2550" s="22" t="s">
        <v>2724</v>
      </c>
      <c r="S2550" s="42" t="s">
        <v>6909</v>
      </c>
      <c r="T2550" s="3" t="s">
        <v>4868</v>
      </c>
      <c r="U2550" s="45">
        <v>35</v>
      </c>
      <c r="V2550" t="s">
        <v>8125</v>
      </c>
      <c r="W2550" s="1" t="str">
        <f>HYPERLINK("http://ictvonline.org/taxonomy/p/taxonomy-history?taxnode_id=201902939","ICTVonline=201902939")</f>
        <v>ICTVonline=201902939</v>
      </c>
    </row>
    <row r="2551" spans="1:23">
      <c r="A2551" s="3">
        <v>2550</v>
      </c>
      <c r="B2551" s="1" t="s">
        <v>8017</v>
      </c>
      <c r="D2551" s="1" t="s">
        <v>8049</v>
      </c>
      <c r="F2551" s="1" t="s">
        <v>8122</v>
      </c>
      <c r="H2551" s="1" t="s">
        <v>8123</v>
      </c>
      <c r="J2551" s="1" t="s">
        <v>8126</v>
      </c>
      <c r="L2551" s="1" t="s">
        <v>755</v>
      </c>
      <c r="N2551" s="1" t="s">
        <v>3713</v>
      </c>
      <c r="P2551" s="1" t="s">
        <v>4598</v>
      </c>
      <c r="Q2551" s="3">
        <v>0</v>
      </c>
      <c r="R2551" s="22" t="s">
        <v>2724</v>
      </c>
      <c r="S2551" s="42" t="s">
        <v>6909</v>
      </c>
      <c r="T2551" s="3" t="s">
        <v>4868</v>
      </c>
      <c r="U2551" s="45">
        <v>35</v>
      </c>
      <c r="V2551" t="s">
        <v>8125</v>
      </c>
      <c r="W2551" s="1" t="str">
        <f>HYPERLINK("http://ictvonline.org/taxonomy/p/taxonomy-history?taxnode_id=201902940","ICTVonline=201902940")</f>
        <v>ICTVonline=201902940</v>
      </c>
    </row>
    <row r="2552" spans="1:23">
      <c r="A2552" s="3">
        <v>2551</v>
      </c>
      <c r="B2552" s="1" t="s">
        <v>8017</v>
      </c>
      <c r="D2552" s="1" t="s">
        <v>8049</v>
      </c>
      <c r="F2552" s="1" t="s">
        <v>8122</v>
      </c>
      <c r="H2552" s="1" t="s">
        <v>8123</v>
      </c>
      <c r="J2552" s="1" t="s">
        <v>8126</v>
      </c>
      <c r="L2552" s="1" t="s">
        <v>755</v>
      </c>
      <c r="N2552" s="1" t="s">
        <v>3713</v>
      </c>
      <c r="P2552" s="1" t="s">
        <v>4599</v>
      </c>
      <c r="Q2552" s="3">
        <v>0</v>
      </c>
      <c r="R2552" s="22" t="s">
        <v>2724</v>
      </c>
      <c r="S2552" s="42" t="s">
        <v>6909</v>
      </c>
      <c r="T2552" s="3" t="s">
        <v>4868</v>
      </c>
      <c r="U2552" s="45">
        <v>35</v>
      </c>
      <c r="V2552" t="s">
        <v>8125</v>
      </c>
      <c r="W2552" s="1" t="str">
        <f>HYPERLINK("http://ictvonline.org/taxonomy/p/taxonomy-history?taxnode_id=201902941","ICTVonline=201902941")</f>
        <v>ICTVonline=201902941</v>
      </c>
    </row>
    <row r="2553" spans="1:23">
      <c r="A2553" s="3">
        <v>2552</v>
      </c>
      <c r="B2553" s="1" t="s">
        <v>8017</v>
      </c>
      <c r="D2553" s="1" t="s">
        <v>8049</v>
      </c>
      <c r="F2553" s="1" t="s">
        <v>8122</v>
      </c>
      <c r="H2553" s="1" t="s">
        <v>8123</v>
      </c>
      <c r="J2553" s="1" t="s">
        <v>8126</v>
      </c>
      <c r="L2553" s="1" t="s">
        <v>755</v>
      </c>
      <c r="N2553" s="1" t="s">
        <v>3713</v>
      </c>
      <c r="P2553" s="1" t="s">
        <v>4600</v>
      </c>
      <c r="Q2553" s="3">
        <v>0</v>
      </c>
      <c r="R2553" s="22" t="s">
        <v>2724</v>
      </c>
      <c r="S2553" s="42" t="s">
        <v>6909</v>
      </c>
      <c r="T2553" s="3" t="s">
        <v>4868</v>
      </c>
      <c r="U2553" s="45">
        <v>35</v>
      </c>
      <c r="V2553" t="s">
        <v>8125</v>
      </c>
      <c r="W2553" s="1" t="str">
        <f>HYPERLINK("http://ictvonline.org/taxonomy/p/taxonomy-history?taxnode_id=201902942","ICTVonline=201902942")</f>
        <v>ICTVonline=201902942</v>
      </c>
    </row>
    <row r="2554" spans="1:23">
      <c r="A2554" s="3">
        <v>2553</v>
      </c>
      <c r="B2554" s="1" t="s">
        <v>8017</v>
      </c>
      <c r="D2554" s="1" t="s">
        <v>8049</v>
      </c>
      <c r="F2554" s="1" t="s">
        <v>8122</v>
      </c>
      <c r="H2554" s="1" t="s">
        <v>8123</v>
      </c>
      <c r="J2554" s="1" t="s">
        <v>8126</v>
      </c>
      <c r="L2554" s="1" t="s">
        <v>755</v>
      </c>
      <c r="N2554" s="1" t="s">
        <v>3713</v>
      </c>
      <c r="P2554" s="1" t="s">
        <v>4601</v>
      </c>
      <c r="Q2554" s="3">
        <v>0</v>
      </c>
      <c r="R2554" s="22" t="s">
        <v>2724</v>
      </c>
      <c r="S2554" s="42" t="s">
        <v>6909</v>
      </c>
      <c r="T2554" s="3" t="s">
        <v>4868</v>
      </c>
      <c r="U2554" s="45">
        <v>35</v>
      </c>
      <c r="V2554" t="s">
        <v>8125</v>
      </c>
      <c r="W2554" s="1" t="str">
        <f>HYPERLINK("http://ictvonline.org/taxonomy/p/taxonomy-history?taxnode_id=201902943","ICTVonline=201902943")</f>
        <v>ICTVonline=201902943</v>
      </c>
    </row>
    <row r="2555" spans="1:23">
      <c r="A2555" s="3">
        <v>2554</v>
      </c>
      <c r="B2555" s="1" t="s">
        <v>8017</v>
      </c>
      <c r="D2555" s="1" t="s">
        <v>8049</v>
      </c>
      <c r="F2555" s="1" t="s">
        <v>8122</v>
      </c>
      <c r="H2555" s="1" t="s">
        <v>8123</v>
      </c>
      <c r="J2555" s="1" t="s">
        <v>8126</v>
      </c>
      <c r="L2555" s="1" t="s">
        <v>755</v>
      </c>
      <c r="N2555" s="1" t="s">
        <v>3713</v>
      </c>
      <c r="P2555" s="1" t="s">
        <v>4602</v>
      </c>
      <c r="Q2555" s="3">
        <v>0</v>
      </c>
      <c r="R2555" s="22" t="s">
        <v>2724</v>
      </c>
      <c r="S2555" s="42" t="s">
        <v>6909</v>
      </c>
      <c r="T2555" s="3" t="s">
        <v>4868</v>
      </c>
      <c r="U2555" s="45">
        <v>35</v>
      </c>
      <c r="V2555" t="s">
        <v>8125</v>
      </c>
      <c r="W2555" s="1" t="str">
        <f>HYPERLINK("http://ictvonline.org/taxonomy/p/taxonomy-history?taxnode_id=201902944","ICTVonline=201902944")</f>
        <v>ICTVonline=201902944</v>
      </c>
    </row>
    <row r="2556" spans="1:23">
      <c r="A2556" s="3">
        <v>2555</v>
      </c>
      <c r="B2556" s="1" t="s">
        <v>8017</v>
      </c>
      <c r="D2556" s="1" t="s">
        <v>8049</v>
      </c>
      <c r="F2556" s="1" t="s">
        <v>8122</v>
      </c>
      <c r="H2556" s="1" t="s">
        <v>8123</v>
      </c>
      <c r="J2556" s="1" t="s">
        <v>8126</v>
      </c>
      <c r="L2556" s="1" t="s">
        <v>755</v>
      </c>
      <c r="N2556" s="1" t="s">
        <v>3713</v>
      </c>
      <c r="P2556" s="1" t="s">
        <v>4603</v>
      </c>
      <c r="Q2556" s="3">
        <v>0</v>
      </c>
      <c r="R2556" s="22" t="s">
        <v>2724</v>
      </c>
      <c r="S2556" s="42" t="s">
        <v>6909</v>
      </c>
      <c r="T2556" s="3" t="s">
        <v>4868</v>
      </c>
      <c r="U2556" s="45">
        <v>35</v>
      </c>
      <c r="V2556" t="s">
        <v>8125</v>
      </c>
      <c r="W2556" s="1" t="str">
        <f>HYPERLINK("http://ictvonline.org/taxonomy/p/taxonomy-history?taxnode_id=201902945","ICTVonline=201902945")</f>
        <v>ICTVonline=201902945</v>
      </c>
    </row>
    <row r="2557" spans="1:23">
      <c r="A2557" s="3">
        <v>2556</v>
      </c>
      <c r="B2557" s="1" t="s">
        <v>8017</v>
      </c>
      <c r="D2557" s="1" t="s">
        <v>8049</v>
      </c>
      <c r="F2557" s="1" t="s">
        <v>8122</v>
      </c>
      <c r="H2557" s="1" t="s">
        <v>8123</v>
      </c>
      <c r="J2557" s="1" t="s">
        <v>8126</v>
      </c>
      <c r="L2557" s="1" t="s">
        <v>755</v>
      </c>
      <c r="N2557" s="1" t="s">
        <v>3713</v>
      </c>
      <c r="P2557" s="1" t="s">
        <v>4604</v>
      </c>
      <c r="Q2557" s="3">
        <v>0</v>
      </c>
      <c r="R2557" s="22" t="s">
        <v>2724</v>
      </c>
      <c r="S2557" s="42" t="s">
        <v>6909</v>
      </c>
      <c r="T2557" s="3" t="s">
        <v>4868</v>
      </c>
      <c r="U2557" s="45">
        <v>35</v>
      </c>
      <c r="V2557" t="s">
        <v>8125</v>
      </c>
      <c r="W2557" s="1" t="str">
        <f>HYPERLINK("http://ictvonline.org/taxonomy/p/taxonomy-history?taxnode_id=201902946","ICTVonline=201902946")</f>
        <v>ICTVonline=201902946</v>
      </c>
    </row>
    <row r="2558" spans="1:23">
      <c r="A2558" s="3">
        <v>2557</v>
      </c>
      <c r="B2558" s="1" t="s">
        <v>8017</v>
      </c>
      <c r="D2558" s="1" t="s">
        <v>8049</v>
      </c>
      <c r="F2558" s="1" t="s">
        <v>8122</v>
      </c>
      <c r="H2558" s="1" t="s">
        <v>8123</v>
      </c>
      <c r="J2558" s="1" t="s">
        <v>8126</v>
      </c>
      <c r="L2558" s="1" t="s">
        <v>755</v>
      </c>
      <c r="N2558" s="1" t="s">
        <v>3713</v>
      </c>
      <c r="P2558" s="1" t="s">
        <v>4908</v>
      </c>
      <c r="Q2558" s="3">
        <v>0</v>
      </c>
      <c r="R2558" s="22" t="s">
        <v>2724</v>
      </c>
      <c r="S2558" s="42" t="s">
        <v>6909</v>
      </c>
      <c r="T2558" s="3" t="s">
        <v>4868</v>
      </c>
      <c r="U2558" s="45">
        <v>35</v>
      </c>
      <c r="V2558" t="s">
        <v>8125</v>
      </c>
      <c r="W2558" s="1" t="str">
        <f>HYPERLINK("http://ictvonline.org/taxonomy/p/taxonomy-history?taxnode_id=201902947","ICTVonline=201902947")</f>
        <v>ICTVonline=201902947</v>
      </c>
    </row>
    <row r="2559" spans="1:23">
      <c r="A2559" s="3">
        <v>2558</v>
      </c>
      <c r="B2559" s="1" t="s">
        <v>8017</v>
      </c>
      <c r="D2559" s="1" t="s">
        <v>8049</v>
      </c>
      <c r="F2559" s="1" t="s">
        <v>8122</v>
      </c>
      <c r="H2559" s="1" t="s">
        <v>8123</v>
      </c>
      <c r="J2559" s="1" t="s">
        <v>8126</v>
      </c>
      <c r="L2559" s="1" t="s">
        <v>755</v>
      </c>
      <c r="N2559" s="1" t="s">
        <v>3713</v>
      </c>
      <c r="P2559" s="1" t="s">
        <v>4909</v>
      </c>
      <c r="Q2559" s="3">
        <v>0</v>
      </c>
      <c r="R2559" s="22" t="s">
        <v>2724</v>
      </c>
      <c r="S2559" s="42" t="s">
        <v>6909</v>
      </c>
      <c r="T2559" s="3" t="s">
        <v>4868</v>
      </c>
      <c r="U2559" s="45">
        <v>35</v>
      </c>
      <c r="V2559" t="s">
        <v>8125</v>
      </c>
      <c r="W2559" s="1" t="str">
        <f>HYPERLINK("http://ictvonline.org/taxonomy/p/taxonomy-history?taxnode_id=201902948","ICTVonline=201902948")</f>
        <v>ICTVonline=201902948</v>
      </c>
    </row>
    <row r="2560" spans="1:23">
      <c r="A2560" s="3">
        <v>2559</v>
      </c>
      <c r="B2560" s="1" t="s">
        <v>8017</v>
      </c>
      <c r="D2560" s="1" t="s">
        <v>8049</v>
      </c>
      <c r="F2560" s="1" t="s">
        <v>8122</v>
      </c>
      <c r="H2560" s="1" t="s">
        <v>8123</v>
      </c>
      <c r="J2560" s="1" t="s">
        <v>8126</v>
      </c>
      <c r="L2560" s="1" t="s">
        <v>755</v>
      </c>
      <c r="N2560" s="1" t="s">
        <v>3713</v>
      </c>
      <c r="P2560" s="1" t="s">
        <v>8133</v>
      </c>
      <c r="Q2560" s="3">
        <v>0</v>
      </c>
      <c r="R2560" s="22" t="s">
        <v>2724</v>
      </c>
      <c r="S2560" s="42" t="s">
        <v>6914</v>
      </c>
      <c r="T2560" s="3" t="s">
        <v>4866</v>
      </c>
      <c r="U2560" s="45">
        <v>35</v>
      </c>
      <c r="V2560" t="s">
        <v>8128</v>
      </c>
      <c r="W2560" s="1" t="str">
        <f>HYPERLINK("http://ictvonline.org/taxonomy/p/taxonomy-history?taxnode_id=201908680","ICTVonline=201908680")</f>
        <v>ICTVonline=201908680</v>
      </c>
    </row>
    <row r="2561" spans="1:23">
      <c r="A2561" s="3">
        <v>2560</v>
      </c>
      <c r="B2561" s="1" t="s">
        <v>8017</v>
      </c>
      <c r="D2561" s="1" t="s">
        <v>8049</v>
      </c>
      <c r="F2561" s="1" t="s">
        <v>8122</v>
      </c>
      <c r="H2561" s="1" t="s">
        <v>8123</v>
      </c>
      <c r="J2561" s="1" t="s">
        <v>8126</v>
      </c>
      <c r="L2561" s="1" t="s">
        <v>755</v>
      </c>
      <c r="N2561" s="1" t="s">
        <v>3713</v>
      </c>
      <c r="P2561" s="1" t="s">
        <v>4910</v>
      </c>
      <c r="Q2561" s="3">
        <v>0</v>
      </c>
      <c r="R2561" s="22" t="s">
        <v>2724</v>
      </c>
      <c r="S2561" s="42" t="s">
        <v>6909</v>
      </c>
      <c r="T2561" s="3" t="s">
        <v>4868</v>
      </c>
      <c r="U2561" s="45">
        <v>35</v>
      </c>
      <c r="V2561" t="s">
        <v>8125</v>
      </c>
      <c r="W2561" s="1" t="str">
        <f>HYPERLINK("http://ictvonline.org/taxonomy/p/taxonomy-history?taxnode_id=201902949","ICTVonline=201902949")</f>
        <v>ICTVonline=201902949</v>
      </c>
    </row>
    <row r="2562" spans="1:23">
      <c r="A2562" s="3">
        <v>2561</v>
      </c>
      <c r="B2562" s="1" t="s">
        <v>8017</v>
      </c>
      <c r="D2562" s="1" t="s">
        <v>8049</v>
      </c>
      <c r="F2562" s="1" t="s">
        <v>8122</v>
      </c>
      <c r="H2562" s="1" t="s">
        <v>8123</v>
      </c>
      <c r="J2562" s="1" t="s">
        <v>8126</v>
      </c>
      <c r="L2562" s="1" t="s">
        <v>755</v>
      </c>
      <c r="N2562" s="1" t="s">
        <v>3713</v>
      </c>
      <c r="P2562" s="1" t="s">
        <v>4911</v>
      </c>
      <c r="Q2562" s="3">
        <v>0</v>
      </c>
      <c r="R2562" s="22" t="s">
        <v>2724</v>
      </c>
      <c r="S2562" s="42" t="s">
        <v>6909</v>
      </c>
      <c r="T2562" s="3" t="s">
        <v>4868</v>
      </c>
      <c r="U2562" s="45">
        <v>35</v>
      </c>
      <c r="V2562" t="s">
        <v>8125</v>
      </c>
      <c r="W2562" s="1" t="str">
        <f>HYPERLINK("http://ictvonline.org/taxonomy/p/taxonomy-history?taxnode_id=201902950","ICTVonline=201902950")</f>
        <v>ICTVonline=201902950</v>
      </c>
    </row>
    <row r="2563" spans="1:23">
      <c r="A2563" s="3">
        <v>2562</v>
      </c>
      <c r="B2563" s="1" t="s">
        <v>8017</v>
      </c>
      <c r="D2563" s="1" t="s">
        <v>8049</v>
      </c>
      <c r="F2563" s="1" t="s">
        <v>8122</v>
      </c>
      <c r="H2563" s="1" t="s">
        <v>8123</v>
      </c>
      <c r="J2563" s="1" t="s">
        <v>8126</v>
      </c>
      <c r="L2563" s="1" t="s">
        <v>755</v>
      </c>
      <c r="N2563" s="1" t="s">
        <v>3713</v>
      </c>
      <c r="P2563" s="1" t="s">
        <v>4912</v>
      </c>
      <c r="Q2563" s="3">
        <v>0</v>
      </c>
      <c r="R2563" s="22" t="s">
        <v>2724</v>
      </c>
      <c r="S2563" s="42" t="s">
        <v>6909</v>
      </c>
      <c r="T2563" s="3" t="s">
        <v>4868</v>
      </c>
      <c r="U2563" s="45">
        <v>35</v>
      </c>
      <c r="V2563" t="s">
        <v>8125</v>
      </c>
      <c r="W2563" s="1" t="str">
        <f>HYPERLINK("http://ictvonline.org/taxonomy/p/taxonomy-history?taxnode_id=201902951","ICTVonline=201902951")</f>
        <v>ICTVonline=201902951</v>
      </c>
    </row>
    <row r="2564" spans="1:23">
      <c r="A2564" s="3">
        <v>2563</v>
      </c>
      <c r="B2564" s="1" t="s">
        <v>8017</v>
      </c>
      <c r="D2564" s="1" t="s">
        <v>8049</v>
      </c>
      <c r="F2564" s="1" t="s">
        <v>8122</v>
      </c>
      <c r="H2564" s="1" t="s">
        <v>8123</v>
      </c>
      <c r="J2564" s="1" t="s">
        <v>8126</v>
      </c>
      <c r="L2564" s="1" t="s">
        <v>755</v>
      </c>
      <c r="N2564" s="1" t="s">
        <v>3713</v>
      </c>
      <c r="P2564" s="1" t="s">
        <v>4913</v>
      </c>
      <c r="Q2564" s="3">
        <v>0</v>
      </c>
      <c r="R2564" s="22" t="s">
        <v>2724</v>
      </c>
      <c r="S2564" s="42" t="s">
        <v>6909</v>
      </c>
      <c r="T2564" s="3" t="s">
        <v>4868</v>
      </c>
      <c r="U2564" s="45">
        <v>35</v>
      </c>
      <c r="V2564" t="s">
        <v>8125</v>
      </c>
      <c r="W2564" s="1" t="str">
        <f>HYPERLINK("http://ictvonline.org/taxonomy/p/taxonomy-history?taxnode_id=201902952","ICTVonline=201902952")</f>
        <v>ICTVonline=201902952</v>
      </c>
    </row>
    <row r="2565" spans="1:23">
      <c r="A2565" s="3">
        <v>2564</v>
      </c>
      <c r="B2565" s="1" t="s">
        <v>8017</v>
      </c>
      <c r="D2565" s="1" t="s">
        <v>8049</v>
      </c>
      <c r="F2565" s="1" t="s">
        <v>8122</v>
      </c>
      <c r="H2565" s="1" t="s">
        <v>8123</v>
      </c>
      <c r="J2565" s="1" t="s">
        <v>8126</v>
      </c>
      <c r="L2565" s="1" t="s">
        <v>755</v>
      </c>
      <c r="N2565" s="1" t="s">
        <v>3713</v>
      </c>
      <c r="P2565" s="1" t="s">
        <v>4914</v>
      </c>
      <c r="Q2565" s="3">
        <v>0</v>
      </c>
      <c r="R2565" s="22" t="s">
        <v>2724</v>
      </c>
      <c r="S2565" s="42" t="s">
        <v>6909</v>
      </c>
      <c r="T2565" s="3" t="s">
        <v>4868</v>
      </c>
      <c r="U2565" s="45">
        <v>35</v>
      </c>
      <c r="V2565" t="s">
        <v>8125</v>
      </c>
      <c r="W2565" s="1" t="str">
        <f>HYPERLINK("http://ictvonline.org/taxonomy/p/taxonomy-history?taxnode_id=201902953","ICTVonline=201902953")</f>
        <v>ICTVonline=201902953</v>
      </c>
    </row>
    <row r="2566" spans="1:23">
      <c r="A2566" s="3">
        <v>2565</v>
      </c>
      <c r="B2566" s="1" t="s">
        <v>8017</v>
      </c>
      <c r="D2566" s="1" t="s">
        <v>8049</v>
      </c>
      <c r="F2566" s="1" t="s">
        <v>8122</v>
      </c>
      <c r="H2566" s="1" t="s">
        <v>8123</v>
      </c>
      <c r="J2566" s="1" t="s">
        <v>8126</v>
      </c>
      <c r="L2566" s="1" t="s">
        <v>755</v>
      </c>
      <c r="N2566" s="1" t="s">
        <v>3713</v>
      </c>
      <c r="P2566" s="1" t="s">
        <v>4915</v>
      </c>
      <c r="Q2566" s="3">
        <v>0</v>
      </c>
      <c r="R2566" s="22" t="s">
        <v>2724</v>
      </c>
      <c r="S2566" s="42" t="s">
        <v>6909</v>
      </c>
      <c r="T2566" s="3" t="s">
        <v>4868</v>
      </c>
      <c r="U2566" s="45">
        <v>35</v>
      </c>
      <c r="V2566" t="s">
        <v>8125</v>
      </c>
      <c r="W2566" s="1" t="str">
        <f>HYPERLINK("http://ictvonline.org/taxonomy/p/taxonomy-history?taxnode_id=201902954","ICTVonline=201902954")</f>
        <v>ICTVonline=201902954</v>
      </c>
    </row>
    <row r="2567" spans="1:23">
      <c r="A2567" s="3">
        <v>2566</v>
      </c>
      <c r="B2567" s="1" t="s">
        <v>8017</v>
      </c>
      <c r="D2567" s="1" t="s">
        <v>8049</v>
      </c>
      <c r="F2567" s="1" t="s">
        <v>8122</v>
      </c>
      <c r="H2567" s="1" t="s">
        <v>8123</v>
      </c>
      <c r="J2567" s="1" t="s">
        <v>8126</v>
      </c>
      <c r="L2567" s="1" t="s">
        <v>755</v>
      </c>
      <c r="N2567" s="1" t="s">
        <v>3713</v>
      </c>
      <c r="P2567" s="1" t="s">
        <v>4916</v>
      </c>
      <c r="Q2567" s="3">
        <v>0</v>
      </c>
      <c r="R2567" s="22" t="s">
        <v>2724</v>
      </c>
      <c r="S2567" s="42" t="s">
        <v>6909</v>
      </c>
      <c r="T2567" s="3" t="s">
        <v>4868</v>
      </c>
      <c r="U2567" s="45">
        <v>35</v>
      </c>
      <c r="V2567" t="s">
        <v>8125</v>
      </c>
      <c r="W2567" s="1" t="str">
        <f>HYPERLINK("http://ictvonline.org/taxonomy/p/taxonomy-history?taxnode_id=201902955","ICTVonline=201902955")</f>
        <v>ICTVonline=201902955</v>
      </c>
    </row>
    <row r="2568" spans="1:23">
      <c r="A2568" s="3">
        <v>2567</v>
      </c>
      <c r="B2568" s="1" t="s">
        <v>8017</v>
      </c>
      <c r="D2568" s="1" t="s">
        <v>8049</v>
      </c>
      <c r="F2568" s="1" t="s">
        <v>8122</v>
      </c>
      <c r="H2568" s="1" t="s">
        <v>8123</v>
      </c>
      <c r="J2568" s="1" t="s">
        <v>8126</v>
      </c>
      <c r="L2568" s="1" t="s">
        <v>755</v>
      </c>
      <c r="N2568" s="1" t="s">
        <v>3713</v>
      </c>
      <c r="P2568" s="1" t="s">
        <v>4917</v>
      </c>
      <c r="Q2568" s="3">
        <v>0</v>
      </c>
      <c r="R2568" s="22" t="s">
        <v>2724</v>
      </c>
      <c r="S2568" s="42" t="s">
        <v>6909</v>
      </c>
      <c r="T2568" s="3" t="s">
        <v>4868</v>
      </c>
      <c r="U2568" s="45">
        <v>35</v>
      </c>
      <c r="V2568" t="s">
        <v>8125</v>
      </c>
      <c r="W2568" s="1" t="str">
        <f>HYPERLINK("http://ictvonline.org/taxonomy/p/taxonomy-history?taxnode_id=201902956","ICTVonline=201902956")</f>
        <v>ICTVonline=201902956</v>
      </c>
    </row>
    <row r="2569" spans="1:23">
      <c r="A2569" s="3">
        <v>2568</v>
      </c>
      <c r="B2569" s="1" t="s">
        <v>8017</v>
      </c>
      <c r="D2569" s="1" t="s">
        <v>8049</v>
      </c>
      <c r="F2569" s="1" t="s">
        <v>8122</v>
      </c>
      <c r="H2569" s="1" t="s">
        <v>8123</v>
      </c>
      <c r="J2569" s="1" t="s">
        <v>8126</v>
      </c>
      <c r="L2569" s="1" t="s">
        <v>755</v>
      </c>
      <c r="N2569" s="1" t="s">
        <v>3713</v>
      </c>
      <c r="P2569" s="1" t="s">
        <v>4918</v>
      </c>
      <c r="Q2569" s="3">
        <v>0</v>
      </c>
      <c r="R2569" s="22" t="s">
        <v>2724</v>
      </c>
      <c r="S2569" s="42" t="s">
        <v>6909</v>
      </c>
      <c r="T2569" s="3" t="s">
        <v>4868</v>
      </c>
      <c r="U2569" s="45">
        <v>35</v>
      </c>
      <c r="V2569" t="s">
        <v>8125</v>
      </c>
      <c r="W2569" s="1" t="str">
        <f>HYPERLINK("http://ictvonline.org/taxonomy/p/taxonomy-history?taxnode_id=201902957","ICTVonline=201902957")</f>
        <v>ICTVonline=201902957</v>
      </c>
    </row>
    <row r="2570" spans="1:23">
      <c r="A2570" s="3">
        <v>2569</v>
      </c>
      <c r="B2570" s="1" t="s">
        <v>8017</v>
      </c>
      <c r="D2570" s="1" t="s">
        <v>8049</v>
      </c>
      <c r="F2570" s="1" t="s">
        <v>8122</v>
      </c>
      <c r="H2570" s="1" t="s">
        <v>8123</v>
      </c>
      <c r="J2570" s="1" t="s">
        <v>8126</v>
      </c>
      <c r="L2570" s="1" t="s">
        <v>755</v>
      </c>
      <c r="N2570" s="1" t="s">
        <v>3713</v>
      </c>
      <c r="P2570" s="1" t="s">
        <v>4919</v>
      </c>
      <c r="Q2570" s="3">
        <v>0</v>
      </c>
      <c r="R2570" s="22" t="s">
        <v>2724</v>
      </c>
      <c r="S2570" s="42" t="s">
        <v>6909</v>
      </c>
      <c r="T2570" s="3" t="s">
        <v>4868</v>
      </c>
      <c r="U2570" s="45">
        <v>35</v>
      </c>
      <c r="V2570" t="s">
        <v>8125</v>
      </c>
      <c r="W2570" s="1" t="str">
        <f>HYPERLINK("http://ictvonline.org/taxonomy/p/taxonomy-history?taxnode_id=201902958","ICTVonline=201902958")</f>
        <v>ICTVonline=201902958</v>
      </c>
    </row>
    <row r="2571" spans="1:23">
      <c r="A2571" s="3">
        <v>2570</v>
      </c>
      <c r="B2571" s="1" t="s">
        <v>8017</v>
      </c>
      <c r="D2571" s="1" t="s">
        <v>8049</v>
      </c>
      <c r="F2571" s="1" t="s">
        <v>8122</v>
      </c>
      <c r="H2571" s="1" t="s">
        <v>8123</v>
      </c>
      <c r="J2571" s="1" t="s">
        <v>8126</v>
      </c>
      <c r="L2571" s="1" t="s">
        <v>755</v>
      </c>
      <c r="N2571" s="1" t="s">
        <v>3713</v>
      </c>
      <c r="P2571" s="1" t="s">
        <v>6832</v>
      </c>
      <c r="Q2571" s="3">
        <v>0</v>
      </c>
      <c r="R2571" s="22" t="s">
        <v>2724</v>
      </c>
      <c r="S2571" s="42" t="s">
        <v>6909</v>
      </c>
      <c r="T2571" s="3" t="s">
        <v>4868</v>
      </c>
      <c r="U2571" s="45">
        <v>35</v>
      </c>
      <c r="V2571" t="s">
        <v>8125</v>
      </c>
      <c r="W2571" s="1" t="str">
        <f>HYPERLINK("http://ictvonline.org/taxonomy/p/taxonomy-history?taxnode_id=201906318","ICTVonline=201906318")</f>
        <v>ICTVonline=201906318</v>
      </c>
    </row>
    <row r="2572" spans="1:23">
      <c r="A2572" s="3">
        <v>2571</v>
      </c>
      <c r="B2572" s="1" t="s">
        <v>8017</v>
      </c>
      <c r="D2572" s="1" t="s">
        <v>8049</v>
      </c>
      <c r="F2572" s="1" t="s">
        <v>8122</v>
      </c>
      <c r="H2572" s="1" t="s">
        <v>8123</v>
      </c>
      <c r="J2572" s="1" t="s">
        <v>8126</v>
      </c>
      <c r="L2572" s="1" t="s">
        <v>755</v>
      </c>
      <c r="N2572" s="1" t="s">
        <v>3713</v>
      </c>
      <c r="P2572" s="1" t="s">
        <v>4605</v>
      </c>
      <c r="Q2572" s="3">
        <v>0</v>
      </c>
      <c r="R2572" s="22" t="s">
        <v>2724</v>
      </c>
      <c r="S2572" s="42" t="s">
        <v>6909</v>
      </c>
      <c r="T2572" s="3" t="s">
        <v>4868</v>
      </c>
      <c r="U2572" s="45">
        <v>35</v>
      </c>
      <c r="V2572" t="s">
        <v>8125</v>
      </c>
      <c r="W2572" s="1" t="str">
        <f>HYPERLINK("http://ictvonline.org/taxonomy/p/taxonomy-history?taxnode_id=201902959","ICTVonline=201902959")</f>
        <v>ICTVonline=201902959</v>
      </c>
    </row>
    <row r="2573" spans="1:23">
      <c r="A2573" s="3">
        <v>2572</v>
      </c>
      <c r="B2573" s="1" t="s">
        <v>8017</v>
      </c>
      <c r="D2573" s="1" t="s">
        <v>8049</v>
      </c>
      <c r="F2573" s="1" t="s">
        <v>8122</v>
      </c>
      <c r="H2573" s="1" t="s">
        <v>8123</v>
      </c>
      <c r="J2573" s="1" t="s">
        <v>8126</v>
      </c>
      <c r="L2573" s="1" t="s">
        <v>755</v>
      </c>
      <c r="N2573" s="1" t="s">
        <v>3713</v>
      </c>
      <c r="P2573" s="1" t="s">
        <v>4920</v>
      </c>
      <c r="Q2573" s="3">
        <v>0</v>
      </c>
      <c r="R2573" s="22" t="s">
        <v>2724</v>
      </c>
      <c r="S2573" s="42" t="s">
        <v>6909</v>
      </c>
      <c r="T2573" s="3" t="s">
        <v>4868</v>
      </c>
      <c r="U2573" s="45">
        <v>35</v>
      </c>
      <c r="V2573" t="s">
        <v>8125</v>
      </c>
      <c r="W2573" s="1" t="str">
        <f>HYPERLINK("http://ictvonline.org/taxonomy/p/taxonomy-history?taxnode_id=201902960","ICTVonline=201902960")</f>
        <v>ICTVonline=201902960</v>
      </c>
    </row>
    <row r="2574" spans="1:23">
      <c r="A2574" s="3">
        <v>2573</v>
      </c>
      <c r="B2574" s="1" t="s">
        <v>8017</v>
      </c>
      <c r="D2574" s="1" t="s">
        <v>8049</v>
      </c>
      <c r="F2574" s="1" t="s">
        <v>8122</v>
      </c>
      <c r="H2574" s="1" t="s">
        <v>8123</v>
      </c>
      <c r="J2574" s="1" t="s">
        <v>8126</v>
      </c>
      <c r="L2574" s="1" t="s">
        <v>755</v>
      </c>
      <c r="N2574" s="1" t="s">
        <v>3713</v>
      </c>
      <c r="P2574" s="1" t="s">
        <v>4606</v>
      </c>
      <c r="Q2574" s="3">
        <v>0</v>
      </c>
      <c r="R2574" s="22" t="s">
        <v>2724</v>
      </c>
      <c r="S2574" s="42" t="s">
        <v>6909</v>
      </c>
      <c r="T2574" s="3" t="s">
        <v>4868</v>
      </c>
      <c r="U2574" s="45">
        <v>35</v>
      </c>
      <c r="V2574" t="s">
        <v>8125</v>
      </c>
      <c r="W2574" s="1" t="str">
        <f>HYPERLINK("http://ictvonline.org/taxonomy/p/taxonomy-history?taxnode_id=201902961","ICTVonline=201902961")</f>
        <v>ICTVonline=201902961</v>
      </c>
    </row>
    <row r="2575" spans="1:23">
      <c r="A2575" s="3">
        <v>2574</v>
      </c>
      <c r="B2575" s="1" t="s">
        <v>8017</v>
      </c>
      <c r="D2575" s="1" t="s">
        <v>8049</v>
      </c>
      <c r="F2575" s="1" t="s">
        <v>8122</v>
      </c>
      <c r="H2575" s="1" t="s">
        <v>8123</v>
      </c>
      <c r="J2575" s="1" t="s">
        <v>8126</v>
      </c>
      <c r="L2575" s="1" t="s">
        <v>755</v>
      </c>
      <c r="N2575" s="1" t="s">
        <v>3713</v>
      </c>
      <c r="P2575" s="1" t="s">
        <v>4921</v>
      </c>
      <c r="Q2575" s="3">
        <v>0</v>
      </c>
      <c r="R2575" s="22" t="s">
        <v>2724</v>
      </c>
      <c r="S2575" s="42" t="s">
        <v>6909</v>
      </c>
      <c r="T2575" s="3" t="s">
        <v>4868</v>
      </c>
      <c r="U2575" s="45">
        <v>35</v>
      </c>
      <c r="V2575" t="s">
        <v>8125</v>
      </c>
      <c r="W2575" s="1" t="str">
        <f>HYPERLINK("http://ictvonline.org/taxonomy/p/taxonomy-history?taxnode_id=201902962","ICTVonline=201902962")</f>
        <v>ICTVonline=201902962</v>
      </c>
    </row>
    <row r="2576" spans="1:23">
      <c r="A2576" s="3">
        <v>2575</v>
      </c>
      <c r="B2576" s="1" t="s">
        <v>8017</v>
      </c>
      <c r="D2576" s="1" t="s">
        <v>8049</v>
      </c>
      <c r="F2576" s="1" t="s">
        <v>8122</v>
      </c>
      <c r="H2576" s="1" t="s">
        <v>8123</v>
      </c>
      <c r="J2576" s="1" t="s">
        <v>8126</v>
      </c>
      <c r="L2576" s="1" t="s">
        <v>755</v>
      </c>
      <c r="N2576" s="1" t="s">
        <v>3713</v>
      </c>
      <c r="P2576" s="1" t="s">
        <v>4922</v>
      </c>
      <c r="Q2576" s="3">
        <v>0</v>
      </c>
      <c r="R2576" s="22" t="s">
        <v>2724</v>
      </c>
      <c r="S2576" s="42" t="s">
        <v>6909</v>
      </c>
      <c r="T2576" s="3" t="s">
        <v>4868</v>
      </c>
      <c r="U2576" s="45">
        <v>35</v>
      </c>
      <c r="V2576" t="s">
        <v>8125</v>
      </c>
      <c r="W2576" s="1" t="str">
        <f>HYPERLINK("http://ictvonline.org/taxonomy/p/taxonomy-history?taxnode_id=201902963","ICTVonline=201902963")</f>
        <v>ICTVonline=201902963</v>
      </c>
    </row>
    <row r="2577" spans="1:23">
      <c r="A2577" s="3">
        <v>2576</v>
      </c>
      <c r="B2577" s="1" t="s">
        <v>8017</v>
      </c>
      <c r="D2577" s="1" t="s">
        <v>8049</v>
      </c>
      <c r="F2577" s="1" t="s">
        <v>8122</v>
      </c>
      <c r="H2577" s="1" t="s">
        <v>8123</v>
      </c>
      <c r="J2577" s="1" t="s">
        <v>8126</v>
      </c>
      <c r="L2577" s="1" t="s">
        <v>755</v>
      </c>
      <c r="N2577" s="1" t="s">
        <v>3713</v>
      </c>
      <c r="P2577" s="1" t="s">
        <v>4923</v>
      </c>
      <c r="Q2577" s="3">
        <v>0</v>
      </c>
      <c r="R2577" s="22" t="s">
        <v>2724</v>
      </c>
      <c r="S2577" s="42" t="s">
        <v>6909</v>
      </c>
      <c r="T2577" s="3" t="s">
        <v>4868</v>
      </c>
      <c r="U2577" s="45">
        <v>35</v>
      </c>
      <c r="V2577" t="s">
        <v>8125</v>
      </c>
      <c r="W2577" s="1" t="str">
        <f>HYPERLINK("http://ictvonline.org/taxonomy/p/taxonomy-history?taxnode_id=201902964","ICTVonline=201902964")</f>
        <v>ICTVonline=201902964</v>
      </c>
    </row>
    <row r="2578" spans="1:23">
      <c r="A2578" s="3">
        <v>2577</v>
      </c>
      <c r="B2578" s="1" t="s">
        <v>8017</v>
      </c>
      <c r="D2578" s="1" t="s">
        <v>8049</v>
      </c>
      <c r="F2578" s="1" t="s">
        <v>8122</v>
      </c>
      <c r="H2578" s="1" t="s">
        <v>8123</v>
      </c>
      <c r="J2578" s="1" t="s">
        <v>8126</v>
      </c>
      <c r="L2578" s="1" t="s">
        <v>755</v>
      </c>
      <c r="N2578" s="1" t="s">
        <v>3713</v>
      </c>
      <c r="P2578" s="1" t="s">
        <v>4924</v>
      </c>
      <c r="Q2578" s="3">
        <v>0</v>
      </c>
      <c r="R2578" s="22" t="s">
        <v>2724</v>
      </c>
      <c r="S2578" s="42" t="s">
        <v>6909</v>
      </c>
      <c r="T2578" s="3" t="s">
        <v>4868</v>
      </c>
      <c r="U2578" s="45">
        <v>35</v>
      </c>
      <c r="V2578" t="s">
        <v>8125</v>
      </c>
      <c r="W2578" s="1" t="str">
        <f>HYPERLINK("http://ictvonline.org/taxonomy/p/taxonomy-history?taxnode_id=201902965","ICTVonline=201902965")</f>
        <v>ICTVonline=201902965</v>
      </c>
    </row>
    <row r="2579" spans="1:23">
      <c r="A2579" s="3">
        <v>2578</v>
      </c>
      <c r="B2579" s="1" t="s">
        <v>8017</v>
      </c>
      <c r="D2579" s="1" t="s">
        <v>8049</v>
      </c>
      <c r="F2579" s="1" t="s">
        <v>8122</v>
      </c>
      <c r="H2579" s="1" t="s">
        <v>8123</v>
      </c>
      <c r="J2579" s="1" t="s">
        <v>8126</v>
      </c>
      <c r="L2579" s="1" t="s">
        <v>755</v>
      </c>
      <c r="N2579" s="1" t="s">
        <v>3713</v>
      </c>
      <c r="P2579" s="1" t="s">
        <v>4925</v>
      </c>
      <c r="Q2579" s="3">
        <v>0</v>
      </c>
      <c r="R2579" s="22" t="s">
        <v>2724</v>
      </c>
      <c r="S2579" s="42" t="s">
        <v>6909</v>
      </c>
      <c r="T2579" s="3" t="s">
        <v>4868</v>
      </c>
      <c r="U2579" s="45">
        <v>35</v>
      </c>
      <c r="V2579" t="s">
        <v>8125</v>
      </c>
      <c r="W2579" s="1" t="str">
        <f>HYPERLINK("http://ictvonline.org/taxonomy/p/taxonomy-history?taxnode_id=201902966","ICTVonline=201902966")</f>
        <v>ICTVonline=201902966</v>
      </c>
    </row>
    <row r="2580" spans="1:23">
      <c r="A2580" s="3">
        <v>2579</v>
      </c>
      <c r="B2580" s="1" t="s">
        <v>8017</v>
      </c>
      <c r="D2580" s="1" t="s">
        <v>8049</v>
      </c>
      <c r="F2580" s="1" t="s">
        <v>8122</v>
      </c>
      <c r="H2580" s="1" t="s">
        <v>8123</v>
      </c>
      <c r="J2580" s="1" t="s">
        <v>8126</v>
      </c>
      <c r="L2580" s="1" t="s">
        <v>755</v>
      </c>
      <c r="N2580" s="1" t="s">
        <v>3713</v>
      </c>
      <c r="P2580" s="1" t="s">
        <v>4926</v>
      </c>
      <c r="Q2580" s="3">
        <v>0</v>
      </c>
      <c r="R2580" s="22" t="s">
        <v>2724</v>
      </c>
      <c r="S2580" s="42" t="s">
        <v>6909</v>
      </c>
      <c r="T2580" s="3" t="s">
        <v>4868</v>
      </c>
      <c r="U2580" s="45">
        <v>35</v>
      </c>
      <c r="V2580" t="s">
        <v>8125</v>
      </c>
      <c r="W2580" s="1" t="str">
        <f>HYPERLINK("http://ictvonline.org/taxonomy/p/taxonomy-history?taxnode_id=201902967","ICTVonline=201902967")</f>
        <v>ICTVonline=201902967</v>
      </c>
    </row>
    <row r="2581" spans="1:23">
      <c r="A2581" s="3">
        <v>2580</v>
      </c>
      <c r="B2581" s="1" t="s">
        <v>8017</v>
      </c>
      <c r="D2581" s="1" t="s">
        <v>8049</v>
      </c>
      <c r="F2581" s="1" t="s">
        <v>8122</v>
      </c>
      <c r="H2581" s="1" t="s">
        <v>8123</v>
      </c>
      <c r="J2581" s="1" t="s">
        <v>8126</v>
      </c>
      <c r="L2581" s="1" t="s">
        <v>755</v>
      </c>
      <c r="N2581" s="1" t="s">
        <v>3713</v>
      </c>
      <c r="P2581" s="1" t="s">
        <v>4927</v>
      </c>
      <c r="Q2581" s="3">
        <v>0</v>
      </c>
      <c r="R2581" s="22" t="s">
        <v>2724</v>
      </c>
      <c r="S2581" s="42" t="s">
        <v>6909</v>
      </c>
      <c r="T2581" s="3" t="s">
        <v>4868</v>
      </c>
      <c r="U2581" s="45">
        <v>35</v>
      </c>
      <c r="V2581" t="s">
        <v>8125</v>
      </c>
      <c r="W2581" s="1" t="str">
        <f>HYPERLINK("http://ictvonline.org/taxonomy/p/taxonomy-history?taxnode_id=201902968","ICTVonline=201902968")</f>
        <v>ICTVonline=201902968</v>
      </c>
    </row>
    <row r="2582" spans="1:23">
      <c r="A2582" s="3">
        <v>2581</v>
      </c>
      <c r="B2582" s="1" t="s">
        <v>8017</v>
      </c>
      <c r="D2582" s="1" t="s">
        <v>8049</v>
      </c>
      <c r="F2582" s="1" t="s">
        <v>8122</v>
      </c>
      <c r="H2582" s="1" t="s">
        <v>8123</v>
      </c>
      <c r="J2582" s="1" t="s">
        <v>8126</v>
      </c>
      <c r="L2582" s="1" t="s">
        <v>755</v>
      </c>
      <c r="N2582" s="1" t="s">
        <v>3713</v>
      </c>
      <c r="P2582" s="1" t="s">
        <v>4928</v>
      </c>
      <c r="Q2582" s="3">
        <v>1</v>
      </c>
      <c r="R2582" s="22" t="s">
        <v>2724</v>
      </c>
      <c r="S2582" s="42" t="s">
        <v>6909</v>
      </c>
      <c r="T2582" s="3" t="s">
        <v>4868</v>
      </c>
      <c r="U2582" s="45">
        <v>35</v>
      </c>
      <c r="V2582" t="s">
        <v>8125</v>
      </c>
      <c r="W2582" s="1" t="str">
        <f>HYPERLINK("http://ictvonline.org/taxonomy/p/taxonomy-history?taxnode_id=201902969","ICTVonline=201902969")</f>
        <v>ICTVonline=201902969</v>
      </c>
    </row>
    <row r="2583" spans="1:23">
      <c r="A2583" s="3">
        <v>2582</v>
      </c>
      <c r="B2583" s="1" t="s">
        <v>8017</v>
      </c>
      <c r="D2583" s="1" t="s">
        <v>8049</v>
      </c>
      <c r="F2583" s="1" t="s">
        <v>8122</v>
      </c>
      <c r="H2583" s="1" t="s">
        <v>8123</v>
      </c>
      <c r="J2583" s="1" t="s">
        <v>8126</v>
      </c>
      <c r="L2583" s="1" t="s">
        <v>755</v>
      </c>
      <c r="N2583" s="1" t="s">
        <v>3713</v>
      </c>
      <c r="P2583" s="1" t="s">
        <v>4929</v>
      </c>
      <c r="Q2583" s="3">
        <v>0</v>
      </c>
      <c r="R2583" s="22" t="s">
        <v>2724</v>
      </c>
      <c r="S2583" s="42" t="s">
        <v>6909</v>
      </c>
      <c r="T2583" s="3" t="s">
        <v>4868</v>
      </c>
      <c r="U2583" s="45">
        <v>35</v>
      </c>
      <c r="V2583" t="s">
        <v>8125</v>
      </c>
      <c r="W2583" s="1" t="str">
        <f>HYPERLINK("http://ictvonline.org/taxonomy/p/taxonomy-history?taxnode_id=201902970","ICTVonline=201902970")</f>
        <v>ICTVonline=201902970</v>
      </c>
    </row>
    <row r="2584" spans="1:23">
      <c r="A2584" s="3">
        <v>2583</v>
      </c>
      <c r="B2584" s="1" t="s">
        <v>8017</v>
      </c>
      <c r="D2584" s="1" t="s">
        <v>8049</v>
      </c>
      <c r="F2584" s="1" t="s">
        <v>8122</v>
      </c>
      <c r="H2584" s="1" t="s">
        <v>8123</v>
      </c>
      <c r="J2584" s="1" t="s">
        <v>8126</v>
      </c>
      <c r="L2584" s="1" t="s">
        <v>755</v>
      </c>
      <c r="N2584" s="1" t="s">
        <v>3713</v>
      </c>
      <c r="P2584" s="1" t="s">
        <v>4930</v>
      </c>
      <c r="Q2584" s="3">
        <v>0</v>
      </c>
      <c r="R2584" s="22" t="s">
        <v>2724</v>
      </c>
      <c r="S2584" s="42" t="s">
        <v>6909</v>
      </c>
      <c r="T2584" s="3" t="s">
        <v>4868</v>
      </c>
      <c r="U2584" s="45">
        <v>35</v>
      </c>
      <c r="V2584" t="s">
        <v>8125</v>
      </c>
      <c r="W2584" s="1" t="str">
        <f>HYPERLINK("http://ictvonline.org/taxonomy/p/taxonomy-history?taxnode_id=201902971","ICTVonline=201902971")</f>
        <v>ICTVonline=201902971</v>
      </c>
    </row>
    <row r="2585" spans="1:23">
      <c r="A2585" s="3">
        <v>2584</v>
      </c>
      <c r="B2585" s="1" t="s">
        <v>8017</v>
      </c>
      <c r="D2585" s="1" t="s">
        <v>8049</v>
      </c>
      <c r="F2585" s="1" t="s">
        <v>8122</v>
      </c>
      <c r="H2585" s="1" t="s">
        <v>8123</v>
      </c>
      <c r="J2585" s="1" t="s">
        <v>8126</v>
      </c>
      <c r="L2585" s="1" t="s">
        <v>755</v>
      </c>
      <c r="N2585" s="1" t="s">
        <v>3713</v>
      </c>
      <c r="P2585" s="1" t="s">
        <v>4607</v>
      </c>
      <c r="Q2585" s="3">
        <v>0</v>
      </c>
      <c r="R2585" s="22" t="s">
        <v>2724</v>
      </c>
      <c r="S2585" s="42" t="s">
        <v>6909</v>
      </c>
      <c r="T2585" s="3" t="s">
        <v>4868</v>
      </c>
      <c r="U2585" s="45">
        <v>35</v>
      </c>
      <c r="V2585" t="s">
        <v>8125</v>
      </c>
      <c r="W2585" s="1" t="str">
        <f>HYPERLINK("http://ictvonline.org/taxonomy/p/taxonomy-history?taxnode_id=201902972","ICTVonline=201902972")</f>
        <v>ICTVonline=201902972</v>
      </c>
    </row>
    <row r="2586" spans="1:23">
      <c r="A2586" s="3">
        <v>2585</v>
      </c>
      <c r="B2586" s="1" t="s">
        <v>8017</v>
      </c>
      <c r="D2586" s="1" t="s">
        <v>8049</v>
      </c>
      <c r="F2586" s="1" t="s">
        <v>8122</v>
      </c>
      <c r="H2586" s="1" t="s">
        <v>8123</v>
      </c>
      <c r="J2586" s="1" t="s">
        <v>8126</v>
      </c>
      <c r="L2586" s="1" t="s">
        <v>755</v>
      </c>
      <c r="N2586" s="1" t="s">
        <v>3713</v>
      </c>
      <c r="P2586" s="1" t="s">
        <v>5313</v>
      </c>
      <c r="Q2586" s="3">
        <v>0</v>
      </c>
      <c r="R2586" s="22" t="s">
        <v>2724</v>
      </c>
      <c r="S2586" s="42" t="s">
        <v>6909</v>
      </c>
      <c r="T2586" s="3" t="s">
        <v>4868</v>
      </c>
      <c r="U2586" s="45">
        <v>35</v>
      </c>
      <c r="V2586" t="s">
        <v>8125</v>
      </c>
      <c r="W2586" s="1" t="str">
        <f>HYPERLINK("http://ictvonline.org/taxonomy/p/taxonomy-history?taxnode_id=201905769","ICTVonline=201905769")</f>
        <v>ICTVonline=201905769</v>
      </c>
    </row>
    <row r="2587" spans="1:23">
      <c r="A2587" s="3">
        <v>2586</v>
      </c>
      <c r="B2587" s="1" t="s">
        <v>8017</v>
      </c>
      <c r="D2587" s="1" t="s">
        <v>8049</v>
      </c>
      <c r="F2587" s="1" t="s">
        <v>8122</v>
      </c>
      <c r="H2587" s="1" t="s">
        <v>8123</v>
      </c>
      <c r="J2587" s="1" t="s">
        <v>8126</v>
      </c>
      <c r="L2587" s="1" t="s">
        <v>755</v>
      </c>
      <c r="N2587" s="1" t="s">
        <v>3713</v>
      </c>
      <c r="P2587" s="1" t="s">
        <v>5314</v>
      </c>
      <c r="Q2587" s="3">
        <v>0</v>
      </c>
      <c r="R2587" s="22" t="s">
        <v>2724</v>
      </c>
      <c r="S2587" s="42" t="s">
        <v>6909</v>
      </c>
      <c r="T2587" s="3" t="s">
        <v>4868</v>
      </c>
      <c r="U2587" s="45">
        <v>35</v>
      </c>
      <c r="V2587" t="s">
        <v>8125</v>
      </c>
      <c r="W2587" s="1" t="str">
        <f>HYPERLINK("http://ictvonline.org/taxonomy/p/taxonomy-history?taxnode_id=201905770","ICTVonline=201905770")</f>
        <v>ICTVonline=201905770</v>
      </c>
    </row>
    <row r="2588" spans="1:23">
      <c r="A2588" s="3">
        <v>2587</v>
      </c>
      <c r="B2588" s="1" t="s">
        <v>8017</v>
      </c>
      <c r="D2588" s="1" t="s">
        <v>8049</v>
      </c>
      <c r="F2588" s="1" t="s">
        <v>8122</v>
      </c>
      <c r="H2588" s="1" t="s">
        <v>8123</v>
      </c>
      <c r="J2588" s="1" t="s">
        <v>8126</v>
      </c>
      <c r="L2588" s="1" t="s">
        <v>755</v>
      </c>
      <c r="N2588" s="1" t="s">
        <v>3713</v>
      </c>
      <c r="P2588" s="1" t="s">
        <v>6833</v>
      </c>
      <c r="Q2588" s="3">
        <v>0</v>
      </c>
      <c r="R2588" s="22" t="s">
        <v>2724</v>
      </c>
      <c r="S2588" s="42" t="s">
        <v>6909</v>
      </c>
      <c r="T2588" s="3" t="s">
        <v>4868</v>
      </c>
      <c r="U2588" s="45">
        <v>35</v>
      </c>
      <c r="V2588" t="s">
        <v>8125</v>
      </c>
      <c r="W2588" s="1" t="str">
        <f>HYPERLINK("http://ictvonline.org/taxonomy/p/taxonomy-history?taxnode_id=201906571","ICTVonline=201906571")</f>
        <v>ICTVonline=201906571</v>
      </c>
    </row>
    <row r="2589" spans="1:23">
      <c r="A2589" s="3">
        <v>2588</v>
      </c>
      <c r="B2589" s="1" t="s">
        <v>8017</v>
      </c>
      <c r="D2589" s="1" t="s">
        <v>8049</v>
      </c>
      <c r="F2589" s="1" t="s">
        <v>8122</v>
      </c>
      <c r="H2589" s="1" t="s">
        <v>8123</v>
      </c>
      <c r="J2589" s="1" t="s">
        <v>8126</v>
      </c>
      <c r="L2589" s="1" t="s">
        <v>755</v>
      </c>
      <c r="N2589" s="1" t="s">
        <v>3713</v>
      </c>
      <c r="P2589" s="1" t="s">
        <v>6834</v>
      </c>
      <c r="Q2589" s="3">
        <v>0</v>
      </c>
      <c r="R2589" s="22" t="s">
        <v>2724</v>
      </c>
      <c r="S2589" s="42" t="s">
        <v>6909</v>
      </c>
      <c r="T2589" s="3" t="s">
        <v>4868</v>
      </c>
      <c r="U2589" s="45">
        <v>35</v>
      </c>
      <c r="V2589" t="s">
        <v>8125</v>
      </c>
      <c r="W2589" s="1" t="str">
        <f>HYPERLINK("http://ictvonline.org/taxonomy/p/taxonomy-history?taxnode_id=201906572","ICTVonline=201906572")</f>
        <v>ICTVonline=201906572</v>
      </c>
    </row>
    <row r="2590" spans="1:23">
      <c r="A2590" s="3">
        <v>2589</v>
      </c>
      <c r="B2590" s="1" t="s">
        <v>8017</v>
      </c>
      <c r="D2590" s="1" t="s">
        <v>8049</v>
      </c>
      <c r="F2590" s="1" t="s">
        <v>8122</v>
      </c>
      <c r="H2590" s="1" t="s">
        <v>8123</v>
      </c>
      <c r="J2590" s="1" t="s">
        <v>8126</v>
      </c>
      <c r="L2590" s="1" t="s">
        <v>755</v>
      </c>
      <c r="N2590" s="1" t="s">
        <v>3713</v>
      </c>
      <c r="P2590" s="1" t="s">
        <v>8134</v>
      </c>
      <c r="Q2590" s="3">
        <v>0</v>
      </c>
      <c r="R2590" s="22" t="s">
        <v>2724</v>
      </c>
      <c r="S2590" s="42" t="s">
        <v>6914</v>
      </c>
      <c r="T2590" s="3" t="s">
        <v>4866</v>
      </c>
      <c r="U2590" s="45">
        <v>35</v>
      </c>
      <c r="V2590" t="s">
        <v>8128</v>
      </c>
      <c r="W2590" s="1" t="str">
        <f>HYPERLINK("http://ictvonline.org/taxonomy/p/taxonomy-history?taxnode_id=201908682","ICTVonline=201908682")</f>
        <v>ICTVonline=201908682</v>
      </c>
    </row>
    <row r="2591" spans="1:23">
      <c r="A2591" s="3">
        <v>2590</v>
      </c>
      <c r="B2591" s="1" t="s">
        <v>8017</v>
      </c>
      <c r="D2591" s="1" t="s">
        <v>8049</v>
      </c>
      <c r="F2591" s="1" t="s">
        <v>8122</v>
      </c>
      <c r="H2591" s="1" t="s">
        <v>8123</v>
      </c>
      <c r="J2591" s="1" t="s">
        <v>8126</v>
      </c>
      <c r="L2591" s="1" t="s">
        <v>755</v>
      </c>
      <c r="N2591" s="1" t="s">
        <v>3713</v>
      </c>
      <c r="P2591" s="1" t="s">
        <v>4608</v>
      </c>
      <c r="Q2591" s="3">
        <v>0</v>
      </c>
      <c r="R2591" s="22" t="s">
        <v>2724</v>
      </c>
      <c r="S2591" s="42" t="s">
        <v>6909</v>
      </c>
      <c r="T2591" s="3" t="s">
        <v>4868</v>
      </c>
      <c r="U2591" s="45">
        <v>35</v>
      </c>
      <c r="V2591" t="s">
        <v>8125</v>
      </c>
      <c r="W2591" s="1" t="str">
        <f>HYPERLINK("http://ictvonline.org/taxonomy/p/taxonomy-history?taxnode_id=201902973","ICTVonline=201902973")</f>
        <v>ICTVonline=201902973</v>
      </c>
    </row>
    <row r="2592" spans="1:23">
      <c r="A2592" s="3">
        <v>2591</v>
      </c>
      <c r="B2592" s="1" t="s">
        <v>8017</v>
      </c>
      <c r="D2592" s="1" t="s">
        <v>8049</v>
      </c>
      <c r="F2592" s="1" t="s">
        <v>8122</v>
      </c>
      <c r="H2592" s="1" t="s">
        <v>8123</v>
      </c>
      <c r="J2592" s="1" t="s">
        <v>8135</v>
      </c>
      <c r="L2592" s="1" t="s">
        <v>5513</v>
      </c>
      <c r="N2592" s="1" t="s">
        <v>5514</v>
      </c>
      <c r="P2592" s="1" t="s">
        <v>5515</v>
      </c>
      <c r="Q2592" s="3">
        <v>1</v>
      </c>
      <c r="R2592" s="22" t="s">
        <v>2724</v>
      </c>
      <c r="S2592" s="42" t="s">
        <v>6909</v>
      </c>
      <c r="T2592" s="3" t="s">
        <v>4868</v>
      </c>
      <c r="U2592" s="45">
        <v>35</v>
      </c>
      <c r="V2592" t="s">
        <v>8125</v>
      </c>
      <c r="W2592" s="1" t="str">
        <f>HYPERLINK("http://ictvonline.org/taxonomy/p/taxonomy-history?taxnode_id=201905945","ICTVonline=201905945")</f>
        <v>ICTVonline=201905945</v>
      </c>
    </row>
    <row r="2593" spans="1:23">
      <c r="A2593" s="3">
        <v>2592</v>
      </c>
      <c r="B2593" s="1" t="s">
        <v>8017</v>
      </c>
      <c r="D2593" s="1" t="s">
        <v>8049</v>
      </c>
      <c r="F2593" s="1" t="s">
        <v>8122</v>
      </c>
      <c r="H2593" s="1" t="s">
        <v>8123</v>
      </c>
      <c r="J2593" s="1" t="s">
        <v>8135</v>
      </c>
      <c r="L2593" s="1" t="s">
        <v>5513</v>
      </c>
      <c r="N2593" s="1" t="s">
        <v>5514</v>
      </c>
      <c r="P2593" s="1" t="s">
        <v>5516</v>
      </c>
      <c r="Q2593" s="3">
        <v>0</v>
      </c>
      <c r="R2593" s="22" t="s">
        <v>2724</v>
      </c>
      <c r="S2593" s="42" t="s">
        <v>6909</v>
      </c>
      <c r="T2593" s="3" t="s">
        <v>4868</v>
      </c>
      <c r="U2593" s="45">
        <v>35</v>
      </c>
      <c r="V2593" t="s">
        <v>8125</v>
      </c>
      <c r="W2593" s="1" t="str">
        <f>HYPERLINK("http://ictvonline.org/taxonomy/p/taxonomy-history?taxnode_id=201905946","ICTVonline=201905946")</f>
        <v>ICTVonline=201905946</v>
      </c>
    </row>
    <row r="2594" spans="1:23">
      <c r="A2594" s="3">
        <v>2593</v>
      </c>
      <c r="B2594" s="1" t="s">
        <v>8017</v>
      </c>
      <c r="D2594" s="1" t="s">
        <v>8049</v>
      </c>
      <c r="F2594" s="1" t="s">
        <v>8122</v>
      </c>
      <c r="H2594" s="1" t="s">
        <v>8123</v>
      </c>
      <c r="J2594" s="1" t="s">
        <v>8135</v>
      </c>
      <c r="L2594" s="1" t="s">
        <v>5513</v>
      </c>
      <c r="N2594" s="1" t="s">
        <v>5514</v>
      </c>
      <c r="P2594" s="1" t="s">
        <v>5517</v>
      </c>
      <c r="Q2594" s="3">
        <v>0</v>
      </c>
      <c r="R2594" s="22" t="s">
        <v>2724</v>
      </c>
      <c r="S2594" s="42" t="s">
        <v>6909</v>
      </c>
      <c r="T2594" s="3" t="s">
        <v>4868</v>
      </c>
      <c r="U2594" s="45">
        <v>35</v>
      </c>
      <c r="V2594" t="s">
        <v>8125</v>
      </c>
      <c r="W2594" s="1" t="str">
        <f>HYPERLINK("http://ictvonline.org/taxonomy/p/taxonomy-history?taxnode_id=201905947","ICTVonline=201905947")</f>
        <v>ICTVonline=201905947</v>
      </c>
    </row>
    <row r="2595" spans="1:23">
      <c r="A2595" s="3">
        <v>2594</v>
      </c>
      <c r="B2595" s="1" t="s">
        <v>8017</v>
      </c>
      <c r="D2595" s="1" t="s">
        <v>8049</v>
      </c>
      <c r="F2595" s="1" t="s">
        <v>8122</v>
      </c>
      <c r="H2595" s="1" t="s">
        <v>8123</v>
      </c>
      <c r="J2595" s="1" t="s">
        <v>8135</v>
      </c>
      <c r="L2595" s="1" t="s">
        <v>5513</v>
      </c>
      <c r="N2595" s="1" t="s">
        <v>5518</v>
      </c>
      <c r="P2595" s="1" t="s">
        <v>5519</v>
      </c>
      <c r="Q2595" s="3">
        <v>1</v>
      </c>
      <c r="R2595" s="22" t="s">
        <v>2724</v>
      </c>
      <c r="S2595" s="42" t="s">
        <v>6909</v>
      </c>
      <c r="T2595" s="3" t="s">
        <v>4868</v>
      </c>
      <c r="U2595" s="45">
        <v>35</v>
      </c>
      <c r="V2595" t="s">
        <v>8125</v>
      </c>
      <c r="W2595" s="1" t="str">
        <f>HYPERLINK("http://ictvonline.org/taxonomy/p/taxonomy-history?taxnode_id=201905949","ICTVonline=201905949")</f>
        <v>ICTVonline=201905949</v>
      </c>
    </row>
    <row r="2596" spans="1:23">
      <c r="A2596" s="3">
        <v>2595</v>
      </c>
      <c r="B2596" s="1" t="s">
        <v>8017</v>
      </c>
      <c r="D2596" s="1" t="s">
        <v>8049</v>
      </c>
      <c r="F2596" s="1" t="s">
        <v>8122</v>
      </c>
      <c r="H2596" s="1" t="s">
        <v>8123</v>
      </c>
      <c r="J2596" s="1" t="s">
        <v>8135</v>
      </c>
      <c r="L2596" s="1" t="s">
        <v>5513</v>
      </c>
      <c r="N2596" s="1" t="s">
        <v>5520</v>
      </c>
      <c r="P2596" s="1" t="s">
        <v>5521</v>
      </c>
      <c r="Q2596" s="3">
        <v>1</v>
      </c>
      <c r="R2596" s="22" t="s">
        <v>2724</v>
      </c>
      <c r="S2596" s="42" t="s">
        <v>6909</v>
      </c>
      <c r="T2596" s="3" t="s">
        <v>4868</v>
      </c>
      <c r="U2596" s="45">
        <v>35</v>
      </c>
      <c r="V2596" t="s">
        <v>8125</v>
      </c>
      <c r="W2596" s="1" t="str">
        <f>HYPERLINK("http://ictvonline.org/taxonomy/p/taxonomy-history?taxnode_id=201905951","ICTVonline=201905951")</f>
        <v>ICTVonline=201905951</v>
      </c>
    </row>
    <row r="2597" spans="1:23">
      <c r="A2597" s="3">
        <v>2596</v>
      </c>
      <c r="B2597" s="1" t="s">
        <v>8017</v>
      </c>
      <c r="D2597" s="1" t="s">
        <v>8049</v>
      </c>
      <c r="F2597" s="1" t="s">
        <v>8122</v>
      </c>
      <c r="H2597" s="1" t="s">
        <v>8123</v>
      </c>
      <c r="J2597" s="1" t="s">
        <v>8135</v>
      </c>
      <c r="L2597" s="1" t="s">
        <v>5513</v>
      </c>
      <c r="N2597" s="1" t="s">
        <v>5522</v>
      </c>
      <c r="P2597" s="1" t="s">
        <v>5523</v>
      </c>
      <c r="Q2597" s="3">
        <v>0</v>
      </c>
      <c r="R2597" s="22" t="s">
        <v>2724</v>
      </c>
      <c r="S2597" s="42" t="s">
        <v>6909</v>
      </c>
      <c r="T2597" s="3" t="s">
        <v>4868</v>
      </c>
      <c r="U2597" s="45">
        <v>35</v>
      </c>
      <c r="V2597" t="s">
        <v>8125</v>
      </c>
      <c r="W2597" s="1" t="str">
        <f>HYPERLINK("http://ictvonline.org/taxonomy/p/taxonomy-history?taxnode_id=201905953","ICTVonline=201905953")</f>
        <v>ICTVonline=201905953</v>
      </c>
    </row>
    <row r="2598" spans="1:23">
      <c r="A2598" s="3">
        <v>2597</v>
      </c>
      <c r="B2598" s="1" t="s">
        <v>8017</v>
      </c>
      <c r="D2598" s="1" t="s">
        <v>8049</v>
      </c>
      <c r="F2598" s="1" t="s">
        <v>8122</v>
      </c>
      <c r="H2598" s="1" t="s">
        <v>8123</v>
      </c>
      <c r="J2598" s="1" t="s">
        <v>8135</v>
      </c>
      <c r="L2598" s="1" t="s">
        <v>5513</v>
      </c>
      <c r="N2598" s="1" t="s">
        <v>5522</v>
      </c>
      <c r="P2598" s="1" t="s">
        <v>5524</v>
      </c>
      <c r="Q2598" s="3">
        <v>1</v>
      </c>
      <c r="R2598" s="22" t="s">
        <v>2724</v>
      </c>
      <c r="S2598" s="42" t="s">
        <v>6909</v>
      </c>
      <c r="T2598" s="3" t="s">
        <v>4868</v>
      </c>
      <c r="U2598" s="45">
        <v>35</v>
      </c>
      <c r="V2598" t="s">
        <v>8125</v>
      </c>
      <c r="W2598" s="1" t="str">
        <f>HYPERLINK("http://ictvonline.org/taxonomy/p/taxonomy-history?taxnode_id=201905954","ICTVonline=201905954")</f>
        <v>ICTVonline=201905954</v>
      </c>
    </row>
    <row r="2599" spans="1:23">
      <c r="A2599" s="3">
        <v>2598</v>
      </c>
      <c r="B2599" s="1" t="s">
        <v>8017</v>
      </c>
      <c r="D2599" s="1" t="s">
        <v>8049</v>
      </c>
      <c r="F2599" s="1" t="s">
        <v>8122</v>
      </c>
      <c r="H2599" s="1" t="s">
        <v>8123</v>
      </c>
      <c r="J2599" s="1" t="s">
        <v>8135</v>
      </c>
      <c r="L2599" s="1" t="s">
        <v>5513</v>
      </c>
      <c r="N2599" s="1" t="s">
        <v>5522</v>
      </c>
      <c r="P2599" s="1" t="s">
        <v>5525</v>
      </c>
      <c r="Q2599" s="3">
        <v>0</v>
      </c>
      <c r="R2599" s="22" t="s">
        <v>2724</v>
      </c>
      <c r="S2599" s="42" t="s">
        <v>6909</v>
      </c>
      <c r="T2599" s="3" t="s">
        <v>4868</v>
      </c>
      <c r="U2599" s="45">
        <v>35</v>
      </c>
      <c r="V2599" t="s">
        <v>8125</v>
      </c>
      <c r="W2599" s="1" t="str">
        <f>HYPERLINK("http://ictvonline.org/taxonomy/p/taxonomy-history?taxnode_id=201905955","ICTVonline=201905955")</f>
        <v>ICTVonline=201905955</v>
      </c>
    </row>
    <row r="2600" spans="1:23">
      <c r="A2600" s="3">
        <v>2599</v>
      </c>
      <c r="B2600" s="1" t="s">
        <v>8017</v>
      </c>
      <c r="D2600" s="1" t="s">
        <v>8049</v>
      </c>
      <c r="F2600" s="1" t="s">
        <v>8122</v>
      </c>
      <c r="H2600" s="1" t="s">
        <v>8123</v>
      </c>
      <c r="J2600" s="1" t="s">
        <v>8135</v>
      </c>
      <c r="L2600" s="1" t="s">
        <v>5513</v>
      </c>
      <c r="N2600" s="1" t="s">
        <v>5526</v>
      </c>
      <c r="P2600" s="1" t="s">
        <v>5527</v>
      </c>
      <c r="Q2600" s="3">
        <v>0</v>
      </c>
      <c r="R2600" s="22" t="s">
        <v>2724</v>
      </c>
      <c r="S2600" s="42" t="s">
        <v>6909</v>
      </c>
      <c r="T2600" s="3" t="s">
        <v>4868</v>
      </c>
      <c r="U2600" s="45">
        <v>35</v>
      </c>
      <c r="V2600" t="s">
        <v>8125</v>
      </c>
      <c r="W2600" s="1" t="str">
        <f>HYPERLINK("http://ictvonline.org/taxonomy/p/taxonomy-history?taxnode_id=201905957","ICTVonline=201905957")</f>
        <v>ICTVonline=201905957</v>
      </c>
    </row>
    <row r="2601" spans="1:23">
      <c r="A2601" s="3">
        <v>2600</v>
      </c>
      <c r="B2601" s="1" t="s">
        <v>8017</v>
      </c>
      <c r="D2601" s="1" t="s">
        <v>8049</v>
      </c>
      <c r="F2601" s="1" t="s">
        <v>8122</v>
      </c>
      <c r="H2601" s="1" t="s">
        <v>8123</v>
      </c>
      <c r="J2601" s="1" t="s">
        <v>8135</v>
      </c>
      <c r="L2601" s="1" t="s">
        <v>5513</v>
      </c>
      <c r="N2601" s="1" t="s">
        <v>5526</v>
      </c>
      <c r="P2601" s="1" t="s">
        <v>5528</v>
      </c>
      <c r="Q2601" s="3">
        <v>0</v>
      </c>
      <c r="R2601" s="22" t="s">
        <v>2724</v>
      </c>
      <c r="S2601" s="42" t="s">
        <v>6909</v>
      </c>
      <c r="T2601" s="3" t="s">
        <v>4868</v>
      </c>
      <c r="U2601" s="45">
        <v>35</v>
      </c>
      <c r="V2601" t="s">
        <v>8125</v>
      </c>
      <c r="W2601" s="1" t="str">
        <f>HYPERLINK("http://ictvonline.org/taxonomy/p/taxonomy-history?taxnode_id=201905958","ICTVonline=201905958")</f>
        <v>ICTVonline=201905958</v>
      </c>
    </row>
    <row r="2602" spans="1:23">
      <c r="A2602" s="3">
        <v>2601</v>
      </c>
      <c r="B2602" s="1" t="s">
        <v>8017</v>
      </c>
      <c r="D2602" s="1" t="s">
        <v>8049</v>
      </c>
      <c r="F2602" s="1" t="s">
        <v>8122</v>
      </c>
      <c r="H2602" s="1" t="s">
        <v>8123</v>
      </c>
      <c r="J2602" s="1" t="s">
        <v>8135</v>
      </c>
      <c r="L2602" s="1" t="s">
        <v>5513</v>
      </c>
      <c r="N2602" s="1" t="s">
        <v>5526</v>
      </c>
      <c r="P2602" s="1" t="s">
        <v>5529</v>
      </c>
      <c r="Q2602" s="3">
        <v>0</v>
      </c>
      <c r="R2602" s="22" t="s">
        <v>2724</v>
      </c>
      <c r="S2602" s="42" t="s">
        <v>6909</v>
      </c>
      <c r="T2602" s="3" t="s">
        <v>4868</v>
      </c>
      <c r="U2602" s="45">
        <v>35</v>
      </c>
      <c r="V2602" t="s">
        <v>8125</v>
      </c>
      <c r="W2602" s="1" t="str">
        <f>HYPERLINK("http://ictvonline.org/taxonomy/p/taxonomy-history?taxnode_id=201905959","ICTVonline=201905959")</f>
        <v>ICTVonline=201905959</v>
      </c>
    </row>
    <row r="2603" spans="1:23">
      <c r="A2603" s="3">
        <v>2602</v>
      </c>
      <c r="B2603" s="1" t="s">
        <v>8017</v>
      </c>
      <c r="D2603" s="1" t="s">
        <v>8049</v>
      </c>
      <c r="F2603" s="1" t="s">
        <v>8122</v>
      </c>
      <c r="H2603" s="1" t="s">
        <v>8123</v>
      </c>
      <c r="J2603" s="1" t="s">
        <v>8135</v>
      </c>
      <c r="L2603" s="1" t="s">
        <v>5513</v>
      </c>
      <c r="N2603" s="1" t="s">
        <v>5526</v>
      </c>
      <c r="P2603" s="1" t="s">
        <v>5530</v>
      </c>
      <c r="Q2603" s="3">
        <v>0</v>
      </c>
      <c r="R2603" s="22" t="s">
        <v>2724</v>
      </c>
      <c r="S2603" s="42" t="s">
        <v>6909</v>
      </c>
      <c r="T2603" s="3" t="s">
        <v>4868</v>
      </c>
      <c r="U2603" s="45">
        <v>35</v>
      </c>
      <c r="V2603" t="s">
        <v>8125</v>
      </c>
      <c r="W2603" s="1" t="str">
        <f>HYPERLINK("http://ictvonline.org/taxonomy/p/taxonomy-history?taxnode_id=201905960","ICTVonline=201905960")</f>
        <v>ICTVonline=201905960</v>
      </c>
    </row>
    <row r="2604" spans="1:23">
      <c r="A2604" s="3">
        <v>2603</v>
      </c>
      <c r="B2604" s="1" t="s">
        <v>8017</v>
      </c>
      <c r="D2604" s="1" t="s">
        <v>8049</v>
      </c>
      <c r="F2604" s="1" t="s">
        <v>8122</v>
      </c>
      <c r="H2604" s="1" t="s">
        <v>8123</v>
      </c>
      <c r="J2604" s="1" t="s">
        <v>8135</v>
      </c>
      <c r="L2604" s="1" t="s">
        <v>5513</v>
      </c>
      <c r="N2604" s="1" t="s">
        <v>5526</v>
      </c>
      <c r="P2604" s="1" t="s">
        <v>5531</v>
      </c>
      <c r="Q2604" s="3">
        <v>1</v>
      </c>
      <c r="R2604" s="22" t="s">
        <v>2724</v>
      </c>
      <c r="S2604" s="42" t="s">
        <v>6909</v>
      </c>
      <c r="T2604" s="3" t="s">
        <v>4868</v>
      </c>
      <c r="U2604" s="45">
        <v>35</v>
      </c>
      <c r="V2604" t="s">
        <v>8125</v>
      </c>
      <c r="W2604" s="1" t="str">
        <f>HYPERLINK("http://ictvonline.org/taxonomy/p/taxonomy-history?taxnode_id=201905961","ICTVonline=201905961")</f>
        <v>ICTVonline=201905961</v>
      </c>
    </row>
    <row r="2605" spans="1:23">
      <c r="A2605" s="3">
        <v>2604</v>
      </c>
      <c r="B2605" s="1" t="s">
        <v>8017</v>
      </c>
      <c r="D2605" s="1" t="s">
        <v>8049</v>
      </c>
      <c r="F2605" s="1" t="s">
        <v>8122</v>
      </c>
      <c r="H2605" s="1" t="s">
        <v>8123</v>
      </c>
      <c r="J2605" s="1" t="s">
        <v>8135</v>
      </c>
      <c r="L2605" s="1" t="s">
        <v>5513</v>
      </c>
      <c r="N2605" s="1" t="s">
        <v>5526</v>
      </c>
      <c r="P2605" s="1" t="s">
        <v>5532</v>
      </c>
      <c r="Q2605" s="3">
        <v>0</v>
      </c>
      <c r="R2605" s="22" t="s">
        <v>2724</v>
      </c>
      <c r="S2605" s="42" t="s">
        <v>6909</v>
      </c>
      <c r="T2605" s="3" t="s">
        <v>4868</v>
      </c>
      <c r="U2605" s="45">
        <v>35</v>
      </c>
      <c r="V2605" t="s">
        <v>8125</v>
      </c>
      <c r="W2605" s="1" t="str">
        <f>HYPERLINK("http://ictvonline.org/taxonomy/p/taxonomy-history?taxnode_id=201905962","ICTVonline=201905962")</f>
        <v>ICTVonline=201905962</v>
      </c>
    </row>
    <row r="2606" spans="1:23">
      <c r="A2606" s="3">
        <v>2605</v>
      </c>
      <c r="B2606" s="1" t="s">
        <v>8017</v>
      </c>
      <c r="D2606" s="1" t="s">
        <v>8049</v>
      </c>
      <c r="F2606" s="1" t="s">
        <v>8122</v>
      </c>
      <c r="H2606" s="1" t="s">
        <v>8123</v>
      </c>
      <c r="J2606" s="1" t="s">
        <v>8135</v>
      </c>
      <c r="L2606" s="1" t="s">
        <v>5513</v>
      </c>
      <c r="N2606" s="1" t="s">
        <v>5526</v>
      </c>
      <c r="P2606" s="1" t="s">
        <v>5533</v>
      </c>
      <c r="Q2606" s="3">
        <v>0</v>
      </c>
      <c r="R2606" s="22" t="s">
        <v>2724</v>
      </c>
      <c r="S2606" s="42" t="s">
        <v>6909</v>
      </c>
      <c r="T2606" s="3" t="s">
        <v>4868</v>
      </c>
      <c r="U2606" s="45">
        <v>35</v>
      </c>
      <c r="V2606" t="s">
        <v>8125</v>
      </c>
      <c r="W2606" s="1" t="str">
        <f>HYPERLINK("http://ictvonline.org/taxonomy/p/taxonomy-history?taxnode_id=201905963","ICTVonline=201905963")</f>
        <v>ICTVonline=201905963</v>
      </c>
    </row>
    <row r="2607" spans="1:23">
      <c r="A2607" s="3">
        <v>2606</v>
      </c>
      <c r="B2607" s="1" t="s">
        <v>8017</v>
      </c>
      <c r="D2607" s="1" t="s">
        <v>8049</v>
      </c>
      <c r="F2607" s="1" t="s">
        <v>8122</v>
      </c>
      <c r="H2607" s="1" t="s">
        <v>8123</v>
      </c>
      <c r="J2607" s="1" t="s">
        <v>8135</v>
      </c>
      <c r="L2607" s="1" t="s">
        <v>5513</v>
      </c>
      <c r="N2607" s="1" t="s">
        <v>5534</v>
      </c>
      <c r="P2607" s="1" t="s">
        <v>5535</v>
      </c>
      <c r="Q2607" s="3">
        <v>0</v>
      </c>
      <c r="R2607" s="22" t="s">
        <v>2724</v>
      </c>
      <c r="S2607" s="42" t="s">
        <v>6909</v>
      </c>
      <c r="T2607" s="3" t="s">
        <v>4868</v>
      </c>
      <c r="U2607" s="45">
        <v>35</v>
      </c>
      <c r="V2607" t="s">
        <v>8125</v>
      </c>
      <c r="W2607" s="1" t="str">
        <f>HYPERLINK("http://ictvonline.org/taxonomy/p/taxonomy-history?taxnode_id=201905965","ICTVonline=201905965")</f>
        <v>ICTVonline=201905965</v>
      </c>
    </row>
    <row r="2608" spans="1:23">
      <c r="A2608" s="3">
        <v>2607</v>
      </c>
      <c r="B2608" s="1" t="s">
        <v>8017</v>
      </c>
      <c r="D2608" s="1" t="s">
        <v>8049</v>
      </c>
      <c r="F2608" s="1" t="s">
        <v>8122</v>
      </c>
      <c r="H2608" s="1" t="s">
        <v>8123</v>
      </c>
      <c r="J2608" s="1" t="s">
        <v>8135</v>
      </c>
      <c r="L2608" s="1" t="s">
        <v>5513</v>
      </c>
      <c r="N2608" s="1" t="s">
        <v>5534</v>
      </c>
      <c r="P2608" s="1" t="s">
        <v>5536</v>
      </c>
      <c r="Q2608" s="3">
        <v>0</v>
      </c>
      <c r="R2608" s="22" t="s">
        <v>2724</v>
      </c>
      <c r="S2608" s="42" t="s">
        <v>6909</v>
      </c>
      <c r="T2608" s="3" t="s">
        <v>4868</v>
      </c>
      <c r="U2608" s="45">
        <v>35</v>
      </c>
      <c r="V2608" t="s">
        <v>8125</v>
      </c>
      <c r="W2608" s="1" t="str">
        <f>HYPERLINK("http://ictvonline.org/taxonomy/p/taxonomy-history?taxnode_id=201905966","ICTVonline=201905966")</f>
        <v>ICTVonline=201905966</v>
      </c>
    </row>
    <row r="2609" spans="1:23">
      <c r="A2609" s="3">
        <v>2608</v>
      </c>
      <c r="B2609" s="1" t="s">
        <v>8017</v>
      </c>
      <c r="D2609" s="1" t="s">
        <v>8049</v>
      </c>
      <c r="F2609" s="1" t="s">
        <v>8122</v>
      </c>
      <c r="H2609" s="1" t="s">
        <v>8123</v>
      </c>
      <c r="J2609" s="1" t="s">
        <v>8135</v>
      </c>
      <c r="L2609" s="1" t="s">
        <v>5513</v>
      </c>
      <c r="N2609" s="1" t="s">
        <v>5534</v>
      </c>
      <c r="P2609" s="1" t="s">
        <v>5537</v>
      </c>
      <c r="Q2609" s="3">
        <v>0</v>
      </c>
      <c r="R2609" s="22" t="s">
        <v>2724</v>
      </c>
      <c r="S2609" s="42" t="s">
        <v>6909</v>
      </c>
      <c r="T2609" s="3" t="s">
        <v>4868</v>
      </c>
      <c r="U2609" s="45">
        <v>35</v>
      </c>
      <c r="V2609" t="s">
        <v>8125</v>
      </c>
      <c r="W2609" s="1" t="str">
        <f>HYPERLINK("http://ictvonline.org/taxonomy/p/taxonomy-history?taxnode_id=201905967","ICTVonline=201905967")</f>
        <v>ICTVonline=201905967</v>
      </c>
    </row>
    <row r="2610" spans="1:23">
      <c r="A2610" s="3">
        <v>2609</v>
      </c>
      <c r="B2610" s="1" t="s">
        <v>8017</v>
      </c>
      <c r="D2610" s="1" t="s">
        <v>8049</v>
      </c>
      <c r="F2610" s="1" t="s">
        <v>8122</v>
      </c>
      <c r="H2610" s="1" t="s">
        <v>8123</v>
      </c>
      <c r="J2610" s="1" t="s">
        <v>8135</v>
      </c>
      <c r="L2610" s="1" t="s">
        <v>5513</v>
      </c>
      <c r="N2610" s="1" t="s">
        <v>5534</v>
      </c>
      <c r="P2610" s="1" t="s">
        <v>5538</v>
      </c>
      <c r="Q2610" s="3">
        <v>0</v>
      </c>
      <c r="R2610" s="22" t="s">
        <v>2724</v>
      </c>
      <c r="S2610" s="42" t="s">
        <v>6909</v>
      </c>
      <c r="T2610" s="3" t="s">
        <v>4868</v>
      </c>
      <c r="U2610" s="45">
        <v>35</v>
      </c>
      <c r="V2610" t="s">
        <v>8125</v>
      </c>
      <c r="W2610" s="1" t="str">
        <f>HYPERLINK("http://ictvonline.org/taxonomy/p/taxonomy-history?taxnode_id=201905968","ICTVonline=201905968")</f>
        <v>ICTVonline=201905968</v>
      </c>
    </row>
    <row r="2611" spans="1:23">
      <c r="A2611" s="3">
        <v>2610</v>
      </c>
      <c r="B2611" s="1" t="s">
        <v>8017</v>
      </c>
      <c r="D2611" s="1" t="s">
        <v>8049</v>
      </c>
      <c r="F2611" s="1" t="s">
        <v>8122</v>
      </c>
      <c r="H2611" s="1" t="s">
        <v>8123</v>
      </c>
      <c r="J2611" s="1" t="s">
        <v>8135</v>
      </c>
      <c r="L2611" s="1" t="s">
        <v>5513</v>
      </c>
      <c r="N2611" s="1" t="s">
        <v>5534</v>
      </c>
      <c r="P2611" s="1" t="s">
        <v>5539</v>
      </c>
      <c r="Q2611" s="3">
        <v>0</v>
      </c>
      <c r="R2611" s="22" t="s">
        <v>2724</v>
      </c>
      <c r="S2611" s="42" t="s">
        <v>6909</v>
      </c>
      <c r="T2611" s="3" t="s">
        <v>4868</v>
      </c>
      <c r="U2611" s="45">
        <v>35</v>
      </c>
      <c r="V2611" t="s">
        <v>8125</v>
      </c>
      <c r="W2611" s="1" t="str">
        <f>HYPERLINK("http://ictvonline.org/taxonomy/p/taxonomy-history?taxnode_id=201905969","ICTVonline=201905969")</f>
        <v>ICTVonline=201905969</v>
      </c>
    </row>
    <row r="2612" spans="1:23">
      <c r="A2612" s="3">
        <v>2611</v>
      </c>
      <c r="B2612" s="1" t="s">
        <v>8017</v>
      </c>
      <c r="D2612" s="1" t="s">
        <v>8049</v>
      </c>
      <c r="F2612" s="1" t="s">
        <v>8122</v>
      </c>
      <c r="H2612" s="1" t="s">
        <v>8123</v>
      </c>
      <c r="J2612" s="1" t="s">
        <v>8135</v>
      </c>
      <c r="L2612" s="1" t="s">
        <v>5513</v>
      </c>
      <c r="N2612" s="1" t="s">
        <v>5534</v>
      </c>
      <c r="P2612" s="1" t="s">
        <v>5540</v>
      </c>
      <c r="Q2612" s="3">
        <v>1</v>
      </c>
      <c r="R2612" s="22" t="s">
        <v>2724</v>
      </c>
      <c r="S2612" s="42" t="s">
        <v>6909</v>
      </c>
      <c r="T2612" s="3" t="s">
        <v>4868</v>
      </c>
      <c r="U2612" s="45">
        <v>35</v>
      </c>
      <c r="V2612" t="s">
        <v>8125</v>
      </c>
      <c r="W2612" s="1" t="str">
        <f>HYPERLINK("http://ictvonline.org/taxonomy/p/taxonomy-history?taxnode_id=201905970","ICTVonline=201905970")</f>
        <v>ICTVonline=201905970</v>
      </c>
    </row>
    <row r="2613" spans="1:23">
      <c r="A2613" s="3">
        <v>2612</v>
      </c>
      <c r="B2613" s="1" t="s">
        <v>8017</v>
      </c>
      <c r="D2613" s="1" t="s">
        <v>8049</v>
      </c>
      <c r="F2613" s="1" t="s">
        <v>8122</v>
      </c>
      <c r="H2613" s="1" t="s">
        <v>8123</v>
      </c>
      <c r="J2613" s="1" t="s">
        <v>8135</v>
      </c>
      <c r="L2613" s="1" t="s">
        <v>5513</v>
      </c>
      <c r="N2613" s="1" t="s">
        <v>5534</v>
      </c>
      <c r="P2613" s="1" t="s">
        <v>5541</v>
      </c>
      <c r="Q2613" s="3">
        <v>0</v>
      </c>
      <c r="R2613" s="22" t="s">
        <v>2724</v>
      </c>
      <c r="S2613" s="42" t="s">
        <v>6909</v>
      </c>
      <c r="T2613" s="3" t="s">
        <v>4868</v>
      </c>
      <c r="U2613" s="45">
        <v>35</v>
      </c>
      <c r="V2613" t="s">
        <v>8125</v>
      </c>
      <c r="W2613" s="1" t="str">
        <f>HYPERLINK("http://ictvonline.org/taxonomy/p/taxonomy-history?taxnode_id=201905971","ICTVonline=201905971")</f>
        <v>ICTVonline=201905971</v>
      </c>
    </row>
    <row r="2614" spans="1:23">
      <c r="A2614" s="3">
        <v>2613</v>
      </c>
      <c r="B2614" s="1" t="s">
        <v>8017</v>
      </c>
      <c r="D2614" s="1" t="s">
        <v>8049</v>
      </c>
      <c r="F2614" s="1" t="s">
        <v>8122</v>
      </c>
      <c r="H2614" s="1" t="s">
        <v>8123</v>
      </c>
      <c r="J2614" s="1" t="s">
        <v>8135</v>
      </c>
      <c r="L2614" s="1" t="s">
        <v>5513</v>
      </c>
      <c r="N2614" s="1" t="s">
        <v>5534</v>
      </c>
      <c r="P2614" s="1" t="s">
        <v>5542</v>
      </c>
      <c r="Q2614" s="3">
        <v>0</v>
      </c>
      <c r="R2614" s="22" t="s">
        <v>2724</v>
      </c>
      <c r="S2614" s="42" t="s">
        <v>6909</v>
      </c>
      <c r="T2614" s="3" t="s">
        <v>4868</v>
      </c>
      <c r="U2614" s="45">
        <v>35</v>
      </c>
      <c r="V2614" t="s">
        <v>8125</v>
      </c>
      <c r="W2614" s="1" t="str">
        <f>HYPERLINK("http://ictvonline.org/taxonomy/p/taxonomy-history?taxnode_id=201905972","ICTVonline=201905972")</f>
        <v>ICTVonline=201905972</v>
      </c>
    </row>
    <row r="2615" spans="1:23">
      <c r="A2615" s="3">
        <v>2614</v>
      </c>
      <c r="B2615" s="1" t="s">
        <v>8017</v>
      </c>
      <c r="D2615" s="1" t="s">
        <v>8049</v>
      </c>
      <c r="F2615" s="1" t="s">
        <v>8122</v>
      </c>
      <c r="H2615" s="1" t="s">
        <v>8123</v>
      </c>
      <c r="J2615" s="1" t="s">
        <v>8135</v>
      </c>
      <c r="L2615" s="1" t="s">
        <v>5513</v>
      </c>
      <c r="N2615" s="1" t="s">
        <v>5534</v>
      </c>
      <c r="P2615" s="1" t="s">
        <v>5543</v>
      </c>
      <c r="Q2615" s="3">
        <v>0</v>
      </c>
      <c r="R2615" s="22" t="s">
        <v>2724</v>
      </c>
      <c r="S2615" s="42" t="s">
        <v>6909</v>
      </c>
      <c r="T2615" s="3" t="s">
        <v>4868</v>
      </c>
      <c r="U2615" s="45">
        <v>35</v>
      </c>
      <c r="V2615" t="s">
        <v>8125</v>
      </c>
      <c r="W2615" s="1" t="str">
        <f>HYPERLINK("http://ictvonline.org/taxonomy/p/taxonomy-history?taxnode_id=201905973","ICTVonline=201905973")</f>
        <v>ICTVonline=201905973</v>
      </c>
    </row>
    <row r="2616" spans="1:23">
      <c r="A2616" s="3">
        <v>2615</v>
      </c>
      <c r="B2616" s="1" t="s">
        <v>8017</v>
      </c>
      <c r="D2616" s="1" t="s">
        <v>8049</v>
      </c>
      <c r="F2616" s="1" t="s">
        <v>8122</v>
      </c>
      <c r="H2616" s="1" t="s">
        <v>8123</v>
      </c>
      <c r="J2616" s="1" t="s">
        <v>8135</v>
      </c>
      <c r="L2616" s="1" t="s">
        <v>5513</v>
      </c>
      <c r="N2616" s="1" t="s">
        <v>5534</v>
      </c>
      <c r="P2616" s="1" t="s">
        <v>5544</v>
      </c>
      <c r="Q2616" s="3">
        <v>0</v>
      </c>
      <c r="R2616" s="22" t="s">
        <v>2724</v>
      </c>
      <c r="S2616" s="42" t="s">
        <v>6909</v>
      </c>
      <c r="T2616" s="3" t="s">
        <v>4868</v>
      </c>
      <c r="U2616" s="45">
        <v>35</v>
      </c>
      <c r="V2616" t="s">
        <v>8125</v>
      </c>
      <c r="W2616" s="1" t="str">
        <f>HYPERLINK("http://ictvonline.org/taxonomy/p/taxonomy-history?taxnode_id=201905974","ICTVonline=201905974")</f>
        <v>ICTVonline=201905974</v>
      </c>
    </row>
    <row r="2617" spans="1:23">
      <c r="A2617" s="3">
        <v>2616</v>
      </c>
      <c r="B2617" s="1" t="s">
        <v>8017</v>
      </c>
      <c r="D2617" s="1" t="s">
        <v>8049</v>
      </c>
      <c r="F2617" s="1" t="s">
        <v>8122</v>
      </c>
      <c r="H2617" s="1" t="s">
        <v>8123</v>
      </c>
      <c r="J2617" s="1" t="s">
        <v>8135</v>
      </c>
      <c r="L2617" s="1" t="s">
        <v>5513</v>
      </c>
      <c r="N2617" s="1" t="s">
        <v>5534</v>
      </c>
      <c r="P2617" s="1" t="s">
        <v>5545</v>
      </c>
      <c r="Q2617" s="3">
        <v>0</v>
      </c>
      <c r="R2617" s="22" t="s">
        <v>2724</v>
      </c>
      <c r="S2617" s="42" t="s">
        <v>6909</v>
      </c>
      <c r="T2617" s="3" t="s">
        <v>4868</v>
      </c>
      <c r="U2617" s="45">
        <v>35</v>
      </c>
      <c r="V2617" t="s">
        <v>8125</v>
      </c>
      <c r="W2617" s="1" t="str">
        <f>HYPERLINK("http://ictvonline.org/taxonomy/p/taxonomy-history?taxnode_id=201905975","ICTVonline=201905975")</f>
        <v>ICTVonline=201905975</v>
      </c>
    </row>
    <row r="2618" spans="1:23">
      <c r="A2618" s="3">
        <v>2617</v>
      </c>
      <c r="B2618" s="1" t="s">
        <v>8017</v>
      </c>
      <c r="D2618" s="1" t="s">
        <v>8049</v>
      </c>
      <c r="F2618" s="1" t="s">
        <v>8122</v>
      </c>
      <c r="H2618" s="1" t="s">
        <v>8123</v>
      </c>
      <c r="J2618" s="1" t="s">
        <v>8135</v>
      </c>
      <c r="L2618" s="1" t="s">
        <v>5513</v>
      </c>
      <c r="N2618" s="1" t="s">
        <v>5534</v>
      </c>
      <c r="P2618" s="1" t="s">
        <v>5546</v>
      </c>
      <c r="Q2618" s="3">
        <v>0</v>
      </c>
      <c r="R2618" s="22" t="s">
        <v>2724</v>
      </c>
      <c r="S2618" s="42" t="s">
        <v>6909</v>
      </c>
      <c r="T2618" s="3" t="s">
        <v>4868</v>
      </c>
      <c r="U2618" s="45">
        <v>35</v>
      </c>
      <c r="V2618" t="s">
        <v>8125</v>
      </c>
      <c r="W2618" s="1" t="str">
        <f>HYPERLINK("http://ictvonline.org/taxonomy/p/taxonomy-history?taxnode_id=201905976","ICTVonline=201905976")</f>
        <v>ICTVonline=201905976</v>
      </c>
    </row>
    <row r="2619" spans="1:23">
      <c r="A2619" s="3">
        <v>2618</v>
      </c>
      <c r="B2619" s="1" t="s">
        <v>8017</v>
      </c>
      <c r="D2619" s="1" t="s">
        <v>8049</v>
      </c>
      <c r="F2619" s="1" t="s">
        <v>8122</v>
      </c>
      <c r="H2619" s="1" t="s">
        <v>8123</v>
      </c>
      <c r="J2619" s="1" t="s">
        <v>8135</v>
      </c>
      <c r="L2619" s="1" t="s">
        <v>5513</v>
      </c>
      <c r="N2619" s="1" t="s">
        <v>5534</v>
      </c>
      <c r="P2619" s="1" t="s">
        <v>5547</v>
      </c>
      <c r="Q2619" s="3">
        <v>0</v>
      </c>
      <c r="R2619" s="22" t="s">
        <v>2724</v>
      </c>
      <c r="S2619" s="42" t="s">
        <v>6909</v>
      </c>
      <c r="T2619" s="3" t="s">
        <v>4868</v>
      </c>
      <c r="U2619" s="45">
        <v>35</v>
      </c>
      <c r="V2619" t="s">
        <v>8125</v>
      </c>
      <c r="W2619" s="1" t="str">
        <f>HYPERLINK("http://ictvonline.org/taxonomy/p/taxonomy-history?taxnode_id=201905977","ICTVonline=201905977")</f>
        <v>ICTVonline=201905977</v>
      </c>
    </row>
    <row r="2620" spans="1:23">
      <c r="A2620" s="3">
        <v>2619</v>
      </c>
      <c r="B2620" s="1" t="s">
        <v>8017</v>
      </c>
      <c r="D2620" s="1" t="s">
        <v>8049</v>
      </c>
      <c r="F2620" s="1" t="s">
        <v>8122</v>
      </c>
      <c r="H2620" s="1" t="s">
        <v>8123</v>
      </c>
      <c r="J2620" s="1" t="s">
        <v>8135</v>
      </c>
      <c r="L2620" s="1" t="s">
        <v>5513</v>
      </c>
      <c r="N2620" s="1" t="s">
        <v>5534</v>
      </c>
      <c r="P2620" s="1" t="s">
        <v>5548</v>
      </c>
      <c r="Q2620" s="3">
        <v>0</v>
      </c>
      <c r="R2620" s="22" t="s">
        <v>2724</v>
      </c>
      <c r="S2620" s="42" t="s">
        <v>6909</v>
      </c>
      <c r="T2620" s="3" t="s">
        <v>4868</v>
      </c>
      <c r="U2620" s="45">
        <v>35</v>
      </c>
      <c r="V2620" t="s">
        <v>8125</v>
      </c>
      <c r="W2620" s="1" t="str">
        <f>HYPERLINK("http://ictvonline.org/taxonomy/p/taxonomy-history?taxnode_id=201905979","ICTVonline=201905979")</f>
        <v>ICTVonline=201905979</v>
      </c>
    </row>
    <row r="2621" spans="1:23">
      <c r="A2621" s="3">
        <v>2620</v>
      </c>
      <c r="B2621" s="1" t="s">
        <v>8017</v>
      </c>
      <c r="D2621" s="1" t="s">
        <v>8049</v>
      </c>
      <c r="F2621" s="1" t="s">
        <v>8122</v>
      </c>
      <c r="H2621" s="1" t="s">
        <v>8123</v>
      </c>
      <c r="J2621" s="1" t="s">
        <v>8135</v>
      </c>
      <c r="L2621" s="1" t="s">
        <v>5513</v>
      </c>
      <c r="N2621" s="1" t="s">
        <v>5534</v>
      </c>
      <c r="P2621" s="1" t="s">
        <v>5549</v>
      </c>
      <c r="Q2621" s="3">
        <v>0</v>
      </c>
      <c r="R2621" s="22" t="s">
        <v>2724</v>
      </c>
      <c r="S2621" s="42" t="s">
        <v>6909</v>
      </c>
      <c r="T2621" s="3" t="s">
        <v>4868</v>
      </c>
      <c r="U2621" s="45">
        <v>35</v>
      </c>
      <c r="V2621" t="s">
        <v>8125</v>
      </c>
      <c r="W2621" s="1" t="str">
        <f>HYPERLINK("http://ictvonline.org/taxonomy/p/taxonomy-history?taxnode_id=201905980","ICTVonline=201905980")</f>
        <v>ICTVonline=201905980</v>
      </c>
    </row>
    <row r="2622" spans="1:23">
      <c r="A2622" s="3">
        <v>2621</v>
      </c>
      <c r="B2622" s="1" t="s">
        <v>8017</v>
      </c>
      <c r="D2622" s="1" t="s">
        <v>8049</v>
      </c>
      <c r="F2622" s="1" t="s">
        <v>8122</v>
      </c>
      <c r="H2622" s="1" t="s">
        <v>8123</v>
      </c>
      <c r="J2622" s="1" t="s">
        <v>8135</v>
      </c>
      <c r="L2622" s="1" t="s">
        <v>5513</v>
      </c>
      <c r="N2622" s="1" t="s">
        <v>5534</v>
      </c>
      <c r="P2622" s="1" t="s">
        <v>5550</v>
      </c>
      <c r="Q2622" s="3">
        <v>0</v>
      </c>
      <c r="R2622" s="22" t="s">
        <v>2724</v>
      </c>
      <c r="S2622" s="42" t="s">
        <v>6909</v>
      </c>
      <c r="T2622" s="3" t="s">
        <v>4868</v>
      </c>
      <c r="U2622" s="45">
        <v>35</v>
      </c>
      <c r="V2622" t="s">
        <v>8125</v>
      </c>
      <c r="W2622" s="1" t="str">
        <f>HYPERLINK("http://ictvonline.org/taxonomy/p/taxonomy-history?taxnode_id=201905981","ICTVonline=201905981")</f>
        <v>ICTVonline=201905981</v>
      </c>
    </row>
    <row r="2623" spans="1:23">
      <c r="A2623" s="3">
        <v>2622</v>
      </c>
      <c r="B2623" s="1" t="s">
        <v>8017</v>
      </c>
      <c r="D2623" s="1" t="s">
        <v>8049</v>
      </c>
      <c r="F2623" s="1" t="s">
        <v>8122</v>
      </c>
      <c r="H2623" s="1" t="s">
        <v>8123</v>
      </c>
      <c r="J2623" s="1" t="s">
        <v>8135</v>
      </c>
      <c r="L2623" s="1" t="s">
        <v>5513</v>
      </c>
      <c r="N2623" s="1" t="s">
        <v>5534</v>
      </c>
      <c r="P2623" s="1" t="s">
        <v>5551</v>
      </c>
      <c r="Q2623" s="3">
        <v>0</v>
      </c>
      <c r="R2623" s="22" t="s">
        <v>2724</v>
      </c>
      <c r="S2623" s="42" t="s">
        <v>6909</v>
      </c>
      <c r="T2623" s="3" t="s">
        <v>4868</v>
      </c>
      <c r="U2623" s="45">
        <v>35</v>
      </c>
      <c r="V2623" t="s">
        <v>8125</v>
      </c>
      <c r="W2623" s="1" t="str">
        <f>HYPERLINK("http://ictvonline.org/taxonomy/p/taxonomy-history?taxnode_id=201905982","ICTVonline=201905982")</f>
        <v>ICTVonline=201905982</v>
      </c>
    </row>
    <row r="2624" spans="1:23">
      <c r="A2624" s="3">
        <v>2623</v>
      </c>
      <c r="B2624" s="1" t="s">
        <v>8017</v>
      </c>
      <c r="D2624" s="1" t="s">
        <v>8049</v>
      </c>
      <c r="F2624" s="1" t="s">
        <v>8122</v>
      </c>
      <c r="H2624" s="1" t="s">
        <v>8123</v>
      </c>
      <c r="J2624" s="1" t="s">
        <v>8135</v>
      </c>
      <c r="L2624" s="1" t="s">
        <v>5513</v>
      </c>
      <c r="N2624" s="1" t="s">
        <v>5534</v>
      </c>
      <c r="P2624" s="1" t="s">
        <v>5552</v>
      </c>
      <c r="Q2624" s="3">
        <v>0</v>
      </c>
      <c r="R2624" s="22" t="s">
        <v>2724</v>
      </c>
      <c r="S2624" s="42" t="s">
        <v>6909</v>
      </c>
      <c r="T2624" s="3" t="s">
        <v>4868</v>
      </c>
      <c r="U2624" s="45">
        <v>35</v>
      </c>
      <c r="V2624" t="s">
        <v>8125</v>
      </c>
      <c r="W2624" s="1" t="str">
        <f>HYPERLINK("http://ictvonline.org/taxonomy/p/taxonomy-history?taxnode_id=201905983","ICTVonline=201905983")</f>
        <v>ICTVonline=201905983</v>
      </c>
    </row>
    <row r="2625" spans="1:23">
      <c r="A2625" s="3">
        <v>2624</v>
      </c>
      <c r="B2625" s="1" t="s">
        <v>8017</v>
      </c>
      <c r="D2625" s="1" t="s">
        <v>8049</v>
      </c>
      <c r="F2625" s="1" t="s">
        <v>8122</v>
      </c>
      <c r="H2625" s="1" t="s">
        <v>8123</v>
      </c>
      <c r="J2625" s="1" t="s">
        <v>8135</v>
      </c>
      <c r="L2625" s="1" t="s">
        <v>5513</v>
      </c>
      <c r="N2625" s="1" t="s">
        <v>5534</v>
      </c>
      <c r="P2625" s="1" t="s">
        <v>5553</v>
      </c>
      <c r="Q2625" s="3">
        <v>0</v>
      </c>
      <c r="R2625" s="22" t="s">
        <v>2724</v>
      </c>
      <c r="S2625" s="42" t="s">
        <v>6909</v>
      </c>
      <c r="T2625" s="3" t="s">
        <v>4868</v>
      </c>
      <c r="U2625" s="45">
        <v>35</v>
      </c>
      <c r="V2625" t="s">
        <v>8125</v>
      </c>
      <c r="W2625" s="1" t="str">
        <f>HYPERLINK("http://ictvonline.org/taxonomy/p/taxonomy-history?taxnode_id=201905984","ICTVonline=201905984")</f>
        <v>ICTVonline=201905984</v>
      </c>
    </row>
    <row r="2626" spans="1:23">
      <c r="A2626" s="3">
        <v>2625</v>
      </c>
      <c r="B2626" s="1" t="s">
        <v>8017</v>
      </c>
      <c r="D2626" s="1" t="s">
        <v>8049</v>
      </c>
      <c r="F2626" s="1" t="s">
        <v>8122</v>
      </c>
      <c r="H2626" s="1" t="s">
        <v>8123</v>
      </c>
      <c r="J2626" s="1" t="s">
        <v>8135</v>
      </c>
      <c r="L2626" s="1" t="s">
        <v>5513</v>
      </c>
      <c r="N2626" s="1" t="s">
        <v>5534</v>
      </c>
      <c r="P2626" s="1" t="s">
        <v>5554</v>
      </c>
      <c r="Q2626" s="3">
        <v>0</v>
      </c>
      <c r="R2626" s="22" t="s">
        <v>2724</v>
      </c>
      <c r="S2626" s="42" t="s">
        <v>6909</v>
      </c>
      <c r="T2626" s="3" t="s">
        <v>4868</v>
      </c>
      <c r="U2626" s="45">
        <v>35</v>
      </c>
      <c r="V2626" t="s">
        <v>8125</v>
      </c>
      <c r="W2626" s="1" t="str">
        <f>HYPERLINK("http://ictvonline.org/taxonomy/p/taxonomy-history?taxnode_id=201905985","ICTVonline=201905985")</f>
        <v>ICTVonline=201905985</v>
      </c>
    </row>
    <row r="2627" spans="1:23">
      <c r="A2627" s="3">
        <v>2626</v>
      </c>
      <c r="B2627" s="1" t="s">
        <v>8017</v>
      </c>
      <c r="D2627" s="1" t="s">
        <v>8049</v>
      </c>
      <c r="F2627" s="1" t="s">
        <v>8122</v>
      </c>
      <c r="H2627" s="1" t="s">
        <v>8123</v>
      </c>
      <c r="J2627" s="1" t="s">
        <v>8135</v>
      </c>
      <c r="L2627" s="1" t="s">
        <v>5513</v>
      </c>
      <c r="N2627" s="1" t="s">
        <v>5534</v>
      </c>
      <c r="P2627" s="1" t="s">
        <v>5555</v>
      </c>
      <c r="Q2627" s="3">
        <v>0</v>
      </c>
      <c r="R2627" s="22" t="s">
        <v>2724</v>
      </c>
      <c r="S2627" s="42" t="s">
        <v>6909</v>
      </c>
      <c r="T2627" s="3" t="s">
        <v>4868</v>
      </c>
      <c r="U2627" s="45">
        <v>35</v>
      </c>
      <c r="V2627" t="s">
        <v>8125</v>
      </c>
      <c r="W2627" s="1" t="str">
        <f>HYPERLINK("http://ictvonline.org/taxonomy/p/taxonomy-history?taxnode_id=201905986","ICTVonline=201905986")</f>
        <v>ICTVonline=201905986</v>
      </c>
    </row>
    <row r="2628" spans="1:23">
      <c r="A2628" s="3">
        <v>2627</v>
      </c>
      <c r="B2628" s="1" t="s">
        <v>8017</v>
      </c>
      <c r="D2628" s="1" t="s">
        <v>8049</v>
      </c>
      <c r="F2628" s="1" t="s">
        <v>8122</v>
      </c>
      <c r="H2628" s="1" t="s">
        <v>8123</v>
      </c>
      <c r="J2628" s="1" t="s">
        <v>8135</v>
      </c>
      <c r="L2628" s="1" t="s">
        <v>5513</v>
      </c>
      <c r="N2628" s="1" t="s">
        <v>5534</v>
      </c>
      <c r="P2628" s="1" t="s">
        <v>5556</v>
      </c>
      <c r="Q2628" s="3">
        <v>0</v>
      </c>
      <c r="R2628" s="22" t="s">
        <v>2724</v>
      </c>
      <c r="S2628" s="42" t="s">
        <v>6909</v>
      </c>
      <c r="T2628" s="3" t="s">
        <v>4868</v>
      </c>
      <c r="U2628" s="45">
        <v>35</v>
      </c>
      <c r="V2628" t="s">
        <v>8125</v>
      </c>
      <c r="W2628" s="1" t="str">
        <f>HYPERLINK("http://ictvonline.org/taxonomy/p/taxonomy-history?taxnode_id=201905978","ICTVonline=201905978")</f>
        <v>ICTVonline=201905978</v>
      </c>
    </row>
    <row r="2629" spans="1:23">
      <c r="A2629" s="3">
        <v>2628</v>
      </c>
      <c r="B2629" s="1" t="s">
        <v>8017</v>
      </c>
      <c r="D2629" s="1" t="s">
        <v>8049</v>
      </c>
      <c r="F2629" s="1" t="s">
        <v>8122</v>
      </c>
      <c r="H2629" s="1" t="s">
        <v>8123</v>
      </c>
      <c r="J2629" s="1" t="s">
        <v>8135</v>
      </c>
      <c r="L2629" s="1" t="s">
        <v>5513</v>
      </c>
      <c r="N2629" s="1" t="s">
        <v>5534</v>
      </c>
      <c r="P2629" s="1" t="s">
        <v>5557</v>
      </c>
      <c r="Q2629" s="3">
        <v>0</v>
      </c>
      <c r="R2629" s="22" t="s">
        <v>2724</v>
      </c>
      <c r="S2629" s="42" t="s">
        <v>6909</v>
      </c>
      <c r="T2629" s="3" t="s">
        <v>4868</v>
      </c>
      <c r="U2629" s="45">
        <v>35</v>
      </c>
      <c r="V2629" t="s">
        <v>8125</v>
      </c>
      <c r="W2629" s="1" t="str">
        <f>HYPERLINK("http://ictvonline.org/taxonomy/p/taxonomy-history?taxnode_id=201905987","ICTVonline=201905987")</f>
        <v>ICTVonline=201905987</v>
      </c>
    </row>
    <row r="2630" spans="1:23">
      <c r="A2630" s="3">
        <v>2629</v>
      </c>
      <c r="B2630" s="1" t="s">
        <v>8017</v>
      </c>
      <c r="D2630" s="1" t="s">
        <v>8049</v>
      </c>
      <c r="F2630" s="1" t="s">
        <v>8122</v>
      </c>
      <c r="H2630" s="1" t="s">
        <v>8123</v>
      </c>
      <c r="J2630" s="1" t="s">
        <v>8135</v>
      </c>
      <c r="L2630" s="1" t="s">
        <v>5513</v>
      </c>
      <c r="N2630" s="1" t="s">
        <v>5534</v>
      </c>
      <c r="P2630" s="1" t="s">
        <v>5558</v>
      </c>
      <c r="Q2630" s="3">
        <v>0</v>
      </c>
      <c r="R2630" s="22" t="s">
        <v>2724</v>
      </c>
      <c r="S2630" s="42" t="s">
        <v>6909</v>
      </c>
      <c r="T2630" s="3" t="s">
        <v>4868</v>
      </c>
      <c r="U2630" s="45">
        <v>35</v>
      </c>
      <c r="V2630" t="s">
        <v>8125</v>
      </c>
      <c r="W2630" s="1" t="str">
        <f>HYPERLINK("http://ictvonline.org/taxonomy/p/taxonomy-history?taxnode_id=201905988","ICTVonline=201905988")</f>
        <v>ICTVonline=201905988</v>
      </c>
    </row>
    <row r="2631" spans="1:23">
      <c r="A2631" s="3">
        <v>2630</v>
      </c>
      <c r="B2631" s="1" t="s">
        <v>8017</v>
      </c>
      <c r="D2631" s="1" t="s">
        <v>8049</v>
      </c>
      <c r="F2631" s="1" t="s">
        <v>8122</v>
      </c>
      <c r="H2631" s="1" t="s">
        <v>8123</v>
      </c>
      <c r="J2631" s="1" t="s">
        <v>8135</v>
      </c>
      <c r="L2631" s="1" t="s">
        <v>5513</v>
      </c>
      <c r="N2631" s="1" t="s">
        <v>5534</v>
      </c>
      <c r="P2631" s="1" t="s">
        <v>5559</v>
      </c>
      <c r="Q2631" s="3">
        <v>0</v>
      </c>
      <c r="R2631" s="22" t="s">
        <v>2724</v>
      </c>
      <c r="S2631" s="42" t="s">
        <v>6909</v>
      </c>
      <c r="T2631" s="3" t="s">
        <v>4868</v>
      </c>
      <c r="U2631" s="45">
        <v>35</v>
      </c>
      <c r="V2631" t="s">
        <v>8125</v>
      </c>
      <c r="W2631" s="1" t="str">
        <f>HYPERLINK("http://ictvonline.org/taxonomy/p/taxonomy-history?taxnode_id=201905989","ICTVonline=201905989")</f>
        <v>ICTVonline=201905989</v>
      </c>
    </row>
    <row r="2632" spans="1:23">
      <c r="A2632" s="3">
        <v>2631</v>
      </c>
      <c r="B2632" s="1" t="s">
        <v>8017</v>
      </c>
      <c r="D2632" s="1" t="s">
        <v>8049</v>
      </c>
      <c r="F2632" s="1" t="s">
        <v>8122</v>
      </c>
      <c r="H2632" s="1" t="s">
        <v>8123</v>
      </c>
      <c r="J2632" s="1" t="s">
        <v>8135</v>
      </c>
      <c r="L2632" s="1" t="s">
        <v>5513</v>
      </c>
      <c r="N2632" s="1" t="s">
        <v>5534</v>
      </c>
      <c r="P2632" s="1" t="s">
        <v>5560</v>
      </c>
      <c r="Q2632" s="3">
        <v>0</v>
      </c>
      <c r="R2632" s="22" t="s">
        <v>2724</v>
      </c>
      <c r="S2632" s="42" t="s">
        <v>6909</v>
      </c>
      <c r="T2632" s="3" t="s">
        <v>4868</v>
      </c>
      <c r="U2632" s="45">
        <v>35</v>
      </c>
      <c r="V2632" t="s">
        <v>8125</v>
      </c>
      <c r="W2632" s="1" t="str">
        <f>HYPERLINK("http://ictvonline.org/taxonomy/p/taxonomy-history?taxnode_id=201905990","ICTVonline=201905990")</f>
        <v>ICTVonline=201905990</v>
      </c>
    </row>
    <row r="2633" spans="1:23">
      <c r="A2633" s="3">
        <v>2632</v>
      </c>
      <c r="B2633" s="1" t="s">
        <v>8017</v>
      </c>
      <c r="D2633" s="1" t="s">
        <v>8049</v>
      </c>
      <c r="F2633" s="1" t="s">
        <v>8122</v>
      </c>
      <c r="H2633" s="1" t="s">
        <v>8123</v>
      </c>
      <c r="J2633" s="1" t="s">
        <v>8135</v>
      </c>
      <c r="L2633" s="1" t="s">
        <v>5513</v>
      </c>
      <c r="N2633" s="1" t="s">
        <v>5534</v>
      </c>
      <c r="P2633" s="1" t="s">
        <v>5561</v>
      </c>
      <c r="Q2633" s="3">
        <v>0</v>
      </c>
      <c r="R2633" s="22" t="s">
        <v>2724</v>
      </c>
      <c r="S2633" s="42" t="s">
        <v>6909</v>
      </c>
      <c r="T2633" s="3" t="s">
        <v>4868</v>
      </c>
      <c r="U2633" s="45">
        <v>35</v>
      </c>
      <c r="V2633" t="s">
        <v>8125</v>
      </c>
      <c r="W2633" s="1" t="str">
        <f>HYPERLINK("http://ictvonline.org/taxonomy/p/taxonomy-history?taxnode_id=201905991","ICTVonline=201905991")</f>
        <v>ICTVonline=201905991</v>
      </c>
    </row>
    <row r="2634" spans="1:23">
      <c r="A2634" s="3">
        <v>2633</v>
      </c>
      <c r="B2634" s="1" t="s">
        <v>8017</v>
      </c>
      <c r="D2634" s="1" t="s">
        <v>8049</v>
      </c>
      <c r="F2634" s="1" t="s">
        <v>8122</v>
      </c>
      <c r="H2634" s="1" t="s">
        <v>8123</v>
      </c>
      <c r="J2634" s="1" t="s">
        <v>8136</v>
      </c>
      <c r="L2634" s="1" t="s">
        <v>2019</v>
      </c>
      <c r="N2634" s="1" t="s">
        <v>2020</v>
      </c>
      <c r="P2634" s="1" t="s">
        <v>542</v>
      </c>
      <c r="Q2634" s="3">
        <v>0</v>
      </c>
      <c r="R2634" s="22" t="s">
        <v>2724</v>
      </c>
      <c r="S2634" s="42" t="s">
        <v>6909</v>
      </c>
      <c r="T2634" s="3" t="s">
        <v>4868</v>
      </c>
      <c r="U2634" s="45">
        <v>35</v>
      </c>
      <c r="V2634" t="s">
        <v>8125</v>
      </c>
      <c r="W2634" s="1" t="str">
        <f>HYPERLINK("http://ictvonline.org/taxonomy/p/taxonomy-history?taxnode_id=201903894","ICTVonline=201903894")</f>
        <v>ICTVonline=201903894</v>
      </c>
    </row>
    <row r="2635" spans="1:23">
      <c r="A2635" s="3">
        <v>2634</v>
      </c>
      <c r="B2635" s="1" t="s">
        <v>8017</v>
      </c>
      <c r="D2635" s="1" t="s">
        <v>8049</v>
      </c>
      <c r="F2635" s="1" t="s">
        <v>8122</v>
      </c>
      <c r="H2635" s="1" t="s">
        <v>8123</v>
      </c>
      <c r="J2635" s="1" t="s">
        <v>8136</v>
      </c>
      <c r="L2635" s="1" t="s">
        <v>2019</v>
      </c>
      <c r="N2635" s="1" t="s">
        <v>2020</v>
      </c>
      <c r="P2635" s="1" t="s">
        <v>2021</v>
      </c>
      <c r="Q2635" s="3">
        <v>1</v>
      </c>
      <c r="R2635" s="22" t="s">
        <v>2724</v>
      </c>
      <c r="S2635" s="42" t="s">
        <v>6909</v>
      </c>
      <c r="T2635" s="3" t="s">
        <v>4868</v>
      </c>
      <c r="U2635" s="45">
        <v>35</v>
      </c>
      <c r="V2635" t="s">
        <v>8125</v>
      </c>
      <c r="W2635" s="1" t="str">
        <f>HYPERLINK("http://ictvonline.org/taxonomy/p/taxonomy-history?taxnode_id=201903895","ICTVonline=201903895")</f>
        <v>ICTVonline=201903895</v>
      </c>
    </row>
    <row r="2636" spans="1:23">
      <c r="A2636" s="3">
        <v>2635</v>
      </c>
      <c r="B2636" s="1" t="s">
        <v>8017</v>
      </c>
      <c r="D2636" s="1" t="s">
        <v>8049</v>
      </c>
      <c r="F2636" s="1" t="s">
        <v>8122</v>
      </c>
      <c r="H2636" s="1" t="s">
        <v>8123</v>
      </c>
      <c r="J2636" s="1" t="s">
        <v>8136</v>
      </c>
      <c r="L2636" s="1" t="s">
        <v>2019</v>
      </c>
      <c r="N2636" s="1" t="s">
        <v>2020</v>
      </c>
      <c r="P2636" s="1" t="s">
        <v>543</v>
      </c>
      <c r="Q2636" s="3">
        <v>0</v>
      </c>
      <c r="R2636" s="22" t="s">
        <v>2724</v>
      </c>
      <c r="S2636" s="42" t="s">
        <v>6909</v>
      </c>
      <c r="T2636" s="3" t="s">
        <v>4868</v>
      </c>
      <c r="U2636" s="45">
        <v>35</v>
      </c>
      <c r="V2636" t="s">
        <v>8125</v>
      </c>
      <c r="W2636" s="1" t="str">
        <f>HYPERLINK("http://ictvonline.org/taxonomy/p/taxonomy-history?taxnode_id=201903896","ICTVonline=201903896")</f>
        <v>ICTVonline=201903896</v>
      </c>
    </row>
    <row r="2637" spans="1:23">
      <c r="A2637" s="3">
        <v>2636</v>
      </c>
      <c r="B2637" s="1" t="s">
        <v>8017</v>
      </c>
      <c r="D2637" s="1" t="s">
        <v>8049</v>
      </c>
      <c r="F2637" s="1" t="s">
        <v>8122</v>
      </c>
      <c r="H2637" s="1" t="s">
        <v>8123</v>
      </c>
      <c r="J2637" s="1" t="s">
        <v>8136</v>
      </c>
      <c r="L2637" s="1" t="s">
        <v>2019</v>
      </c>
      <c r="N2637" s="1" t="s">
        <v>2022</v>
      </c>
      <c r="P2637" s="1" t="s">
        <v>3832</v>
      </c>
      <c r="Q2637" s="3">
        <v>0</v>
      </c>
      <c r="R2637" s="22" t="s">
        <v>2724</v>
      </c>
      <c r="S2637" s="42" t="s">
        <v>6909</v>
      </c>
      <c r="T2637" s="3" t="s">
        <v>4868</v>
      </c>
      <c r="U2637" s="45">
        <v>35</v>
      </c>
      <c r="V2637" t="s">
        <v>8125</v>
      </c>
      <c r="W2637" s="1" t="str">
        <f>HYPERLINK("http://ictvonline.org/taxonomy/p/taxonomy-history?taxnode_id=201903898","ICTVonline=201903898")</f>
        <v>ICTVonline=201903898</v>
      </c>
    </row>
    <row r="2638" spans="1:23">
      <c r="A2638" s="3">
        <v>2637</v>
      </c>
      <c r="B2638" s="1" t="s">
        <v>8017</v>
      </c>
      <c r="D2638" s="1" t="s">
        <v>8049</v>
      </c>
      <c r="F2638" s="1" t="s">
        <v>8122</v>
      </c>
      <c r="H2638" s="1" t="s">
        <v>8123</v>
      </c>
      <c r="J2638" s="1" t="s">
        <v>8136</v>
      </c>
      <c r="L2638" s="1" t="s">
        <v>2019</v>
      </c>
      <c r="N2638" s="1" t="s">
        <v>2022</v>
      </c>
      <c r="P2638" s="1" t="s">
        <v>102</v>
      </c>
      <c r="Q2638" s="3">
        <v>0</v>
      </c>
      <c r="R2638" s="22" t="s">
        <v>2724</v>
      </c>
      <c r="S2638" s="42" t="s">
        <v>6909</v>
      </c>
      <c r="T2638" s="3" t="s">
        <v>4868</v>
      </c>
      <c r="U2638" s="45">
        <v>35</v>
      </c>
      <c r="V2638" t="s">
        <v>8125</v>
      </c>
      <c r="W2638" s="1" t="str">
        <f>HYPERLINK("http://ictvonline.org/taxonomy/p/taxonomy-history?taxnode_id=201903899","ICTVonline=201903899")</f>
        <v>ICTVonline=201903899</v>
      </c>
    </row>
    <row r="2639" spans="1:23">
      <c r="A2639" s="3">
        <v>2638</v>
      </c>
      <c r="B2639" s="1" t="s">
        <v>8017</v>
      </c>
      <c r="D2639" s="1" t="s">
        <v>8049</v>
      </c>
      <c r="F2639" s="1" t="s">
        <v>8122</v>
      </c>
      <c r="H2639" s="1" t="s">
        <v>8123</v>
      </c>
      <c r="J2639" s="1" t="s">
        <v>8136</v>
      </c>
      <c r="L2639" s="1" t="s">
        <v>2019</v>
      </c>
      <c r="N2639" s="1" t="s">
        <v>2022</v>
      </c>
      <c r="P2639" s="1" t="s">
        <v>1602</v>
      </c>
      <c r="Q2639" s="3">
        <v>0</v>
      </c>
      <c r="R2639" s="22" t="s">
        <v>2724</v>
      </c>
      <c r="S2639" s="42" t="s">
        <v>6909</v>
      </c>
      <c r="T2639" s="3" t="s">
        <v>4868</v>
      </c>
      <c r="U2639" s="45">
        <v>35</v>
      </c>
      <c r="V2639" t="s">
        <v>8125</v>
      </c>
      <c r="W2639" s="1" t="str">
        <f>HYPERLINK("http://ictvonline.org/taxonomy/p/taxonomy-history?taxnode_id=201903900","ICTVonline=201903900")</f>
        <v>ICTVonline=201903900</v>
      </c>
    </row>
    <row r="2640" spans="1:23">
      <c r="A2640" s="3">
        <v>2639</v>
      </c>
      <c r="B2640" s="1" t="s">
        <v>8017</v>
      </c>
      <c r="D2640" s="1" t="s">
        <v>8049</v>
      </c>
      <c r="F2640" s="1" t="s">
        <v>8122</v>
      </c>
      <c r="H2640" s="1" t="s">
        <v>8123</v>
      </c>
      <c r="J2640" s="1" t="s">
        <v>8136</v>
      </c>
      <c r="L2640" s="1" t="s">
        <v>2019</v>
      </c>
      <c r="N2640" s="1" t="s">
        <v>2022</v>
      </c>
      <c r="P2640" s="1" t="s">
        <v>2256</v>
      </c>
      <c r="Q2640" s="3">
        <v>0</v>
      </c>
      <c r="R2640" s="22" t="s">
        <v>2724</v>
      </c>
      <c r="S2640" s="42" t="s">
        <v>6909</v>
      </c>
      <c r="T2640" s="3" t="s">
        <v>4868</v>
      </c>
      <c r="U2640" s="45">
        <v>35</v>
      </c>
      <c r="V2640" t="s">
        <v>8125</v>
      </c>
      <c r="W2640" s="1" t="str">
        <f>HYPERLINK("http://ictvonline.org/taxonomy/p/taxonomy-history?taxnode_id=201903901","ICTVonline=201903901")</f>
        <v>ICTVonline=201903901</v>
      </c>
    </row>
    <row r="2641" spans="1:23">
      <c r="A2641" s="3">
        <v>2640</v>
      </c>
      <c r="B2641" s="1" t="s">
        <v>8017</v>
      </c>
      <c r="D2641" s="1" t="s">
        <v>8049</v>
      </c>
      <c r="F2641" s="1" t="s">
        <v>8122</v>
      </c>
      <c r="H2641" s="1" t="s">
        <v>8123</v>
      </c>
      <c r="J2641" s="1" t="s">
        <v>8136</v>
      </c>
      <c r="L2641" s="1" t="s">
        <v>2019</v>
      </c>
      <c r="N2641" s="1" t="s">
        <v>2022</v>
      </c>
      <c r="P2641" s="1" t="s">
        <v>1079</v>
      </c>
      <c r="Q2641" s="3">
        <v>0</v>
      </c>
      <c r="R2641" s="22" t="s">
        <v>2724</v>
      </c>
      <c r="S2641" s="42" t="s">
        <v>6909</v>
      </c>
      <c r="T2641" s="3" t="s">
        <v>4868</v>
      </c>
      <c r="U2641" s="45">
        <v>35</v>
      </c>
      <c r="V2641" t="s">
        <v>8125</v>
      </c>
      <c r="W2641" s="1" t="str">
        <f>HYPERLINK("http://ictvonline.org/taxonomy/p/taxonomy-history?taxnode_id=201903902","ICTVonline=201903902")</f>
        <v>ICTVonline=201903902</v>
      </c>
    </row>
    <row r="2642" spans="1:23">
      <c r="A2642" s="3">
        <v>2641</v>
      </c>
      <c r="B2642" s="1" t="s">
        <v>8017</v>
      </c>
      <c r="D2642" s="1" t="s">
        <v>8049</v>
      </c>
      <c r="F2642" s="1" t="s">
        <v>8122</v>
      </c>
      <c r="H2642" s="1" t="s">
        <v>8123</v>
      </c>
      <c r="J2642" s="1" t="s">
        <v>8136</v>
      </c>
      <c r="L2642" s="1" t="s">
        <v>2019</v>
      </c>
      <c r="N2642" s="1" t="s">
        <v>2022</v>
      </c>
      <c r="P2642" s="1" t="s">
        <v>103</v>
      </c>
      <c r="Q2642" s="3">
        <v>0</v>
      </c>
      <c r="R2642" s="22" t="s">
        <v>2724</v>
      </c>
      <c r="S2642" s="42" t="s">
        <v>6909</v>
      </c>
      <c r="T2642" s="3" t="s">
        <v>4868</v>
      </c>
      <c r="U2642" s="45">
        <v>35</v>
      </c>
      <c r="V2642" t="s">
        <v>8125</v>
      </c>
      <c r="W2642" s="1" t="str">
        <f>HYPERLINK("http://ictvonline.org/taxonomy/p/taxonomy-history?taxnode_id=201903903","ICTVonline=201903903")</f>
        <v>ICTVonline=201903903</v>
      </c>
    </row>
    <row r="2643" spans="1:23">
      <c r="A2643" s="3">
        <v>2642</v>
      </c>
      <c r="B2643" s="1" t="s">
        <v>8017</v>
      </c>
      <c r="D2643" s="1" t="s">
        <v>8049</v>
      </c>
      <c r="F2643" s="1" t="s">
        <v>8122</v>
      </c>
      <c r="H2643" s="1" t="s">
        <v>8123</v>
      </c>
      <c r="J2643" s="1" t="s">
        <v>8136</v>
      </c>
      <c r="L2643" s="1" t="s">
        <v>2019</v>
      </c>
      <c r="N2643" s="1" t="s">
        <v>2022</v>
      </c>
      <c r="P2643" s="1" t="s">
        <v>3833</v>
      </c>
      <c r="Q2643" s="3">
        <v>0</v>
      </c>
      <c r="R2643" s="22" t="s">
        <v>2724</v>
      </c>
      <c r="S2643" s="42" t="s">
        <v>6909</v>
      </c>
      <c r="T2643" s="3" t="s">
        <v>4868</v>
      </c>
      <c r="U2643" s="45">
        <v>35</v>
      </c>
      <c r="V2643" t="s">
        <v>8125</v>
      </c>
      <c r="W2643" s="1" t="str">
        <f>HYPERLINK("http://ictvonline.org/taxonomy/p/taxonomy-history?taxnode_id=201903904","ICTVonline=201903904")</f>
        <v>ICTVonline=201903904</v>
      </c>
    </row>
    <row r="2644" spans="1:23">
      <c r="A2644" s="3">
        <v>2643</v>
      </c>
      <c r="B2644" s="1" t="s">
        <v>8017</v>
      </c>
      <c r="D2644" s="1" t="s">
        <v>8049</v>
      </c>
      <c r="F2644" s="1" t="s">
        <v>8122</v>
      </c>
      <c r="H2644" s="1" t="s">
        <v>8123</v>
      </c>
      <c r="J2644" s="1" t="s">
        <v>8136</v>
      </c>
      <c r="L2644" s="1" t="s">
        <v>2019</v>
      </c>
      <c r="N2644" s="1" t="s">
        <v>2022</v>
      </c>
      <c r="P2644" s="1" t="s">
        <v>1080</v>
      </c>
      <c r="Q2644" s="3">
        <v>1</v>
      </c>
      <c r="R2644" s="22" t="s">
        <v>2724</v>
      </c>
      <c r="S2644" s="42" t="s">
        <v>6909</v>
      </c>
      <c r="T2644" s="3" t="s">
        <v>4868</v>
      </c>
      <c r="U2644" s="45">
        <v>35</v>
      </c>
      <c r="V2644" t="s">
        <v>8125</v>
      </c>
      <c r="W2644" s="1" t="str">
        <f>HYPERLINK("http://ictvonline.org/taxonomy/p/taxonomy-history?taxnode_id=201903905","ICTVonline=201903905")</f>
        <v>ICTVonline=201903905</v>
      </c>
    </row>
    <row r="2645" spans="1:23">
      <c r="A2645" s="3">
        <v>2644</v>
      </c>
      <c r="B2645" s="1" t="s">
        <v>8017</v>
      </c>
      <c r="D2645" s="1" t="s">
        <v>8049</v>
      </c>
      <c r="F2645" s="1" t="s">
        <v>8122</v>
      </c>
      <c r="H2645" s="1" t="s">
        <v>8123</v>
      </c>
      <c r="J2645" s="1" t="s">
        <v>8136</v>
      </c>
      <c r="L2645" s="1" t="s">
        <v>2019</v>
      </c>
      <c r="P2645" s="1" t="s">
        <v>1081</v>
      </c>
      <c r="Q2645" s="3">
        <v>0</v>
      </c>
      <c r="R2645" s="22" t="s">
        <v>2724</v>
      </c>
      <c r="S2645" s="42" t="s">
        <v>6909</v>
      </c>
      <c r="T2645" s="3" t="s">
        <v>4868</v>
      </c>
      <c r="U2645" s="45">
        <v>35</v>
      </c>
      <c r="V2645" t="s">
        <v>8125</v>
      </c>
      <c r="W2645" s="1" t="str">
        <f>HYPERLINK("http://ictvonline.org/taxonomy/p/taxonomy-history?taxnode_id=201903907","ICTVonline=201903907")</f>
        <v>ICTVonline=201903907</v>
      </c>
    </row>
    <row r="2646" spans="1:23">
      <c r="A2646" s="3">
        <v>2645</v>
      </c>
      <c r="B2646" s="1" t="s">
        <v>8017</v>
      </c>
      <c r="D2646" s="1" t="s">
        <v>8049</v>
      </c>
      <c r="F2646" s="1" t="s">
        <v>8122</v>
      </c>
      <c r="H2646" s="1" t="s">
        <v>8123</v>
      </c>
      <c r="J2646" s="1" t="s">
        <v>8137</v>
      </c>
      <c r="L2646" s="1" t="s">
        <v>8138</v>
      </c>
      <c r="N2646" s="1" t="s">
        <v>8139</v>
      </c>
      <c r="P2646" s="1" t="s">
        <v>8140</v>
      </c>
      <c r="Q2646" s="3">
        <v>1</v>
      </c>
      <c r="R2646" s="22" t="s">
        <v>2724</v>
      </c>
      <c r="S2646" s="42" t="s">
        <v>6914</v>
      </c>
      <c r="T2646" s="3" t="s">
        <v>4866</v>
      </c>
      <c r="U2646" s="45">
        <v>35</v>
      </c>
      <c r="V2646" t="s">
        <v>8141</v>
      </c>
      <c r="W2646" s="1" t="str">
        <f>HYPERLINK("http://ictvonline.org/taxonomy/p/taxonomy-history?taxnode_id=201907364","ICTVonline=201907364")</f>
        <v>ICTVonline=201907364</v>
      </c>
    </row>
    <row r="2647" spans="1:23">
      <c r="A2647" s="3">
        <v>2646</v>
      </c>
      <c r="B2647" s="1" t="s">
        <v>8017</v>
      </c>
      <c r="D2647" s="1" t="s">
        <v>8049</v>
      </c>
      <c r="F2647" s="1" t="s">
        <v>8122</v>
      </c>
      <c r="H2647" s="1" t="s">
        <v>8123</v>
      </c>
      <c r="J2647" s="1" t="s">
        <v>8137</v>
      </c>
      <c r="L2647" s="1" t="s">
        <v>8138</v>
      </c>
      <c r="N2647" s="1" t="s">
        <v>8139</v>
      </c>
      <c r="P2647" s="1" t="s">
        <v>8142</v>
      </c>
      <c r="Q2647" s="3">
        <v>0</v>
      </c>
      <c r="R2647" s="22" t="s">
        <v>2724</v>
      </c>
      <c r="S2647" s="42" t="s">
        <v>6914</v>
      </c>
      <c r="T2647" s="3" t="s">
        <v>4866</v>
      </c>
      <c r="U2647" s="45">
        <v>35</v>
      </c>
      <c r="V2647" t="s">
        <v>8141</v>
      </c>
      <c r="W2647" s="1" t="str">
        <f>HYPERLINK("http://ictvonline.org/taxonomy/p/taxonomy-history?taxnode_id=201907365","ICTVonline=201907365")</f>
        <v>ICTVonline=201907365</v>
      </c>
    </row>
    <row r="2648" spans="1:23">
      <c r="A2648" s="3">
        <v>2647</v>
      </c>
      <c r="B2648" s="1" t="s">
        <v>8017</v>
      </c>
      <c r="D2648" s="1" t="s">
        <v>8049</v>
      </c>
      <c r="F2648" s="1" t="s">
        <v>8122</v>
      </c>
      <c r="H2648" s="1" t="s">
        <v>8143</v>
      </c>
      <c r="J2648" s="1" t="s">
        <v>8144</v>
      </c>
      <c r="L2648" s="1" t="s">
        <v>2078</v>
      </c>
      <c r="N2648" s="1" t="s">
        <v>2229</v>
      </c>
      <c r="P2648" s="1" t="s">
        <v>2135</v>
      </c>
      <c r="Q2648" s="3">
        <v>1</v>
      </c>
      <c r="R2648" s="22" t="s">
        <v>2724</v>
      </c>
      <c r="S2648" s="42" t="s">
        <v>6909</v>
      </c>
      <c r="T2648" s="3" t="s">
        <v>4868</v>
      </c>
      <c r="U2648" s="45">
        <v>35</v>
      </c>
      <c r="V2648" t="s">
        <v>8125</v>
      </c>
      <c r="W2648" s="1" t="str">
        <f>HYPERLINK("http://ictvonline.org/taxonomy/p/taxonomy-history?taxnode_id=201903172","ICTVonline=201903172")</f>
        <v>ICTVonline=201903172</v>
      </c>
    </row>
    <row r="2649" spans="1:23">
      <c r="A2649" s="3">
        <v>2648</v>
      </c>
      <c r="B2649" s="1" t="s">
        <v>8017</v>
      </c>
      <c r="D2649" s="1" t="s">
        <v>8049</v>
      </c>
      <c r="F2649" s="1" t="s">
        <v>8122</v>
      </c>
      <c r="H2649" s="1" t="s">
        <v>8143</v>
      </c>
      <c r="J2649" s="1" t="s">
        <v>8144</v>
      </c>
      <c r="L2649" s="1" t="s">
        <v>2078</v>
      </c>
      <c r="N2649" s="1" t="s">
        <v>2229</v>
      </c>
      <c r="P2649" s="1" t="s">
        <v>6836</v>
      </c>
      <c r="Q2649" s="3">
        <v>0</v>
      </c>
      <c r="R2649" s="22" t="s">
        <v>2724</v>
      </c>
      <c r="S2649" s="42" t="s">
        <v>6909</v>
      </c>
      <c r="T2649" s="3" t="s">
        <v>4868</v>
      </c>
      <c r="U2649" s="45">
        <v>35</v>
      </c>
      <c r="V2649" t="s">
        <v>8125</v>
      </c>
      <c r="W2649" s="1" t="str">
        <f>HYPERLINK("http://ictvonline.org/taxonomy/p/taxonomy-history?taxnode_id=201906688","ICTVonline=201906688")</f>
        <v>ICTVonline=201906688</v>
      </c>
    </row>
    <row r="2650" spans="1:23">
      <c r="A2650" s="3">
        <v>2649</v>
      </c>
      <c r="B2650" s="1" t="s">
        <v>8017</v>
      </c>
      <c r="D2650" s="1" t="s">
        <v>8049</v>
      </c>
      <c r="F2650" s="1" t="s">
        <v>8122</v>
      </c>
      <c r="H2650" s="1" t="s">
        <v>8143</v>
      </c>
      <c r="J2650" s="1" t="s">
        <v>8144</v>
      </c>
      <c r="L2650" s="1" t="s">
        <v>2078</v>
      </c>
      <c r="N2650" s="1" t="s">
        <v>2229</v>
      </c>
      <c r="P2650" s="1" t="s">
        <v>2230</v>
      </c>
      <c r="Q2650" s="3">
        <v>0</v>
      </c>
      <c r="R2650" s="22" t="s">
        <v>2724</v>
      </c>
      <c r="S2650" s="42" t="s">
        <v>6909</v>
      </c>
      <c r="T2650" s="3" t="s">
        <v>4868</v>
      </c>
      <c r="U2650" s="45">
        <v>35</v>
      </c>
      <c r="V2650" t="s">
        <v>8125</v>
      </c>
      <c r="W2650" s="1" t="str">
        <f>HYPERLINK("http://ictvonline.org/taxonomy/p/taxonomy-history?taxnode_id=201903173","ICTVonline=201903173")</f>
        <v>ICTVonline=201903173</v>
      </c>
    </row>
    <row r="2651" spans="1:23">
      <c r="A2651" s="3">
        <v>2650</v>
      </c>
      <c r="B2651" s="1" t="s">
        <v>8017</v>
      </c>
      <c r="D2651" s="1" t="s">
        <v>8049</v>
      </c>
      <c r="F2651" s="1" t="s">
        <v>8122</v>
      </c>
      <c r="H2651" s="1" t="s">
        <v>8143</v>
      </c>
      <c r="J2651" s="1" t="s">
        <v>8144</v>
      </c>
      <c r="L2651" s="1" t="s">
        <v>2078</v>
      </c>
      <c r="N2651" s="1" t="s">
        <v>2079</v>
      </c>
      <c r="P2651" s="1" t="s">
        <v>3721</v>
      </c>
      <c r="Q2651" s="3">
        <v>0</v>
      </c>
      <c r="R2651" s="22" t="s">
        <v>2724</v>
      </c>
      <c r="S2651" s="42" t="s">
        <v>6909</v>
      </c>
      <c r="T2651" s="3" t="s">
        <v>4868</v>
      </c>
      <c r="U2651" s="45">
        <v>35</v>
      </c>
      <c r="V2651" t="s">
        <v>8125</v>
      </c>
      <c r="W2651" s="1" t="str">
        <f>HYPERLINK("http://ictvonline.org/taxonomy/p/taxonomy-history?taxnode_id=201903175","ICTVonline=201903175")</f>
        <v>ICTVonline=201903175</v>
      </c>
    </row>
    <row r="2652" spans="1:23">
      <c r="A2652" s="3">
        <v>2651</v>
      </c>
      <c r="B2652" s="1" t="s">
        <v>8017</v>
      </c>
      <c r="D2652" s="1" t="s">
        <v>8049</v>
      </c>
      <c r="F2652" s="1" t="s">
        <v>8122</v>
      </c>
      <c r="H2652" s="1" t="s">
        <v>8143</v>
      </c>
      <c r="J2652" s="1" t="s">
        <v>8144</v>
      </c>
      <c r="L2652" s="1" t="s">
        <v>2078</v>
      </c>
      <c r="N2652" s="1" t="s">
        <v>2079</v>
      </c>
      <c r="P2652" s="1" t="s">
        <v>2370</v>
      </c>
      <c r="Q2652" s="3">
        <v>0</v>
      </c>
      <c r="R2652" s="22" t="s">
        <v>2724</v>
      </c>
      <c r="S2652" s="42" t="s">
        <v>6909</v>
      </c>
      <c r="T2652" s="3" t="s">
        <v>4868</v>
      </c>
      <c r="U2652" s="45">
        <v>35</v>
      </c>
      <c r="V2652" t="s">
        <v>8125</v>
      </c>
      <c r="W2652" s="1" t="str">
        <f>HYPERLINK("http://ictvonline.org/taxonomy/p/taxonomy-history?taxnode_id=201903176","ICTVonline=201903176")</f>
        <v>ICTVonline=201903176</v>
      </c>
    </row>
    <row r="2653" spans="1:23">
      <c r="A2653" s="3">
        <v>2652</v>
      </c>
      <c r="B2653" s="1" t="s">
        <v>8017</v>
      </c>
      <c r="D2653" s="1" t="s">
        <v>8049</v>
      </c>
      <c r="F2653" s="1" t="s">
        <v>8122</v>
      </c>
      <c r="H2653" s="1" t="s">
        <v>8143</v>
      </c>
      <c r="J2653" s="1" t="s">
        <v>8144</v>
      </c>
      <c r="L2653" s="1" t="s">
        <v>2078</v>
      </c>
      <c r="N2653" s="1" t="s">
        <v>2079</v>
      </c>
      <c r="P2653" s="1" t="s">
        <v>2371</v>
      </c>
      <c r="Q2653" s="3">
        <v>0</v>
      </c>
      <c r="R2653" s="22" t="s">
        <v>2724</v>
      </c>
      <c r="S2653" s="42" t="s">
        <v>6909</v>
      </c>
      <c r="T2653" s="3" t="s">
        <v>4868</v>
      </c>
      <c r="U2653" s="45">
        <v>35</v>
      </c>
      <c r="V2653" t="s">
        <v>8125</v>
      </c>
      <c r="W2653" s="1" t="str">
        <f>HYPERLINK("http://ictvonline.org/taxonomy/p/taxonomy-history?taxnode_id=201903177","ICTVonline=201903177")</f>
        <v>ICTVonline=201903177</v>
      </c>
    </row>
    <row r="2654" spans="1:23">
      <c r="A2654" s="3">
        <v>2653</v>
      </c>
      <c r="B2654" s="1" t="s">
        <v>8017</v>
      </c>
      <c r="D2654" s="1" t="s">
        <v>8049</v>
      </c>
      <c r="F2654" s="1" t="s">
        <v>8122</v>
      </c>
      <c r="H2654" s="1" t="s">
        <v>8143</v>
      </c>
      <c r="J2654" s="1" t="s">
        <v>8144</v>
      </c>
      <c r="L2654" s="1" t="s">
        <v>2078</v>
      </c>
      <c r="N2654" s="1" t="s">
        <v>2079</v>
      </c>
      <c r="P2654" s="1" t="s">
        <v>2080</v>
      </c>
      <c r="Q2654" s="3">
        <v>0</v>
      </c>
      <c r="R2654" s="22" t="s">
        <v>2724</v>
      </c>
      <c r="S2654" s="42" t="s">
        <v>6909</v>
      </c>
      <c r="T2654" s="3" t="s">
        <v>4868</v>
      </c>
      <c r="U2654" s="45">
        <v>35</v>
      </c>
      <c r="V2654" t="s">
        <v>8125</v>
      </c>
      <c r="W2654" s="1" t="str">
        <f>HYPERLINK("http://ictvonline.org/taxonomy/p/taxonomy-history?taxnode_id=201903178","ICTVonline=201903178")</f>
        <v>ICTVonline=201903178</v>
      </c>
    </row>
    <row r="2655" spans="1:23">
      <c r="A2655" s="3">
        <v>2654</v>
      </c>
      <c r="B2655" s="1" t="s">
        <v>8017</v>
      </c>
      <c r="D2655" s="1" t="s">
        <v>8049</v>
      </c>
      <c r="F2655" s="1" t="s">
        <v>8122</v>
      </c>
      <c r="H2655" s="1" t="s">
        <v>8143</v>
      </c>
      <c r="J2655" s="1" t="s">
        <v>8144</v>
      </c>
      <c r="L2655" s="1" t="s">
        <v>2078</v>
      </c>
      <c r="N2655" s="1" t="s">
        <v>2079</v>
      </c>
      <c r="P2655" s="1" t="s">
        <v>6837</v>
      </c>
      <c r="Q2655" s="3">
        <v>0</v>
      </c>
      <c r="R2655" s="22" t="s">
        <v>2724</v>
      </c>
      <c r="S2655" s="42" t="s">
        <v>6909</v>
      </c>
      <c r="T2655" s="3" t="s">
        <v>4868</v>
      </c>
      <c r="U2655" s="45">
        <v>35</v>
      </c>
      <c r="V2655" t="s">
        <v>8125</v>
      </c>
      <c r="W2655" s="1" t="str">
        <f>HYPERLINK("http://ictvonline.org/taxonomy/p/taxonomy-history?taxnode_id=201906693","ICTVonline=201906693")</f>
        <v>ICTVonline=201906693</v>
      </c>
    </row>
    <row r="2656" spans="1:23">
      <c r="A2656" s="3">
        <v>2655</v>
      </c>
      <c r="B2656" s="1" t="s">
        <v>8017</v>
      </c>
      <c r="D2656" s="1" t="s">
        <v>8049</v>
      </c>
      <c r="F2656" s="1" t="s">
        <v>8122</v>
      </c>
      <c r="H2656" s="1" t="s">
        <v>8143</v>
      </c>
      <c r="J2656" s="1" t="s">
        <v>8144</v>
      </c>
      <c r="L2656" s="1" t="s">
        <v>2078</v>
      </c>
      <c r="N2656" s="1" t="s">
        <v>2079</v>
      </c>
      <c r="P2656" s="1" t="s">
        <v>1970</v>
      </c>
      <c r="Q2656" s="3">
        <v>0</v>
      </c>
      <c r="R2656" s="22" t="s">
        <v>2724</v>
      </c>
      <c r="S2656" s="42" t="s">
        <v>6909</v>
      </c>
      <c r="T2656" s="3" t="s">
        <v>4868</v>
      </c>
      <c r="U2656" s="45">
        <v>35</v>
      </c>
      <c r="V2656" t="s">
        <v>8125</v>
      </c>
      <c r="W2656" s="1" t="str">
        <f>HYPERLINK("http://ictvonline.org/taxonomy/p/taxonomy-history?taxnode_id=201903179","ICTVonline=201903179")</f>
        <v>ICTVonline=201903179</v>
      </c>
    </row>
    <row r="2657" spans="1:23">
      <c r="A2657" s="3">
        <v>2656</v>
      </c>
      <c r="B2657" s="1" t="s">
        <v>8017</v>
      </c>
      <c r="D2657" s="1" t="s">
        <v>8049</v>
      </c>
      <c r="F2657" s="1" t="s">
        <v>8122</v>
      </c>
      <c r="H2657" s="1" t="s">
        <v>8143</v>
      </c>
      <c r="J2657" s="1" t="s">
        <v>8144</v>
      </c>
      <c r="L2657" s="1" t="s">
        <v>2078</v>
      </c>
      <c r="N2657" s="1" t="s">
        <v>2079</v>
      </c>
      <c r="P2657" s="1" t="s">
        <v>1971</v>
      </c>
      <c r="Q2657" s="3">
        <v>0</v>
      </c>
      <c r="R2657" s="22" t="s">
        <v>2724</v>
      </c>
      <c r="S2657" s="42" t="s">
        <v>6909</v>
      </c>
      <c r="T2657" s="3" t="s">
        <v>4868</v>
      </c>
      <c r="U2657" s="45">
        <v>35</v>
      </c>
      <c r="V2657" t="s">
        <v>8125</v>
      </c>
      <c r="W2657" s="1" t="str">
        <f>HYPERLINK("http://ictvonline.org/taxonomy/p/taxonomy-history?taxnode_id=201903180","ICTVonline=201903180")</f>
        <v>ICTVonline=201903180</v>
      </c>
    </row>
    <row r="2658" spans="1:23">
      <c r="A2658" s="3">
        <v>2657</v>
      </c>
      <c r="B2658" s="1" t="s">
        <v>8017</v>
      </c>
      <c r="D2658" s="1" t="s">
        <v>8049</v>
      </c>
      <c r="F2658" s="1" t="s">
        <v>8122</v>
      </c>
      <c r="H2658" s="1" t="s">
        <v>8143</v>
      </c>
      <c r="J2658" s="1" t="s">
        <v>8144</v>
      </c>
      <c r="L2658" s="1" t="s">
        <v>2078</v>
      </c>
      <c r="N2658" s="1" t="s">
        <v>2079</v>
      </c>
      <c r="P2658" s="1" t="s">
        <v>8145</v>
      </c>
      <c r="Q2658" s="3">
        <v>0</v>
      </c>
      <c r="R2658" s="22" t="s">
        <v>2724</v>
      </c>
      <c r="S2658" s="42" t="s">
        <v>6914</v>
      </c>
      <c r="T2658" s="3" t="s">
        <v>4866</v>
      </c>
      <c r="U2658" s="45">
        <v>35</v>
      </c>
      <c r="V2658" t="s">
        <v>8146</v>
      </c>
      <c r="W2658" s="1" t="str">
        <f>HYPERLINK("http://ictvonline.org/taxonomy/p/taxonomy-history?taxnode_id=201907518","ICTVonline=201907518")</f>
        <v>ICTVonline=201907518</v>
      </c>
    </row>
    <row r="2659" spans="1:23">
      <c r="A2659" s="3">
        <v>2658</v>
      </c>
      <c r="B2659" s="1" t="s">
        <v>8017</v>
      </c>
      <c r="D2659" s="1" t="s">
        <v>8049</v>
      </c>
      <c r="F2659" s="1" t="s">
        <v>8122</v>
      </c>
      <c r="H2659" s="1" t="s">
        <v>8143</v>
      </c>
      <c r="J2659" s="1" t="s">
        <v>8144</v>
      </c>
      <c r="L2659" s="1" t="s">
        <v>2078</v>
      </c>
      <c r="N2659" s="1" t="s">
        <v>2079</v>
      </c>
      <c r="P2659" s="1" t="s">
        <v>1972</v>
      </c>
      <c r="Q2659" s="3">
        <v>0</v>
      </c>
      <c r="R2659" s="22" t="s">
        <v>2724</v>
      </c>
      <c r="S2659" s="42" t="s">
        <v>6909</v>
      </c>
      <c r="T2659" s="3" t="s">
        <v>4868</v>
      </c>
      <c r="U2659" s="45">
        <v>35</v>
      </c>
      <c r="V2659" t="s">
        <v>8125</v>
      </c>
      <c r="W2659" s="1" t="str">
        <f>HYPERLINK("http://ictvonline.org/taxonomy/p/taxonomy-history?taxnode_id=201903181","ICTVonline=201903181")</f>
        <v>ICTVonline=201903181</v>
      </c>
    </row>
    <row r="2660" spans="1:23">
      <c r="A2660" s="3">
        <v>2659</v>
      </c>
      <c r="B2660" s="1" t="s">
        <v>8017</v>
      </c>
      <c r="D2660" s="1" t="s">
        <v>8049</v>
      </c>
      <c r="F2660" s="1" t="s">
        <v>8122</v>
      </c>
      <c r="H2660" s="1" t="s">
        <v>8143</v>
      </c>
      <c r="J2660" s="1" t="s">
        <v>8144</v>
      </c>
      <c r="L2660" s="1" t="s">
        <v>2078</v>
      </c>
      <c r="N2660" s="1" t="s">
        <v>2079</v>
      </c>
      <c r="P2660" s="1" t="s">
        <v>1973</v>
      </c>
      <c r="Q2660" s="3">
        <v>0</v>
      </c>
      <c r="R2660" s="22" t="s">
        <v>2724</v>
      </c>
      <c r="S2660" s="42" t="s">
        <v>6909</v>
      </c>
      <c r="T2660" s="3" t="s">
        <v>4868</v>
      </c>
      <c r="U2660" s="45">
        <v>35</v>
      </c>
      <c r="V2660" t="s">
        <v>8125</v>
      </c>
      <c r="W2660" s="1" t="str">
        <f>HYPERLINK("http://ictvonline.org/taxonomy/p/taxonomy-history?taxnode_id=201903182","ICTVonline=201903182")</f>
        <v>ICTVonline=201903182</v>
      </c>
    </row>
    <row r="2661" spans="1:23">
      <c r="A2661" s="3">
        <v>2660</v>
      </c>
      <c r="B2661" s="1" t="s">
        <v>8017</v>
      </c>
      <c r="D2661" s="1" t="s">
        <v>8049</v>
      </c>
      <c r="F2661" s="1" t="s">
        <v>8122</v>
      </c>
      <c r="H2661" s="1" t="s">
        <v>8143</v>
      </c>
      <c r="J2661" s="1" t="s">
        <v>8144</v>
      </c>
      <c r="L2661" s="1" t="s">
        <v>2078</v>
      </c>
      <c r="N2661" s="1" t="s">
        <v>2079</v>
      </c>
      <c r="P2661" s="1" t="s">
        <v>1974</v>
      </c>
      <c r="Q2661" s="3">
        <v>0</v>
      </c>
      <c r="R2661" s="22" t="s">
        <v>2724</v>
      </c>
      <c r="S2661" s="42" t="s">
        <v>6909</v>
      </c>
      <c r="T2661" s="3" t="s">
        <v>4868</v>
      </c>
      <c r="U2661" s="45">
        <v>35</v>
      </c>
      <c r="V2661" t="s">
        <v>8125</v>
      </c>
      <c r="W2661" s="1" t="str">
        <f>HYPERLINK("http://ictvonline.org/taxonomy/p/taxonomy-history?taxnode_id=201903183","ICTVonline=201903183")</f>
        <v>ICTVonline=201903183</v>
      </c>
    </row>
    <row r="2662" spans="1:23">
      <c r="A2662" s="3">
        <v>2661</v>
      </c>
      <c r="B2662" s="1" t="s">
        <v>8017</v>
      </c>
      <c r="D2662" s="1" t="s">
        <v>8049</v>
      </c>
      <c r="F2662" s="1" t="s">
        <v>8122</v>
      </c>
      <c r="H2662" s="1" t="s">
        <v>8143</v>
      </c>
      <c r="J2662" s="1" t="s">
        <v>8144</v>
      </c>
      <c r="L2662" s="1" t="s">
        <v>2078</v>
      </c>
      <c r="N2662" s="1" t="s">
        <v>2079</v>
      </c>
      <c r="P2662" s="1" t="s">
        <v>1975</v>
      </c>
      <c r="Q2662" s="3">
        <v>0</v>
      </c>
      <c r="R2662" s="22" t="s">
        <v>2724</v>
      </c>
      <c r="S2662" s="42" t="s">
        <v>6909</v>
      </c>
      <c r="T2662" s="3" t="s">
        <v>4868</v>
      </c>
      <c r="U2662" s="45">
        <v>35</v>
      </c>
      <c r="V2662" t="s">
        <v>8125</v>
      </c>
      <c r="W2662" s="1" t="str">
        <f>HYPERLINK("http://ictvonline.org/taxonomy/p/taxonomy-history?taxnode_id=201903184","ICTVonline=201903184")</f>
        <v>ICTVonline=201903184</v>
      </c>
    </row>
    <row r="2663" spans="1:23">
      <c r="A2663" s="3">
        <v>2662</v>
      </c>
      <c r="B2663" s="1" t="s">
        <v>8017</v>
      </c>
      <c r="D2663" s="1" t="s">
        <v>8049</v>
      </c>
      <c r="F2663" s="1" t="s">
        <v>8122</v>
      </c>
      <c r="H2663" s="1" t="s">
        <v>8143</v>
      </c>
      <c r="J2663" s="1" t="s">
        <v>8144</v>
      </c>
      <c r="L2663" s="1" t="s">
        <v>2078</v>
      </c>
      <c r="N2663" s="1" t="s">
        <v>2079</v>
      </c>
      <c r="P2663" s="1" t="s">
        <v>2372</v>
      </c>
      <c r="Q2663" s="3">
        <v>0</v>
      </c>
      <c r="R2663" s="22" t="s">
        <v>2724</v>
      </c>
      <c r="S2663" s="42" t="s">
        <v>6909</v>
      </c>
      <c r="T2663" s="3" t="s">
        <v>4868</v>
      </c>
      <c r="U2663" s="45">
        <v>35</v>
      </c>
      <c r="V2663" t="s">
        <v>8125</v>
      </c>
      <c r="W2663" s="1" t="str">
        <f>HYPERLINK("http://ictvonline.org/taxonomy/p/taxonomy-history?taxnode_id=201903185","ICTVonline=201903185")</f>
        <v>ICTVonline=201903185</v>
      </c>
    </row>
    <row r="2664" spans="1:23">
      <c r="A2664" s="3">
        <v>2663</v>
      </c>
      <c r="B2664" s="1" t="s">
        <v>8017</v>
      </c>
      <c r="D2664" s="1" t="s">
        <v>8049</v>
      </c>
      <c r="F2664" s="1" t="s">
        <v>8122</v>
      </c>
      <c r="H2664" s="1" t="s">
        <v>8143</v>
      </c>
      <c r="J2664" s="1" t="s">
        <v>8144</v>
      </c>
      <c r="L2664" s="1" t="s">
        <v>2078</v>
      </c>
      <c r="N2664" s="1" t="s">
        <v>2079</v>
      </c>
      <c r="P2664" s="1" t="s">
        <v>5338</v>
      </c>
      <c r="Q2664" s="3">
        <v>0</v>
      </c>
      <c r="R2664" s="22" t="s">
        <v>2724</v>
      </c>
      <c r="S2664" s="42" t="s">
        <v>6909</v>
      </c>
      <c r="T2664" s="3" t="s">
        <v>4868</v>
      </c>
      <c r="U2664" s="45">
        <v>35</v>
      </c>
      <c r="V2664" t="s">
        <v>8125</v>
      </c>
      <c r="W2664" s="1" t="str">
        <f>HYPERLINK("http://ictvonline.org/taxonomy/p/taxonomy-history?taxnode_id=201905787","ICTVonline=201905787")</f>
        <v>ICTVonline=201905787</v>
      </c>
    </row>
    <row r="2665" spans="1:23">
      <c r="A2665" s="3">
        <v>2664</v>
      </c>
      <c r="B2665" s="1" t="s">
        <v>8017</v>
      </c>
      <c r="D2665" s="1" t="s">
        <v>8049</v>
      </c>
      <c r="F2665" s="1" t="s">
        <v>8122</v>
      </c>
      <c r="H2665" s="1" t="s">
        <v>8143</v>
      </c>
      <c r="J2665" s="1" t="s">
        <v>8144</v>
      </c>
      <c r="L2665" s="1" t="s">
        <v>2078</v>
      </c>
      <c r="N2665" s="1" t="s">
        <v>2079</v>
      </c>
      <c r="P2665" s="1" t="s">
        <v>1976</v>
      </c>
      <c r="Q2665" s="3">
        <v>0</v>
      </c>
      <c r="R2665" s="22" t="s">
        <v>2724</v>
      </c>
      <c r="S2665" s="42" t="s">
        <v>6909</v>
      </c>
      <c r="T2665" s="3" t="s">
        <v>4868</v>
      </c>
      <c r="U2665" s="45">
        <v>35</v>
      </c>
      <c r="V2665" t="s">
        <v>8125</v>
      </c>
      <c r="W2665" s="1" t="str">
        <f>HYPERLINK("http://ictvonline.org/taxonomy/p/taxonomy-history?taxnode_id=201903186","ICTVonline=201903186")</f>
        <v>ICTVonline=201903186</v>
      </c>
    </row>
    <row r="2666" spans="1:23">
      <c r="A2666" s="3">
        <v>2665</v>
      </c>
      <c r="B2666" s="1" t="s">
        <v>8017</v>
      </c>
      <c r="D2666" s="1" t="s">
        <v>8049</v>
      </c>
      <c r="F2666" s="1" t="s">
        <v>8122</v>
      </c>
      <c r="H2666" s="1" t="s">
        <v>8143</v>
      </c>
      <c r="J2666" s="1" t="s">
        <v>8144</v>
      </c>
      <c r="L2666" s="1" t="s">
        <v>2078</v>
      </c>
      <c r="N2666" s="1" t="s">
        <v>2079</v>
      </c>
      <c r="P2666" s="1" t="s">
        <v>5339</v>
      </c>
      <c r="Q2666" s="3">
        <v>0</v>
      </c>
      <c r="R2666" s="22" t="s">
        <v>2724</v>
      </c>
      <c r="S2666" s="42" t="s">
        <v>6909</v>
      </c>
      <c r="T2666" s="3" t="s">
        <v>4868</v>
      </c>
      <c r="U2666" s="45">
        <v>35</v>
      </c>
      <c r="V2666" t="s">
        <v>8125</v>
      </c>
      <c r="W2666" s="1" t="str">
        <f>HYPERLINK("http://ictvonline.org/taxonomy/p/taxonomy-history?taxnode_id=201905788","ICTVonline=201905788")</f>
        <v>ICTVonline=201905788</v>
      </c>
    </row>
    <row r="2667" spans="1:23">
      <c r="A2667" s="3">
        <v>2666</v>
      </c>
      <c r="B2667" s="1" t="s">
        <v>8017</v>
      </c>
      <c r="D2667" s="1" t="s">
        <v>8049</v>
      </c>
      <c r="F2667" s="1" t="s">
        <v>8122</v>
      </c>
      <c r="H2667" s="1" t="s">
        <v>8143</v>
      </c>
      <c r="J2667" s="1" t="s">
        <v>8144</v>
      </c>
      <c r="L2667" s="1" t="s">
        <v>2078</v>
      </c>
      <c r="N2667" s="1" t="s">
        <v>2079</v>
      </c>
      <c r="P2667" s="1" t="s">
        <v>5340</v>
      </c>
      <c r="Q2667" s="3">
        <v>0</v>
      </c>
      <c r="R2667" s="22" t="s">
        <v>2724</v>
      </c>
      <c r="S2667" s="42" t="s">
        <v>6909</v>
      </c>
      <c r="T2667" s="3" t="s">
        <v>4868</v>
      </c>
      <c r="U2667" s="45">
        <v>35</v>
      </c>
      <c r="V2667" t="s">
        <v>8125</v>
      </c>
      <c r="W2667" s="1" t="str">
        <f>HYPERLINK("http://ictvonline.org/taxonomy/p/taxonomy-history?taxnode_id=201905789","ICTVonline=201905789")</f>
        <v>ICTVonline=201905789</v>
      </c>
    </row>
    <row r="2668" spans="1:23">
      <c r="A2668" s="3">
        <v>2667</v>
      </c>
      <c r="B2668" s="1" t="s">
        <v>8017</v>
      </c>
      <c r="D2668" s="1" t="s">
        <v>8049</v>
      </c>
      <c r="F2668" s="1" t="s">
        <v>8122</v>
      </c>
      <c r="H2668" s="1" t="s">
        <v>8143</v>
      </c>
      <c r="J2668" s="1" t="s">
        <v>8144</v>
      </c>
      <c r="L2668" s="1" t="s">
        <v>2078</v>
      </c>
      <c r="N2668" s="1" t="s">
        <v>2079</v>
      </c>
      <c r="P2668" s="1" t="s">
        <v>1977</v>
      </c>
      <c r="Q2668" s="3">
        <v>0</v>
      </c>
      <c r="R2668" s="22" t="s">
        <v>2724</v>
      </c>
      <c r="S2668" s="42" t="s">
        <v>6909</v>
      </c>
      <c r="T2668" s="3" t="s">
        <v>4868</v>
      </c>
      <c r="U2668" s="45">
        <v>35</v>
      </c>
      <c r="V2668" t="s">
        <v>8125</v>
      </c>
      <c r="W2668" s="1" t="str">
        <f>HYPERLINK("http://ictvonline.org/taxonomy/p/taxonomy-history?taxnode_id=201903187","ICTVonline=201903187")</f>
        <v>ICTVonline=201903187</v>
      </c>
    </row>
    <row r="2669" spans="1:23">
      <c r="A2669" s="3">
        <v>2668</v>
      </c>
      <c r="B2669" s="1" t="s">
        <v>8017</v>
      </c>
      <c r="D2669" s="1" t="s">
        <v>8049</v>
      </c>
      <c r="F2669" s="1" t="s">
        <v>8122</v>
      </c>
      <c r="H2669" s="1" t="s">
        <v>8143</v>
      </c>
      <c r="J2669" s="1" t="s">
        <v>8144</v>
      </c>
      <c r="L2669" s="1" t="s">
        <v>2078</v>
      </c>
      <c r="N2669" s="1" t="s">
        <v>2079</v>
      </c>
      <c r="P2669" s="1" t="s">
        <v>2373</v>
      </c>
      <c r="Q2669" s="3">
        <v>0</v>
      </c>
      <c r="R2669" s="22" t="s">
        <v>2724</v>
      </c>
      <c r="S2669" s="42" t="s">
        <v>6909</v>
      </c>
      <c r="T2669" s="3" t="s">
        <v>4868</v>
      </c>
      <c r="U2669" s="45">
        <v>35</v>
      </c>
      <c r="V2669" t="s">
        <v>8125</v>
      </c>
      <c r="W2669" s="1" t="str">
        <f>HYPERLINK("http://ictvonline.org/taxonomy/p/taxonomy-history?taxnode_id=201903188","ICTVonline=201903188")</f>
        <v>ICTVonline=201903188</v>
      </c>
    </row>
    <row r="2670" spans="1:23">
      <c r="A2670" s="3">
        <v>2669</v>
      </c>
      <c r="B2670" s="1" t="s">
        <v>8017</v>
      </c>
      <c r="D2670" s="1" t="s">
        <v>8049</v>
      </c>
      <c r="F2670" s="1" t="s">
        <v>8122</v>
      </c>
      <c r="H2670" s="1" t="s">
        <v>8143</v>
      </c>
      <c r="J2670" s="1" t="s">
        <v>8144</v>
      </c>
      <c r="L2670" s="1" t="s">
        <v>2078</v>
      </c>
      <c r="N2670" s="1" t="s">
        <v>2079</v>
      </c>
      <c r="P2670" s="1" t="s">
        <v>1978</v>
      </c>
      <c r="Q2670" s="3">
        <v>0</v>
      </c>
      <c r="R2670" s="22" t="s">
        <v>2724</v>
      </c>
      <c r="S2670" s="42" t="s">
        <v>6909</v>
      </c>
      <c r="T2670" s="3" t="s">
        <v>4868</v>
      </c>
      <c r="U2670" s="45">
        <v>35</v>
      </c>
      <c r="V2670" t="s">
        <v>8125</v>
      </c>
      <c r="W2670" s="1" t="str">
        <f>HYPERLINK("http://ictvonline.org/taxonomy/p/taxonomy-history?taxnode_id=201903189","ICTVonline=201903189")</f>
        <v>ICTVonline=201903189</v>
      </c>
    </row>
    <row r="2671" spans="1:23">
      <c r="A2671" s="3">
        <v>2670</v>
      </c>
      <c r="B2671" s="1" t="s">
        <v>8017</v>
      </c>
      <c r="D2671" s="1" t="s">
        <v>8049</v>
      </c>
      <c r="F2671" s="1" t="s">
        <v>8122</v>
      </c>
      <c r="H2671" s="1" t="s">
        <v>8143</v>
      </c>
      <c r="J2671" s="1" t="s">
        <v>8144</v>
      </c>
      <c r="L2671" s="1" t="s">
        <v>2078</v>
      </c>
      <c r="N2671" s="1" t="s">
        <v>2079</v>
      </c>
      <c r="P2671" s="1" t="s">
        <v>273</v>
      </c>
      <c r="Q2671" s="3">
        <v>0</v>
      </c>
      <c r="R2671" s="22" t="s">
        <v>2724</v>
      </c>
      <c r="S2671" s="42" t="s">
        <v>6909</v>
      </c>
      <c r="T2671" s="3" t="s">
        <v>4868</v>
      </c>
      <c r="U2671" s="45">
        <v>35</v>
      </c>
      <c r="V2671" t="s">
        <v>8125</v>
      </c>
      <c r="W2671" s="1" t="str">
        <f>HYPERLINK("http://ictvonline.org/taxonomy/p/taxonomy-history?taxnode_id=201903190","ICTVonline=201903190")</f>
        <v>ICTVonline=201903190</v>
      </c>
    </row>
    <row r="2672" spans="1:23">
      <c r="A2672" s="3">
        <v>2671</v>
      </c>
      <c r="B2672" s="1" t="s">
        <v>8017</v>
      </c>
      <c r="D2672" s="1" t="s">
        <v>8049</v>
      </c>
      <c r="F2672" s="1" t="s">
        <v>8122</v>
      </c>
      <c r="H2672" s="1" t="s">
        <v>8143</v>
      </c>
      <c r="J2672" s="1" t="s">
        <v>8144</v>
      </c>
      <c r="L2672" s="1" t="s">
        <v>2078</v>
      </c>
      <c r="N2672" s="1" t="s">
        <v>2079</v>
      </c>
      <c r="P2672" s="1" t="s">
        <v>274</v>
      </c>
      <c r="Q2672" s="3">
        <v>1</v>
      </c>
      <c r="R2672" s="22" t="s">
        <v>2724</v>
      </c>
      <c r="S2672" s="42" t="s">
        <v>6909</v>
      </c>
      <c r="T2672" s="3" t="s">
        <v>4868</v>
      </c>
      <c r="U2672" s="45">
        <v>35</v>
      </c>
      <c r="V2672" t="s">
        <v>8125</v>
      </c>
      <c r="W2672" s="1" t="str">
        <f>HYPERLINK("http://ictvonline.org/taxonomy/p/taxonomy-history?taxnode_id=201903191","ICTVonline=201903191")</f>
        <v>ICTVonline=201903191</v>
      </c>
    </row>
    <row r="2673" spans="1:23">
      <c r="A2673" s="3">
        <v>2672</v>
      </c>
      <c r="B2673" s="1" t="s">
        <v>8017</v>
      </c>
      <c r="D2673" s="1" t="s">
        <v>8049</v>
      </c>
      <c r="F2673" s="1" t="s">
        <v>8122</v>
      </c>
      <c r="H2673" s="1" t="s">
        <v>8143</v>
      </c>
      <c r="J2673" s="1" t="s">
        <v>8144</v>
      </c>
      <c r="L2673" s="1" t="s">
        <v>2078</v>
      </c>
      <c r="N2673" s="1" t="s">
        <v>2079</v>
      </c>
      <c r="P2673" s="1" t="s">
        <v>6838</v>
      </c>
      <c r="Q2673" s="3">
        <v>0</v>
      </c>
      <c r="R2673" s="22" t="s">
        <v>2724</v>
      </c>
      <c r="S2673" s="42" t="s">
        <v>6909</v>
      </c>
      <c r="T2673" s="3" t="s">
        <v>4868</v>
      </c>
      <c r="U2673" s="45">
        <v>35</v>
      </c>
      <c r="V2673" t="s">
        <v>8125</v>
      </c>
      <c r="W2673" s="1" t="str">
        <f>HYPERLINK("http://ictvonline.org/taxonomy/p/taxonomy-history?taxnode_id=201906694","ICTVonline=201906694")</f>
        <v>ICTVonline=201906694</v>
      </c>
    </row>
    <row r="2674" spans="1:23">
      <c r="A2674" s="3">
        <v>2673</v>
      </c>
      <c r="B2674" s="1" t="s">
        <v>8017</v>
      </c>
      <c r="D2674" s="1" t="s">
        <v>8049</v>
      </c>
      <c r="F2674" s="1" t="s">
        <v>8122</v>
      </c>
      <c r="H2674" s="1" t="s">
        <v>8143</v>
      </c>
      <c r="J2674" s="1" t="s">
        <v>8144</v>
      </c>
      <c r="L2674" s="1" t="s">
        <v>2078</v>
      </c>
      <c r="N2674" s="1" t="s">
        <v>2079</v>
      </c>
      <c r="P2674" s="1" t="s">
        <v>5341</v>
      </c>
      <c r="Q2674" s="3">
        <v>0</v>
      </c>
      <c r="R2674" s="22" t="s">
        <v>2724</v>
      </c>
      <c r="S2674" s="42" t="s">
        <v>6909</v>
      </c>
      <c r="T2674" s="3" t="s">
        <v>4868</v>
      </c>
      <c r="U2674" s="45">
        <v>35</v>
      </c>
      <c r="V2674" t="s">
        <v>8125</v>
      </c>
      <c r="W2674" s="1" t="str">
        <f>HYPERLINK("http://ictvonline.org/taxonomy/p/taxonomy-history?taxnode_id=201905790","ICTVonline=201905790")</f>
        <v>ICTVonline=201905790</v>
      </c>
    </row>
    <row r="2675" spans="1:23">
      <c r="A2675" s="3">
        <v>2674</v>
      </c>
      <c r="B2675" s="1" t="s">
        <v>8017</v>
      </c>
      <c r="D2675" s="1" t="s">
        <v>8049</v>
      </c>
      <c r="F2675" s="1" t="s">
        <v>8122</v>
      </c>
      <c r="H2675" s="1" t="s">
        <v>8143</v>
      </c>
      <c r="J2675" s="1" t="s">
        <v>8144</v>
      </c>
      <c r="L2675" s="1" t="s">
        <v>2078</v>
      </c>
      <c r="N2675" s="1" t="s">
        <v>2079</v>
      </c>
      <c r="P2675" s="1" t="s">
        <v>2374</v>
      </c>
      <c r="Q2675" s="3">
        <v>0</v>
      </c>
      <c r="R2675" s="22" t="s">
        <v>2724</v>
      </c>
      <c r="S2675" s="42" t="s">
        <v>6909</v>
      </c>
      <c r="T2675" s="3" t="s">
        <v>4868</v>
      </c>
      <c r="U2675" s="45">
        <v>35</v>
      </c>
      <c r="V2675" t="s">
        <v>8125</v>
      </c>
      <c r="W2675" s="1" t="str">
        <f>HYPERLINK("http://ictvonline.org/taxonomy/p/taxonomy-history?taxnode_id=201903192","ICTVonline=201903192")</f>
        <v>ICTVonline=201903192</v>
      </c>
    </row>
    <row r="2676" spans="1:23">
      <c r="A2676" s="3">
        <v>2675</v>
      </c>
      <c r="B2676" s="1" t="s">
        <v>8017</v>
      </c>
      <c r="D2676" s="1" t="s">
        <v>8049</v>
      </c>
      <c r="F2676" s="1" t="s">
        <v>8122</v>
      </c>
      <c r="H2676" s="1" t="s">
        <v>8143</v>
      </c>
      <c r="J2676" s="1" t="s">
        <v>8144</v>
      </c>
      <c r="L2676" s="1" t="s">
        <v>2078</v>
      </c>
      <c r="N2676" s="1" t="s">
        <v>2079</v>
      </c>
      <c r="P2676" s="1" t="s">
        <v>2375</v>
      </c>
      <c r="Q2676" s="3">
        <v>0</v>
      </c>
      <c r="R2676" s="22" t="s">
        <v>2724</v>
      </c>
      <c r="S2676" s="42" t="s">
        <v>6909</v>
      </c>
      <c r="T2676" s="3" t="s">
        <v>4868</v>
      </c>
      <c r="U2676" s="45">
        <v>35</v>
      </c>
      <c r="V2676" t="s">
        <v>8125</v>
      </c>
      <c r="W2676" s="1" t="str">
        <f>HYPERLINK("http://ictvonline.org/taxonomy/p/taxonomy-history?taxnode_id=201903193","ICTVonline=201903193")</f>
        <v>ICTVonline=201903193</v>
      </c>
    </row>
    <row r="2677" spans="1:23">
      <c r="A2677" s="3">
        <v>2676</v>
      </c>
      <c r="B2677" s="1" t="s">
        <v>8017</v>
      </c>
      <c r="D2677" s="1" t="s">
        <v>8049</v>
      </c>
      <c r="F2677" s="1" t="s">
        <v>8122</v>
      </c>
      <c r="H2677" s="1" t="s">
        <v>8143</v>
      </c>
      <c r="J2677" s="1" t="s">
        <v>8144</v>
      </c>
      <c r="L2677" s="1" t="s">
        <v>2078</v>
      </c>
      <c r="N2677" s="1" t="s">
        <v>2079</v>
      </c>
      <c r="P2677" s="1" t="s">
        <v>2376</v>
      </c>
      <c r="Q2677" s="3">
        <v>0</v>
      </c>
      <c r="R2677" s="22" t="s">
        <v>2724</v>
      </c>
      <c r="S2677" s="42" t="s">
        <v>6909</v>
      </c>
      <c r="T2677" s="3" t="s">
        <v>4868</v>
      </c>
      <c r="U2677" s="45">
        <v>35</v>
      </c>
      <c r="V2677" t="s">
        <v>8125</v>
      </c>
      <c r="W2677" s="1" t="str">
        <f>HYPERLINK("http://ictvonline.org/taxonomy/p/taxonomy-history?taxnode_id=201903194","ICTVonline=201903194")</f>
        <v>ICTVonline=201903194</v>
      </c>
    </row>
    <row r="2678" spans="1:23">
      <c r="A2678" s="3">
        <v>2677</v>
      </c>
      <c r="B2678" s="1" t="s">
        <v>8017</v>
      </c>
      <c r="D2678" s="1" t="s">
        <v>8049</v>
      </c>
      <c r="F2678" s="1" t="s">
        <v>8122</v>
      </c>
      <c r="H2678" s="1" t="s">
        <v>8143</v>
      </c>
      <c r="J2678" s="1" t="s">
        <v>8144</v>
      </c>
      <c r="L2678" s="1" t="s">
        <v>2078</v>
      </c>
      <c r="N2678" s="1" t="s">
        <v>2079</v>
      </c>
      <c r="P2678" s="1" t="s">
        <v>6839</v>
      </c>
      <c r="Q2678" s="3">
        <v>0</v>
      </c>
      <c r="R2678" s="22" t="s">
        <v>2724</v>
      </c>
      <c r="S2678" s="42" t="s">
        <v>6909</v>
      </c>
      <c r="T2678" s="3" t="s">
        <v>4868</v>
      </c>
      <c r="U2678" s="45">
        <v>35</v>
      </c>
      <c r="V2678" t="s">
        <v>8125</v>
      </c>
      <c r="W2678" s="1" t="str">
        <f>HYPERLINK("http://ictvonline.org/taxonomy/p/taxonomy-history?taxnode_id=201906703","ICTVonline=201906703")</f>
        <v>ICTVonline=201906703</v>
      </c>
    </row>
    <row r="2679" spans="1:23">
      <c r="A2679" s="3">
        <v>2678</v>
      </c>
      <c r="B2679" s="1" t="s">
        <v>8017</v>
      </c>
      <c r="D2679" s="1" t="s">
        <v>8049</v>
      </c>
      <c r="F2679" s="1" t="s">
        <v>8122</v>
      </c>
      <c r="H2679" s="1" t="s">
        <v>8143</v>
      </c>
      <c r="J2679" s="1" t="s">
        <v>8144</v>
      </c>
      <c r="L2679" s="1" t="s">
        <v>2078</v>
      </c>
      <c r="N2679" s="1" t="s">
        <v>2079</v>
      </c>
      <c r="P2679" s="1" t="s">
        <v>275</v>
      </c>
      <c r="Q2679" s="3">
        <v>0</v>
      </c>
      <c r="R2679" s="22" t="s">
        <v>2724</v>
      </c>
      <c r="S2679" s="42" t="s">
        <v>6909</v>
      </c>
      <c r="T2679" s="3" t="s">
        <v>4868</v>
      </c>
      <c r="U2679" s="45">
        <v>35</v>
      </c>
      <c r="V2679" t="s">
        <v>8125</v>
      </c>
      <c r="W2679" s="1" t="str">
        <f>HYPERLINK("http://ictvonline.org/taxonomy/p/taxonomy-history?taxnode_id=201903195","ICTVonline=201903195")</f>
        <v>ICTVonline=201903195</v>
      </c>
    </row>
    <row r="2680" spans="1:23">
      <c r="A2680" s="3">
        <v>2679</v>
      </c>
      <c r="B2680" s="1" t="s">
        <v>8017</v>
      </c>
      <c r="D2680" s="1" t="s">
        <v>8049</v>
      </c>
      <c r="F2680" s="1" t="s">
        <v>8122</v>
      </c>
      <c r="H2680" s="1" t="s">
        <v>8143</v>
      </c>
      <c r="J2680" s="1" t="s">
        <v>8144</v>
      </c>
      <c r="L2680" s="1" t="s">
        <v>2078</v>
      </c>
      <c r="N2680" s="1" t="s">
        <v>2079</v>
      </c>
      <c r="P2680" s="1" t="s">
        <v>8147</v>
      </c>
      <c r="Q2680" s="3">
        <v>0</v>
      </c>
      <c r="R2680" s="22" t="s">
        <v>2724</v>
      </c>
      <c r="S2680" s="42" t="s">
        <v>6914</v>
      </c>
      <c r="T2680" s="3" t="s">
        <v>4866</v>
      </c>
      <c r="U2680" s="45">
        <v>35</v>
      </c>
      <c r="V2680" t="s">
        <v>8146</v>
      </c>
      <c r="W2680" s="1" t="str">
        <f>HYPERLINK("http://ictvonline.org/taxonomy/p/taxonomy-history?taxnode_id=201907519","ICTVonline=201907519")</f>
        <v>ICTVonline=201907519</v>
      </c>
    </row>
    <row r="2681" spans="1:23">
      <c r="A2681" s="3">
        <v>2680</v>
      </c>
      <c r="B2681" s="1" t="s">
        <v>8017</v>
      </c>
      <c r="D2681" s="1" t="s">
        <v>8049</v>
      </c>
      <c r="F2681" s="1" t="s">
        <v>8122</v>
      </c>
      <c r="H2681" s="1" t="s">
        <v>8143</v>
      </c>
      <c r="J2681" s="1" t="s">
        <v>8144</v>
      </c>
      <c r="L2681" s="1" t="s">
        <v>2078</v>
      </c>
      <c r="N2681" s="1" t="s">
        <v>2079</v>
      </c>
      <c r="P2681" s="1" t="s">
        <v>2377</v>
      </c>
      <c r="Q2681" s="3">
        <v>0</v>
      </c>
      <c r="R2681" s="22" t="s">
        <v>2724</v>
      </c>
      <c r="S2681" s="42" t="s">
        <v>6909</v>
      </c>
      <c r="T2681" s="3" t="s">
        <v>4868</v>
      </c>
      <c r="U2681" s="45">
        <v>35</v>
      </c>
      <c r="V2681" t="s">
        <v>8125</v>
      </c>
      <c r="W2681" s="1" t="str">
        <f>HYPERLINK("http://ictvonline.org/taxonomy/p/taxonomy-history?taxnode_id=201903196","ICTVonline=201903196")</f>
        <v>ICTVonline=201903196</v>
      </c>
    </row>
    <row r="2682" spans="1:23">
      <c r="A2682" s="3">
        <v>2681</v>
      </c>
      <c r="B2682" s="1" t="s">
        <v>8017</v>
      </c>
      <c r="D2682" s="1" t="s">
        <v>8049</v>
      </c>
      <c r="F2682" s="1" t="s">
        <v>8122</v>
      </c>
      <c r="H2682" s="1" t="s">
        <v>8143</v>
      </c>
      <c r="J2682" s="1" t="s">
        <v>8144</v>
      </c>
      <c r="L2682" s="1" t="s">
        <v>2078</v>
      </c>
      <c r="N2682" s="1" t="s">
        <v>2079</v>
      </c>
      <c r="P2682" s="1" t="s">
        <v>2378</v>
      </c>
      <c r="Q2682" s="3">
        <v>0</v>
      </c>
      <c r="R2682" s="22" t="s">
        <v>2724</v>
      </c>
      <c r="S2682" s="42" t="s">
        <v>6909</v>
      </c>
      <c r="T2682" s="3" t="s">
        <v>4868</v>
      </c>
      <c r="U2682" s="45">
        <v>35</v>
      </c>
      <c r="V2682" t="s">
        <v>8125</v>
      </c>
      <c r="W2682" s="1" t="str">
        <f>HYPERLINK("http://ictvonline.org/taxonomy/p/taxonomy-history?taxnode_id=201903197","ICTVonline=201903197")</f>
        <v>ICTVonline=201903197</v>
      </c>
    </row>
    <row r="2683" spans="1:23">
      <c r="A2683" s="3">
        <v>2682</v>
      </c>
      <c r="B2683" s="1" t="s">
        <v>8017</v>
      </c>
      <c r="D2683" s="1" t="s">
        <v>8049</v>
      </c>
      <c r="F2683" s="1" t="s">
        <v>8122</v>
      </c>
      <c r="H2683" s="1" t="s">
        <v>8143</v>
      </c>
      <c r="J2683" s="1" t="s">
        <v>8144</v>
      </c>
      <c r="L2683" s="1" t="s">
        <v>2078</v>
      </c>
      <c r="N2683" s="1" t="s">
        <v>2079</v>
      </c>
      <c r="P2683" s="1" t="s">
        <v>6840</v>
      </c>
      <c r="Q2683" s="3">
        <v>0</v>
      </c>
      <c r="R2683" s="22" t="s">
        <v>2724</v>
      </c>
      <c r="S2683" s="42" t="s">
        <v>6909</v>
      </c>
      <c r="T2683" s="3" t="s">
        <v>4868</v>
      </c>
      <c r="U2683" s="45">
        <v>35</v>
      </c>
      <c r="V2683" t="s">
        <v>8125</v>
      </c>
      <c r="W2683" s="1" t="str">
        <f>HYPERLINK("http://ictvonline.org/taxonomy/p/taxonomy-history?taxnode_id=201906695","ICTVonline=201906695")</f>
        <v>ICTVonline=201906695</v>
      </c>
    </row>
    <row r="2684" spans="1:23">
      <c r="A2684" s="3">
        <v>2683</v>
      </c>
      <c r="B2684" s="1" t="s">
        <v>8017</v>
      </c>
      <c r="D2684" s="1" t="s">
        <v>8049</v>
      </c>
      <c r="F2684" s="1" t="s">
        <v>8122</v>
      </c>
      <c r="H2684" s="1" t="s">
        <v>8143</v>
      </c>
      <c r="J2684" s="1" t="s">
        <v>8144</v>
      </c>
      <c r="L2684" s="1" t="s">
        <v>2078</v>
      </c>
      <c r="N2684" s="1" t="s">
        <v>2079</v>
      </c>
      <c r="P2684" s="1" t="s">
        <v>276</v>
      </c>
      <c r="Q2684" s="3">
        <v>0</v>
      </c>
      <c r="R2684" s="22" t="s">
        <v>2724</v>
      </c>
      <c r="S2684" s="42" t="s">
        <v>6909</v>
      </c>
      <c r="T2684" s="3" t="s">
        <v>4868</v>
      </c>
      <c r="U2684" s="45">
        <v>35</v>
      </c>
      <c r="V2684" t="s">
        <v>8125</v>
      </c>
      <c r="W2684" s="1" t="str">
        <f>HYPERLINK("http://ictvonline.org/taxonomy/p/taxonomy-history?taxnode_id=201903198","ICTVonline=201903198")</f>
        <v>ICTVonline=201903198</v>
      </c>
    </row>
    <row r="2685" spans="1:23">
      <c r="A2685" s="3">
        <v>2684</v>
      </c>
      <c r="B2685" s="1" t="s">
        <v>8017</v>
      </c>
      <c r="D2685" s="1" t="s">
        <v>8049</v>
      </c>
      <c r="F2685" s="1" t="s">
        <v>8122</v>
      </c>
      <c r="H2685" s="1" t="s">
        <v>8143</v>
      </c>
      <c r="J2685" s="1" t="s">
        <v>8144</v>
      </c>
      <c r="L2685" s="1" t="s">
        <v>2078</v>
      </c>
      <c r="N2685" s="1" t="s">
        <v>2079</v>
      </c>
      <c r="P2685" s="1" t="s">
        <v>277</v>
      </c>
      <c r="Q2685" s="3">
        <v>0</v>
      </c>
      <c r="R2685" s="22" t="s">
        <v>2724</v>
      </c>
      <c r="S2685" s="42" t="s">
        <v>6909</v>
      </c>
      <c r="T2685" s="3" t="s">
        <v>4868</v>
      </c>
      <c r="U2685" s="45">
        <v>35</v>
      </c>
      <c r="V2685" t="s">
        <v>8125</v>
      </c>
      <c r="W2685" s="1" t="str">
        <f>HYPERLINK("http://ictvonline.org/taxonomy/p/taxonomy-history?taxnode_id=201903199","ICTVonline=201903199")</f>
        <v>ICTVonline=201903199</v>
      </c>
    </row>
    <row r="2686" spans="1:23">
      <c r="A2686" s="3">
        <v>2685</v>
      </c>
      <c r="B2686" s="1" t="s">
        <v>8017</v>
      </c>
      <c r="D2686" s="1" t="s">
        <v>8049</v>
      </c>
      <c r="F2686" s="1" t="s">
        <v>8122</v>
      </c>
      <c r="H2686" s="1" t="s">
        <v>8143</v>
      </c>
      <c r="J2686" s="1" t="s">
        <v>8144</v>
      </c>
      <c r="L2686" s="1" t="s">
        <v>2078</v>
      </c>
      <c r="N2686" s="1" t="s">
        <v>2079</v>
      </c>
      <c r="P2686" s="1" t="s">
        <v>278</v>
      </c>
      <c r="Q2686" s="3">
        <v>0</v>
      </c>
      <c r="R2686" s="22" t="s">
        <v>2724</v>
      </c>
      <c r="S2686" s="42" t="s">
        <v>6909</v>
      </c>
      <c r="T2686" s="3" t="s">
        <v>4868</v>
      </c>
      <c r="U2686" s="45">
        <v>35</v>
      </c>
      <c r="V2686" t="s">
        <v>8125</v>
      </c>
      <c r="W2686" s="1" t="str">
        <f>HYPERLINK("http://ictvonline.org/taxonomy/p/taxonomy-history?taxnode_id=201903200","ICTVonline=201903200")</f>
        <v>ICTVonline=201903200</v>
      </c>
    </row>
    <row r="2687" spans="1:23">
      <c r="A2687" s="3">
        <v>2686</v>
      </c>
      <c r="B2687" s="1" t="s">
        <v>8017</v>
      </c>
      <c r="D2687" s="1" t="s">
        <v>8049</v>
      </c>
      <c r="F2687" s="1" t="s">
        <v>8122</v>
      </c>
      <c r="H2687" s="1" t="s">
        <v>8143</v>
      </c>
      <c r="J2687" s="1" t="s">
        <v>8144</v>
      </c>
      <c r="L2687" s="1" t="s">
        <v>2078</v>
      </c>
      <c r="N2687" s="1" t="s">
        <v>2079</v>
      </c>
      <c r="P2687" s="1" t="s">
        <v>3722</v>
      </c>
      <c r="Q2687" s="3">
        <v>0</v>
      </c>
      <c r="R2687" s="22" t="s">
        <v>2724</v>
      </c>
      <c r="S2687" s="42" t="s">
        <v>6909</v>
      </c>
      <c r="T2687" s="3" t="s">
        <v>4868</v>
      </c>
      <c r="U2687" s="45">
        <v>35</v>
      </c>
      <c r="V2687" t="s">
        <v>8125</v>
      </c>
      <c r="W2687" s="1" t="str">
        <f>HYPERLINK("http://ictvonline.org/taxonomy/p/taxonomy-history?taxnode_id=201903201","ICTVonline=201903201")</f>
        <v>ICTVonline=201903201</v>
      </c>
    </row>
    <row r="2688" spans="1:23">
      <c r="A2688" s="3">
        <v>2687</v>
      </c>
      <c r="B2688" s="1" t="s">
        <v>8017</v>
      </c>
      <c r="D2688" s="1" t="s">
        <v>8049</v>
      </c>
      <c r="F2688" s="1" t="s">
        <v>8122</v>
      </c>
      <c r="H2688" s="1" t="s">
        <v>8143</v>
      </c>
      <c r="J2688" s="1" t="s">
        <v>8144</v>
      </c>
      <c r="L2688" s="1" t="s">
        <v>2078</v>
      </c>
      <c r="N2688" s="1" t="s">
        <v>2079</v>
      </c>
      <c r="P2688" s="1" t="s">
        <v>3723</v>
      </c>
      <c r="Q2688" s="3">
        <v>0</v>
      </c>
      <c r="R2688" s="22" t="s">
        <v>2724</v>
      </c>
      <c r="S2688" s="42" t="s">
        <v>6909</v>
      </c>
      <c r="T2688" s="3" t="s">
        <v>4868</v>
      </c>
      <c r="U2688" s="45">
        <v>35</v>
      </c>
      <c r="V2688" t="s">
        <v>8125</v>
      </c>
      <c r="W2688" s="1" t="str">
        <f>HYPERLINK("http://ictvonline.org/taxonomy/p/taxonomy-history?taxnode_id=201903202","ICTVonline=201903202")</f>
        <v>ICTVonline=201903202</v>
      </c>
    </row>
    <row r="2689" spans="1:23">
      <c r="A2689" s="3">
        <v>2688</v>
      </c>
      <c r="B2689" s="1" t="s">
        <v>8017</v>
      </c>
      <c r="D2689" s="1" t="s">
        <v>8049</v>
      </c>
      <c r="F2689" s="1" t="s">
        <v>8122</v>
      </c>
      <c r="H2689" s="1" t="s">
        <v>8143</v>
      </c>
      <c r="J2689" s="1" t="s">
        <v>8144</v>
      </c>
      <c r="L2689" s="1" t="s">
        <v>2078</v>
      </c>
      <c r="N2689" s="1" t="s">
        <v>2079</v>
      </c>
      <c r="P2689" s="1" t="s">
        <v>3724</v>
      </c>
      <c r="Q2689" s="3">
        <v>0</v>
      </c>
      <c r="R2689" s="22" t="s">
        <v>2724</v>
      </c>
      <c r="S2689" s="42" t="s">
        <v>6909</v>
      </c>
      <c r="T2689" s="3" t="s">
        <v>4868</v>
      </c>
      <c r="U2689" s="45">
        <v>35</v>
      </c>
      <c r="V2689" t="s">
        <v>8125</v>
      </c>
      <c r="W2689" s="1" t="str">
        <f>HYPERLINK("http://ictvonline.org/taxonomy/p/taxonomy-history?taxnode_id=201903203","ICTVonline=201903203")</f>
        <v>ICTVonline=201903203</v>
      </c>
    </row>
    <row r="2690" spans="1:23">
      <c r="A2690" s="3">
        <v>2689</v>
      </c>
      <c r="B2690" s="1" t="s">
        <v>8017</v>
      </c>
      <c r="D2690" s="1" t="s">
        <v>8049</v>
      </c>
      <c r="F2690" s="1" t="s">
        <v>8122</v>
      </c>
      <c r="H2690" s="1" t="s">
        <v>8143</v>
      </c>
      <c r="J2690" s="1" t="s">
        <v>8144</v>
      </c>
      <c r="L2690" s="1" t="s">
        <v>2078</v>
      </c>
      <c r="N2690" s="1" t="s">
        <v>2079</v>
      </c>
      <c r="P2690" s="1" t="s">
        <v>2379</v>
      </c>
      <c r="Q2690" s="3">
        <v>0</v>
      </c>
      <c r="R2690" s="22" t="s">
        <v>2724</v>
      </c>
      <c r="S2690" s="42" t="s">
        <v>6909</v>
      </c>
      <c r="T2690" s="3" t="s">
        <v>4868</v>
      </c>
      <c r="U2690" s="45">
        <v>35</v>
      </c>
      <c r="V2690" t="s">
        <v>8125</v>
      </c>
      <c r="W2690" s="1" t="str">
        <f>HYPERLINK("http://ictvonline.org/taxonomy/p/taxonomy-history?taxnode_id=201903204","ICTVonline=201903204")</f>
        <v>ICTVonline=201903204</v>
      </c>
    </row>
    <row r="2691" spans="1:23">
      <c r="A2691" s="3">
        <v>2690</v>
      </c>
      <c r="B2691" s="1" t="s">
        <v>8017</v>
      </c>
      <c r="D2691" s="1" t="s">
        <v>8049</v>
      </c>
      <c r="F2691" s="1" t="s">
        <v>8122</v>
      </c>
      <c r="H2691" s="1" t="s">
        <v>8143</v>
      </c>
      <c r="J2691" s="1" t="s">
        <v>8144</v>
      </c>
      <c r="L2691" s="1" t="s">
        <v>2078</v>
      </c>
      <c r="N2691" s="1" t="s">
        <v>2079</v>
      </c>
      <c r="P2691" s="1" t="s">
        <v>279</v>
      </c>
      <c r="Q2691" s="3">
        <v>0</v>
      </c>
      <c r="R2691" s="22" t="s">
        <v>2724</v>
      </c>
      <c r="S2691" s="42" t="s">
        <v>6909</v>
      </c>
      <c r="T2691" s="3" t="s">
        <v>4868</v>
      </c>
      <c r="U2691" s="45">
        <v>35</v>
      </c>
      <c r="V2691" t="s">
        <v>8125</v>
      </c>
      <c r="W2691" s="1" t="str">
        <f>HYPERLINK("http://ictvonline.org/taxonomy/p/taxonomy-history?taxnode_id=201903205","ICTVonline=201903205")</f>
        <v>ICTVonline=201903205</v>
      </c>
    </row>
    <row r="2692" spans="1:23">
      <c r="A2692" s="3">
        <v>2691</v>
      </c>
      <c r="B2692" s="1" t="s">
        <v>8017</v>
      </c>
      <c r="D2692" s="1" t="s">
        <v>8049</v>
      </c>
      <c r="F2692" s="1" t="s">
        <v>8122</v>
      </c>
      <c r="H2692" s="1" t="s">
        <v>8143</v>
      </c>
      <c r="J2692" s="1" t="s">
        <v>8144</v>
      </c>
      <c r="L2692" s="1" t="s">
        <v>2078</v>
      </c>
      <c r="N2692" s="1" t="s">
        <v>2079</v>
      </c>
      <c r="P2692" s="1" t="s">
        <v>3725</v>
      </c>
      <c r="Q2692" s="3">
        <v>0</v>
      </c>
      <c r="R2692" s="22" t="s">
        <v>2724</v>
      </c>
      <c r="S2692" s="42" t="s">
        <v>6909</v>
      </c>
      <c r="T2692" s="3" t="s">
        <v>4868</v>
      </c>
      <c r="U2692" s="45">
        <v>35</v>
      </c>
      <c r="V2692" t="s">
        <v>8125</v>
      </c>
      <c r="W2692" s="1" t="str">
        <f>HYPERLINK("http://ictvonline.org/taxonomy/p/taxonomy-history?taxnode_id=201903206","ICTVonline=201903206")</f>
        <v>ICTVonline=201903206</v>
      </c>
    </row>
    <row r="2693" spans="1:23">
      <c r="A2693" s="3">
        <v>2692</v>
      </c>
      <c r="B2693" s="1" t="s">
        <v>8017</v>
      </c>
      <c r="D2693" s="1" t="s">
        <v>8049</v>
      </c>
      <c r="F2693" s="1" t="s">
        <v>8122</v>
      </c>
      <c r="H2693" s="1" t="s">
        <v>8143</v>
      </c>
      <c r="J2693" s="1" t="s">
        <v>8144</v>
      </c>
      <c r="L2693" s="1" t="s">
        <v>2078</v>
      </c>
      <c r="N2693" s="1" t="s">
        <v>2079</v>
      </c>
      <c r="P2693" s="1" t="s">
        <v>6841</v>
      </c>
      <c r="Q2693" s="3">
        <v>0</v>
      </c>
      <c r="R2693" s="22" t="s">
        <v>2724</v>
      </c>
      <c r="S2693" s="42" t="s">
        <v>6909</v>
      </c>
      <c r="T2693" s="3" t="s">
        <v>4868</v>
      </c>
      <c r="U2693" s="45">
        <v>35</v>
      </c>
      <c r="V2693" t="s">
        <v>8125</v>
      </c>
      <c r="W2693" s="1" t="str">
        <f>HYPERLINK("http://ictvonline.org/taxonomy/p/taxonomy-history?taxnode_id=201906696","ICTVonline=201906696")</f>
        <v>ICTVonline=201906696</v>
      </c>
    </row>
    <row r="2694" spans="1:23">
      <c r="A2694" s="3">
        <v>2693</v>
      </c>
      <c r="B2694" s="1" t="s">
        <v>8017</v>
      </c>
      <c r="D2694" s="1" t="s">
        <v>8049</v>
      </c>
      <c r="F2694" s="1" t="s">
        <v>8122</v>
      </c>
      <c r="H2694" s="1" t="s">
        <v>8143</v>
      </c>
      <c r="J2694" s="1" t="s">
        <v>8144</v>
      </c>
      <c r="L2694" s="1" t="s">
        <v>2078</v>
      </c>
      <c r="N2694" s="1" t="s">
        <v>2079</v>
      </c>
      <c r="P2694" s="1" t="s">
        <v>6842</v>
      </c>
      <c r="Q2694" s="3">
        <v>0</v>
      </c>
      <c r="R2694" s="22" t="s">
        <v>2724</v>
      </c>
      <c r="S2694" s="42" t="s">
        <v>6909</v>
      </c>
      <c r="T2694" s="3" t="s">
        <v>4868</v>
      </c>
      <c r="U2694" s="45">
        <v>35</v>
      </c>
      <c r="V2694" t="s">
        <v>8125</v>
      </c>
      <c r="W2694" s="1" t="str">
        <f>HYPERLINK("http://ictvonline.org/taxonomy/p/taxonomy-history?taxnode_id=201906697","ICTVonline=201906697")</f>
        <v>ICTVonline=201906697</v>
      </c>
    </row>
    <row r="2695" spans="1:23">
      <c r="A2695" s="3">
        <v>2694</v>
      </c>
      <c r="B2695" s="1" t="s">
        <v>8017</v>
      </c>
      <c r="D2695" s="1" t="s">
        <v>8049</v>
      </c>
      <c r="F2695" s="1" t="s">
        <v>8122</v>
      </c>
      <c r="H2695" s="1" t="s">
        <v>8143</v>
      </c>
      <c r="J2695" s="1" t="s">
        <v>8144</v>
      </c>
      <c r="L2695" s="1" t="s">
        <v>2078</v>
      </c>
      <c r="N2695" s="1" t="s">
        <v>2079</v>
      </c>
      <c r="P2695" s="1" t="s">
        <v>6843</v>
      </c>
      <c r="Q2695" s="3">
        <v>0</v>
      </c>
      <c r="R2695" s="22" t="s">
        <v>2724</v>
      </c>
      <c r="S2695" s="42" t="s">
        <v>6909</v>
      </c>
      <c r="T2695" s="3" t="s">
        <v>4868</v>
      </c>
      <c r="U2695" s="45">
        <v>35</v>
      </c>
      <c r="V2695" t="s">
        <v>8125</v>
      </c>
      <c r="W2695" s="1" t="str">
        <f>HYPERLINK("http://ictvonline.org/taxonomy/p/taxonomy-history?taxnode_id=201906698","ICTVonline=201906698")</f>
        <v>ICTVonline=201906698</v>
      </c>
    </row>
    <row r="2696" spans="1:23">
      <c r="A2696" s="3">
        <v>2695</v>
      </c>
      <c r="B2696" s="1" t="s">
        <v>8017</v>
      </c>
      <c r="D2696" s="1" t="s">
        <v>8049</v>
      </c>
      <c r="F2696" s="1" t="s">
        <v>8122</v>
      </c>
      <c r="H2696" s="1" t="s">
        <v>8143</v>
      </c>
      <c r="J2696" s="1" t="s">
        <v>8144</v>
      </c>
      <c r="L2696" s="1" t="s">
        <v>2078</v>
      </c>
      <c r="N2696" s="1" t="s">
        <v>2079</v>
      </c>
      <c r="P2696" s="1" t="s">
        <v>3726</v>
      </c>
      <c r="Q2696" s="3">
        <v>0</v>
      </c>
      <c r="R2696" s="22" t="s">
        <v>2724</v>
      </c>
      <c r="S2696" s="42" t="s">
        <v>6909</v>
      </c>
      <c r="T2696" s="3" t="s">
        <v>4868</v>
      </c>
      <c r="U2696" s="45">
        <v>35</v>
      </c>
      <c r="V2696" t="s">
        <v>8125</v>
      </c>
      <c r="W2696" s="1" t="str">
        <f>HYPERLINK("http://ictvonline.org/taxonomy/p/taxonomy-history?taxnode_id=201903207","ICTVonline=201903207")</f>
        <v>ICTVonline=201903207</v>
      </c>
    </row>
    <row r="2697" spans="1:23">
      <c r="A2697" s="3">
        <v>2696</v>
      </c>
      <c r="B2697" s="1" t="s">
        <v>8017</v>
      </c>
      <c r="D2697" s="1" t="s">
        <v>8049</v>
      </c>
      <c r="F2697" s="1" t="s">
        <v>8122</v>
      </c>
      <c r="H2697" s="1" t="s">
        <v>8143</v>
      </c>
      <c r="J2697" s="1" t="s">
        <v>8144</v>
      </c>
      <c r="L2697" s="1" t="s">
        <v>2078</v>
      </c>
      <c r="N2697" s="1" t="s">
        <v>2079</v>
      </c>
      <c r="P2697" s="1" t="s">
        <v>3727</v>
      </c>
      <c r="Q2697" s="3">
        <v>0</v>
      </c>
      <c r="R2697" s="22" t="s">
        <v>2724</v>
      </c>
      <c r="S2697" s="42" t="s">
        <v>6909</v>
      </c>
      <c r="T2697" s="3" t="s">
        <v>4868</v>
      </c>
      <c r="U2697" s="45">
        <v>35</v>
      </c>
      <c r="V2697" t="s">
        <v>8125</v>
      </c>
      <c r="W2697" s="1" t="str">
        <f>HYPERLINK("http://ictvonline.org/taxonomy/p/taxonomy-history?taxnode_id=201903208","ICTVonline=201903208")</f>
        <v>ICTVonline=201903208</v>
      </c>
    </row>
    <row r="2698" spans="1:23">
      <c r="A2698" s="3">
        <v>2697</v>
      </c>
      <c r="B2698" s="1" t="s">
        <v>8017</v>
      </c>
      <c r="D2698" s="1" t="s">
        <v>8049</v>
      </c>
      <c r="F2698" s="1" t="s">
        <v>8122</v>
      </c>
      <c r="H2698" s="1" t="s">
        <v>8143</v>
      </c>
      <c r="J2698" s="1" t="s">
        <v>8144</v>
      </c>
      <c r="L2698" s="1" t="s">
        <v>2078</v>
      </c>
      <c r="N2698" s="1" t="s">
        <v>2079</v>
      </c>
      <c r="P2698" s="1" t="s">
        <v>6844</v>
      </c>
      <c r="Q2698" s="3">
        <v>0</v>
      </c>
      <c r="R2698" s="22" t="s">
        <v>2724</v>
      </c>
      <c r="S2698" s="42" t="s">
        <v>6909</v>
      </c>
      <c r="T2698" s="3" t="s">
        <v>4868</v>
      </c>
      <c r="U2698" s="45">
        <v>35</v>
      </c>
      <c r="V2698" t="s">
        <v>8125</v>
      </c>
      <c r="W2698" s="1" t="str">
        <f>HYPERLINK("http://ictvonline.org/taxonomy/p/taxonomy-history?taxnode_id=201906699","ICTVonline=201906699")</f>
        <v>ICTVonline=201906699</v>
      </c>
    </row>
    <row r="2699" spans="1:23">
      <c r="A2699" s="3">
        <v>2698</v>
      </c>
      <c r="B2699" s="1" t="s">
        <v>8017</v>
      </c>
      <c r="D2699" s="1" t="s">
        <v>8049</v>
      </c>
      <c r="F2699" s="1" t="s">
        <v>8122</v>
      </c>
      <c r="H2699" s="1" t="s">
        <v>8143</v>
      </c>
      <c r="J2699" s="1" t="s">
        <v>8144</v>
      </c>
      <c r="L2699" s="1" t="s">
        <v>2078</v>
      </c>
      <c r="N2699" s="1" t="s">
        <v>2079</v>
      </c>
      <c r="P2699" s="1" t="s">
        <v>3728</v>
      </c>
      <c r="Q2699" s="3">
        <v>0</v>
      </c>
      <c r="R2699" s="22" t="s">
        <v>2724</v>
      </c>
      <c r="S2699" s="42" t="s">
        <v>6909</v>
      </c>
      <c r="T2699" s="3" t="s">
        <v>4868</v>
      </c>
      <c r="U2699" s="45">
        <v>35</v>
      </c>
      <c r="V2699" t="s">
        <v>8125</v>
      </c>
      <c r="W2699" s="1" t="str">
        <f>HYPERLINK("http://ictvonline.org/taxonomy/p/taxonomy-history?taxnode_id=201903209","ICTVonline=201903209")</f>
        <v>ICTVonline=201903209</v>
      </c>
    </row>
    <row r="2700" spans="1:23">
      <c r="A2700" s="3">
        <v>2699</v>
      </c>
      <c r="B2700" s="1" t="s">
        <v>8017</v>
      </c>
      <c r="D2700" s="1" t="s">
        <v>8049</v>
      </c>
      <c r="F2700" s="1" t="s">
        <v>8122</v>
      </c>
      <c r="H2700" s="1" t="s">
        <v>8143</v>
      </c>
      <c r="J2700" s="1" t="s">
        <v>8144</v>
      </c>
      <c r="L2700" s="1" t="s">
        <v>2078</v>
      </c>
      <c r="N2700" s="1" t="s">
        <v>2079</v>
      </c>
      <c r="P2700" s="1" t="s">
        <v>280</v>
      </c>
      <c r="Q2700" s="3">
        <v>0</v>
      </c>
      <c r="R2700" s="22" t="s">
        <v>2724</v>
      </c>
      <c r="S2700" s="42" t="s">
        <v>6909</v>
      </c>
      <c r="T2700" s="3" t="s">
        <v>4868</v>
      </c>
      <c r="U2700" s="45">
        <v>35</v>
      </c>
      <c r="V2700" t="s">
        <v>8125</v>
      </c>
      <c r="W2700" s="1" t="str">
        <f>HYPERLINK("http://ictvonline.org/taxonomy/p/taxonomy-history?taxnode_id=201903210","ICTVonline=201903210")</f>
        <v>ICTVonline=201903210</v>
      </c>
    </row>
    <row r="2701" spans="1:23">
      <c r="A2701" s="3">
        <v>2700</v>
      </c>
      <c r="B2701" s="1" t="s">
        <v>8017</v>
      </c>
      <c r="D2701" s="1" t="s">
        <v>8049</v>
      </c>
      <c r="F2701" s="1" t="s">
        <v>8122</v>
      </c>
      <c r="H2701" s="1" t="s">
        <v>8143</v>
      </c>
      <c r="J2701" s="1" t="s">
        <v>8144</v>
      </c>
      <c r="L2701" s="1" t="s">
        <v>2078</v>
      </c>
      <c r="N2701" s="1" t="s">
        <v>2079</v>
      </c>
      <c r="P2701" s="1" t="s">
        <v>2380</v>
      </c>
      <c r="Q2701" s="3">
        <v>0</v>
      </c>
      <c r="R2701" s="22" t="s">
        <v>2724</v>
      </c>
      <c r="S2701" s="42" t="s">
        <v>6909</v>
      </c>
      <c r="T2701" s="3" t="s">
        <v>4868</v>
      </c>
      <c r="U2701" s="45">
        <v>35</v>
      </c>
      <c r="V2701" t="s">
        <v>8125</v>
      </c>
      <c r="W2701" s="1" t="str">
        <f>HYPERLINK("http://ictvonline.org/taxonomy/p/taxonomy-history?taxnode_id=201903211","ICTVonline=201903211")</f>
        <v>ICTVonline=201903211</v>
      </c>
    </row>
    <row r="2702" spans="1:23">
      <c r="A2702" s="3">
        <v>2701</v>
      </c>
      <c r="B2702" s="1" t="s">
        <v>8017</v>
      </c>
      <c r="D2702" s="1" t="s">
        <v>8049</v>
      </c>
      <c r="F2702" s="1" t="s">
        <v>8122</v>
      </c>
      <c r="H2702" s="1" t="s">
        <v>8143</v>
      </c>
      <c r="J2702" s="1" t="s">
        <v>8144</v>
      </c>
      <c r="L2702" s="1" t="s">
        <v>2078</v>
      </c>
      <c r="N2702" s="1" t="s">
        <v>2079</v>
      </c>
      <c r="P2702" s="1" t="s">
        <v>281</v>
      </c>
      <c r="Q2702" s="3">
        <v>0</v>
      </c>
      <c r="R2702" s="22" t="s">
        <v>2724</v>
      </c>
      <c r="S2702" s="42" t="s">
        <v>6909</v>
      </c>
      <c r="T2702" s="3" t="s">
        <v>4868</v>
      </c>
      <c r="U2702" s="45">
        <v>35</v>
      </c>
      <c r="V2702" t="s">
        <v>8125</v>
      </c>
      <c r="W2702" s="1" t="str">
        <f>HYPERLINK("http://ictvonline.org/taxonomy/p/taxonomy-history?taxnode_id=201903212","ICTVonline=201903212")</f>
        <v>ICTVonline=201903212</v>
      </c>
    </row>
    <row r="2703" spans="1:23">
      <c r="A2703" s="3">
        <v>2702</v>
      </c>
      <c r="B2703" s="1" t="s">
        <v>8017</v>
      </c>
      <c r="D2703" s="1" t="s">
        <v>8049</v>
      </c>
      <c r="F2703" s="1" t="s">
        <v>8122</v>
      </c>
      <c r="H2703" s="1" t="s">
        <v>8143</v>
      </c>
      <c r="J2703" s="1" t="s">
        <v>8144</v>
      </c>
      <c r="L2703" s="1" t="s">
        <v>2078</v>
      </c>
      <c r="N2703" s="1" t="s">
        <v>2079</v>
      </c>
      <c r="P2703" s="1" t="s">
        <v>2381</v>
      </c>
      <c r="Q2703" s="3">
        <v>0</v>
      </c>
      <c r="R2703" s="22" t="s">
        <v>2724</v>
      </c>
      <c r="S2703" s="42" t="s">
        <v>6909</v>
      </c>
      <c r="T2703" s="3" t="s">
        <v>4868</v>
      </c>
      <c r="U2703" s="45">
        <v>35</v>
      </c>
      <c r="V2703" t="s">
        <v>8125</v>
      </c>
      <c r="W2703" s="1" t="str">
        <f>HYPERLINK("http://ictvonline.org/taxonomy/p/taxonomy-history?taxnode_id=201903213","ICTVonline=201903213")</f>
        <v>ICTVonline=201903213</v>
      </c>
    </row>
    <row r="2704" spans="1:23">
      <c r="A2704" s="3">
        <v>2703</v>
      </c>
      <c r="B2704" s="1" t="s">
        <v>8017</v>
      </c>
      <c r="D2704" s="1" t="s">
        <v>8049</v>
      </c>
      <c r="F2704" s="1" t="s">
        <v>8122</v>
      </c>
      <c r="H2704" s="1" t="s">
        <v>8143</v>
      </c>
      <c r="J2704" s="1" t="s">
        <v>8144</v>
      </c>
      <c r="L2704" s="1" t="s">
        <v>2078</v>
      </c>
      <c r="N2704" s="1" t="s">
        <v>2079</v>
      </c>
      <c r="P2704" s="1" t="s">
        <v>2382</v>
      </c>
      <c r="Q2704" s="3">
        <v>0</v>
      </c>
      <c r="R2704" s="22" t="s">
        <v>2724</v>
      </c>
      <c r="S2704" s="42" t="s">
        <v>6909</v>
      </c>
      <c r="T2704" s="3" t="s">
        <v>4868</v>
      </c>
      <c r="U2704" s="45">
        <v>35</v>
      </c>
      <c r="V2704" t="s">
        <v>8125</v>
      </c>
      <c r="W2704" s="1" t="str">
        <f>HYPERLINK("http://ictvonline.org/taxonomy/p/taxonomy-history?taxnode_id=201903214","ICTVonline=201903214")</f>
        <v>ICTVonline=201903214</v>
      </c>
    </row>
    <row r="2705" spans="1:23">
      <c r="A2705" s="3">
        <v>2704</v>
      </c>
      <c r="B2705" s="1" t="s">
        <v>8017</v>
      </c>
      <c r="D2705" s="1" t="s">
        <v>8049</v>
      </c>
      <c r="F2705" s="1" t="s">
        <v>8122</v>
      </c>
      <c r="H2705" s="1" t="s">
        <v>8143</v>
      </c>
      <c r="J2705" s="1" t="s">
        <v>8144</v>
      </c>
      <c r="L2705" s="1" t="s">
        <v>2078</v>
      </c>
      <c r="N2705" s="1" t="s">
        <v>2079</v>
      </c>
      <c r="P2705" s="1" t="s">
        <v>282</v>
      </c>
      <c r="Q2705" s="3">
        <v>0</v>
      </c>
      <c r="R2705" s="22" t="s">
        <v>2724</v>
      </c>
      <c r="S2705" s="42" t="s">
        <v>6909</v>
      </c>
      <c r="T2705" s="3" t="s">
        <v>4868</v>
      </c>
      <c r="U2705" s="45">
        <v>35</v>
      </c>
      <c r="V2705" t="s">
        <v>8125</v>
      </c>
      <c r="W2705" s="1" t="str">
        <f>HYPERLINK("http://ictvonline.org/taxonomy/p/taxonomy-history?taxnode_id=201903215","ICTVonline=201903215")</f>
        <v>ICTVonline=201903215</v>
      </c>
    </row>
    <row r="2706" spans="1:23">
      <c r="A2706" s="3">
        <v>2705</v>
      </c>
      <c r="B2706" s="1" t="s">
        <v>8017</v>
      </c>
      <c r="D2706" s="1" t="s">
        <v>8049</v>
      </c>
      <c r="F2706" s="1" t="s">
        <v>8122</v>
      </c>
      <c r="H2706" s="1" t="s">
        <v>8143</v>
      </c>
      <c r="J2706" s="1" t="s">
        <v>8144</v>
      </c>
      <c r="L2706" s="1" t="s">
        <v>2078</v>
      </c>
      <c r="N2706" s="1" t="s">
        <v>2079</v>
      </c>
      <c r="P2706" s="1" t="s">
        <v>3729</v>
      </c>
      <c r="Q2706" s="3">
        <v>0</v>
      </c>
      <c r="R2706" s="22" t="s">
        <v>2724</v>
      </c>
      <c r="S2706" s="42" t="s">
        <v>6909</v>
      </c>
      <c r="T2706" s="3" t="s">
        <v>4868</v>
      </c>
      <c r="U2706" s="45">
        <v>35</v>
      </c>
      <c r="V2706" t="s">
        <v>8125</v>
      </c>
      <c r="W2706" s="1" t="str">
        <f>HYPERLINK("http://ictvonline.org/taxonomy/p/taxonomy-history?taxnode_id=201903216","ICTVonline=201903216")</f>
        <v>ICTVonline=201903216</v>
      </c>
    </row>
    <row r="2707" spans="1:23">
      <c r="A2707" s="3">
        <v>2706</v>
      </c>
      <c r="B2707" s="1" t="s">
        <v>8017</v>
      </c>
      <c r="D2707" s="1" t="s">
        <v>8049</v>
      </c>
      <c r="F2707" s="1" t="s">
        <v>8122</v>
      </c>
      <c r="H2707" s="1" t="s">
        <v>8143</v>
      </c>
      <c r="J2707" s="1" t="s">
        <v>8144</v>
      </c>
      <c r="L2707" s="1" t="s">
        <v>2078</v>
      </c>
      <c r="N2707" s="1" t="s">
        <v>2079</v>
      </c>
      <c r="P2707" s="1" t="s">
        <v>3730</v>
      </c>
      <c r="Q2707" s="3">
        <v>0</v>
      </c>
      <c r="R2707" s="22" t="s">
        <v>2724</v>
      </c>
      <c r="S2707" s="42" t="s">
        <v>6909</v>
      </c>
      <c r="T2707" s="3" t="s">
        <v>4868</v>
      </c>
      <c r="U2707" s="45">
        <v>35</v>
      </c>
      <c r="V2707" t="s">
        <v>8125</v>
      </c>
      <c r="W2707" s="1" t="str">
        <f>HYPERLINK("http://ictvonline.org/taxonomy/p/taxonomy-history?taxnode_id=201903217","ICTVonline=201903217")</f>
        <v>ICTVonline=201903217</v>
      </c>
    </row>
    <row r="2708" spans="1:23">
      <c r="A2708" s="3">
        <v>2707</v>
      </c>
      <c r="B2708" s="1" t="s">
        <v>8017</v>
      </c>
      <c r="D2708" s="1" t="s">
        <v>8049</v>
      </c>
      <c r="F2708" s="1" t="s">
        <v>8122</v>
      </c>
      <c r="H2708" s="1" t="s">
        <v>8143</v>
      </c>
      <c r="J2708" s="1" t="s">
        <v>8144</v>
      </c>
      <c r="L2708" s="1" t="s">
        <v>2078</v>
      </c>
      <c r="N2708" s="1" t="s">
        <v>2079</v>
      </c>
      <c r="P2708" s="1" t="s">
        <v>3731</v>
      </c>
      <c r="Q2708" s="3">
        <v>0</v>
      </c>
      <c r="R2708" s="22" t="s">
        <v>2724</v>
      </c>
      <c r="S2708" s="42" t="s">
        <v>6909</v>
      </c>
      <c r="T2708" s="3" t="s">
        <v>4868</v>
      </c>
      <c r="U2708" s="45">
        <v>35</v>
      </c>
      <c r="V2708" t="s">
        <v>8125</v>
      </c>
      <c r="W2708" s="1" t="str">
        <f>HYPERLINK("http://ictvonline.org/taxonomy/p/taxonomy-history?taxnode_id=201903218","ICTVonline=201903218")</f>
        <v>ICTVonline=201903218</v>
      </c>
    </row>
    <row r="2709" spans="1:23">
      <c r="A2709" s="3">
        <v>2708</v>
      </c>
      <c r="B2709" s="1" t="s">
        <v>8017</v>
      </c>
      <c r="D2709" s="1" t="s">
        <v>8049</v>
      </c>
      <c r="F2709" s="1" t="s">
        <v>8122</v>
      </c>
      <c r="H2709" s="1" t="s">
        <v>8143</v>
      </c>
      <c r="J2709" s="1" t="s">
        <v>8144</v>
      </c>
      <c r="L2709" s="1" t="s">
        <v>2078</v>
      </c>
      <c r="N2709" s="1" t="s">
        <v>2079</v>
      </c>
      <c r="P2709" s="1" t="s">
        <v>5342</v>
      </c>
      <c r="Q2709" s="3">
        <v>0</v>
      </c>
      <c r="R2709" s="22" t="s">
        <v>2724</v>
      </c>
      <c r="S2709" s="42" t="s">
        <v>6909</v>
      </c>
      <c r="T2709" s="3" t="s">
        <v>4868</v>
      </c>
      <c r="U2709" s="45">
        <v>35</v>
      </c>
      <c r="V2709" t="s">
        <v>8125</v>
      </c>
      <c r="W2709" s="1" t="str">
        <f>HYPERLINK("http://ictvonline.org/taxonomy/p/taxonomy-history?taxnode_id=201905791","ICTVonline=201905791")</f>
        <v>ICTVonline=201905791</v>
      </c>
    </row>
    <row r="2710" spans="1:23">
      <c r="A2710" s="3">
        <v>2709</v>
      </c>
      <c r="B2710" s="1" t="s">
        <v>8017</v>
      </c>
      <c r="D2710" s="1" t="s">
        <v>8049</v>
      </c>
      <c r="F2710" s="1" t="s">
        <v>8122</v>
      </c>
      <c r="H2710" s="1" t="s">
        <v>8143</v>
      </c>
      <c r="J2710" s="1" t="s">
        <v>8144</v>
      </c>
      <c r="L2710" s="1" t="s">
        <v>2078</v>
      </c>
      <c r="N2710" s="1" t="s">
        <v>2079</v>
      </c>
      <c r="P2710" s="1" t="s">
        <v>5343</v>
      </c>
      <c r="Q2710" s="3">
        <v>0</v>
      </c>
      <c r="R2710" s="22" t="s">
        <v>2724</v>
      </c>
      <c r="S2710" s="42" t="s">
        <v>6909</v>
      </c>
      <c r="T2710" s="3" t="s">
        <v>4868</v>
      </c>
      <c r="U2710" s="45">
        <v>35</v>
      </c>
      <c r="V2710" t="s">
        <v>8125</v>
      </c>
      <c r="W2710" s="1" t="str">
        <f>HYPERLINK("http://ictvonline.org/taxonomy/p/taxonomy-history?taxnode_id=201905792","ICTVonline=201905792")</f>
        <v>ICTVonline=201905792</v>
      </c>
    </row>
    <row r="2711" spans="1:23">
      <c r="A2711" s="3">
        <v>2710</v>
      </c>
      <c r="B2711" s="1" t="s">
        <v>8017</v>
      </c>
      <c r="D2711" s="1" t="s">
        <v>8049</v>
      </c>
      <c r="F2711" s="1" t="s">
        <v>8122</v>
      </c>
      <c r="H2711" s="1" t="s">
        <v>8143</v>
      </c>
      <c r="J2711" s="1" t="s">
        <v>8144</v>
      </c>
      <c r="L2711" s="1" t="s">
        <v>2078</v>
      </c>
      <c r="N2711" s="1" t="s">
        <v>2079</v>
      </c>
      <c r="P2711" s="1" t="s">
        <v>5344</v>
      </c>
      <c r="Q2711" s="3">
        <v>0</v>
      </c>
      <c r="R2711" s="22" t="s">
        <v>2724</v>
      </c>
      <c r="S2711" s="42" t="s">
        <v>6909</v>
      </c>
      <c r="T2711" s="3" t="s">
        <v>4868</v>
      </c>
      <c r="U2711" s="45">
        <v>35</v>
      </c>
      <c r="V2711" t="s">
        <v>8125</v>
      </c>
      <c r="W2711" s="1" t="str">
        <f>HYPERLINK("http://ictvonline.org/taxonomy/p/taxonomy-history?taxnode_id=201905793","ICTVonline=201905793")</f>
        <v>ICTVonline=201905793</v>
      </c>
    </row>
    <row r="2712" spans="1:23">
      <c r="A2712" s="3">
        <v>2711</v>
      </c>
      <c r="B2712" s="1" t="s">
        <v>8017</v>
      </c>
      <c r="D2712" s="1" t="s">
        <v>8049</v>
      </c>
      <c r="F2712" s="1" t="s">
        <v>8122</v>
      </c>
      <c r="H2712" s="1" t="s">
        <v>8143</v>
      </c>
      <c r="J2712" s="1" t="s">
        <v>8144</v>
      </c>
      <c r="L2712" s="1" t="s">
        <v>2078</v>
      </c>
      <c r="N2712" s="1" t="s">
        <v>2079</v>
      </c>
      <c r="P2712" s="1" t="s">
        <v>5345</v>
      </c>
      <c r="Q2712" s="3">
        <v>0</v>
      </c>
      <c r="R2712" s="22" t="s">
        <v>2724</v>
      </c>
      <c r="S2712" s="42" t="s">
        <v>6909</v>
      </c>
      <c r="T2712" s="3" t="s">
        <v>4868</v>
      </c>
      <c r="U2712" s="45">
        <v>35</v>
      </c>
      <c r="V2712" t="s">
        <v>8125</v>
      </c>
      <c r="W2712" s="1" t="str">
        <f>HYPERLINK("http://ictvonline.org/taxonomy/p/taxonomy-history?taxnode_id=201905794","ICTVonline=201905794")</f>
        <v>ICTVonline=201905794</v>
      </c>
    </row>
    <row r="2713" spans="1:23">
      <c r="A2713" s="3">
        <v>2712</v>
      </c>
      <c r="B2713" s="1" t="s">
        <v>8017</v>
      </c>
      <c r="D2713" s="1" t="s">
        <v>8049</v>
      </c>
      <c r="F2713" s="1" t="s">
        <v>8122</v>
      </c>
      <c r="H2713" s="1" t="s">
        <v>8143</v>
      </c>
      <c r="J2713" s="1" t="s">
        <v>8144</v>
      </c>
      <c r="L2713" s="1" t="s">
        <v>2078</v>
      </c>
      <c r="N2713" s="1" t="s">
        <v>2079</v>
      </c>
      <c r="P2713" s="1" t="s">
        <v>283</v>
      </c>
      <c r="Q2713" s="3">
        <v>0</v>
      </c>
      <c r="R2713" s="22" t="s">
        <v>2724</v>
      </c>
      <c r="S2713" s="42" t="s">
        <v>6909</v>
      </c>
      <c r="T2713" s="3" t="s">
        <v>4868</v>
      </c>
      <c r="U2713" s="45">
        <v>35</v>
      </c>
      <c r="V2713" t="s">
        <v>8125</v>
      </c>
      <c r="W2713" s="1" t="str">
        <f>HYPERLINK("http://ictvonline.org/taxonomy/p/taxonomy-history?taxnode_id=201903219","ICTVonline=201903219")</f>
        <v>ICTVonline=201903219</v>
      </c>
    </row>
    <row r="2714" spans="1:23">
      <c r="A2714" s="3">
        <v>2713</v>
      </c>
      <c r="B2714" s="1" t="s">
        <v>8017</v>
      </c>
      <c r="D2714" s="1" t="s">
        <v>8049</v>
      </c>
      <c r="F2714" s="1" t="s">
        <v>8122</v>
      </c>
      <c r="H2714" s="1" t="s">
        <v>8143</v>
      </c>
      <c r="J2714" s="1" t="s">
        <v>8144</v>
      </c>
      <c r="L2714" s="1" t="s">
        <v>2078</v>
      </c>
      <c r="N2714" s="1" t="s">
        <v>2079</v>
      </c>
      <c r="P2714" s="1" t="s">
        <v>284</v>
      </c>
      <c r="Q2714" s="3">
        <v>0</v>
      </c>
      <c r="R2714" s="22" t="s">
        <v>2724</v>
      </c>
      <c r="S2714" s="42" t="s">
        <v>6909</v>
      </c>
      <c r="T2714" s="3" t="s">
        <v>4868</v>
      </c>
      <c r="U2714" s="45">
        <v>35</v>
      </c>
      <c r="V2714" t="s">
        <v>8125</v>
      </c>
      <c r="W2714" s="1" t="str">
        <f>HYPERLINK("http://ictvonline.org/taxonomy/p/taxonomy-history?taxnode_id=201903220","ICTVonline=201903220")</f>
        <v>ICTVonline=201903220</v>
      </c>
    </row>
    <row r="2715" spans="1:23">
      <c r="A2715" s="3">
        <v>2714</v>
      </c>
      <c r="B2715" s="1" t="s">
        <v>8017</v>
      </c>
      <c r="D2715" s="1" t="s">
        <v>8049</v>
      </c>
      <c r="F2715" s="1" t="s">
        <v>8122</v>
      </c>
      <c r="H2715" s="1" t="s">
        <v>8143</v>
      </c>
      <c r="J2715" s="1" t="s">
        <v>8144</v>
      </c>
      <c r="L2715" s="1" t="s">
        <v>2078</v>
      </c>
      <c r="N2715" s="1" t="s">
        <v>2079</v>
      </c>
      <c r="P2715" s="1" t="s">
        <v>3732</v>
      </c>
      <c r="Q2715" s="3">
        <v>0</v>
      </c>
      <c r="R2715" s="22" t="s">
        <v>2724</v>
      </c>
      <c r="S2715" s="42" t="s">
        <v>6909</v>
      </c>
      <c r="T2715" s="3" t="s">
        <v>4868</v>
      </c>
      <c r="U2715" s="45">
        <v>35</v>
      </c>
      <c r="V2715" t="s">
        <v>8125</v>
      </c>
      <c r="W2715" s="1" t="str">
        <f>HYPERLINK("http://ictvonline.org/taxonomy/p/taxonomy-history?taxnode_id=201903221","ICTVonline=201903221")</f>
        <v>ICTVonline=201903221</v>
      </c>
    </row>
    <row r="2716" spans="1:23">
      <c r="A2716" s="3">
        <v>2715</v>
      </c>
      <c r="B2716" s="1" t="s">
        <v>8017</v>
      </c>
      <c r="D2716" s="1" t="s">
        <v>8049</v>
      </c>
      <c r="F2716" s="1" t="s">
        <v>8122</v>
      </c>
      <c r="H2716" s="1" t="s">
        <v>8143</v>
      </c>
      <c r="J2716" s="1" t="s">
        <v>8144</v>
      </c>
      <c r="L2716" s="1" t="s">
        <v>2078</v>
      </c>
      <c r="N2716" s="1" t="s">
        <v>2079</v>
      </c>
      <c r="P2716" s="1" t="s">
        <v>94</v>
      </c>
      <c r="Q2716" s="3">
        <v>0</v>
      </c>
      <c r="R2716" s="22" t="s">
        <v>2724</v>
      </c>
      <c r="S2716" s="42" t="s">
        <v>6909</v>
      </c>
      <c r="T2716" s="3" t="s">
        <v>4868</v>
      </c>
      <c r="U2716" s="45">
        <v>35</v>
      </c>
      <c r="V2716" t="s">
        <v>8125</v>
      </c>
      <c r="W2716" s="1" t="str">
        <f>HYPERLINK("http://ictvonline.org/taxonomy/p/taxonomy-history?taxnode_id=201903222","ICTVonline=201903222")</f>
        <v>ICTVonline=201903222</v>
      </c>
    </row>
    <row r="2717" spans="1:23">
      <c r="A2717" s="3">
        <v>2716</v>
      </c>
      <c r="B2717" s="1" t="s">
        <v>8017</v>
      </c>
      <c r="D2717" s="1" t="s">
        <v>8049</v>
      </c>
      <c r="F2717" s="1" t="s">
        <v>8122</v>
      </c>
      <c r="H2717" s="1" t="s">
        <v>8143</v>
      </c>
      <c r="J2717" s="1" t="s">
        <v>8144</v>
      </c>
      <c r="L2717" s="1" t="s">
        <v>2078</v>
      </c>
      <c r="N2717" s="1" t="s">
        <v>2079</v>
      </c>
      <c r="P2717" s="1" t="s">
        <v>3733</v>
      </c>
      <c r="Q2717" s="3">
        <v>0</v>
      </c>
      <c r="R2717" s="22" t="s">
        <v>2724</v>
      </c>
      <c r="S2717" s="42" t="s">
        <v>6909</v>
      </c>
      <c r="T2717" s="3" t="s">
        <v>4868</v>
      </c>
      <c r="U2717" s="45">
        <v>35</v>
      </c>
      <c r="V2717" t="s">
        <v>8125</v>
      </c>
      <c r="W2717" s="1" t="str">
        <f>HYPERLINK("http://ictvonline.org/taxonomy/p/taxonomy-history?taxnode_id=201903223","ICTVonline=201903223")</f>
        <v>ICTVonline=201903223</v>
      </c>
    </row>
    <row r="2718" spans="1:23">
      <c r="A2718" s="3">
        <v>2717</v>
      </c>
      <c r="B2718" s="1" t="s">
        <v>8017</v>
      </c>
      <c r="D2718" s="1" t="s">
        <v>8049</v>
      </c>
      <c r="F2718" s="1" t="s">
        <v>8122</v>
      </c>
      <c r="H2718" s="1" t="s">
        <v>8143</v>
      </c>
      <c r="J2718" s="1" t="s">
        <v>8144</v>
      </c>
      <c r="L2718" s="1" t="s">
        <v>2078</v>
      </c>
      <c r="N2718" s="1" t="s">
        <v>2079</v>
      </c>
      <c r="P2718" s="1" t="s">
        <v>410</v>
      </c>
      <c r="Q2718" s="3">
        <v>0</v>
      </c>
      <c r="R2718" s="22" t="s">
        <v>2724</v>
      </c>
      <c r="S2718" s="42" t="s">
        <v>6909</v>
      </c>
      <c r="T2718" s="3" t="s">
        <v>4868</v>
      </c>
      <c r="U2718" s="45">
        <v>35</v>
      </c>
      <c r="V2718" t="s">
        <v>8125</v>
      </c>
      <c r="W2718" s="1" t="str">
        <f>HYPERLINK("http://ictvonline.org/taxonomy/p/taxonomy-history?taxnode_id=201903224","ICTVonline=201903224")</f>
        <v>ICTVonline=201903224</v>
      </c>
    </row>
    <row r="2719" spans="1:23">
      <c r="A2719" s="3">
        <v>2718</v>
      </c>
      <c r="B2719" s="1" t="s">
        <v>8017</v>
      </c>
      <c r="D2719" s="1" t="s">
        <v>8049</v>
      </c>
      <c r="F2719" s="1" t="s">
        <v>8122</v>
      </c>
      <c r="H2719" s="1" t="s">
        <v>8143</v>
      </c>
      <c r="J2719" s="1" t="s">
        <v>8144</v>
      </c>
      <c r="L2719" s="1" t="s">
        <v>2078</v>
      </c>
      <c r="N2719" s="1" t="s">
        <v>2079</v>
      </c>
      <c r="P2719" s="1" t="s">
        <v>287</v>
      </c>
      <c r="Q2719" s="3">
        <v>0</v>
      </c>
      <c r="R2719" s="22" t="s">
        <v>2724</v>
      </c>
      <c r="S2719" s="42" t="s">
        <v>6909</v>
      </c>
      <c r="T2719" s="3" t="s">
        <v>4868</v>
      </c>
      <c r="U2719" s="45">
        <v>35</v>
      </c>
      <c r="V2719" t="s">
        <v>8125</v>
      </c>
      <c r="W2719" s="1" t="str">
        <f>HYPERLINK("http://ictvonline.org/taxonomy/p/taxonomy-history?taxnode_id=201903225","ICTVonline=201903225")</f>
        <v>ICTVonline=201903225</v>
      </c>
    </row>
    <row r="2720" spans="1:23">
      <c r="A2720" s="3">
        <v>2719</v>
      </c>
      <c r="B2720" s="1" t="s">
        <v>8017</v>
      </c>
      <c r="D2720" s="1" t="s">
        <v>8049</v>
      </c>
      <c r="F2720" s="1" t="s">
        <v>8122</v>
      </c>
      <c r="H2720" s="1" t="s">
        <v>8143</v>
      </c>
      <c r="J2720" s="1" t="s">
        <v>8144</v>
      </c>
      <c r="L2720" s="1" t="s">
        <v>2078</v>
      </c>
      <c r="N2720" s="1" t="s">
        <v>2079</v>
      </c>
      <c r="P2720" s="1" t="s">
        <v>1276</v>
      </c>
      <c r="Q2720" s="3">
        <v>0</v>
      </c>
      <c r="R2720" s="22" t="s">
        <v>2724</v>
      </c>
      <c r="S2720" s="42" t="s">
        <v>6909</v>
      </c>
      <c r="T2720" s="3" t="s">
        <v>4868</v>
      </c>
      <c r="U2720" s="45">
        <v>35</v>
      </c>
      <c r="V2720" t="s">
        <v>8125</v>
      </c>
      <c r="W2720" s="1" t="str">
        <f>HYPERLINK("http://ictvonline.org/taxonomy/p/taxonomy-history?taxnode_id=201903226","ICTVonline=201903226")</f>
        <v>ICTVonline=201903226</v>
      </c>
    </row>
    <row r="2721" spans="1:23">
      <c r="A2721" s="3">
        <v>2720</v>
      </c>
      <c r="B2721" s="1" t="s">
        <v>8017</v>
      </c>
      <c r="D2721" s="1" t="s">
        <v>8049</v>
      </c>
      <c r="F2721" s="1" t="s">
        <v>8122</v>
      </c>
      <c r="H2721" s="1" t="s">
        <v>8143</v>
      </c>
      <c r="J2721" s="1" t="s">
        <v>8144</v>
      </c>
      <c r="L2721" s="1" t="s">
        <v>2078</v>
      </c>
      <c r="N2721" s="1" t="s">
        <v>2079</v>
      </c>
      <c r="P2721" s="1" t="s">
        <v>5346</v>
      </c>
      <c r="Q2721" s="3">
        <v>0</v>
      </c>
      <c r="R2721" s="22" t="s">
        <v>2724</v>
      </c>
      <c r="S2721" s="42" t="s">
        <v>6909</v>
      </c>
      <c r="T2721" s="3" t="s">
        <v>4868</v>
      </c>
      <c r="U2721" s="45">
        <v>35</v>
      </c>
      <c r="V2721" t="s">
        <v>8125</v>
      </c>
      <c r="W2721" s="1" t="str">
        <f>HYPERLINK("http://ictvonline.org/taxonomy/p/taxonomy-history?taxnode_id=201905795","ICTVonline=201905795")</f>
        <v>ICTVonline=201905795</v>
      </c>
    </row>
    <row r="2722" spans="1:23">
      <c r="A2722" s="3">
        <v>2721</v>
      </c>
      <c r="B2722" s="1" t="s">
        <v>8017</v>
      </c>
      <c r="D2722" s="1" t="s">
        <v>8049</v>
      </c>
      <c r="F2722" s="1" t="s">
        <v>8122</v>
      </c>
      <c r="H2722" s="1" t="s">
        <v>8143</v>
      </c>
      <c r="J2722" s="1" t="s">
        <v>8144</v>
      </c>
      <c r="L2722" s="1" t="s">
        <v>2078</v>
      </c>
      <c r="N2722" s="1" t="s">
        <v>2079</v>
      </c>
      <c r="P2722" s="1" t="s">
        <v>289</v>
      </c>
      <c r="Q2722" s="3">
        <v>0</v>
      </c>
      <c r="R2722" s="22" t="s">
        <v>2724</v>
      </c>
      <c r="S2722" s="42" t="s">
        <v>6909</v>
      </c>
      <c r="T2722" s="3" t="s">
        <v>4868</v>
      </c>
      <c r="U2722" s="45">
        <v>35</v>
      </c>
      <c r="V2722" t="s">
        <v>8125</v>
      </c>
      <c r="W2722" s="1" t="str">
        <f>HYPERLINK("http://ictvonline.org/taxonomy/p/taxonomy-history?taxnode_id=201903227","ICTVonline=201903227")</f>
        <v>ICTVonline=201903227</v>
      </c>
    </row>
    <row r="2723" spans="1:23">
      <c r="A2723" s="3">
        <v>2722</v>
      </c>
      <c r="B2723" s="1" t="s">
        <v>8017</v>
      </c>
      <c r="D2723" s="1" t="s">
        <v>8049</v>
      </c>
      <c r="F2723" s="1" t="s">
        <v>8122</v>
      </c>
      <c r="H2723" s="1" t="s">
        <v>8143</v>
      </c>
      <c r="J2723" s="1" t="s">
        <v>8144</v>
      </c>
      <c r="L2723" s="1" t="s">
        <v>2078</v>
      </c>
      <c r="N2723" s="1" t="s">
        <v>2079</v>
      </c>
      <c r="P2723" s="1" t="s">
        <v>290</v>
      </c>
      <c r="Q2723" s="3">
        <v>0</v>
      </c>
      <c r="R2723" s="22" t="s">
        <v>2724</v>
      </c>
      <c r="S2723" s="42" t="s">
        <v>6909</v>
      </c>
      <c r="T2723" s="3" t="s">
        <v>4868</v>
      </c>
      <c r="U2723" s="45">
        <v>35</v>
      </c>
      <c r="V2723" t="s">
        <v>8125</v>
      </c>
      <c r="W2723" s="1" t="str">
        <f>HYPERLINK("http://ictvonline.org/taxonomy/p/taxonomy-history?taxnode_id=201903228","ICTVonline=201903228")</f>
        <v>ICTVonline=201903228</v>
      </c>
    </row>
    <row r="2724" spans="1:23">
      <c r="A2724" s="3">
        <v>2723</v>
      </c>
      <c r="B2724" s="1" t="s">
        <v>8017</v>
      </c>
      <c r="D2724" s="1" t="s">
        <v>8049</v>
      </c>
      <c r="F2724" s="1" t="s">
        <v>8122</v>
      </c>
      <c r="H2724" s="1" t="s">
        <v>8143</v>
      </c>
      <c r="J2724" s="1" t="s">
        <v>8144</v>
      </c>
      <c r="L2724" s="1" t="s">
        <v>2078</v>
      </c>
      <c r="N2724" s="1" t="s">
        <v>2079</v>
      </c>
      <c r="P2724" s="1" t="s">
        <v>406</v>
      </c>
      <c r="Q2724" s="3">
        <v>0</v>
      </c>
      <c r="R2724" s="22" t="s">
        <v>2724</v>
      </c>
      <c r="S2724" s="42" t="s">
        <v>6909</v>
      </c>
      <c r="T2724" s="3" t="s">
        <v>4868</v>
      </c>
      <c r="U2724" s="45">
        <v>35</v>
      </c>
      <c r="V2724" t="s">
        <v>8125</v>
      </c>
      <c r="W2724" s="1" t="str">
        <f>HYPERLINK("http://ictvonline.org/taxonomy/p/taxonomy-history?taxnode_id=201903229","ICTVonline=201903229")</f>
        <v>ICTVonline=201903229</v>
      </c>
    </row>
    <row r="2725" spans="1:23">
      <c r="A2725" s="3">
        <v>2724</v>
      </c>
      <c r="B2725" s="1" t="s">
        <v>8017</v>
      </c>
      <c r="D2725" s="1" t="s">
        <v>8049</v>
      </c>
      <c r="F2725" s="1" t="s">
        <v>8122</v>
      </c>
      <c r="H2725" s="1" t="s">
        <v>8143</v>
      </c>
      <c r="J2725" s="1" t="s">
        <v>8144</v>
      </c>
      <c r="L2725" s="1" t="s">
        <v>2078</v>
      </c>
      <c r="N2725" s="1" t="s">
        <v>2079</v>
      </c>
      <c r="P2725" s="1" t="s">
        <v>5347</v>
      </c>
      <c r="Q2725" s="3">
        <v>0</v>
      </c>
      <c r="R2725" s="22" t="s">
        <v>2724</v>
      </c>
      <c r="S2725" s="42" t="s">
        <v>6909</v>
      </c>
      <c r="T2725" s="3" t="s">
        <v>4868</v>
      </c>
      <c r="U2725" s="45">
        <v>35</v>
      </c>
      <c r="V2725" t="s">
        <v>8125</v>
      </c>
      <c r="W2725" s="1" t="str">
        <f>HYPERLINK("http://ictvonline.org/taxonomy/p/taxonomy-history?taxnode_id=201905796","ICTVonline=201905796")</f>
        <v>ICTVonline=201905796</v>
      </c>
    </row>
    <row r="2726" spans="1:23">
      <c r="A2726" s="3">
        <v>2725</v>
      </c>
      <c r="B2726" s="1" t="s">
        <v>8017</v>
      </c>
      <c r="D2726" s="1" t="s">
        <v>8049</v>
      </c>
      <c r="F2726" s="1" t="s">
        <v>8122</v>
      </c>
      <c r="H2726" s="1" t="s">
        <v>8143</v>
      </c>
      <c r="J2726" s="1" t="s">
        <v>8144</v>
      </c>
      <c r="L2726" s="1" t="s">
        <v>2078</v>
      </c>
      <c r="N2726" s="1" t="s">
        <v>2079</v>
      </c>
      <c r="P2726" s="1" t="s">
        <v>8148</v>
      </c>
      <c r="Q2726" s="3">
        <v>0</v>
      </c>
      <c r="R2726" s="22" t="s">
        <v>2724</v>
      </c>
      <c r="S2726" s="42" t="s">
        <v>6914</v>
      </c>
      <c r="T2726" s="3" t="s">
        <v>4866</v>
      </c>
      <c r="U2726" s="45">
        <v>35</v>
      </c>
      <c r="V2726" t="s">
        <v>8146</v>
      </c>
      <c r="W2726" s="1" t="str">
        <f>HYPERLINK("http://ictvonline.org/taxonomy/p/taxonomy-history?taxnode_id=201907520","ICTVonline=201907520")</f>
        <v>ICTVonline=201907520</v>
      </c>
    </row>
    <row r="2727" spans="1:23">
      <c r="A2727" s="3">
        <v>2726</v>
      </c>
      <c r="B2727" s="1" t="s">
        <v>8017</v>
      </c>
      <c r="D2727" s="1" t="s">
        <v>8049</v>
      </c>
      <c r="F2727" s="1" t="s">
        <v>8122</v>
      </c>
      <c r="H2727" s="1" t="s">
        <v>8143</v>
      </c>
      <c r="J2727" s="1" t="s">
        <v>8144</v>
      </c>
      <c r="L2727" s="1" t="s">
        <v>2078</v>
      </c>
      <c r="N2727" s="1" t="s">
        <v>2079</v>
      </c>
      <c r="P2727" s="1" t="s">
        <v>407</v>
      </c>
      <c r="Q2727" s="3">
        <v>0</v>
      </c>
      <c r="R2727" s="22" t="s">
        <v>2724</v>
      </c>
      <c r="S2727" s="42" t="s">
        <v>6909</v>
      </c>
      <c r="T2727" s="3" t="s">
        <v>4868</v>
      </c>
      <c r="U2727" s="45">
        <v>35</v>
      </c>
      <c r="V2727" t="s">
        <v>8125</v>
      </c>
      <c r="W2727" s="1" t="str">
        <f>HYPERLINK("http://ictvonline.org/taxonomy/p/taxonomy-history?taxnode_id=201903230","ICTVonline=201903230")</f>
        <v>ICTVonline=201903230</v>
      </c>
    </row>
    <row r="2728" spans="1:23">
      <c r="A2728" s="3">
        <v>2727</v>
      </c>
      <c r="B2728" s="1" t="s">
        <v>8017</v>
      </c>
      <c r="D2728" s="1" t="s">
        <v>8049</v>
      </c>
      <c r="F2728" s="1" t="s">
        <v>8122</v>
      </c>
      <c r="H2728" s="1" t="s">
        <v>8143</v>
      </c>
      <c r="J2728" s="1" t="s">
        <v>8144</v>
      </c>
      <c r="L2728" s="1" t="s">
        <v>2078</v>
      </c>
      <c r="N2728" s="1" t="s">
        <v>2079</v>
      </c>
      <c r="P2728" s="1" t="s">
        <v>3734</v>
      </c>
      <c r="Q2728" s="3">
        <v>0</v>
      </c>
      <c r="R2728" s="22" t="s">
        <v>2724</v>
      </c>
      <c r="S2728" s="42" t="s">
        <v>6909</v>
      </c>
      <c r="T2728" s="3" t="s">
        <v>4868</v>
      </c>
      <c r="U2728" s="45">
        <v>35</v>
      </c>
      <c r="V2728" t="s">
        <v>8125</v>
      </c>
      <c r="W2728" s="1" t="str">
        <f>HYPERLINK("http://ictvonline.org/taxonomy/p/taxonomy-history?taxnode_id=201903231","ICTVonline=201903231")</f>
        <v>ICTVonline=201903231</v>
      </c>
    </row>
    <row r="2729" spans="1:23">
      <c r="A2729" s="3">
        <v>2728</v>
      </c>
      <c r="B2729" s="1" t="s">
        <v>8017</v>
      </c>
      <c r="D2729" s="1" t="s">
        <v>8049</v>
      </c>
      <c r="F2729" s="1" t="s">
        <v>8122</v>
      </c>
      <c r="H2729" s="1" t="s">
        <v>8143</v>
      </c>
      <c r="J2729" s="1" t="s">
        <v>8144</v>
      </c>
      <c r="L2729" s="1" t="s">
        <v>2078</v>
      </c>
      <c r="N2729" s="1" t="s">
        <v>2079</v>
      </c>
      <c r="P2729" s="1" t="s">
        <v>8149</v>
      </c>
      <c r="Q2729" s="3">
        <v>0</v>
      </c>
      <c r="R2729" s="22" t="s">
        <v>2724</v>
      </c>
      <c r="S2729" s="42" t="s">
        <v>6914</v>
      </c>
      <c r="T2729" s="3" t="s">
        <v>4866</v>
      </c>
      <c r="U2729" s="45">
        <v>35</v>
      </c>
      <c r="V2729" t="s">
        <v>8146</v>
      </c>
      <c r="W2729" s="1" t="str">
        <f>HYPERLINK("http://ictvonline.org/taxonomy/p/taxonomy-history?taxnode_id=201907521","ICTVonline=201907521")</f>
        <v>ICTVonline=201907521</v>
      </c>
    </row>
    <row r="2730" spans="1:23">
      <c r="A2730" s="3">
        <v>2729</v>
      </c>
      <c r="B2730" s="1" t="s">
        <v>8017</v>
      </c>
      <c r="D2730" s="1" t="s">
        <v>8049</v>
      </c>
      <c r="F2730" s="1" t="s">
        <v>8122</v>
      </c>
      <c r="H2730" s="1" t="s">
        <v>8143</v>
      </c>
      <c r="J2730" s="1" t="s">
        <v>8144</v>
      </c>
      <c r="L2730" s="1" t="s">
        <v>2078</v>
      </c>
      <c r="N2730" s="1" t="s">
        <v>2079</v>
      </c>
      <c r="P2730" s="1" t="s">
        <v>1490</v>
      </c>
      <c r="Q2730" s="3">
        <v>0</v>
      </c>
      <c r="R2730" s="22" t="s">
        <v>2724</v>
      </c>
      <c r="S2730" s="42" t="s">
        <v>6909</v>
      </c>
      <c r="T2730" s="3" t="s">
        <v>4868</v>
      </c>
      <c r="U2730" s="45">
        <v>35</v>
      </c>
      <c r="V2730" t="s">
        <v>8125</v>
      </c>
      <c r="W2730" s="1" t="str">
        <f>HYPERLINK("http://ictvonline.org/taxonomy/p/taxonomy-history?taxnode_id=201903232","ICTVonline=201903232")</f>
        <v>ICTVonline=201903232</v>
      </c>
    </row>
    <row r="2731" spans="1:23">
      <c r="A2731" s="3">
        <v>2730</v>
      </c>
      <c r="B2731" s="1" t="s">
        <v>8017</v>
      </c>
      <c r="D2731" s="1" t="s">
        <v>8049</v>
      </c>
      <c r="F2731" s="1" t="s">
        <v>8122</v>
      </c>
      <c r="H2731" s="1" t="s">
        <v>8143</v>
      </c>
      <c r="J2731" s="1" t="s">
        <v>8144</v>
      </c>
      <c r="L2731" s="1" t="s">
        <v>2078</v>
      </c>
      <c r="N2731" s="1" t="s">
        <v>2079</v>
      </c>
      <c r="P2731" s="1" t="s">
        <v>1711</v>
      </c>
      <c r="Q2731" s="3">
        <v>0</v>
      </c>
      <c r="R2731" s="22" t="s">
        <v>2724</v>
      </c>
      <c r="S2731" s="42" t="s">
        <v>6909</v>
      </c>
      <c r="T2731" s="3" t="s">
        <v>4868</v>
      </c>
      <c r="U2731" s="45">
        <v>35</v>
      </c>
      <c r="V2731" t="s">
        <v>8125</v>
      </c>
      <c r="W2731" s="1" t="str">
        <f>HYPERLINK("http://ictvonline.org/taxonomy/p/taxonomy-history?taxnode_id=201903233","ICTVonline=201903233")</f>
        <v>ICTVonline=201903233</v>
      </c>
    </row>
    <row r="2732" spans="1:23">
      <c r="A2732" s="3">
        <v>2731</v>
      </c>
      <c r="B2732" s="1" t="s">
        <v>8017</v>
      </c>
      <c r="D2732" s="1" t="s">
        <v>8049</v>
      </c>
      <c r="F2732" s="1" t="s">
        <v>8122</v>
      </c>
      <c r="H2732" s="1" t="s">
        <v>8143</v>
      </c>
      <c r="J2732" s="1" t="s">
        <v>8144</v>
      </c>
      <c r="L2732" s="1" t="s">
        <v>2078</v>
      </c>
      <c r="N2732" s="1" t="s">
        <v>2079</v>
      </c>
      <c r="P2732" s="1" t="s">
        <v>2383</v>
      </c>
      <c r="Q2732" s="3">
        <v>0</v>
      </c>
      <c r="R2732" s="22" t="s">
        <v>2724</v>
      </c>
      <c r="S2732" s="42" t="s">
        <v>6909</v>
      </c>
      <c r="T2732" s="3" t="s">
        <v>4868</v>
      </c>
      <c r="U2732" s="45">
        <v>35</v>
      </c>
      <c r="V2732" t="s">
        <v>8125</v>
      </c>
      <c r="W2732" s="1" t="str">
        <f>HYPERLINK("http://ictvonline.org/taxonomy/p/taxonomy-history?taxnode_id=201903234","ICTVonline=201903234")</f>
        <v>ICTVonline=201903234</v>
      </c>
    </row>
    <row r="2733" spans="1:23">
      <c r="A2733" s="3">
        <v>2732</v>
      </c>
      <c r="B2733" s="1" t="s">
        <v>8017</v>
      </c>
      <c r="D2733" s="1" t="s">
        <v>8049</v>
      </c>
      <c r="F2733" s="1" t="s">
        <v>8122</v>
      </c>
      <c r="H2733" s="1" t="s">
        <v>8143</v>
      </c>
      <c r="J2733" s="1" t="s">
        <v>8144</v>
      </c>
      <c r="L2733" s="1" t="s">
        <v>2078</v>
      </c>
      <c r="N2733" s="1" t="s">
        <v>2079</v>
      </c>
      <c r="P2733" s="1" t="s">
        <v>6845</v>
      </c>
      <c r="Q2733" s="3">
        <v>0</v>
      </c>
      <c r="R2733" s="22" t="s">
        <v>2724</v>
      </c>
      <c r="S2733" s="42" t="s">
        <v>6909</v>
      </c>
      <c r="T2733" s="3" t="s">
        <v>4868</v>
      </c>
      <c r="U2733" s="45">
        <v>35</v>
      </c>
      <c r="V2733" t="s">
        <v>8125</v>
      </c>
      <c r="W2733" s="1" t="str">
        <f>HYPERLINK("http://ictvonline.org/taxonomy/p/taxonomy-history?taxnode_id=201906700","ICTVonline=201906700")</f>
        <v>ICTVonline=201906700</v>
      </c>
    </row>
    <row r="2734" spans="1:23">
      <c r="A2734" s="3">
        <v>2733</v>
      </c>
      <c r="B2734" s="1" t="s">
        <v>8017</v>
      </c>
      <c r="D2734" s="1" t="s">
        <v>8049</v>
      </c>
      <c r="F2734" s="1" t="s">
        <v>8122</v>
      </c>
      <c r="H2734" s="1" t="s">
        <v>8143</v>
      </c>
      <c r="J2734" s="1" t="s">
        <v>8144</v>
      </c>
      <c r="L2734" s="1" t="s">
        <v>2078</v>
      </c>
      <c r="N2734" s="1" t="s">
        <v>2079</v>
      </c>
      <c r="P2734" s="1" t="s">
        <v>2384</v>
      </c>
      <c r="Q2734" s="3">
        <v>0</v>
      </c>
      <c r="R2734" s="22" t="s">
        <v>2724</v>
      </c>
      <c r="S2734" s="42" t="s">
        <v>6909</v>
      </c>
      <c r="T2734" s="3" t="s">
        <v>4868</v>
      </c>
      <c r="U2734" s="45">
        <v>35</v>
      </c>
      <c r="V2734" t="s">
        <v>8125</v>
      </c>
      <c r="W2734" s="1" t="str">
        <f>HYPERLINK("http://ictvonline.org/taxonomy/p/taxonomy-history?taxnode_id=201903235","ICTVonline=201903235")</f>
        <v>ICTVonline=201903235</v>
      </c>
    </row>
    <row r="2735" spans="1:23">
      <c r="A2735" s="3">
        <v>2734</v>
      </c>
      <c r="B2735" s="1" t="s">
        <v>8017</v>
      </c>
      <c r="D2735" s="1" t="s">
        <v>8049</v>
      </c>
      <c r="F2735" s="1" t="s">
        <v>8122</v>
      </c>
      <c r="H2735" s="1" t="s">
        <v>8143</v>
      </c>
      <c r="J2735" s="1" t="s">
        <v>8144</v>
      </c>
      <c r="L2735" s="1" t="s">
        <v>2078</v>
      </c>
      <c r="N2735" s="1" t="s">
        <v>2079</v>
      </c>
      <c r="P2735" s="1" t="s">
        <v>5348</v>
      </c>
      <c r="Q2735" s="3">
        <v>0</v>
      </c>
      <c r="R2735" s="22" t="s">
        <v>2724</v>
      </c>
      <c r="S2735" s="42" t="s">
        <v>6909</v>
      </c>
      <c r="T2735" s="3" t="s">
        <v>4868</v>
      </c>
      <c r="U2735" s="45">
        <v>35</v>
      </c>
      <c r="V2735" t="s">
        <v>8125</v>
      </c>
      <c r="W2735" s="1" t="str">
        <f>HYPERLINK("http://ictvonline.org/taxonomy/p/taxonomy-history?taxnode_id=201905797","ICTVonline=201905797")</f>
        <v>ICTVonline=201905797</v>
      </c>
    </row>
    <row r="2736" spans="1:23">
      <c r="A2736" s="3">
        <v>2735</v>
      </c>
      <c r="B2736" s="1" t="s">
        <v>8017</v>
      </c>
      <c r="D2736" s="1" t="s">
        <v>8049</v>
      </c>
      <c r="F2736" s="1" t="s">
        <v>8122</v>
      </c>
      <c r="H2736" s="1" t="s">
        <v>8143</v>
      </c>
      <c r="J2736" s="1" t="s">
        <v>8144</v>
      </c>
      <c r="L2736" s="1" t="s">
        <v>2078</v>
      </c>
      <c r="N2736" s="1" t="s">
        <v>2079</v>
      </c>
      <c r="P2736" s="1" t="s">
        <v>1491</v>
      </c>
      <c r="Q2736" s="3">
        <v>0</v>
      </c>
      <c r="R2736" s="22" t="s">
        <v>2724</v>
      </c>
      <c r="S2736" s="42" t="s">
        <v>6909</v>
      </c>
      <c r="T2736" s="3" t="s">
        <v>4868</v>
      </c>
      <c r="U2736" s="45">
        <v>35</v>
      </c>
      <c r="V2736" t="s">
        <v>8125</v>
      </c>
      <c r="W2736" s="1" t="str">
        <f>HYPERLINK("http://ictvonline.org/taxonomy/p/taxonomy-history?taxnode_id=201903236","ICTVonline=201903236")</f>
        <v>ICTVonline=201903236</v>
      </c>
    </row>
    <row r="2737" spans="1:23">
      <c r="A2737" s="3">
        <v>2736</v>
      </c>
      <c r="B2737" s="1" t="s">
        <v>8017</v>
      </c>
      <c r="D2737" s="1" t="s">
        <v>8049</v>
      </c>
      <c r="F2737" s="1" t="s">
        <v>8122</v>
      </c>
      <c r="H2737" s="1" t="s">
        <v>8143</v>
      </c>
      <c r="J2737" s="1" t="s">
        <v>8144</v>
      </c>
      <c r="L2737" s="1" t="s">
        <v>2078</v>
      </c>
      <c r="N2737" s="1" t="s">
        <v>2079</v>
      </c>
      <c r="P2737" s="1" t="s">
        <v>5349</v>
      </c>
      <c r="Q2737" s="3">
        <v>0</v>
      </c>
      <c r="R2737" s="22" t="s">
        <v>2724</v>
      </c>
      <c r="S2737" s="42" t="s">
        <v>6909</v>
      </c>
      <c r="T2737" s="3" t="s">
        <v>4868</v>
      </c>
      <c r="U2737" s="45">
        <v>35</v>
      </c>
      <c r="V2737" t="s">
        <v>8125</v>
      </c>
      <c r="W2737" s="1" t="str">
        <f>HYPERLINK("http://ictvonline.org/taxonomy/p/taxonomy-history?taxnode_id=201905798","ICTVonline=201905798")</f>
        <v>ICTVonline=201905798</v>
      </c>
    </row>
    <row r="2738" spans="1:23">
      <c r="A2738" s="3">
        <v>2737</v>
      </c>
      <c r="B2738" s="1" t="s">
        <v>8017</v>
      </c>
      <c r="D2738" s="1" t="s">
        <v>8049</v>
      </c>
      <c r="F2738" s="1" t="s">
        <v>8122</v>
      </c>
      <c r="H2738" s="1" t="s">
        <v>8143</v>
      </c>
      <c r="J2738" s="1" t="s">
        <v>8144</v>
      </c>
      <c r="L2738" s="1" t="s">
        <v>2078</v>
      </c>
      <c r="N2738" s="1" t="s">
        <v>2079</v>
      </c>
      <c r="P2738" s="1" t="s">
        <v>1492</v>
      </c>
      <c r="Q2738" s="3">
        <v>0</v>
      </c>
      <c r="R2738" s="22" t="s">
        <v>2724</v>
      </c>
      <c r="S2738" s="42" t="s">
        <v>6909</v>
      </c>
      <c r="T2738" s="3" t="s">
        <v>4868</v>
      </c>
      <c r="U2738" s="45">
        <v>35</v>
      </c>
      <c r="V2738" t="s">
        <v>8125</v>
      </c>
      <c r="W2738" s="1" t="str">
        <f>HYPERLINK("http://ictvonline.org/taxonomy/p/taxonomy-history?taxnode_id=201903237","ICTVonline=201903237")</f>
        <v>ICTVonline=201903237</v>
      </c>
    </row>
    <row r="2739" spans="1:23">
      <c r="A2739" s="3">
        <v>2738</v>
      </c>
      <c r="B2739" s="1" t="s">
        <v>8017</v>
      </c>
      <c r="D2739" s="1" t="s">
        <v>8049</v>
      </c>
      <c r="F2739" s="1" t="s">
        <v>8122</v>
      </c>
      <c r="H2739" s="1" t="s">
        <v>8143</v>
      </c>
      <c r="J2739" s="1" t="s">
        <v>8144</v>
      </c>
      <c r="L2739" s="1" t="s">
        <v>2078</v>
      </c>
      <c r="N2739" s="1" t="s">
        <v>2079</v>
      </c>
      <c r="P2739" s="1" t="s">
        <v>1493</v>
      </c>
      <c r="Q2739" s="3">
        <v>0</v>
      </c>
      <c r="R2739" s="22" t="s">
        <v>2724</v>
      </c>
      <c r="S2739" s="42" t="s">
        <v>6909</v>
      </c>
      <c r="T2739" s="3" t="s">
        <v>4868</v>
      </c>
      <c r="U2739" s="45">
        <v>35</v>
      </c>
      <c r="V2739" t="s">
        <v>8125</v>
      </c>
      <c r="W2739" s="1" t="str">
        <f>HYPERLINK("http://ictvonline.org/taxonomy/p/taxonomy-history?taxnode_id=201903238","ICTVonline=201903238")</f>
        <v>ICTVonline=201903238</v>
      </c>
    </row>
    <row r="2740" spans="1:23">
      <c r="A2740" s="3">
        <v>2739</v>
      </c>
      <c r="B2740" s="1" t="s">
        <v>8017</v>
      </c>
      <c r="D2740" s="1" t="s">
        <v>8049</v>
      </c>
      <c r="F2740" s="1" t="s">
        <v>8122</v>
      </c>
      <c r="H2740" s="1" t="s">
        <v>8143</v>
      </c>
      <c r="J2740" s="1" t="s">
        <v>8144</v>
      </c>
      <c r="L2740" s="1" t="s">
        <v>2078</v>
      </c>
      <c r="N2740" s="1" t="s">
        <v>2079</v>
      </c>
      <c r="P2740" s="1" t="s">
        <v>1494</v>
      </c>
      <c r="Q2740" s="3">
        <v>0</v>
      </c>
      <c r="R2740" s="22" t="s">
        <v>2724</v>
      </c>
      <c r="S2740" s="42" t="s">
        <v>6909</v>
      </c>
      <c r="T2740" s="3" t="s">
        <v>4868</v>
      </c>
      <c r="U2740" s="45">
        <v>35</v>
      </c>
      <c r="V2740" t="s">
        <v>8125</v>
      </c>
      <c r="W2740" s="1" t="str">
        <f>HYPERLINK("http://ictvonline.org/taxonomy/p/taxonomy-history?taxnode_id=201903239","ICTVonline=201903239")</f>
        <v>ICTVonline=201903239</v>
      </c>
    </row>
    <row r="2741" spans="1:23">
      <c r="A2741" s="3">
        <v>2740</v>
      </c>
      <c r="B2741" s="1" t="s">
        <v>8017</v>
      </c>
      <c r="D2741" s="1" t="s">
        <v>8049</v>
      </c>
      <c r="F2741" s="1" t="s">
        <v>8122</v>
      </c>
      <c r="H2741" s="1" t="s">
        <v>8143</v>
      </c>
      <c r="J2741" s="1" t="s">
        <v>8144</v>
      </c>
      <c r="L2741" s="1" t="s">
        <v>2078</v>
      </c>
      <c r="N2741" s="1" t="s">
        <v>2079</v>
      </c>
      <c r="P2741" s="1" t="s">
        <v>5350</v>
      </c>
      <c r="Q2741" s="3">
        <v>0</v>
      </c>
      <c r="R2741" s="22" t="s">
        <v>2724</v>
      </c>
      <c r="S2741" s="42" t="s">
        <v>6909</v>
      </c>
      <c r="T2741" s="3" t="s">
        <v>4868</v>
      </c>
      <c r="U2741" s="45">
        <v>35</v>
      </c>
      <c r="V2741" t="s">
        <v>8125</v>
      </c>
      <c r="W2741" s="1" t="str">
        <f>HYPERLINK("http://ictvonline.org/taxonomy/p/taxonomy-history?taxnode_id=201905799","ICTVonline=201905799")</f>
        <v>ICTVonline=201905799</v>
      </c>
    </row>
    <row r="2742" spans="1:23">
      <c r="A2742" s="3">
        <v>2741</v>
      </c>
      <c r="B2742" s="1" t="s">
        <v>8017</v>
      </c>
      <c r="D2742" s="1" t="s">
        <v>8049</v>
      </c>
      <c r="F2742" s="1" t="s">
        <v>8122</v>
      </c>
      <c r="H2742" s="1" t="s">
        <v>8143</v>
      </c>
      <c r="J2742" s="1" t="s">
        <v>8144</v>
      </c>
      <c r="L2742" s="1" t="s">
        <v>2078</v>
      </c>
      <c r="N2742" s="1" t="s">
        <v>2079</v>
      </c>
      <c r="P2742" s="1" t="s">
        <v>432</v>
      </c>
      <c r="Q2742" s="3">
        <v>0</v>
      </c>
      <c r="R2742" s="22" t="s">
        <v>2724</v>
      </c>
      <c r="S2742" s="42" t="s">
        <v>6909</v>
      </c>
      <c r="T2742" s="3" t="s">
        <v>4868</v>
      </c>
      <c r="U2742" s="45">
        <v>35</v>
      </c>
      <c r="V2742" t="s">
        <v>8125</v>
      </c>
      <c r="W2742" s="1" t="str">
        <f>HYPERLINK("http://ictvonline.org/taxonomy/p/taxonomy-history?taxnode_id=201903240","ICTVonline=201903240")</f>
        <v>ICTVonline=201903240</v>
      </c>
    </row>
    <row r="2743" spans="1:23">
      <c r="A2743" s="3">
        <v>2742</v>
      </c>
      <c r="B2743" s="1" t="s">
        <v>8017</v>
      </c>
      <c r="D2743" s="1" t="s">
        <v>8049</v>
      </c>
      <c r="F2743" s="1" t="s">
        <v>8122</v>
      </c>
      <c r="H2743" s="1" t="s">
        <v>8143</v>
      </c>
      <c r="J2743" s="1" t="s">
        <v>8144</v>
      </c>
      <c r="L2743" s="1" t="s">
        <v>2078</v>
      </c>
      <c r="N2743" s="1" t="s">
        <v>2079</v>
      </c>
      <c r="P2743" s="1" t="s">
        <v>433</v>
      </c>
      <c r="Q2743" s="3">
        <v>0</v>
      </c>
      <c r="R2743" s="22" t="s">
        <v>2724</v>
      </c>
      <c r="S2743" s="42" t="s">
        <v>6909</v>
      </c>
      <c r="T2743" s="3" t="s">
        <v>4868</v>
      </c>
      <c r="U2743" s="45">
        <v>35</v>
      </c>
      <c r="V2743" t="s">
        <v>8125</v>
      </c>
      <c r="W2743" s="1" t="str">
        <f>HYPERLINK("http://ictvonline.org/taxonomy/p/taxonomy-history?taxnode_id=201903241","ICTVonline=201903241")</f>
        <v>ICTVonline=201903241</v>
      </c>
    </row>
    <row r="2744" spans="1:23">
      <c r="A2744" s="3">
        <v>2743</v>
      </c>
      <c r="B2744" s="1" t="s">
        <v>8017</v>
      </c>
      <c r="D2744" s="1" t="s">
        <v>8049</v>
      </c>
      <c r="F2744" s="1" t="s">
        <v>8122</v>
      </c>
      <c r="H2744" s="1" t="s">
        <v>8143</v>
      </c>
      <c r="J2744" s="1" t="s">
        <v>8144</v>
      </c>
      <c r="L2744" s="1" t="s">
        <v>2078</v>
      </c>
      <c r="N2744" s="1" t="s">
        <v>2079</v>
      </c>
      <c r="P2744" s="1" t="s">
        <v>434</v>
      </c>
      <c r="Q2744" s="3">
        <v>0</v>
      </c>
      <c r="R2744" s="22" t="s">
        <v>2724</v>
      </c>
      <c r="S2744" s="42" t="s">
        <v>6909</v>
      </c>
      <c r="T2744" s="3" t="s">
        <v>4868</v>
      </c>
      <c r="U2744" s="45">
        <v>35</v>
      </c>
      <c r="V2744" t="s">
        <v>8125</v>
      </c>
      <c r="W2744" s="1" t="str">
        <f>HYPERLINK("http://ictvonline.org/taxonomy/p/taxonomy-history?taxnode_id=201903242","ICTVonline=201903242")</f>
        <v>ICTVonline=201903242</v>
      </c>
    </row>
    <row r="2745" spans="1:23">
      <c r="A2745" s="3">
        <v>2744</v>
      </c>
      <c r="B2745" s="1" t="s">
        <v>8017</v>
      </c>
      <c r="D2745" s="1" t="s">
        <v>8049</v>
      </c>
      <c r="F2745" s="1" t="s">
        <v>8122</v>
      </c>
      <c r="H2745" s="1" t="s">
        <v>8143</v>
      </c>
      <c r="J2745" s="1" t="s">
        <v>8144</v>
      </c>
      <c r="L2745" s="1" t="s">
        <v>2078</v>
      </c>
      <c r="N2745" s="1" t="s">
        <v>2079</v>
      </c>
      <c r="P2745" s="1" t="s">
        <v>435</v>
      </c>
      <c r="Q2745" s="3">
        <v>0</v>
      </c>
      <c r="R2745" s="22" t="s">
        <v>2724</v>
      </c>
      <c r="S2745" s="42" t="s">
        <v>6909</v>
      </c>
      <c r="T2745" s="3" t="s">
        <v>4868</v>
      </c>
      <c r="U2745" s="45">
        <v>35</v>
      </c>
      <c r="V2745" t="s">
        <v>8125</v>
      </c>
      <c r="W2745" s="1" t="str">
        <f>HYPERLINK("http://ictvonline.org/taxonomy/p/taxonomy-history?taxnode_id=201903243","ICTVonline=201903243")</f>
        <v>ICTVonline=201903243</v>
      </c>
    </row>
    <row r="2746" spans="1:23">
      <c r="A2746" s="3">
        <v>2745</v>
      </c>
      <c r="B2746" s="1" t="s">
        <v>8017</v>
      </c>
      <c r="D2746" s="1" t="s">
        <v>8049</v>
      </c>
      <c r="F2746" s="1" t="s">
        <v>8122</v>
      </c>
      <c r="H2746" s="1" t="s">
        <v>8143</v>
      </c>
      <c r="J2746" s="1" t="s">
        <v>8144</v>
      </c>
      <c r="L2746" s="1" t="s">
        <v>2078</v>
      </c>
      <c r="N2746" s="1" t="s">
        <v>2079</v>
      </c>
      <c r="P2746" s="1" t="s">
        <v>436</v>
      </c>
      <c r="Q2746" s="3">
        <v>0</v>
      </c>
      <c r="R2746" s="22" t="s">
        <v>2724</v>
      </c>
      <c r="S2746" s="42" t="s">
        <v>6909</v>
      </c>
      <c r="T2746" s="3" t="s">
        <v>4868</v>
      </c>
      <c r="U2746" s="45">
        <v>35</v>
      </c>
      <c r="V2746" t="s">
        <v>8125</v>
      </c>
      <c r="W2746" s="1" t="str">
        <f>HYPERLINK("http://ictvonline.org/taxonomy/p/taxonomy-history?taxnode_id=201903244","ICTVonline=201903244")</f>
        <v>ICTVonline=201903244</v>
      </c>
    </row>
    <row r="2747" spans="1:23">
      <c r="A2747" s="3">
        <v>2746</v>
      </c>
      <c r="B2747" s="1" t="s">
        <v>8017</v>
      </c>
      <c r="D2747" s="1" t="s">
        <v>8049</v>
      </c>
      <c r="F2747" s="1" t="s">
        <v>8122</v>
      </c>
      <c r="H2747" s="1" t="s">
        <v>8143</v>
      </c>
      <c r="J2747" s="1" t="s">
        <v>8144</v>
      </c>
      <c r="L2747" s="1" t="s">
        <v>2078</v>
      </c>
      <c r="N2747" s="1" t="s">
        <v>2079</v>
      </c>
      <c r="P2747" s="1" t="s">
        <v>6846</v>
      </c>
      <c r="Q2747" s="3">
        <v>0</v>
      </c>
      <c r="R2747" s="22" t="s">
        <v>2724</v>
      </c>
      <c r="S2747" s="42" t="s">
        <v>6909</v>
      </c>
      <c r="T2747" s="3" t="s">
        <v>4868</v>
      </c>
      <c r="U2747" s="45">
        <v>35</v>
      </c>
      <c r="V2747" t="s">
        <v>8125</v>
      </c>
      <c r="W2747" s="1" t="str">
        <f>HYPERLINK("http://ictvonline.org/taxonomy/p/taxonomy-history?taxnode_id=201906701","ICTVonline=201906701")</f>
        <v>ICTVonline=201906701</v>
      </c>
    </row>
    <row r="2748" spans="1:23">
      <c r="A2748" s="3">
        <v>2747</v>
      </c>
      <c r="B2748" s="1" t="s">
        <v>8017</v>
      </c>
      <c r="D2748" s="1" t="s">
        <v>8049</v>
      </c>
      <c r="F2748" s="1" t="s">
        <v>8122</v>
      </c>
      <c r="H2748" s="1" t="s">
        <v>8143</v>
      </c>
      <c r="J2748" s="1" t="s">
        <v>8144</v>
      </c>
      <c r="L2748" s="1" t="s">
        <v>2078</v>
      </c>
      <c r="N2748" s="1" t="s">
        <v>2079</v>
      </c>
      <c r="P2748" s="1" t="s">
        <v>8150</v>
      </c>
      <c r="Q2748" s="3">
        <v>0</v>
      </c>
      <c r="R2748" s="22" t="s">
        <v>2724</v>
      </c>
      <c r="S2748" s="42" t="s">
        <v>6914</v>
      </c>
      <c r="T2748" s="3" t="s">
        <v>4866</v>
      </c>
      <c r="U2748" s="45">
        <v>35</v>
      </c>
      <c r="V2748" t="s">
        <v>8146</v>
      </c>
      <c r="W2748" s="1" t="str">
        <f>HYPERLINK("http://ictvonline.org/taxonomy/p/taxonomy-history?taxnode_id=201907522","ICTVonline=201907522")</f>
        <v>ICTVonline=201907522</v>
      </c>
    </row>
    <row r="2749" spans="1:23">
      <c r="A2749" s="3">
        <v>2748</v>
      </c>
      <c r="B2749" s="1" t="s">
        <v>8017</v>
      </c>
      <c r="D2749" s="1" t="s">
        <v>8049</v>
      </c>
      <c r="F2749" s="1" t="s">
        <v>8122</v>
      </c>
      <c r="H2749" s="1" t="s">
        <v>8143</v>
      </c>
      <c r="J2749" s="1" t="s">
        <v>8144</v>
      </c>
      <c r="L2749" s="1" t="s">
        <v>2078</v>
      </c>
      <c r="N2749" s="1" t="s">
        <v>2079</v>
      </c>
      <c r="P2749" s="1" t="s">
        <v>6847</v>
      </c>
      <c r="Q2749" s="3">
        <v>0</v>
      </c>
      <c r="R2749" s="22" t="s">
        <v>2724</v>
      </c>
      <c r="S2749" s="42" t="s">
        <v>6909</v>
      </c>
      <c r="T2749" s="3" t="s">
        <v>4868</v>
      </c>
      <c r="U2749" s="45">
        <v>35</v>
      </c>
      <c r="V2749" t="s">
        <v>8125</v>
      </c>
      <c r="W2749" s="1" t="str">
        <f>HYPERLINK("http://ictvonline.org/taxonomy/p/taxonomy-history?taxnode_id=201906702","ICTVonline=201906702")</f>
        <v>ICTVonline=201906702</v>
      </c>
    </row>
    <row r="2750" spans="1:23">
      <c r="A2750" s="3">
        <v>2749</v>
      </c>
      <c r="B2750" s="1" t="s">
        <v>8017</v>
      </c>
      <c r="D2750" s="1" t="s">
        <v>8049</v>
      </c>
      <c r="F2750" s="1" t="s">
        <v>8122</v>
      </c>
      <c r="H2750" s="1" t="s">
        <v>8143</v>
      </c>
      <c r="J2750" s="1" t="s">
        <v>8144</v>
      </c>
      <c r="L2750" s="1" t="s">
        <v>2078</v>
      </c>
      <c r="N2750" s="1" t="s">
        <v>2079</v>
      </c>
      <c r="P2750" s="1" t="s">
        <v>3735</v>
      </c>
      <c r="Q2750" s="3">
        <v>0</v>
      </c>
      <c r="R2750" s="22" t="s">
        <v>2724</v>
      </c>
      <c r="S2750" s="42" t="s">
        <v>6909</v>
      </c>
      <c r="T2750" s="3" t="s">
        <v>4868</v>
      </c>
      <c r="U2750" s="45">
        <v>35</v>
      </c>
      <c r="V2750" t="s">
        <v>8125</v>
      </c>
      <c r="W2750" s="1" t="str">
        <f>HYPERLINK("http://ictvonline.org/taxonomy/p/taxonomy-history?taxnode_id=201903245","ICTVonline=201903245")</f>
        <v>ICTVonline=201903245</v>
      </c>
    </row>
    <row r="2751" spans="1:23">
      <c r="A2751" s="3">
        <v>2750</v>
      </c>
      <c r="B2751" s="1" t="s">
        <v>8017</v>
      </c>
      <c r="D2751" s="1" t="s">
        <v>8049</v>
      </c>
      <c r="F2751" s="1" t="s">
        <v>8122</v>
      </c>
      <c r="H2751" s="1" t="s">
        <v>8143</v>
      </c>
      <c r="J2751" s="1" t="s">
        <v>8144</v>
      </c>
      <c r="L2751" s="1" t="s">
        <v>2078</v>
      </c>
      <c r="N2751" s="1" t="s">
        <v>2079</v>
      </c>
      <c r="P2751" s="1" t="s">
        <v>437</v>
      </c>
      <c r="Q2751" s="3">
        <v>0</v>
      </c>
      <c r="R2751" s="22" t="s">
        <v>2724</v>
      </c>
      <c r="S2751" s="42" t="s">
        <v>6909</v>
      </c>
      <c r="T2751" s="3" t="s">
        <v>4868</v>
      </c>
      <c r="U2751" s="45">
        <v>35</v>
      </c>
      <c r="V2751" t="s">
        <v>8125</v>
      </c>
      <c r="W2751" s="1" t="str">
        <f>HYPERLINK("http://ictvonline.org/taxonomy/p/taxonomy-history?taxnode_id=201903246","ICTVonline=201903246")</f>
        <v>ICTVonline=201903246</v>
      </c>
    </row>
    <row r="2752" spans="1:23">
      <c r="A2752" s="3">
        <v>2751</v>
      </c>
      <c r="B2752" s="1" t="s">
        <v>8017</v>
      </c>
      <c r="D2752" s="1" t="s">
        <v>8049</v>
      </c>
      <c r="F2752" s="1" t="s">
        <v>8122</v>
      </c>
      <c r="H2752" s="1" t="s">
        <v>8143</v>
      </c>
      <c r="J2752" s="1" t="s">
        <v>8144</v>
      </c>
      <c r="L2752" s="1" t="s">
        <v>2078</v>
      </c>
      <c r="N2752" s="1" t="s">
        <v>2079</v>
      </c>
      <c r="P2752" s="1" t="s">
        <v>294</v>
      </c>
      <c r="Q2752" s="3">
        <v>0</v>
      </c>
      <c r="R2752" s="22" t="s">
        <v>2724</v>
      </c>
      <c r="S2752" s="42" t="s">
        <v>6909</v>
      </c>
      <c r="T2752" s="3" t="s">
        <v>4868</v>
      </c>
      <c r="U2752" s="45">
        <v>35</v>
      </c>
      <c r="V2752" t="s">
        <v>8125</v>
      </c>
      <c r="W2752" s="1" t="str">
        <f>HYPERLINK("http://ictvonline.org/taxonomy/p/taxonomy-history?taxnode_id=201903247","ICTVonline=201903247")</f>
        <v>ICTVonline=201903247</v>
      </c>
    </row>
    <row r="2753" spans="1:23">
      <c r="A2753" s="3">
        <v>2752</v>
      </c>
      <c r="B2753" s="1" t="s">
        <v>8017</v>
      </c>
      <c r="D2753" s="1" t="s">
        <v>8049</v>
      </c>
      <c r="F2753" s="1" t="s">
        <v>8122</v>
      </c>
      <c r="H2753" s="1" t="s">
        <v>8143</v>
      </c>
      <c r="J2753" s="1" t="s">
        <v>8144</v>
      </c>
      <c r="L2753" s="1" t="s">
        <v>2078</v>
      </c>
      <c r="N2753" s="1" t="s">
        <v>2079</v>
      </c>
      <c r="P2753" s="1" t="s">
        <v>427</v>
      </c>
      <c r="Q2753" s="3">
        <v>0</v>
      </c>
      <c r="R2753" s="22" t="s">
        <v>2724</v>
      </c>
      <c r="S2753" s="42" t="s">
        <v>6909</v>
      </c>
      <c r="T2753" s="3" t="s">
        <v>4868</v>
      </c>
      <c r="U2753" s="45">
        <v>35</v>
      </c>
      <c r="V2753" t="s">
        <v>8125</v>
      </c>
      <c r="W2753" s="1" t="str">
        <f>HYPERLINK("http://ictvonline.org/taxonomy/p/taxonomy-history?taxnode_id=201903248","ICTVonline=201903248")</f>
        <v>ICTVonline=201903248</v>
      </c>
    </row>
    <row r="2754" spans="1:23">
      <c r="A2754" s="3">
        <v>2753</v>
      </c>
      <c r="B2754" s="1" t="s">
        <v>8017</v>
      </c>
      <c r="D2754" s="1" t="s">
        <v>8049</v>
      </c>
      <c r="F2754" s="1" t="s">
        <v>8122</v>
      </c>
      <c r="H2754" s="1" t="s">
        <v>8143</v>
      </c>
      <c r="J2754" s="1" t="s">
        <v>8144</v>
      </c>
      <c r="L2754" s="1" t="s">
        <v>2078</v>
      </c>
      <c r="N2754" s="1" t="s">
        <v>2079</v>
      </c>
      <c r="P2754" s="1" t="s">
        <v>297</v>
      </c>
      <c r="Q2754" s="3">
        <v>0</v>
      </c>
      <c r="R2754" s="22" t="s">
        <v>2724</v>
      </c>
      <c r="S2754" s="42" t="s">
        <v>6909</v>
      </c>
      <c r="T2754" s="3" t="s">
        <v>4868</v>
      </c>
      <c r="U2754" s="45">
        <v>35</v>
      </c>
      <c r="V2754" t="s">
        <v>8125</v>
      </c>
      <c r="W2754" s="1" t="str">
        <f>HYPERLINK("http://ictvonline.org/taxonomy/p/taxonomy-history?taxnode_id=201903249","ICTVonline=201903249")</f>
        <v>ICTVonline=201903249</v>
      </c>
    </row>
    <row r="2755" spans="1:23">
      <c r="A2755" s="3">
        <v>2754</v>
      </c>
      <c r="B2755" s="1" t="s">
        <v>8017</v>
      </c>
      <c r="D2755" s="1" t="s">
        <v>8049</v>
      </c>
      <c r="F2755" s="1" t="s">
        <v>8122</v>
      </c>
      <c r="H2755" s="1" t="s">
        <v>8143</v>
      </c>
      <c r="J2755" s="1" t="s">
        <v>8144</v>
      </c>
      <c r="L2755" s="1" t="s">
        <v>2078</v>
      </c>
      <c r="N2755" s="1" t="s">
        <v>2079</v>
      </c>
      <c r="P2755" s="1" t="s">
        <v>298</v>
      </c>
      <c r="Q2755" s="3">
        <v>0</v>
      </c>
      <c r="R2755" s="22" t="s">
        <v>2724</v>
      </c>
      <c r="S2755" s="42" t="s">
        <v>6909</v>
      </c>
      <c r="T2755" s="3" t="s">
        <v>4868</v>
      </c>
      <c r="U2755" s="45">
        <v>35</v>
      </c>
      <c r="V2755" t="s">
        <v>8125</v>
      </c>
      <c r="W2755" s="1" t="str">
        <f>HYPERLINK("http://ictvonline.org/taxonomy/p/taxonomy-history?taxnode_id=201903250","ICTVonline=201903250")</f>
        <v>ICTVonline=201903250</v>
      </c>
    </row>
    <row r="2756" spans="1:23">
      <c r="A2756" s="3">
        <v>2755</v>
      </c>
      <c r="B2756" s="1" t="s">
        <v>8017</v>
      </c>
      <c r="D2756" s="1" t="s">
        <v>8049</v>
      </c>
      <c r="F2756" s="1" t="s">
        <v>8122</v>
      </c>
      <c r="H2756" s="1" t="s">
        <v>8143</v>
      </c>
      <c r="J2756" s="1" t="s">
        <v>8144</v>
      </c>
      <c r="L2756" s="1" t="s">
        <v>2078</v>
      </c>
      <c r="N2756" s="1" t="s">
        <v>2079</v>
      </c>
      <c r="P2756" s="1" t="s">
        <v>5351</v>
      </c>
      <c r="Q2756" s="3">
        <v>0</v>
      </c>
      <c r="R2756" s="22" t="s">
        <v>2724</v>
      </c>
      <c r="S2756" s="42" t="s">
        <v>6909</v>
      </c>
      <c r="T2756" s="3" t="s">
        <v>4868</v>
      </c>
      <c r="U2756" s="45">
        <v>35</v>
      </c>
      <c r="V2756" t="s">
        <v>8125</v>
      </c>
      <c r="W2756" s="1" t="str">
        <f>HYPERLINK("http://ictvonline.org/taxonomy/p/taxonomy-history?taxnode_id=201905800","ICTVonline=201905800")</f>
        <v>ICTVonline=201905800</v>
      </c>
    </row>
    <row r="2757" spans="1:23">
      <c r="A2757" s="3">
        <v>2756</v>
      </c>
      <c r="B2757" s="1" t="s">
        <v>8017</v>
      </c>
      <c r="D2757" s="1" t="s">
        <v>8049</v>
      </c>
      <c r="F2757" s="1" t="s">
        <v>8122</v>
      </c>
      <c r="H2757" s="1" t="s">
        <v>8143</v>
      </c>
      <c r="J2757" s="1" t="s">
        <v>8144</v>
      </c>
      <c r="L2757" s="1" t="s">
        <v>2078</v>
      </c>
      <c r="N2757" s="1" t="s">
        <v>2079</v>
      </c>
      <c r="P2757" s="1" t="s">
        <v>299</v>
      </c>
      <c r="Q2757" s="3">
        <v>0</v>
      </c>
      <c r="R2757" s="22" t="s">
        <v>2724</v>
      </c>
      <c r="S2757" s="42" t="s">
        <v>6909</v>
      </c>
      <c r="T2757" s="3" t="s">
        <v>4868</v>
      </c>
      <c r="U2757" s="45">
        <v>35</v>
      </c>
      <c r="V2757" t="s">
        <v>8125</v>
      </c>
      <c r="W2757" s="1" t="str">
        <f>HYPERLINK("http://ictvonline.org/taxonomy/p/taxonomy-history?taxnode_id=201903251","ICTVonline=201903251")</f>
        <v>ICTVonline=201903251</v>
      </c>
    </row>
    <row r="2758" spans="1:23">
      <c r="A2758" s="3">
        <v>2757</v>
      </c>
      <c r="B2758" s="1" t="s">
        <v>8017</v>
      </c>
      <c r="D2758" s="1" t="s">
        <v>8049</v>
      </c>
      <c r="F2758" s="1" t="s">
        <v>8122</v>
      </c>
      <c r="H2758" s="1" t="s">
        <v>8143</v>
      </c>
      <c r="J2758" s="1" t="s">
        <v>8144</v>
      </c>
      <c r="L2758" s="1" t="s">
        <v>2078</v>
      </c>
      <c r="N2758" s="1" t="s">
        <v>2079</v>
      </c>
      <c r="P2758" s="1" t="s">
        <v>5352</v>
      </c>
      <c r="Q2758" s="3">
        <v>0</v>
      </c>
      <c r="R2758" s="22" t="s">
        <v>2724</v>
      </c>
      <c r="S2758" s="42" t="s">
        <v>6909</v>
      </c>
      <c r="T2758" s="3" t="s">
        <v>4868</v>
      </c>
      <c r="U2758" s="45">
        <v>35</v>
      </c>
      <c r="V2758" t="s">
        <v>8125</v>
      </c>
      <c r="W2758" s="1" t="str">
        <f>HYPERLINK("http://ictvonline.org/taxonomy/p/taxonomy-history?taxnode_id=201905801","ICTVonline=201905801")</f>
        <v>ICTVonline=201905801</v>
      </c>
    </row>
    <row r="2759" spans="1:23">
      <c r="A2759" s="3">
        <v>2758</v>
      </c>
      <c r="B2759" s="1" t="s">
        <v>8017</v>
      </c>
      <c r="D2759" s="1" t="s">
        <v>8049</v>
      </c>
      <c r="F2759" s="1" t="s">
        <v>8122</v>
      </c>
      <c r="H2759" s="1" t="s">
        <v>8143</v>
      </c>
      <c r="J2759" s="1" t="s">
        <v>8144</v>
      </c>
      <c r="L2759" s="1" t="s">
        <v>2078</v>
      </c>
      <c r="N2759" s="1" t="s">
        <v>2079</v>
      </c>
      <c r="P2759" s="1" t="s">
        <v>2385</v>
      </c>
      <c r="Q2759" s="3">
        <v>0</v>
      </c>
      <c r="R2759" s="22" t="s">
        <v>2724</v>
      </c>
      <c r="S2759" s="42" t="s">
        <v>6909</v>
      </c>
      <c r="T2759" s="3" t="s">
        <v>4868</v>
      </c>
      <c r="U2759" s="45">
        <v>35</v>
      </c>
      <c r="V2759" t="s">
        <v>8125</v>
      </c>
      <c r="W2759" s="1" t="str">
        <f>HYPERLINK("http://ictvonline.org/taxonomy/p/taxonomy-history?taxnode_id=201903252","ICTVonline=201903252")</f>
        <v>ICTVonline=201903252</v>
      </c>
    </row>
    <row r="2760" spans="1:23">
      <c r="A2760" s="3">
        <v>2759</v>
      </c>
      <c r="B2760" s="1" t="s">
        <v>8017</v>
      </c>
      <c r="D2760" s="1" t="s">
        <v>8049</v>
      </c>
      <c r="F2760" s="1" t="s">
        <v>8122</v>
      </c>
      <c r="H2760" s="1" t="s">
        <v>8143</v>
      </c>
      <c r="J2760" s="1" t="s">
        <v>8144</v>
      </c>
      <c r="L2760" s="1" t="s">
        <v>2078</v>
      </c>
      <c r="N2760" s="1" t="s">
        <v>2079</v>
      </c>
      <c r="P2760" s="1" t="s">
        <v>3736</v>
      </c>
      <c r="Q2760" s="3">
        <v>0</v>
      </c>
      <c r="R2760" s="22" t="s">
        <v>2724</v>
      </c>
      <c r="S2760" s="42" t="s">
        <v>6909</v>
      </c>
      <c r="T2760" s="3" t="s">
        <v>4868</v>
      </c>
      <c r="U2760" s="45">
        <v>35</v>
      </c>
      <c r="V2760" t="s">
        <v>8125</v>
      </c>
      <c r="W2760" s="1" t="str">
        <f>HYPERLINK("http://ictvonline.org/taxonomy/p/taxonomy-history?taxnode_id=201903253","ICTVonline=201903253")</f>
        <v>ICTVonline=201903253</v>
      </c>
    </row>
    <row r="2761" spans="1:23">
      <c r="A2761" s="3">
        <v>2760</v>
      </c>
      <c r="B2761" s="1" t="s">
        <v>8017</v>
      </c>
      <c r="D2761" s="1" t="s">
        <v>8049</v>
      </c>
      <c r="F2761" s="1" t="s">
        <v>8122</v>
      </c>
      <c r="H2761" s="1" t="s">
        <v>8143</v>
      </c>
      <c r="J2761" s="1" t="s">
        <v>8144</v>
      </c>
      <c r="L2761" s="1" t="s">
        <v>2078</v>
      </c>
      <c r="N2761" s="1" t="s">
        <v>2079</v>
      </c>
      <c r="P2761" s="1" t="s">
        <v>3737</v>
      </c>
      <c r="Q2761" s="3">
        <v>0</v>
      </c>
      <c r="R2761" s="22" t="s">
        <v>2724</v>
      </c>
      <c r="S2761" s="42" t="s">
        <v>6909</v>
      </c>
      <c r="T2761" s="3" t="s">
        <v>4868</v>
      </c>
      <c r="U2761" s="45">
        <v>35</v>
      </c>
      <c r="V2761" t="s">
        <v>8125</v>
      </c>
      <c r="W2761" s="1" t="str">
        <f>HYPERLINK("http://ictvonline.org/taxonomy/p/taxonomy-history?taxnode_id=201903254","ICTVonline=201903254")</f>
        <v>ICTVonline=201903254</v>
      </c>
    </row>
    <row r="2762" spans="1:23">
      <c r="A2762" s="3">
        <v>2761</v>
      </c>
      <c r="B2762" s="1" t="s">
        <v>8017</v>
      </c>
      <c r="D2762" s="1" t="s">
        <v>8049</v>
      </c>
      <c r="F2762" s="1" t="s">
        <v>8122</v>
      </c>
      <c r="H2762" s="1" t="s">
        <v>8143</v>
      </c>
      <c r="J2762" s="1" t="s">
        <v>8144</v>
      </c>
      <c r="L2762" s="1" t="s">
        <v>2078</v>
      </c>
      <c r="N2762" s="1" t="s">
        <v>2079</v>
      </c>
      <c r="P2762" s="1" t="s">
        <v>3738</v>
      </c>
      <c r="Q2762" s="3">
        <v>0</v>
      </c>
      <c r="R2762" s="22" t="s">
        <v>2724</v>
      </c>
      <c r="S2762" s="42" t="s">
        <v>6909</v>
      </c>
      <c r="T2762" s="3" t="s">
        <v>4868</v>
      </c>
      <c r="U2762" s="45">
        <v>35</v>
      </c>
      <c r="V2762" t="s">
        <v>8125</v>
      </c>
      <c r="W2762" s="1" t="str">
        <f>HYPERLINK("http://ictvonline.org/taxonomy/p/taxonomy-history?taxnode_id=201903255","ICTVonline=201903255")</f>
        <v>ICTVonline=201903255</v>
      </c>
    </row>
    <row r="2763" spans="1:23">
      <c r="A2763" s="3">
        <v>2762</v>
      </c>
      <c r="B2763" s="1" t="s">
        <v>8017</v>
      </c>
      <c r="D2763" s="1" t="s">
        <v>8049</v>
      </c>
      <c r="F2763" s="1" t="s">
        <v>8122</v>
      </c>
      <c r="H2763" s="1" t="s">
        <v>8143</v>
      </c>
      <c r="J2763" s="1" t="s">
        <v>8144</v>
      </c>
      <c r="L2763" s="1" t="s">
        <v>2078</v>
      </c>
      <c r="N2763" s="1" t="s">
        <v>2079</v>
      </c>
      <c r="P2763" s="1" t="s">
        <v>8151</v>
      </c>
      <c r="Q2763" s="3">
        <v>0</v>
      </c>
      <c r="R2763" s="22" t="s">
        <v>2724</v>
      </c>
      <c r="S2763" s="42" t="s">
        <v>6914</v>
      </c>
      <c r="T2763" s="3" t="s">
        <v>4866</v>
      </c>
      <c r="U2763" s="45">
        <v>35</v>
      </c>
      <c r="V2763" t="s">
        <v>8146</v>
      </c>
      <c r="W2763" s="1" t="str">
        <f>HYPERLINK("http://ictvonline.org/taxonomy/p/taxonomy-history?taxnode_id=201907523","ICTVonline=201907523")</f>
        <v>ICTVonline=201907523</v>
      </c>
    </row>
    <row r="2764" spans="1:23">
      <c r="A2764" s="3">
        <v>2763</v>
      </c>
      <c r="B2764" s="1" t="s">
        <v>8017</v>
      </c>
      <c r="D2764" s="1" t="s">
        <v>8049</v>
      </c>
      <c r="F2764" s="1" t="s">
        <v>8122</v>
      </c>
      <c r="H2764" s="1" t="s">
        <v>8143</v>
      </c>
      <c r="J2764" s="1" t="s">
        <v>8144</v>
      </c>
      <c r="L2764" s="1" t="s">
        <v>2078</v>
      </c>
      <c r="N2764" s="1" t="s">
        <v>2079</v>
      </c>
      <c r="P2764" s="1" t="s">
        <v>2386</v>
      </c>
      <c r="Q2764" s="3">
        <v>0</v>
      </c>
      <c r="R2764" s="22" t="s">
        <v>2724</v>
      </c>
      <c r="S2764" s="42" t="s">
        <v>6909</v>
      </c>
      <c r="T2764" s="3" t="s">
        <v>4868</v>
      </c>
      <c r="U2764" s="45">
        <v>35</v>
      </c>
      <c r="V2764" t="s">
        <v>8125</v>
      </c>
      <c r="W2764" s="1" t="str">
        <f>HYPERLINK("http://ictvonline.org/taxonomy/p/taxonomy-history?taxnode_id=201903256","ICTVonline=201903256")</f>
        <v>ICTVonline=201903256</v>
      </c>
    </row>
    <row r="2765" spans="1:23">
      <c r="A2765" s="3">
        <v>2764</v>
      </c>
      <c r="B2765" s="1" t="s">
        <v>8017</v>
      </c>
      <c r="D2765" s="1" t="s">
        <v>8049</v>
      </c>
      <c r="F2765" s="1" t="s">
        <v>8122</v>
      </c>
      <c r="H2765" s="1" t="s">
        <v>8143</v>
      </c>
      <c r="J2765" s="1" t="s">
        <v>8144</v>
      </c>
      <c r="L2765" s="1" t="s">
        <v>2078</v>
      </c>
      <c r="N2765" s="1" t="s">
        <v>2079</v>
      </c>
      <c r="P2765" s="1" t="s">
        <v>5353</v>
      </c>
      <c r="Q2765" s="3">
        <v>0</v>
      </c>
      <c r="R2765" s="22" t="s">
        <v>2724</v>
      </c>
      <c r="S2765" s="42" t="s">
        <v>6909</v>
      </c>
      <c r="T2765" s="3" t="s">
        <v>4868</v>
      </c>
      <c r="U2765" s="45">
        <v>35</v>
      </c>
      <c r="V2765" t="s">
        <v>8125</v>
      </c>
      <c r="W2765" s="1" t="str">
        <f>HYPERLINK("http://ictvonline.org/taxonomy/p/taxonomy-history?taxnode_id=201905802","ICTVonline=201905802")</f>
        <v>ICTVonline=201905802</v>
      </c>
    </row>
    <row r="2766" spans="1:23">
      <c r="A2766" s="3">
        <v>2765</v>
      </c>
      <c r="B2766" s="1" t="s">
        <v>8017</v>
      </c>
      <c r="D2766" s="1" t="s">
        <v>8049</v>
      </c>
      <c r="F2766" s="1" t="s">
        <v>8122</v>
      </c>
      <c r="H2766" s="1" t="s">
        <v>8143</v>
      </c>
      <c r="J2766" s="1" t="s">
        <v>8144</v>
      </c>
      <c r="L2766" s="1" t="s">
        <v>2078</v>
      </c>
      <c r="N2766" s="1" t="s">
        <v>2079</v>
      </c>
      <c r="P2766" s="1" t="s">
        <v>8152</v>
      </c>
      <c r="Q2766" s="3">
        <v>0</v>
      </c>
      <c r="R2766" s="22" t="s">
        <v>2724</v>
      </c>
      <c r="S2766" s="42" t="s">
        <v>6914</v>
      </c>
      <c r="T2766" s="3" t="s">
        <v>4866</v>
      </c>
      <c r="U2766" s="45">
        <v>35</v>
      </c>
      <c r="V2766" t="s">
        <v>8146</v>
      </c>
      <c r="W2766" s="1" t="str">
        <f>HYPERLINK("http://ictvonline.org/taxonomy/p/taxonomy-history?taxnode_id=201907524","ICTVonline=201907524")</f>
        <v>ICTVonline=201907524</v>
      </c>
    </row>
    <row r="2767" spans="1:23">
      <c r="A2767" s="3">
        <v>2766</v>
      </c>
      <c r="B2767" s="1" t="s">
        <v>8017</v>
      </c>
      <c r="D2767" s="1" t="s">
        <v>8049</v>
      </c>
      <c r="F2767" s="1" t="s">
        <v>8122</v>
      </c>
      <c r="H2767" s="1" t="s">
        <v>8143</v>
      </c>
      <c r="J2767" s="1" t="s">
        <v>8144</v>
      </c>
      <c r="L2767" s="1" t="s">
        <v>2078</v>
      </c>
      <c r="N2767" s="1" t="s">
        <v>2079</v>
      </c>
      <c r="P2767" s="1" t="s">
        <v>1679</v>
      </c>
      <c r="Q2767" s="3">
        <v>0</v>
      </c>
      <c r="R2767" s="22" t="s">
        <v>2724</v>
      </c>
      <c r="S2767" s="42" t="s">
        <v>6909</v>
      </c>
      <c r="T2767" s="3" t="s">
        <v>4868</v>
      </c>
      <c r="U2767" s="45">
        <v>35</v>
      </c>
      <c r="V2767" t="s">
        <v>8125</v>
      </c>
      <c r="W2767" s="1" t="str">
        <f>HYPERLINK("http://ictvonline.org/taxonomy/p/taxonomy-history?taxnode_id=201903258","ICTVonline=201903258")</f>
        <v>ICTVonline=201903258</v>
      </c>
    </row>
    <row r="2768" spans="1:23">
      <c r="A2768" s="3">
        <v>2767</v>
      </c>
      <c r="B2768" s="1" t="s">
        <v>8017</v>
      </c>
      <c r="D2768" s="1" t="s">
        <v>8049</v>
      </c>
      <c r="F2768" s="1" t="s">
        <v>8122</v>
      </c>
      <c r="H2768" s="1" t="s">
        <v>8143</v>
      </c>
      <c r="J2768" s="1" t="s">
        <v>8144</v>
      </c>
      <c r="L2768" s="1" t="s">
        <v>2078</v>
      </c>
      <c r="N2768" s="1" t="s">
        <v>2079</v>
      </c>
      <c r="P2768" s="1" t="s">
        <v>1166</v>
      </c>
      <c r="Q2768" s="3">
        <v>0</v>
      </c>
      <c r="R2768" s="22" t="s">
        <v>2724</v>
      </c>
      <c r="S2768" s="42" t="s">
        <v>6909</v>
      </c>
      <c r="T2768" s="3" t="s">
        <v>4868</v>
      </c>
      <c r="U2768" s="45">
        <v>35</v>
      </c>
      <c r="V2768" t="s">
        <v>8125</v>
      </c>
      <c r="W2768" s="1" t="str">
        <f>HYPERLINK("http://ictvonline.org/taxonomy/p/taxonomy-history?taxnode_id=201903259","ICTVonline=201903259")</f>
        <v>ICTVonline=201903259</v>
      </c>
    </row>
    <row r="2769" spans="1:23">
      <c r="A2769" s="3">
        <v>2768</v>
      </c>
      <c r="B2769" s="1" t="s">
        <v>8017</v>
      </c>
      <c r="D2769" s="1" t="s">
        <v>8049</v>
      </c>
      <c r="F2769" s="1" t="s">
        <v>8122</v>
      </c>
      <c r="H2769" s="1" t="s">
        <v>8143</v>
      </c>
      <c r="J2769" s="1" t="s">
        <v>8144</v>
      </c>
      <c r="L2769" s="1" t="s">
        <v>2078</v>
      </c>
      <c r="N2769" s="1" t="s">
        <v>2079</v>
      </c>
      <c r="P2769" s="1" t="s">
        <v>1167</v>
      </c>
      <c r="Q2769" s="3">
        <v>0</v>
      </c>
      <c r="R2769" s="22" t="s">
        <v>2724</v>
      </c>
      <c r="S2769" s="42" t="s">
        <v>6909</v>
      </c>
      <c r="T2769" s="3" t="s">
        <v>4868</v>
      </c>
      <c r="U2769" s="45">
        <v>35</v>
      </c>
      <c r="V2769" t="s">
        <v>8125</v>
      </c>
      <c r="W2769" s="1" t="str">
        <f>HYPERLINK("http://ictvonline.org/taxonomy/p/taxonomy-history?taxnode_id=201903260","ICTVonline=201903260")</f>
        <v>ICTVonline=201903260</v>
      </c>
    </row>
    <row r="2770" spans="1:23">
      <c r="A2770" s="3">
        <v>2769</v>
      </c>
      <c r="B2770" s="1" t="s">
        <v>8017</v>
      </c>
      <c r="D2770" s="1" t="s">
        <v>8049</v>
      </c>
      <c r="F2770" s="1" t="s">
        <v>8122</v>
      </c>
      <c r="H2770" s="1" t="s">
        <v>8143</v>
      </c>
      <c r="J2770" s="1" t="s">
        <v>8144</v>
      </c>
      <c r="L2770" s="1" t="s">
        <v>2078</v>
      </c>
      <c r="N2770" s="1" t="s">
        <v>2079</v>
      </c>
      <c r="P2770" s="1" t="s">
        <v>2387</v>
      </c>
      <c r="Q2770" s="3">
        <v>0</v>
      </c>
      <c r="R2770" s="22" t="s">
        <v>2724</v>
      </c>
      <c r="S2770" s="42" t="s">
        <v>6909</v>
      </c>
      <c r="T2770" s="3" t="s">
        <v>4868</v>
      </c>
      <c r="U2770" s="45">
        <v>35</v>
      </c>
      <c r="V2770" t="s">
        <v>8125</v>
      </c>
      <c r="W2770" s="1" t="str">
        <f>HYPERLINK("http://ictvonline.org/taxonomy/p/taxonomy-history?taxnode_id=201903261","ICTVonline=201903261")</f>
        <v>ICTVonline=201903261</v>
      </c>
    </row>
    <row r="2771" spans="1:23">
      <c r="A2771" s="3">
        <v>2770</v>
      </c>
      <c r="B2771" s="1" t="s">
        <v>8017</v>
      </c>
      <c r="D2771" s="1" t="s">
        <v>8049</v>
      </c>
      <c r="F2771" s="1" t="s">
        <v>8122</v>
      </c>
      <c r="H2771" s="1" t="s">
        <v>8143</v>
      </c>
      <c r="J2771" s="1" t="s">
        <v>8144</v>
      </c>
      <c r="L2771" s="1" t="s">
        <v>2078</v>
      </c>
      <c r="N2771" s="1" t="s">
        <v>2079</v>
      </c>
      <c r="P2771" s="1" t="s">
        <v>5354</v>
      </c>
      <c r="Q2771" s="3">
        <v>0</v>
      </c>
      <c r="R2771" s="22" t="s">
        <v>2724</v>
      </c>
      <c r="S2771" s="42" t="s">
        <v>6909</v>
      </c>
      <c r="T2771" s="3" t="s">
        <v>4868</v>
      </c>
      <c r="U2771" s="45">
        <v>35</v>
      </c>
      <c r="V2771" t="s">
        <v>8125</v>
      </c>
      <c r="W2771" s="1" t="str">
        <f>HYPERLINK("http://ictvonline.org/taxonomy/p/taxonomy-history?taxnode_id=201905803","ICTVonline=201905803")</f>
        <v>ICTVonline=201905803</v>
      </c>
    </row>
    <row r="2772" spans="1:23">
      <c r="A2772" s="3">
        <v>2771</v>
      </c>
      <c r="B2772" s="1" t="s">
        <v>8017</v>
      </c>
      <c r="D2772" s="1" t="s">
        <v>8049</v>
      </c>
      <c r="F2772" s="1" t="s">
        <v>8122</v>
      </c>
      <c r="H2772" s="1" t="s">
        <v>8143</v>
      </c>
      <c r="J2772" s="1" t="s">
        <v>8144</v>
      </c>
      <c r="L2772" s="1" t="s">
        <v>2078</v>
      </c>
      <c r="N2772" s="1" t="s">
        <v>2079</v>
      </c>
      <c r="P2772" s="1" t="s">
        <v>6848</v>
      </c>
      <c r="Q2772" s="3">
        <v>0</v>
      </c>
      <c r="R2772" s="22" t="s">
        <v>2724</v>
      </c>
      <c r="S2772" s="42" t="s">
        <v>6909</v>
      </c>
      <c r="T2772" s="3" t="s">
        <v>4868</v>
      </c>
      <c r="U2772" s="45">
        <v>35</v>
      </c>
      <c r="V2772" t="s">
        <v>8125</v>
      </c>
      <c r="W2772" s="1" t="str">
        <f>HYPERLINK("http://ictvonline.org/taxonomy/p/taxonomy-history?taxnode_id=201906704","ICTVonline=201906704")</f>
        <v>ICTVonline=201906704</v>
      </c>
    </row>
    <row r="2773" spans="1:23">
      <c r="A2773" s="3">
        <v>2772</v>
      </c>
      <c r="B2773" s="1" t="s">
        <v>8017</v>
      </c>
      <c r="D2773" s="1" t="s">
        <v>8049</v>
      </c>
      <c r="F2773" s="1" t="s">
        <v>8122</v>
      </c>
      <c r="H2773" s="1" t="s">
        <v>8143</v>
      </c>
      <c r="J2773" s="1" t="s">
        <v>8144</v>
      </c>
      <c r="L2773" s="1" t="s">
        <v>2078</v>
      </c>
      <c r="N2773" s="1" t="s">
        <v>2079</v>
      </c>
      <c r="P2773" s="1" t="s">
        <v>5355</v>
      </c>
      <c r="Q2773" s="3">
        <v>0</v>
      </c>
      <c r="R2773" s="22" t="s">
        <v>2724</v>
      </c>
      <c r="S2773" s="42" t="s">
        <v>6909</v>
      </c>
      <c r="T2773" s="3" t="s">
        <v>4868</v>
      </c>
      <c r="U2773" s="45">
        <v>35</v>
      </c>
      <c r="V2773" t="s">
        <v>8125</v>
      </c>
      <c r="W2773" s="1" t="str">
        <f>HYPERLINK("http://ictvonline.org/taxonomy/p/taxonomy-history?taxnode_id=201905804","ICTVonline=201905804")</f>
        <v>ICTVonline=201905804</v>
      </c>
    </row>
    <row r="2774" spans="1:23">
      <c r="A2774" s="3">
        <v>2773</v>
      </c>
      <c r="B2774" s="1" t="s">
        <v>8017</v>
      </c>
      <c r="D2774" s="1" t="s">
        <v>8049</v>
      </c>
      <c r="F2774" s="1" t="s">
        <v>8122</v>
      </c>
      <c r="H2774" s="1" t="s">
        <v>8143</v>
      </c>
      <c r="J2774" s="1" t="s">
        <v>8144</v>
      </c>
      <c r="L2774" s="1" t="s">
        <v>2078</v>
      </c>
      <c r="N2774" s="1" t="s">
        <v>2079</v>
      </c>
      <c r="P2774" s="1" t="s">
        <v>3739</v>
      </c>
      <c r="Q2774" s="3">
        <v>0</v>
      </c>
      <c r="R2774" s="22" t="s">
        <v>2724</v>
      </c>
      <c r="S2774" s="42" t="s">
        <v>6909</v>
      </c>
      <c r="T2774" s="3" t="s">
        <v>4868</v>
      </c>
      <c r="U2774" s="45">
        <v>35</v>
      </c>
      <c r="V2774" t="s">
        <v>8125</v>
      </c>
      <c r="W2774" s="1" t="str">
        <f>HYPERLINK("http://ictvonline.org/taxonomy/p/taxonomy-history?taxnode_id=201903262","ICTVonline=201903262")</f>
        <v>ICTVonline=201903262</v>
      </c>
    </row>
    <row r="2775" spans="1:23">
      <c r="A2775" s="3">
        <v>2774</v>
      </c>
      <c r="B2775" s="1" t="s">
        <v>8017</v>
      </c>
      <c r="D2775" s="1" t="s">
        <v>8049</v>
      </c>
      <c r="F2775" s="1" t="s">
        <v>8122</v>
      </c>
      <c r="H2775" s="1" t="s">
        <v>8143</v>
      </c>
      <c r="J2775" s="1" t="s">
        <v>8144</v>
      </c>
      <c r="L2775" s="1" t="s">
        <v>2078</v>
      </c>
      <c r="N2775" s="1" t="s">
        <v>2079</v>
      </c>
      <c r="P2775" s="1" t="s">
        <v>5356</v>
      </c>
      <c r="Q2775" s="3">
        <v>0</v>
      </c>
      <c r="R2775" s="22" t="s">
        <v>2724</v>
      </c>
      <c r="S2775" s="42" t="s">
        <v>6909</v>
      </c>
      <c r="T2775" s="3" t="s">
        <v>4868</v>
      </c>
      <c r="U2775" s="45">
        <v>35</v>
      </c>
      <c r="V2775" t="s">
        <v>8125</v>
      </c>
      <c r="W2775" s="1" t="str">
        <f>HYPERLINK("http://ictvonline.org/taxonomy/p/taxonomy-history?taxnode_id=201905805","ICTVonline=201905805")</f>
        <v>ICTVonline=201905805</v>
      </c>
    </row>
    <row r="2776" spans="1:23">
      <c r="A2776" s="3">
        <v>2775</v>
      </c>
      <c r="B2776" s="1" t="s">
        <v>8017</v>
      </c>
      <c r="D2776" s="1" t="s">
        <v>8049</v>
      </c>
      <c r="F2776" s="1" t="s">
        <v>8122</v>
      </c>
      <c r="H2776" s="1" t="s">
        <v>8143</v>
      </c>
      <c r="J2776" s="1" t="s">
        <v>8144</v>
      </c>
      <c r="L2776" s="1" t="s">
        <v>2078</v>
      </c>
      <c r="N2776" s="1" t="s">
        <v>2079</v>
      </c>
      <c r="P2776" s="1" t="s">
        <v>2388</v>
      </c>
      <c r="Q2776" s="3">
        <v>0</v>
      </c>
      <c r="R2776" s="22" t="s">
        <v>2724</v>
      </c>
      <c r="S2776" s="42" t="s">
        <v>6909</v>
      </c>
      <c r="T2776" s="3" t="s">
        <v>4868</v>
      </c>
      <c r="U2776" s="45">
        <v>35</v>
      </c>
      <c r="V2776" t="s">
        <v>8125</v>
      </c>
      <c r="W2776" s="1" t="str">
        <f>HYPERLINK("http://ictvonline.org/taxonomy/p/taxonomy-history?taxnode_id=201903263","ICTVonline=201903263")</f>
        <v>ICTVonline=201903263</v>
      </c>
    </row>
    <row r="2777" spans="1:23">
      <c r="A2777" s="3">
        <v>2776</v>
      </c>
      <c r="B2777" s="1" t="s">
        <v>8017</v>
      </c>
      <c r="D2777" s="1" t="s">
        <v>8049</v>
      </c>
      <c r="F2777" s="1" t="s">
        <v>8122</v>
      </c>
      <c r="H2777" s="1" t="s">
        <v>8143</v>
      </c>
      <c r="J2777" s="1" t="s">
        <v>8144</v>
      </c>
      <c r="L2777" s="1" t="s">
        <v>2078</v>
      </c>
      <c r="N2777" s="1" t="s">
        <v>2079</v>
      </c>
      <c r="P2777" s="1" t="s">
        <v>3740</v>
      </c>
      <c r="Q2777" s="3">
        <v>0</v>
      </c>
      <c r="R2777" s="22" t="s">
        <v>2724</v>
      </c>
      <c r="S2777" s="42" t="s">
        <v>6909</v>
      </c>
      <c r="T2777" s="3" t="s">
        <v>4868</v>
      </c>
      <c r="U2777" s="45">
        <v>35</v>
      </c>
      <c r="V2777" t="s">
        <v>8125</v>
      </c>
      <c r="W2777" s="1" t="str">
        <f>HYPERLINK("http://ictvonline.org/taxonomy/p/taxonomy-history?taxnode_id=201903264","ICTVonline=201903264")</f>
        <v>ICTVonline=201903264</v>
      </c>
    </row>
    <row r="2778" spans="1:23">
      <c r="A2778" s="3">
        <v>2777</v>
      </c>
      <c r="B2778" s="1" t="s">
        <v>8017</v>
      </c>
      <c r="D2778" s="1" t="s">
        <v>8049</v>
      </c>
      <c r="F2778" s="1" t="s">
        <v>8122</v>
      </c>
      <c r="H2778" s="1" t="s">
        <v>8143</v>
      </c>
      <c r="J2778" s="1" t="s">
        <v>8144</v>
      </c>
      <c r="L2778" s="1" t="s">
        <v>2078</v>
      </c>
      <c r="N2778" s="1" t="s">
        <v>2079</v>
      </c>
      <c r="P2778" s="1" t="s">
        <v>3741</v>
      </c>
      <c r="Q2778" s="3">
        <v>0</v>
      </c>
      <c r="R2778" s="22" t="s">
        <v>2724</v>
      </c>
      <c r="S2778" s="42" t="s">
        <v>6909</v>
      </c>
      <c r="T2778" s="3" t="s">
        <v>4868</v>
      </c>
      <c r="U2778" s="45">
        <v>35</v>
      </c>
      <c r="V2778" t="s">
        <v>8125</v>
      </c>
      <c r="W2778" s="1" t="str">
        <f>HYPERLINK("http://ictvonline.org/taxonomy/p/taxonomy-history?taxnode_id=201903265","ICTVonline=201903265")</f>
        <v>ICTVonline=201903265</v>
      </c>
    </row>
    <row r="2779" spans="1:23">
      <c r="A2779" s="3">
        <v>2778</v>
      </c>
      <c r="B2779" s="1" t="s">
        <v>8017</v>
      </c>
      <c r="D2779" s="1" t="s">
        <v>8049</v>
      </c>
      <c r="F2779" s="1" t="s">
        <v>8122</v>
      </c>
      <c r="H2779" s="1" t="s">
        <v>8143</v>
      </c>
      <c r="J2779" s="1" t="s">
        <v>8144</v>
      </c>
      <c r="L2779" s="1" t="s">
        <v>2078</v>
      </c>
      <c r="N2779" s="1" t="s">
        <v>2079</v>
      </c>
      <c r="P2779" s="1" t="s">
        <v>3742</v>
      </c>
      <c r="Q2779" s="3">
        <v>0</v>
      </c>
      <c r="R2779" s="22" t="s">
        <v>2724</v>
      </c>
      <c r="S2779" s="42" t="s">
        <v>6909</v>
      </c>
      <c r="T2779" s="3" t="s">
        <v>4868</v>
      </c>
      <c r="U2779" s="45">
        <v>35</v>
      </c>
      <c r="V2779" t="s">
        <v>8125</v>
      </c>
      <c r="W2779" s="1" t="str">
        <f>HYPERLINK("http://ictvonline.org/taxonomy/p/taxonomy-history?taxnode_id=201903266","ICTVonline=201903266")</f>
        <v>ICTVonline=201903266</v>
      </c>
    </row>
    <row r="2780" spans="1:23">
      <c r="A2780" s="3">
        <v>2779</v>
      </c>
      <c r="B2780" s="1" t="s">
        <v>8017</v>
      </c>
      <c r="D2780" s="1" t="s">
        <v>8049</v>
      </c>
      <c r="F2780" s="1" t="s">
        <v>8122</v>
      </c>
      <c r="H2780" s="1" t="s">
        <v>8143</v>
      </c>
      <c r="J2780" s="1" t="s">
        <v>8144</v>
      </c>
      <c r="L2780" s="1" t="s">
        <v>2078</v>
      </c>
      <c r="N2780" s="1" t="s">
        <v>2079</v>
      </c>
      <c r="P2780" s="1" t="s">
        <v>1168</v>
      </c>
      <c r="Q2780" s="3">
        <v>0</v>
      </c>
      <c r="R2780" s="22" t="s">
        <v>2724</v>
      </c>
      <c r="S2780" s="42" t="s">
        <v>6909</v>
      </c>
      <c r="T2780" s="3" t="s">
        <v>4868</v>
      </c>
      <c r="U2780" s="45">
        <v>35</v>
      </c>
      <c r="V2780" t="s">
        <v>8125</v>
      </c>
      <c r="W2780" s="1" t="str">
        <f>HYPERLINK("http://ictvonline.org/taxonomy/p/taxonomy-history?taxnode_id=201903267","ICTVonline=201903267")</f>
        <v>ICTVonline=201903267</v>
      </c>
    </row>
    <row r="2781" spans="1:23">
      <c r="A2781" s="3">
        <v>2780</v>
      </c>
      <c r="B2781" s="1" t="s">
        <v>8017</v>
      </c>
      <c r="D2781" s="1" t="s">
        <v>8049</v>
      </c>
      <c r="F2781" s="1" t="s">
        <v>8122</v>
      </c>
      <c r="H2781" s="1" t="s">
        <v>8143</v>
      </c>
      <c r="J2781" s="1" t="s">
        <v>8144</v>
      </c>
      <c r="L2781" s="1" t="s">
        <v>2078</v>
      </c>
      <c r="N2781" s="1" t="s">
        <v>2079</v>
      </c>
      <c r="P2781" s="1" t="s">
        <v>2389</v>
      </c>
      <c r="Q2781" s="3">
        <v>0</v>
      </c>
      <c r="R2781" s="22" t="s">
        <v>2724</v>
      </c>
      <c r="S2781" s="42" t="s">
        <v>6909</v>
      </c>
      <c r="T2781" s="3" t="s">
        <v>4868</v>
      </c>
      <c r="U2781" s="45">
        <v>35</v>
      </c>
      <c r="V2781" t="s">
        <v>8125</v>
      </c>
      <c r="W2781" s="1" t="str">
        <f>HYPERLINK("http://ictvonline.org/taxonomy/p/taxonomy-history?taxnode_id=201903268","ICTVonline=201903268")</f>
        <v>ICTVonline=201903268</v>
      </c>
    </row>
    <row r="2782" spans="1:23">
      <c r="A2782" s="3">
        <v>2781</v>
      </c>
      <c r="B2782" s="1" t="s">
        <v>8017</v>
      </c>
      <c r="D2782" s="1" t="s">
        <v>8049</v>
      </c>
      <c r="F2782" s="1" t="s">
        <v>8122</v>
      </c>
      <c r="H2782" s="1" t="s">
        <v>8143</v>
      </c>
      <c r="J2782" s="1" t="s">
        <v>8144</v>
      </c>
      <c r="L2782" s="1" t="s">
        <v>2078</v>
      </c>
      <c r="N2782" s="1" t="s">
        <v>2079</v>
      </c>
      <c r="P2782" s="1" t="s">
        <v>1169</v>
      </c>
      <c r="Q2782" s="3">
        <v>0</v>
      </c>
      <c r="R2782" s="22" t="s">
        <v>2724</v>
      </c>
      <c r="S2782" s="42" t="s">
        <v>6909</v>
      </c>
      <c r="T2782" s="3" t="s">
        <v>4868</v>
      </c>
      <c r="U2782" s="45">
        <v>35</v>
      </c>
      <c r="V2782" t="s">
        <v>8125</v>
      </c>
      <c r="W2782" s="1" t="str">
        <f>HYPERLINK("http://ictvonline.org/taxonomy/p/taxonomy-history?taxnode_id=201903269","ICTVonline=201903269")</f>
        <v>ICTVonline=201903269</v>
      </c>
    </row>
    <row r="2783" spans="1:23">
      <c r="A2783" s="3">
        <v>2782</v>
      </c>
      <c r="B2783" s="1" t="s">
        <v>8017</v>
      </c>
      <c r="D2783" s="1" t="s">
        <v>8049</v>
      </c>
      <c r="F2783" s="1" t="s">
        <v>8122</v>
      </c>
      <c r="H2783" s="1" t="s">
        <v>8143</v>
      </c>
      <c r="J2783" s="1" t="s">
        <v>8144</v>
      </c>
      <c r="L2783" s="1" t="s">
        <v>2078</v>
      </c>
      <c r="N2783" s="1" t="s">
        <v>2079</v>
      </c>
      <c r="P2783" s="1" t="s">
        <v>5357</v>
      </c>
      <c r="Q2783" s="3">
        <v>0</v>
      </c>
      <c r="R2783" s="22" t="s">
        <v>2724</v>
      </c>
      <c r="S2783" s="42" t="s">
        <v>6909</v>
      </c>
      <c r="T2783" s="3" t="s">
        <v>4868</v>
      </c>
      <c r="U2783" s="45">
        <v>35</v>
      </c>
      <c r="V2783" t="s">
        <v>8125</v>
      </c>
      <c r="W2783" s="1" t="str">
        <f>HYPERLINK("http://ictvonline.org/taxonomy/p/taxonomy-history?taxnode_id=201905806","ICTVonline=201905806")</f>
        <v>ICTVonline=201905806</v>
      </c>
    </row>
    <row r="2784" spans="1:23">
      <c r="A2784" s="3">
        <v>2783</v>
      </c>
      <c r="B2784" s="1" t="s">
        <v>8017</v>
      </c>
      <c r="D2784" s="1" t="s">
        <v>8049</v>
      </c>
      <c r="F2784" s="1" t="s">
        <v>8122</v>
      </c>
      <c r="H2784" s="1" t="s">
        <v>8143</v>
      </c>
      <c r="J2784" s="1" t="s">
        <v>8144</v>
      </c>
      <c r="L2784" s="1" t="s">
        <v>2078</v>
      </c>
      <c r="N2784" s="1" t="s">
        <v>2079</v>
      </c>
      <c r="P2784" s="1" t="s">
        <v>1186</v>
      </c>
      <c r="Q2784" s="3">
        <v>0</v>
      </c>
      <c r="R2784" s="22" t="s">
        <v>2724</v>
      </c>
      <c r="S2784" s="42" t="s">
        <v>6909</v>
      </c>
      <c r="T2784" s="3" t="s">
        <v>4868</v>
      </c>
      <c r="U2784" s="45">
        <v>35</v>
      </c>
      <c r="V2784" t="s">
        <v>8125</v>
      </c>
      <c r="W2784" s="1" t="str">
        <f>HYPERLINK("http://ictvonline.org/taxonomy/p/taxonomy-history?taxnode_id=201903270","ICTVonline=201903270")</f>
        <v>ICTVonline=201903270</v>
      </c>
    </row>
    <row r="2785" spans="1:23">
      <c r="A2785" s="3">
        <v>2784</v>
      </c>
      <c r="B2785" s="1" t="s">
        <v>8017</v>
      </c>
      <c r="D2785" s="1" t="s">
        <v>8049</v>
      </c>
      <c r="F2785" s="1" t="s">
        <v>8122</v>
      </c>
      <c r="H2785" s="1" t="s">
        <v>8143</v>
      </c>
      <c r="J2785" s="1" t="s">
        <v>8144</v>
      </c>
      <c r="L2785" s="1" t="s">
        <v>2078</v>
      </c>
      <c r="N2785" s="1" t="s">
        <v>2079</v>
      </c>
      <c r="P2785" s="1" t="s">
        <v>1187</v>
      </c>
      <c r="Q2785" s="3">
        <v>0</v>
      </c>
      <c r="R2785" s="22" t="s">
        <v>2724</v>
      </c>
      <c r="S2785" s="42" t="s">
        <v>6909</v>
      </c>
      <c r="T2785" s="3" t="s">
        <v>4868</v>
      </c>
      <c r="U2785" s="45">
        <v>35</v>
      </c>
      <c r="V2785" t="s">
        <v>8125</v>
      </c>
      <c r="W2785" s="1" t="str">
        <f>HYPERLINK("http://ictvonline.org/taxonomy/p/taxonomy-history?taxnode_id=201903271","ICTVonline=201903271")</f>
        <v>ICTVonline=201903271</v>
      </c>
    </row>
    <row r="2786" spans="1:23">
      <c r="A2786" s="3">
        <v>2785</v>
      </c>
      <c r="B2786" s="1" t="s">
        <v>8017</v>
      </c>
      <c r="D2786" s="1" t="s">
        <v>8049</v>
      </c>
      <c r="F2786" s="1" t="s">
        <v>8122</v>
      </c>
      <c r="H2786" s="1" t="s">
        <v>8143</v>
      </c>
      <c r="J2786" s="1" t="s">
        <v>8144</v>
      </c>
      <c r="L2786" s="1" t="s">
        <v>2078</v>
      </c>
      <c r="N2786" s="1" t="s">
        <v>2079</v>
      </c>
      <c r="P2786" s="1" t="s">
        <v>1188</v>
      </c>
      <c r="Q2786" s="3">
        <v>0</v>
      </c>
      <c r="R2786" s="22" t="s">
        <v>2724</v>
      </c>
      <c r="S2786" s="42" t="s">
        <v>6909</v>
      </c>
      <c r="T2786" s="3" t="s">
        <v>4868</v>
      </c>
      <c r="U2786" s="45">
        <v>35</v>
      </c>
      <c r="V2786" t="s">
        <v>8125</v>
      </c>
      <c r="W2786" s="1" t="str">
        <f>HYPERLINK("http://ictvonline.org/taxonomy/p/taxonomy-history?taxnode_id=201903272","ICTVonline=201903272")</f>
        <v>ICTVonline=201903272</v>
      </c>
    </row>
    <row r="2787" spans="1:23">
      <c r="A2787" s="3">
        <v>2786</v>
      </c>
      <c r="B2787" s="1" t="s">
        <v>8017</v>
      </c>
      <c r="D2787" s="1" t="s">
        <v>8049</v>
      </c>
      <c r="F2787" s="1" t="s">
        <v>8122</v>
      </c>
      <c r="H2787" s="1" t="s">
        <v>8143</v>
      </c>
      <c r="J2787" s="1" t="s">
        <v>8144</v>
      </c>
      <c r="L2787" s="1" t="s">
        <v>2078</v>
      </c>
      <c r="N2787" s="1" t="s">
        <v>2079</v>
      </c>
      <c r="P2787" s="1" t="s">
        <v>5358</v>
      </c>
      <c r="Q2787" s="3">
        <v>0</v>
      </c>
      <c r="R2787" s="22" t="s">
        <v>2724</v>
      </c>
      <c r="S2787" s="42" t="s">
        <v>6909</v>
      </c>
      <c r="T2787" s="3" t="s">
        <v>4868</v>
      </c>
      <c r="U2787" s="45">
        <v>35</v>
      </c>
      <c r="V2787" t="s">
        <v>8125</v>
      </c>
      <c r="W2787" s="1" t="str">
        <f>HYPERLINK("http://ictvonline.org/taxonomy/p/taxonomy-history?taxnode_id=201905807","ICTVonline=201905807")</f>
        <v>ICTVonline=201905807</v>
      </c>
    </row>
    <row r="2788" spans="1:23">
      <c r="A2788" s="3">
        <v>2787</v>
      </c>
      <c r="B2788" s="1" t="s">
        <v>8017</v>
      </c>
      <c r="D2788" s="1" t="s">
        <v>8049</v>
      </c>
      <c r="F2788" s="1" t="s">
        <v>8122</v>
      </c>
      <c r="H2788" s="1" t="s">
        <v>8143</v>
      </c>
      <c r="J2788" s="1" t="s">
        <v>8144</v>
      </c>
      <c r="L2788" s="1" t="s">
        <v>2078</v>
      </c>
      <c r="N2788" s="1" t="s">
        <v>2079</v>
      </c>
      <c r="P2788" s="1" t="s">
        <v>5359</v>
      </c>
      <c r="Q2788" s="3">
        <v>0</v>
      </c>
      <c r="R2788" s="22" t="s">
        <v>2724</v>
      </c>
      <c r="S2788" s="42" t="s">
        <v>6909</v>
      </c>
      <c r="T2788" s="3" t="s">
        <v>4868</v>
      </c>
      <c r="U2788" s="45">
        <v>35</v>
      </c>
      <c r="V2788" t="s">
        <v>8125</v>
      </c>
      <c r="W2788" s="1" t="str">
        <f>HYPERLINK("http://ictvonline.org/taxonomy/p/taxonomy-history?taxnode_id=201905808","ICTVonline=201905808")</f>
        <v>ICTVonline=201905808</v>
      </c>
    </row>
    <row r="2789" spans="1:23">
      <c r="A2789" s="3">
        <v>2788</v>
      </c>
      <c r="B2789" s="1" t="s">
        <v>8017</v>
      </c>
      <c r="D2789" s="1" t="s">
        <v>8049</v>
      </c>
      <c r="F2789" s="1" t="s">
        <v>8122</v>
      </c>
      <c r="H2789" s="1" t="s">
        <v>8143</v>
      </c>
      <c r="J2789" s="1" t="s">
        <v>8144</v>
      </c>
      <c r="L2789" s="1" t="s">
        <v>2078</v>
      </c>
      <c r="N2789" s="1" t="s">
        <v>2079</v>
      </c>
      <c r="P2789" s="1" t="s">
        <v>5360</v>
      </c>
      <c r="Q2789" s="3">
        <v>0</v>
      </c>
      <c r="R2789" s="22" t="s">
        <v>2724</v>
      </c>
      <c r="S2789" s="42" t="s">
        <v>6909</v>
      </c>
      <c r="T2789" s="3" t="s">
        <v>4868</v>
      </c>
      <c r="U2789" s="45">
        <v>35</v>
      </c>
      <c r="V2789" t="s">
        <v>8125</v>
      </c>
      <c r="W2789" s="1" t="str">
        <f>HYPERLINK("http://ictvonline.org/taxonomy/p/taxonomy-history?taxnode_id=201905809","ICTVonline=201905809")</f>
        <v>ICTVonline=201905809</v>
      </c>
    </row>
    <row r="2790" spans="1:23">
      <c r="A2790" s="3">
        <v>2789</v>
      </c>
      <c r="B2790" s="1" t="s">
        <v>8017</v>
      </c>
      <c r="D2790" s="1" t="s">
        <v>8049</v>
      </c>
      <c r="F2790" s="1" t="s">
        <v>8122</v>
      </c>
      <c r="H2790" s="1" t="s">
        <v>8143</v>
      </c>
      <c r="J2790" s="1" t="s">
        <v>8144</v>
      </c>
      <c r="L2790" s="1" t="s">
        <v>2078</v>
      </c>
      <c r="N2790" s="1" t="s">
        <v>2079</v>
      </c>
      <c r="P2790" s="1" t="s">
        <v>2390</v>
      </c>
      <c r="Q2790" s="3">
        <v>0</v>
      </c>
      <c r="R2790" s="22" t="s">
        <v>2724</v>
      </c>
      <c r="S2790" s="42" t="s">
        <v>6909</v>
      </c>
      <c r="T2790" s="3" t="s">
        <v>4868</v>
      </c>
      <c r="U2790" s="45">
        <v>35</v>
      </c>
      <c r="V2790" t="s">
        <v>8125</v>
      </c>
      <c r="W2790" s="1" t="str">
        <f>HYPERLINK("http://ictvonline.org/taxonomy/p/taxonomy-history?taxnode_id=201903273","ICTVonline=201903273")</f>
        <v>ICTVonline=201903273</v>
      </c>
    </row>
    <row r="2791" spans="1:23">
      <c r="A2791" s="3">
        <v>2790</v>
      </c>
      <c r="B2791" s="1" t="s">
        <v>8017</v>
      </c>
      <c r="D2791" s="1" t="s">
        <v>8049</v>
      </c>
      <c r="F2791" s="1" t="s">
        <v>8122</v>
      </c>
      <c r="H2791" s="1" t="s">
        <v>8143</v>
      </c>
      <c r="J2791" s="1" t="s">
        <v>8144</v>
      </c>
      <c r="L2791" s="1" t="s">
        <v>2078</v>
      </c>
      <c r="N2791" s="1" t="s">
        <v>2079</v>
      </c>
      <c r="P2791" s="1" t="s">
        <v>1705</v>
      </c>
      <c r="Q2791" s="3">
        <v>0</v>
      </c>
      <c r="R2791" s="22" t="s">
        <v>2724</v>
      </c>
      <c r="S2791" s="42" t="s">
        <v>6909</v>
      </c>
      <c r="T2791" s="3" t="s">
        <v>4868</v>
      </c>
      <c r="U2791" s="45">
        <v>35</v>
      </c>
      <c r="V2791" t="s">
        <v>8125</v>
      </c>
      <c r="W2791" s="1" t="str">
        <f>HYPERLINK("http://ictvonline.org/taxonomy/p/taxonomy-history?taxnode_id=201903274","ICTVonline=201903274")</f>
        <v>ICTVonline=201903274</v>
      </c>
    </row>
    <row r="2792" spans="1:23">
      <c r="A2792" s="3">
        <v>2791</v>
      </c>
      <c r="B2792" s="1" t="s">
        <v>8017</v>
      </c>
      <c r="D2792" s="1" t="s">
        <v>8049</v>
      </c>
      <c r="F2792" s="1" t="s">
        <v>8122</v>
      </c>
      <c r="H2792" s="1" t="s">
        <v>8143</v>
      </c>
      <c r="J2792" s="1" t="s">
        <v>8144</v>
      </c>
      <c r="L2792" s="1" t="s">
        <v>2078</v>
      </c>
      <c r="N2792" s="1" t="s">
        <v>2079</v>
      </c>
      <c r="P2792" s="1" t="s">
        <v>1706</v>
      </c>
      <c r="Q2792" s="3">
        <v>0</v>
      </c>
      <c r="R2792" s="22" t="s">
        <v>2724</v>
      </c>
      <c r="S2792" s="42" t="s">
        <v>6909</v>
      </c>
      <c r="T2792" s="3" t="s">
        <v>4868</v>
      </c>
      <c r="U2792" s="45">
        <v>35</v>
      </c>
      <c r="V2792" t="s">
        <v>8125</v>
      </c>
      <c r="W2792" s="1" t="str">
        <f>HYPERLINK("http://ictvonline.org/taxonomy/p/taxonomy-history?taxnode_id=201903275","ICTVonline=201903275")</f>
        <v>ICTVonline=201903275</v>
      </c>
    </row>
    <row r="2793" spans="1:23">
      <c r="A2793" s="3">
        <v>2792</v>
      </c>
      <c r="B2793" s="1" t="s">
        <v>8017</v>
      </c>
      <c r="D2793" s="1" t="s">
        <v>8049</v>
      </c>
      <c r="F2793" s="1" t="s">
        <v>8122</v>
      </c>
      <c r="H2793" s="1" t="s">
        <v>8143</v>
      </c>
      <c r="J2793" s="1" t="s">
        <v>8144</v>
      </c>
      <c r="L2793" s="1" t="s">
        <v>2078</v>
      </c>
      <c r="N2793" s="1" t="s">
        <v>2079</v>
      </c>
      <c r="P2793" s="1" t="s">
        <v>1707</v>
      </c>
      <c r="Q2793" s="3">
        <v>0</v>
      </c>
      <c r="R2793" s="22" t="s">
        <v>2724</v>
      </c>
      <c r="S2793" s="42" t="s">
        <v>6909</v>
      </c>
      <c r="T2793" s="3" t="s">
        <v>4868</v>
      </c>
      <c r="U2793" s="45">
        <v>35</v>
      </c>
      <c r="V2793" t="s">
        <v>8125</v>
      </c>
      <c r="W2793" s="1" t="str">
        <f>HYPERLINK("http://ictvonline.org/taxonomy/p/taxonomy-history?taxnode_id=201903276","ICTVonline=201903276")</f>
        <v>ICTVonline=201903276</v>
      </c>
    </row>
    <row r="2794" spans="1:23">
      <c r="A2794" s="3">
        <v>2793</v>
      </c>
      <c r="B2794" s="1" t="s">
        <v>8017</v>
      </c>
      <c r="D2794" s="1" t="s">
        <v>8049</v>
      </c>
      <c r="F2794" s="1" t="s">
        <v>8122</v>
      </c>
      <c r="H2794" s="1" t="s">
        <v>8143</v>
      </c>
      <c r="J2794" s="1" t="s">
        <v>8144</v>
      </c>
      <c r="L2794" s="1" t="s">
        <v>2078</v>
      </c>
      <c r="N2794" s="1" t="s">
        <v>2079</v>
      </c>
      <c r="P2794" s="1" t="s">
        <v>2391</v>
      </c>
      <c r="Q2794" s="3">
        <v>0</v>
      </c>
      <c r="R2794" s="22" t="s">
        <v>2724</v>
      </c>
      <c r="S2794" s="42" t="s">
        <v>6909</v>
      </c>
      <c r="T2794" s="3" t="s">
        <v>4868</v>
      </c>
      <c r="U2794" s="45">
        <v>35</v>
      </c>
      <c r="V2794" t="s">
        <v>8125</v>
      </c>
      <c r="W2794" s="1" t="str">
        <f>HYPERLINK("http://ictvonline.org/taxonomy/p/taxonomy-history?taxnode_id=201903277","ICTVonline=201903277")</f>
        <v>ICTVonline=201903277</v>
      </c>
    </row>
    <row r="2795" spans="1:23">
      <c r="A2795" s="3">
        <v>2794</v>
      </c>
      <c r="B2795" s="1" t="s">
        <v>8017</v>
      </c>
      <c r="D2795" s="1" t="s">
        <v>8049</v>
      </c>
      <c r="F2795" s="1" t="s">
        <v>8122</v>
      </c>
      <c r="H2795" s="1" t="s">
        <v>8143</v>
      </c>
      <c r="J2795" s="1" t="s">
        <v>8144</v>
      </c>
      <c r="L2795" s="1" t="s">
        <v>2078</v>
      </c>
      <c r="N2795" s="1" t="s">
        <v>2079</v>
      </c>
      <c r="P2795" s="1" t="s">
        <v>2392</v>
      </c>
      <c r="Q2795" s="3">
        <v>0</v>
      </c>
      <c r="R2795" s="22" t="s">
        <v>2724</v>
      </c>
      <c r="S2795" s="42" t="s">
        <v>6909</v>
      </c>
      <c r="T2795" s="3" t="s">
        <v>4868</v>
      </c>
      <c r="U2795" s="45">
        <v>35</v>
      </c>
      <c r="V2795" t="s">
        <v>8125</v>
      </c>
      <c r="W2795" s="1" t="str">
        <f>HYPERLINK("http://ictvonline.org/taxonomy/p/taxonomy-history?taxnode_id=201903278","ICTVonline=201903278")</f>
        <v>ICTVonline=201903278</v>
      </c>
    </row>
    <row r="2796" spans="1:23">
      <c r="A2796" s="3">
        <v>2795</v>
      </c>
      <c r="B2796" s="1" t="s">
        <v>8017</v>
      </c>
      <c r="D2796" s="1" t="s">
        <v>8049</v>
      </c>
      <c r="F2796" s="1" t="s">
        <v>8122</v>
      </c>
      <c r="H2796" s="1" t="s">
        <v>8143</v>
      </c>
      <c r="J2796" s="1" t="s">
        <v>8144</v>
      </c>
      <c r="L2796" s="1" t="s">
        <v>2078</v>
      </c>
      <c r="N2796" s="1" t="s">
        <v>2079</v>
      </c>
      <c r="P2796" s="1" t="s">
        <v>5361</v>
      </c>
      <c r="Q2796" s="3">
        <v>0</v>
      </c>
      <c r="R2796" s="22" t="s">
        <v>2724</v>
      </c>
      <c r="S2796" s="42" t="s">
        <v>6909</v>
      </c>
      <c r="T2796" s="3" t="s">
        <v>4868</v>
      </c>
      <c r="U2796" s="45">
        <v>35</v>
      </c>
      <c r="V2796" t="s">
        <v>8125</v>
      </c>
      <c r="W2796" s="1" t="str">
        <f>HYPERLINK("http://ictvonline.org/taxonomy/p/taxonomy-history?taxnode_id=201905810","ICTVonline=201905810")</f>
        <v>ICTVonline=201905810</v>
      </c>
    </row>
    <row r="2797" spans="1:23">
      <c r="A2797" s="3">
        <v>2796</v>
      </c>
      <c r="B2797" s="1" t="s">
        <v>8017</v>
      </c>
      <c r="D2797" s="1" t="s">
        <v>8049</v>
      </c>
      <c r="F2797" s="1" t="s">
        <v>8122</v>
      </c>
      <c r="H2797" s="1" t="s">
        <v>8143</v>
      </c>
      <c r="J2797" s="1" t="s">
        <v>8144</v>
      </c>
      <c r="L2797" s="1" t="s">
        <v>2078</v>
      </c>
      <c r="N2797" s="1" t="s">
        <v>2079</v>
      </c>
      <c r="P2797" s="1" t="s">
        <v>3743</v>
      </c>
      <c r="Q2797" s="3">
        <v>0</v>
      </c>
      <c r="R2797" s="22" t="s">
        <v>2724</v>
      </c>
      <c r="S2797" s="42" t="s">
        <v>6909</v>
      </c>
      <c r="T2797" s="3" t="s">
        <v>4868</v>
      </c>
      <c r="U2797" s="45">
        <v>35</v>
      </c>
      <c r="V2797" t="s">
        <v>8125</v>
      </c>
      <c r="W2797" s="1" t="str">
        <f>HYPERLINK("http://ictvonline.org/taxonomy/p/taxonomy-history?taxnode_id=201903279","ICTVonline=201903279")</f>
        <v>ICTVonline=201903279</v>
      </c>
    </row>
    <row r="2798" spans="1:23">
      <c r="A2798" s="3">
        <v>2797</v>
      </c>
      <c r="B2798" s="1" t="s">
        <v>8017</v>
      </c>
      <c r="D2798" s="1" t="s">
        <v>8049</v>
      </c>
      <c r="F2798" s="1" t="s">
        <v>8122</v>
      </c>
      <c r="H2798" s="1" t="s">
        <v>8143</v>
      </c>
      <c r="J2798" s="1" t="s">
        <v>8144</v>
      </c>
      <c r="L2798" s="1" t="s">
        <v>2078</v>
      </c>
      <c r="N2798" s="1" t="s">
        <v>2079</v>
      </c>
      <c r="P2798" s="1" t="s">
        <v>1708</v>
      </c>
      <c r="Q2798" s="3">
        <v>0</v>
      </c>
      <c r="R2798" s="22" t="s">
        <v>2724</v>
      </c>
      <c r="S2798" s="42" t="s">
        <v>6909</v>
      </c>
      <c r="T2798" s="3" t="s">
        <v>4868</v>
      </c>
      <c r="U2798" s="45">
        <v>35</v>
      </c>
      <c r="V2798" t="s">
        <v>8125</v>
      </c>
      <c r="W2798" s="1" t="str">
        <f>HYPERLINK("http://ictvonline.org/taxonomy/p/taxonomy-history?taxnode_id=201903280","ICTVonline=201903280")</f>
        <v>ICTVonline=201903280</v>
      </c>
    </row>
    <row r="2799" spans="1:23">
      <c r="A2799" s="3">
        <v>2798</v>
      </c>
      <c r="B2799" s="1" t="s">
        <v>8017</v>
      </c>
      <c r="D2799" s="1" t="s">
        <v>8049</v>
      </c>
      <c r="F2799" s="1" t="s">
        <v>8122</v>
      </c>
      <c r="H2799" s="1" t="s">
        <v>8143</v>
      </c>
      <c r="J2799" s="1" t="s">
        <v>8144</v>
      </c>
      <c r="L2799" s="1" t="s">
        <v>2078</v>
      </c>
      <c r="N2799" s="1" t="s">
        <v>2079</v>
      </c>
      <c r="P2799" s="1" t="s">
        <v>2393</v>
      </c>
      <c r="Q2799" s="3">
        <v>0</v>
      </c>
      <c r="R2799" s="22" t="s">
        <v>2724</v>
      </c>
      <c r="S2799" s="42" t="s">
        <v>6909</v>
      </c>
      <c r="T2799" s="3" t="s">
        <v>4868</v>
      </c>
      <c r="U2799" s="45">
        <v>35</v>
      </c>
      <c r="V2799" t="s">
        <v>8125</v>
      </c>
      <c r="W2799" s="1" t="str">
        <f>HYPERLINK("http://ictvonline.org/taxonomy/p/taxonomy-history?taxnode_id=201903281","ICTVonline=201903281")</f>
        <v>ICTVonline=201903281</v>
      </c>
    </row>
    <row r="2800" spans="1:23">
      <c r="A2800" s="3">
        <v>2799</v>
      </c>
      <c r="B2800" s="1" t="s">
        <v>8017</v>
      </c>
      <c r="D2800" s="1" t="s">
        <v>8049</v>
      </c>
      <c r="F2800" s="1" t="s">
        <v>8122</v>
      </c>
      <c r="H2800" s="1" t="s">
        <v>8143</v>
      </c>
      <c r="J2800" s="1" t="s">
        <v>8144</v>
      </c>
      <c r="L2800" s="1" t="s">
        <v>2078</v>
      </c>
      <c r="N2800" s="1" t="s">
        <v>2079</v>
      </c>
      <c r="P2800" s="1" t="s">
        <v>2394</v>
      </c>
      <c r="Q2800" s="3">
        <v>0</v>
      </c>
      <c r="R2800" s="22" t="s">
        <v>2724</v>
      </c>
      <c r="S2800" s="42" t="s">
        <v>6909</v>
      </c>
      <c r="T2800" s="3" t="s">
        <v>4868</v>
      </c>
      <c r="U2800" s="45">
        <v>35</v>
      </c>
      <c r="V2800" t="s">
        <v>8125</v>
      </c>
      <c r="W2800" s="1" t="str">
        <f>HYPERLINK("http://ictvonline.org/taxonomy/p/taxonomy-history?taxnode_id=201903282","ICTVonline=201903282")</f>
        <v>ICTVonline=201903282</v>
      </c>
    </row>
    <row r="2801" spans="1:23">
      <c r="A2801" s="3">
        <v>2800</v>
      </c>
      <c r="B2801" s="1" t="s">
        <v>8017</v>
      </c>
      <c r="D2801" s="1" t="s">
        <v>8049</v>
      </c>
      <c r="F2801" s="1" t="s">
        <v>8122</v>
      </c>
      <c r="H2801" s="1" t="s">
        <v>8143</v>
      </c>
      <c r="J2801" s="1" t="s">
        <v>8144</v>
      </c>
      <c r="L2801" s="1" t="s">
        <v>2078</v>
      </c>
      <c r="N2801" s="1" t="s">
        <v>2079</v>
      </c>
      <c r="P2801" s="1" t="s">
        <v>1709</v>
      </c>
      <c r="Q2801" s="3">
        <v>0</v>
      </c>
      <c r="R2801" s="22" t="s">
        <v>2724</v>
      </c>
      <c r="S2801" s="42" t="s">
        <v>6909</v>
      </c>
      <c r="T2801" s="3" t="s">
        <v>4868</v>
      </c>
      <c r="U2801" s="45">
        <v>35</v>
      </c>
      <c r="V2801" t="s">
        <v>8125</v>
      </c>
      <c r="W2801" s="1" t="str">
        <f>HYPERLINK("http://ictvonline.org/taxonomy/p/taxonomy-history?taxnode_id=201903283","ICTVonline=201903283")</f>
        <v>ICTVonline=201903283</v>
      </c>
    </row>
    <row r="2802" spans="1:23">
      <c r="A2802" s="3">
        <v>2801</v>
      </c>
      <c r="B2802" s="1" t="s">
        <v>8017</v>
      </c>
      <c r="D2802" s="1" t="s">
        <v>8049</v>
      </c>
      <c r="F2802" s="1" t="s">
        <v>8122</v>
      </c>
      <c r="H2802" s="1" t="s">
        <v>8143</v>
      </c>
      <c r="J2802" s="1" t="s">
        <v>8144</v>
      </c>
      <c r="L2802" s="1" t="s">
        <v>2078</v>
      </c>
      <c r="N2802" s="1" t="s">
        <v>2079</v>
      </c>
      <c r="P2802" s="1" t="s">
        <v>5362</v>
      </c>
      <c r="Q2802" s="3">
        <v>0</v>
      </c>
      <c r="R2802" s="22" t="s">
        <v>2724</v>
      </c>
      <c r="S2802" s="42" t="s">
        <v>6909</v>
      </c>
      <c r="T2802" s="3" t="s">
        <v>4868</v>
      </c>
      <c r="U2802" s="45">
        <v>35</v>
      </c>
      <c r="V2802" t="s">
        <v>8125</v>
      </c>
      <c r="W2802" s="1" t="str">
        <f>HYPERLINK("http://ictvonline.org/taxonomy/p/taxonomy-history?taxnode_id=201905811","ICTVonline=201905811")</f>
        <v>ICTVonline=201905811</v>
      </c>
    </row>
    <row r="2803" spans="1:23">
      <c r="A2803" s="3">
        <v>2802</v>
      </c>
      <c r="B2803" s="1" t="s">
        <v>8017</v>
      </c>
      <c r="D2803" s="1" t="s">
        <v>8049</v>
      </c>
      <c r="F2803" s="1" t="s">
        <v>8122</v>
      </c>
      <c r="H2803" s="1" t="s">
        <v>8143</v>
      </c>
      <c r="J2803" s="1" t="s">
        <v>8144</v>
      </c>
      <c r="L2803" s="1" t="s">
        <v>2078</v>
      </c>
      <c r="N2803" s="1" t="s">
        <v>2079</v>
      </c>
      <c r="P2803" s="1" t="s">
        <v>2395</v>
      </c>
      <c r="Q2803" s="3">
        <v>0</v>
      </c>
      <c r="R2803" s="22" t="s">
        <v>2724</v>
      </c>
      <c r="S2803" s="42" t="s">
        <v>6909</v>
      </c>
      <c r="T2803" s="3" t="s">
        <v>4868</v>
      </c>
      <c r="U2803" s="45">
        <v>35</v>
      </c>
      <c r="V2803" t="s">
        <v>8125</v>
      </c>
      <c r="W2803" s="1" t="str">
        <f>HYPERLINK("http://ictvonline.org/taxonomy/p/taxonomy-history?taxnode_id=201903284","ICTVonline=201903284")</f>
        <v>ICTVonline=201903284</v>
      </c>
    </row>
    <row r="2804" spans="1:23">
      <c r="A2804" s="3">
        <v>2803</v>
      </c>
      <c r="B2804" s="1" t="s">
        <v>8017</v>
      </c>
      <c r="D2804" s="1" t="s">
        <v>8049</v>
      </c>
      <c r="F2804" s="1" t="s">
        <v>8122</v>
      </c>
      <c r="H2804" s="1" t="s">
        <v>8143</v>
      </c>
      <c r="J2804" s="1" t="s">
        <v>8144</v>
      </c>
      <c r="L2804" s="1" t="s">
        <v>2078</v>
      </c>
      <c r="N2804" s="1" t="s">
        <v>2079</v>
      </c>
      <c r="P2804" s="1" t="s">
        <v>8153</v>
      </c>
      <c r="Q2804" s="3">
        <v>0</v>
      </c>
      <c r="R2804" s="22" t="s">
        <v>2724</v>
      </c>
      <c r="S2804" s="42" t="s">
        <v>6914</v>
      </c>
      <c r="T2804" s="3" t="s">
        <v>4866</v>
      </c>
      <c r="U2804" s="45">
        <v>35</v>
      </c>
      <c r="V2804" t="s">
        <v>8146</v>
      </c>
      <c r="W2804" s="1" t="str">
        <f>HYPERLINK("http://ictvonline.org/taxonomy/p/taxonomy-history?taxnode_id=201907525","ICTVonline=201907525")</f>
        <v>ICTVonline=201907525</v>
      </c>
    </row>
    <row r="2805" spans="1:23">
      <c r="A2805" s="3">
        <v>2804</v>
      </c>
      <c r="B2805" s="1" t="s">
        <v>8017</v>
      </c>
      <c r="D2805" s="1" t="s">
        <v>8049</v>
      </c>
      <c r="F2805" s="1" t="s">
        <v>8122</v>
      </c>
      <c r="H2805" s="1" t="s">
        <v>8143</v>
      </c>
      <c r="J2805" s="1" t="s">
        <v>8144</v>
      </c>
      <c r="L2805" s="1" t="s">
        <v>2078</v>
      </c>
      <c r="N2805" s="1" t="s">
        <v>2079</v>
      </c>
      <c r="P2805" s="1" t="s">
        <v>1702</v>
      </c>
      <c r="Q2805" s="3">
        <v>0</v>
      </c>
      <c r="R2805" s="22" t="s">
        <v>2724</v>
      </c>
      <c r="S2805" s="42" t="s">
        <v>6909</v>
      </c>
      <c r="T2805" s="3" t="s">
        <v>4868</v>
      </c>
      <c r="U2805" s="45">
        <v>35</v>
      </c>
      <c r="V2805" t="s">
        <v>8125</v>
      </c>
      <c r="W2805" s="1" t="str">
        <f>HYPERLINK("http://ictvonline.org/taxonomy/p/taxonomy-history?taxnode_id=201903285","ICTVonline=201903285")</f>
        <v>ICTVonline=201903285</v>
      </c>
    </row>
    <row r="2806" spans="1:23">
      <c r="A2806" s="3">
        <v>2805</v>
      </c>
      <c r="B2806" s="1" t="s">
        <v>8017</v>
      </c>
      <c r="D2806" s="1" t="s">
        <v>8049</v>
      </c>
      <c r="F2806" s="1" t="s">
        <v>8122</v>
      </c>
      <c r="H2806" s="1" t="s">
        <v>8143</v>
      </c>
      <c r="J2806" s="1" t="s">
        <v>8144</v>
      </c>
      <c r="L2806" s="1" t="s">
        <v>2078</v>
      </c>
      <c r="N2806" s="1" t="s">
        <v>2079</v>
      </c>
      <c r="P2806" s="1" t="s">
        <v>1703</v>
      </c>
      <c r="Q2806" s="3">
        <v>0</v>
      </c>
      <c r="R2806" s="22" t="s">
        <v>2724</v>
      </c>
      <c r="S2806" s="42" t="s">
        <v>6909</v>
      </c>
      <c r="T2806" s="3" t="s">
        <v>4868</v>
      </c>
      <c r="U2806" s="45">
        <v>35</v>
      </c>
      <c r="V2806" t="s">
        <v>8125</v>
      </c>
      <c r="W2806" s="1" t="str">
        <f>HYPERLINK("http://ictvonline.org/taxonomy/p/taxonomy-history?taxnode_id=201903286","ICTVonline=201903286")</f>
        <v>ICTVonline=201903286</v>
      </c>
    </row>
    <row r="2807" spans="1:23">
      <c r="A2807" s="3">
        <v>2806</v>
      </c>
      <c r="B2807" s="1" t="s">
        <v>8017</v>
      </c>
      <c r="D2807" s="1" t="s">
        <v>8049</v>
      </c>
      <c r="F2807" s="1" t="s">
        <v>8122</v>
      </c>
      <c r="H2807" s="1" t="s">
        <v>8143</v>
      </c>
      <c r="J2807" s="1" t="s">
        <v>8144</v>
      </c>
      <c r="L2807" s="1" t="s">
        <v>2078</v>
      </c>
      <c r="N2807" s="1" t="s">
        <v>2079</v>
      </c>
      <c r="P2807" s="1" t="s">
        <v>5363</v>
      </c>
      <c r="Q2807" s="3">
        <v>0</v>
      </c>
      <c r="R2807" s="22" t="s">
        <v>2724</v>
      </c>
      <c r="S2807" s="42" t="s">
        <v>6909</v>
      </c>
      <c r="T2807" s="3" t="s">
        <v>4868</v>
      </c>
      <c r="U2807" s="45">
        <v>35</v>
      </c>
      <c r="V2807" t="s">
        <v>8125</v>
      </c>
      <c r="W2807" s="1" t="str">
        <f>HYPERLINK("http://ictvonline.org/taxonomy/p/taxonomy-history?taxnode_id=201905812","ICTVonline=201905812")</f>
        <v>ICTVonline=201905812</v>
      </c>
    </row>
    <row r="2808" spans="1:23">
      <c r="A2808" s="3">
        <v>2807</v>
      </c>
      <c r="B2808" s="1" t="s">
        <v>8017</v>
      </c>
      <c r="D2808" s="1" t="s">
        <v>8049</v>
      </c>
      <c r="F2808" s="1" t="s">
        <v>8122</v>
      </c>
      <c r="H2808" s="1" t="s">
        <v>8143</v>
      </c>
      <c r="J2808" s="1" t="s">
        <v>8144</v>
      </c>
      <c r="L2808" s="1" t="s">
        <v>2078</v>
      </c>
      <c r="N2808" s="1" t="s">
        <v>2079</v>
      </c>
      <c r="P2808" s="1" t="s">
        <v>5364</v>
      </c>
      <c r="Q2808" s="3">
        <v>0</v>
      </c>
      <c r="R2808" s="22" t="s">
        <v>2724</v>
      </c>
      <c r="S2808" s="42" t="s">
        <v>6909</v>
      </c>
      <c r="T2808" s="3" t="s">
        <v>4868</v>
      </c>
      <c r="U2808" s="45">
        <v>35</v>
      </c>
      <c r="V2808" t="s">
        <v>8125</v>
      </c>
      <c r="W2808" s="1" t="str">
        <f>HYPERLINK("http://ictvonline.org/taxonomy/p/taxonomy-history?taxnode_id=201905813","ICTVonline=201905813")</f>
        <v>ICTVonline=201905813</v>
      </c>
    </row>
    <row r="2809" spans="1:23">
      <c r="A2809" s="3">
        <v>2808</v>
      </c>
      <c r="B2809" s="1" t="s">
        <v>8017</v>
      </c>
      <c r="D2809" s="1" t="s">
        <v>8049</v>
      </c>
      <c r="F2809" s="1" t="s">
        <v>8122</v>
      </c>
      <c r="H2809" s="1" t="s">
        <v>8143</v>
      </c>
      <c r="J2809" s="1" t="s">
        <v>8144</v>
      </c>
      <c r="L2809" s="1" t="s">
        <v>2078</v>
      </c>
      <c r="N2809" s="1" t="s">
        <v>2079</v>
      </c>
      <c r="P2809" s="1" t="s">
        <v>1704</v>
      </c>
      <c r="Q2809" s="3">
        <v>0</v>
      </c>
      <c r="R2809" s="22" t="s">
        <v>2724</v>
      </c>
      <c r="S2809" s="42" t="s">
        <v>6909</v>
      </c>
      <c r="T2809" s="3" t="s">
        <v>4868</v>
      </c>
      <c r="U2809" s="45">
        <v>35</v>
      </c>
      <c r="V2809" t="s">
        <v>8125</v>
      </c>
      <c r="W2809" s="1" t="str">
        <f>HYPERLINK("http://ictvonline.org/taxonomy/p/taxonomy-history?taxnode_id=201903287","ICTVonline=201903287")</f>
        <v>ICTVonline=201903287</v>
      </c>
    </row>
    <row r="2810" spans="1:23">
      <c r="A2810" s="3">
        <v>2809</v>
      </c>
      <c r="B2810" s="1" t="s">
        <v>8017</v>
      </c>
      <c r="D2810" s="1" t="s">
        <v>8049</v>
      </c>
      <c r="F2810" s="1" t="s">
        <v>8122</v>
      </c>
      <c r="H2810" s="1" t="s">
        <v>8143</v>
      </c>
      <c r="J2810" s="1" t="s">
        <v>8144</v>
      </c>
      <c r="L2810" s="1" t="s">
        <v>2078</v>
      </c>
      <c r="N2810" s="1" t="s">
        <v>2079</v>
      </c>
      <c r="P2810" s="1" t="s">
        <v>2396</v>
      </c>
      <c r="Q2810" s="3">
        <v>0</v>
      </c>
      <c r="R2810" s="22" t="s">
        <v>2724</v>
      </c>
      <c r="S2810" s="42" t="s">
        <v>6909</v>
      </c>
      <c r="T2810" s="3" t="s">
        <v>4868</v>
      </c>
      <c r="U2810" s="45">
        <v>35</v>
      </c>
      <c r="V2810" t="s">
        <v>8125</v>
      </c>
      <c r="W2810" s="1" t="str">
        <f>HYPERLINK("http://ictvonline.org/taxonomy/p/taxonomy-history?taxnode_id=201903288","ICTVonline=201903288")</f>
        <v>ICTVonline=201903288</v>
      </c>
    </row>
    <row r="2811" spans="1:23">
      <c r="A2811" s="3">
        <v>2810</v>
      </c>
      <c r="B2811" s="1" t="s">
        <v>8017</v>
      </c>
      <c r="D2811" s="1" t="s">
        <v>8049</v>
      </c>
      <c r="F2811" s="1" t="s">
        <v>8122</v>
      </c>
      <c r="H2811" s="1" t="s">
        <v>8143</v>
      </c>
      <c r="J2811" s="1" t="s">
        <v>8144</v>
      </c>
      <c r="L2811" s="1" t="s">
        <v>2078</v>
      </c>
      <c r="N2811" s="1" t="s">
        <v>2079</v>
      </c>
      <c r="P2811" s="1" t="s">
        <v>8154</v>
      </c>
      <c r="Q2811" s="3">
        <v>0</v>
      </c>
      <c r="R2811" s="22" t="s">
        <v>2724</v>
      </c>
      <c r="S2811" s="42" t="s">
        <v>6914</v>
      </c>
      <c r="T2811" s="3" t="s">
        <v>4866</v>
      </c>
      <c r="U2811" s="45">
        <v>35</v>
      </c>
      <c r="V2811" t="s">
        <v>8146</v>
      </c>
      <c r="W2811" s="1" t="str">
        <f>HYPERLINK("http://ictvonline.org/taxonomy/p/taxonomy-history?taxnode_id=201907526","ICTVonline=201907526")</f>
        <v>ICTVonline=201907526</v>
      </c>
    </row>
    <row r="2812" spans="1:23">
      <c r="A2812" s="3">
        <v>2811</v>
      </c>
      <c r="B2812" s="1" t="s">
        <v>8017</v>
      </c>
      <c r="D2812" s="1" t="s">
        <v>8049</v>
      </c>
      <c r="F2812" s="1" t="s">
        <v>8122</v>
      </c>
      <c r="H2812" s="1" t="s">
        <v>8143</v>
      </c>
      <c r="J2812" s="1" t="s">
        <v>8144</v>
      </c>
      <c r="L2812" s="1" t="s">
        <v>2078</v>
      </c>
      <c r="N2812" s="1" t="s">
        <v>2079</v>
      </c>
      <c r="P2812" s="1" t="s">
        <v>2397</v>
      </c>
      <c r="Q2812" s="3">
        <v>0</v>
      </c>
      <c r="R2812" s="22" t="s">
        <v>2724</v>
      </c>
      <c r="S2812" s="42" t="s">
        <v>6909</v>
      </c>
      <c r="T2812" s="3" t="s">
        <v>4868</v>
      </c>
      <c r="U2812" s="45">
        <v>35</v>
      </c>
      <c r="V2812" t="s">
        <v>8125</v>
      </c>
      <c r="W2812" s="1" t="str">
        <f>HYPERLINK("http://ictvonline.org/taxonomy/p/taxonomy-history?taxnode_id=201903289","ICTVonline=201903289")</f>
        <v>ICTVonline=201903289</v>
      </c>
    </row>
    <row r="2813" spans="1:23">
      <c r="A2813" s="3">
        <v>2812</v>
      </c>
      <c r="B2813" s="1" t="s">
        <v>8017</v>
      </c>
      <c r="D2813" s="1" t="s">
        <v>8049</v>
      </c>
      <c r="F2813" s="1" t="s">
        <v>8122</v>
      </c>
      <c r="H2813" s="1" t="s">
        <v>8143</v>
      </c>
      <c r="J2813" s="1" t="s">
        <v>8144</v>
      </c>
      <c r="L2813" s="1" t="s">
        <v>2078</v>
      </c>
      <c r="N2813" s="1" t="s">
        <v>2079</v>
      </c>
      <c r="P2813" s="1" t="s">
        <v>95</v>
      </c>
      <c r="Q2813" s="3">
        <v>0</v>
      </c>
      <c r="R2813" s="22" t="s">
        <v>2724</v>
      </c>
      <c r="S2813" s="42" t="s">
        <v>6909</v>
      </c>
      <c r="T2813" s="3" t="s">
        <v>4868</v>
      </c>
      <c r="U2813" s="45">
        <v>35</v>
      </c>
      <c r="V2813" t="s">
        <v>8125</v>
      </c>
      <c r="W2813" s="1" t="str">
        <f>HYPERLINK("http://ictvonline.org/taxonomy/p/taxonomy-history?taxnode_id=201903290","ICTVonline=201903290")</f>
        <v>ICTVonline=201903290</v>
      </c>
    </row>
    <row r="2814" spans="1:23">
      <c r="A2814" s="3">
        <v>2813</v>
      </c>
      <c r="B2814" s="1" t="s">
        <v>8017</v>
      </c>
      <c r="D2814" s="1" t="s">
        <v>8049</v>
      </c>
      <c r="F2814" s="1" t="s">
        <v>8122</v>
      </c>
      <c r="H2814" s="1" t="s">
        <v>8143</v>
      </c>
      <c r="J2814" s="1" t="s">
        <v>8144</v>
      </c>
      <c r="L2814" s="1" t="s">
        <v>2078</v>
      </c>
      <c r="N2814" s="1" t="s">
        <v>2079</v>
      </c>
      <c r="P2814" s="1" t="s">
        <v>3744</v>
      </c>
      <c r="Q2814" s="3">
        <v>0</v>
      </c>
      <c r="R2814" s="22" t="s">
        <v>2724</v>
      </c>
      <c r="S2814" s="42" t="s">
        <v>6909</v>
      </c>
      <c r="T2814" s="3" t="s">
        <v>4868</v>
      </c>
      <c r="U2814" s="45">
        <v>35</v>
      </c>
      <c r="V2814" t="s">
        <v>8125</v>
      </c>
      <c r="W2814" s="1" t="str">
        <f>HYPERLINK("http://ictvonline.org/taxonomy/p/taxonomy-history?taxnode_id=201903291","ICTVonline=201903291")</f>
        <v>ICTVonline=201903291</v>
      </c>
    </row>
    <row r="2815" spans="1:23">
      <c r="A2815" s="3">
        <v>2814</v>
      </c>
      <c r="B2815" s="1" t="s">
        <v>8017</v>
      </c>
      <c r="D2815" s="1" t="s">
        <v>8049</v>
      </c>
      <c r="F2815" s="1" t="s">
        <v>8122</v>
      </c>
      <c r="H2815" s="1" t="s">
        <v>8143</v>
      </c>
      <c r="J2815" s="1" t="s">
        <v>8144</v>
      </c>
      <c r="L2815" s="1" t="s">
        <v>2078</v>
      </c>
      <c r="N2815" s="1" t="s">
        <v>2079</v>
      </c>
      <c r="P2815" s="1" t="s">
        <v>333</v>
      </c>
      <c r="Q2815" s="3">
        <v>0</v>
      </c>
      <c r="R2815" s="22" t="s">
        <v>2724</v>
      </c>
      <c r="S2815" s="42" t="s">
        <v>6909</v>
      </c>
      <c r="T2815" s="3" t="s">
        <v>4868</v>
      </c>
      <c r="U2815" s="45">
        <v>35</v>
      </c>
      <c r="V2815" t="s">
        <v>8125</v>
      </c>
      <c r="W2815" s="1" t="str">
        <f>HYPERLINK("http://ictvonline.org/taxonomy/p/taxonomy-history?taxnode_id=201903293","ICTVonline=201903293")</f>
        <v>ICTVonline=201903293</v>
      </c>
    </row>
    <row r="2816" spans="1:23">
      <c r="A2816" s="3">
        <v>2815</v>
      </c>
      <c r="B2816" s="1" t="s">
        <v>8017</v>
      </c>
      <c r="D2816" s="1" t="s">
        <v>8049</v>
      </c>
      <c r="F2816" s="1" t="s">
        <v>8122</v>
      </c>
      <c r="H2816" s="1" t="s">
        <v>8143</v>
      </c>
      <c r="J2816" s="1" t="s">
        <v>8144</v>
      </c>
      <c r="L2816" s="1" t="s">
        <v>2078</v>
      </c>
      <c r="N2816" s="1" t="s">
        <v>2079</v>
      </c>
      <c r="P2816" s="1" t="s">
        <v>5365</v>
      </c>
      <c r="Q2816" s="3">
        <v>0</v>
      </c>
      <c r="R2816" s="22" t="s">
        <v>2724</v>
      </c>
      <c r="S2816" s="42" t="s">
        <v>6909</v>
      </c>
      <c r="T2816" s="3" t="s">
        <v>4868</v>
      </c>
      <c r="U2816" s="45">
        <v>35</v>
      </c>
      <c r="V2816" t="s">
        <v>8125</v>
      </c>
      <c r="W2816" s="1" t="str">
        <f>HYPERLINK("http://ictvonline.org/taxonomy/p/taxonomy-history?taxnode_id=201905814","ICTVonline=201905814")</f>
        <v>ICTVonline=201905814</v>
      </c>
    </row>
    <row r="2817" spans="1:23">
      <c r="A2817" s="3">
        <v>2816</v>
      </c>
      <c r="B2817" s="1" t="s">
        <v>8017</v>
      </c>
      <c r="D2817" s="1" t="s">
        <v>8049</v>
      </c>
      <c r="F2817" s="1" t="s">
        <v>8122</v>
      </c>
      <c r="H2817" s="1" t="s">
        <v>8143</v>
      </c>
      <c r="J2817" s="1" t="s">
        <v>8144</v>
      </c>
      <c r="L2817" s="1" t="s">
        <v>2078</v>
      </c>
      <c r="N2817" s="1" t="s">
        <v>2079</v>
      </c>
      <c r="P2817" s="1" t="s">
        <v>334</v>
      </c>
      <c r="Q2817" s="3">
        <v>0</v>
      </c>
      <c r="R2817" s="22" t="s">
        <v>2724</v>
      </c>
      <c r="S2817" s="42" t="s">
        <v>6909</v>
      </c>
      <c r="T2817" s="3" t="s">
        <v>4868</v>
      </c>
      <c r="U2817" s="45">
        <v>35</v>
      </c>
      <c r="V2817" t="s">
        <v>8125</v>
      </c>
      <c r="W2817" s="1" t="str">
        <f>HYPERLINK("http://ictvonline.org/taxonomy/p/taxonomy-history?taxnode_id=201903294","ICTVonline=201903294")</f>
        <v>ICTVonline=201903294</v>
      </c>
    </row>
    <row r="2818" spans="1:23">
      <c r="A2818" s="3">
        <v>2817</v>
      </c>
      <c r="B2818" s="1" t="s">
        <v>8017</v>
      </c>
      <c r="D2818" s="1" t="s">
        <v>8049</v>
      </c>
      <c r="F2818" s="1" t="s">
        <v>8122</v>
      </c>
      <c r="H2818" s="1" t="s">
        <v>8143</v>
      </c>
      <c r="J2818" s="1" t="s">
        <v>8144</v>
      </c>
      <c r="L2818" s="1" t="s">
        <v>2078</v>
      </c>
      <c r="N2818" s="1" t="s">
        <v>2079</v>
      </c>
      <c r="P2818" s="1" t="s">
        <v>335</v>
      </c>
      <c r="Q2818" s="3">
        <v>0</v>
      </c>
      <c r="R2818" s="22" t="s">
        <v>2724</v>
      </c>
      <c r="S2818" s="42" t="s">
        <v>6909</v>
      </c>
      <c r="T2818" s="3" t="s">
        <v>4868</v>
      </c>
      <c r="U2818" s="45">
        <v>35</v>
      </c>
      <c r="V2818" t="s">
        <v>8125</v>
      </c>
      <c r="W2818" s="1" t="str">
        <f>HYPERLINK("http://ictvonline.org/taxonomy/p/taxonomy-history?taxnode_id=201903295","ICTVonline=201903295")</f>
        <v>ICTVonline=201903295</v>
      </c>
    </row>
    <row r="2819" spans="1:23">
      <c r="A2819" s="3">
        <v>2818</v>
      </c>
      <c r="B2819" s="1" t="s">
        <v>8017</v>
      </c>
      <c r="D2819" s="1" t="s">
        <v>8049</v>
      </c>
      <c r="F2819" s="1" t="s">
        <v>8122</v>
      </c>
      <c r="H2819" s="1" t="s">
        <v>8143</v>
      </c>
      <c r="J2819" s="1" t="s">
        <v>8144</v>
      </c>
      <c r="L2819" s="1" t="s">
        <v>2078</v>
      </c>
      <c r="N2819" s="1" t="s">
        <v>2079</v>
      </c>
      <c r="P2819" s="1" t="s">
        <v>2398</v>
      </c>
      <c r="Q2819" s="3">
        <v>0</v>
      </c>
      <c r="R2819" s="22" t="s">
        <v>2724</v>
      </c>
      <c r="S2819" s="42" t="s">
        <v>6909</v>
      </c>
      <c r="T2819" s="3" t="s">
        <v>4868</v>
      </c>
      <c r="U2819" s="45">
        <v>35</v>
      </c>
      <c r="V2819" t="s">
        <v>8125</v>
      </c>
      <c r="W2819" s="1" t="str">
        <f>HYPERLINK("http://ictvonline.org/taxonomy/p/taxonomy-history?taxnode_id=201903296","ICTVonline=201903296")</f>
        <v>ICTVonline=201903296</v>
      </c>
    </row>
    <row r="2820" spans="1:23">
      <c r="A2820" s="3">
        <v>2819</v>
      </c>
      <c r="B2820" s="1" t="s">
        <v>8017</v>
      </c>
      <c r="D2820" s="1" t="s">
        <v>8049</v>
      </c>
      <c r="F2820" s="1" t="s">
        <v>8122</v>
      </c>
      <c r="H2820" s="1" t="s">
        <v>8143</v>
      </c>
      <c r="J2820" s="1" t="s">
        <v>8144</v>
      </c>
      <c r="L2820" s="1" t="s">
        <v>2078</v>
      </c>
      <c r="N2820" s="1" t="s">
        <v>2079</v>
      </c>
      <c r="P2820" s="1" t="s">
        <v>5366</v>
      </c>
      <c r="Q2820" s="3">
        <v>0</v>
      </c>
      <c r="R2820" s="22" t="s">
        <v>2724</v>
      </c>
      <c r="S2820" s="42" t="s">
        <v>6909</v>
      </c>
      <c r="T2820" s="3" t="s">
        <v>4868</v>
      </c>
      <c r="U2820" s="45">
        <v>35</v>
      </c>
      <c r="V2820" t="s">
        <v>8125</v>
      </c>
      <c r="W2820" s="1" t="str">
        <f>HYPERLINK("http://ictvonline.org/taxonomy/p/taxonomy-history?taxnode_id=201905815","ICTVonline=201905815")</f>
        <v>ICTVonline=201905815</v>
      </c>
    </row>
    <row r="2821" spans="1:23">
      <c r="A2821" s="3">
        <v>2820</v>
      </c>
      <c r="B2821" s="1" t="s">
        <v>8017</v>
      </c>
      <c r="D2821" s="1" t="s">
        <v>8049</v>
      </c>
      <c r="F2821" s="1" t="s">
        <v>8122</v>
      </c>
      <c r="H2821" s="1" t="s">
        <v>8143</v>
      </c>
      <c r="J2821" s="1" t="s">
        <v>8144</v>
      </c>
      <c r="L2821" s="1" t="s">
        <v>2078</v>
      </c>
      <c r="N2821" s="1" t="s">
        <v>2079</v>
      </c>
      <c r="P2821" s="1" t="s">
        <v>2399</v>
      </c>
      <c r="Q2821" s="3">
        <v>0</v>
      </c>
      <c r="R2821" s="22" t="s">
        <v>2724</v>
      </c>
      <c r="S2821" s="42" t="s">
        <v>6909</v>
      </c>
      <c r="T2821" s="3" t="s">
        <v>4868</v>
      </c>
      <c r="U2821" s="45">
        <v>35</v>
      </c>
      <c r="V2821" t="s">
        <v>8125</v>
      </c>
      <c r="W2821" s="1" t="str">
        <f>HYPERLINK("http://ictvonline.org/taxonomy/p/taxonomy-history?taxnode_id=201903297","ICTVonline=201903297")</f>
        <v>ICTVonline=201903297</v>
      </c>
    </row>
    <row r="2822" spans="1:23">
      <c r="A2822" s="3">
        <v>2821</v>
      </c>
      <c r="B2822" s="1" t="s">
        <v>8017</v>
      </c>
      <c r="D2822" s="1" t="s">
        <v>8049</v>
      </c>
      <c r="F2822" s="1" t="s">
        <v>8122</v>
      </c>
      <c r="H2822" s="1" t="s">
        <v>8143</v>
      </c>
      <c r="J2822" s="1" t="s">
        <v>8144</v>
      </c>
      <c r="L2822" s="1" t="s">
        <v>2078</v>
      </c>
      <c r="N2822" s="1" t="s">
        <v>2079</v>
      </c>
      <c r="P2822" s="1" t="s">
        <v>336</v>
      </c>
      <c r="Q2822" s="3">
        <v>0</v>
      </c>
      <c r="R2822" s="22" t="s">
        <v>2724</v>
      </c>
      <c r="S2822" s="42" t="s">
        <v>6909</v>
      </c>
      <c r="T2822" s="3" t="s">
        <v>4868</v>
      </c>
      <c r="U2822" s="45">
        <v>35</v>
      </c>
      <c r="V2822" t="s">
        <v>8125</v>
      </c>
      <c r="W2822" s="1" t="str">
        <f>HYPERLINK("http://ictvonline.org/taxonomy/p/taxonomy-history?taxnode_id=201903298","ICTVonline=201903298")</f>
        <v>ICTVonline=201903298</v>
      </c>
    </row>
    <row r="2823" spans="1:23">
      <c r="A2823" s="3">
        <v>2822</v>
      </c>
      <c r="B2823" s="1" t="s">
        <v>8017</v>
      </c>
      <c r="D2823" s="1" t="s">
        <v>8049</v>
      </c>
      <c r="F2823" s="1" t="s">
        <v>8122</v>
      </c>
      <c r="H2823" s="1" t="s">
        <v>8143</v>
      </c>
      <c r="J2823" s="1" t="s">
        <v>8144</v>
      </c>
      <c r="L2823" s="1" t="s">
        <v>2078</v>
      </c>
      <c r="N2823" s="1" t="s">
        <v>2079</v>
      </c>
      <c r="P2823" s="1" t="s">
        <v>337</v>
      </c>
      <c r="Q2823" s="3">
        <v>0</v>
      </c>
      <c r="R2823" s="22" t="s">
        <v>2724</v>
      </c>
      <c r="S2823" s="42" t="s">
        <v>6909</v>
      </c>
      <c r="T2823" s="3" t="s">
        <v>4868</v>
      </c>
      <c r="U2823" s="45">
        <v>35</v>
      </c>
      <c r="V2823" t="s">
        <v>8125</v>
      </c>
      <c r="W2823" s="1" t="str">
        <f>HYPERLINK("http://ictvonline.org/taxonomy/p/taxonomy-history?taxnode_id=201903299","ICTVonline=201903299")</f>
        <v>ICTVonline=201903299</v>
      </c>
    </row>
    <row r="2824" spans="1:23">
      <c r="A2824" s="3">
        <v>2823</v>
      </c>
      <c r="B2824" s="1" t="s">
        <v>8017</v>
      </c>
      <c r="D2824" s="1" t="s">
        <v>8049</v>
      </c>
      <c r="F2824" s="1" t="s">
        <v>8122</v>
      </c>
      <c r="H2824" s="1" t="s">
        <v>8143</v>
      </c>
      <c r="J2824" s="1" t="s">
        <v>8144</v>
      </c>
      <c r="L2824" s="1" t="s">
        <v>2078</v>
      </c>
      <c r="N2824" s="1" t="s">
        <v>2079</v>
      </c>
      <c r="P2824" s="1" t="s">
        <v>5367</v>
      </c>
      <c r="Q2824" s="3">
        <v>0</v>
      </c>
      <c r="R2824" s="22" t="s">
        <v>2724</v>
      </c>
      <c r="S2824" s="42" t="s">
        <v>6909</v>
      </c>
      <c r="T2824" s="3" t="s">
        <v>4868</v>
      </c>
      <c r="U2824" s="45">
        <v>35</v>
      </c>
      <c r="V2824" t="s">
        <v>8125</v>
      </c>
      <c r="W2824" s="1" t="str">
        <f>HYPERLINK("http://ictvonline.org/taxonomy/p/taxonomy-history?taxnode_id=201905816","ICTVonline=201905816")</f>
        <v>ICTVonline=201905816</v>
      </c>
    </row>
    <row r="2825" spans="1:23">
      <c r="A2825" s="3">
        <v>2824</v>
      </c>
      <c r="B2825" s="1" t="s">
        <v>8017</v>
      </c>
      <c r="D2825" s="1" t="s">
        <v>8049</v>
      </c>
      <c r="F2825" s="1" t="s">
        <v>8122</v>
      </c>
      <c r="H2825" s="1" t="s">
        <v>8143</v>
      </c>
      <c r="J2825" s="1" t="s">
        <v>8144</v>
      </c>
      <c r="L2825" s="1" t="s">
        <v>2078</v>
      </c>
      <c r="N2825" s="1" t="s">
        <v>2079</v>
      </c>
      <c r="P2825" s="1" t="s">
        <v>2400</v>
      </c>
      <c r="Q2825" s="3">
        <v>0</v>
      </c>
      <c r="R2825" s="22" t="s">
        <v>2724</v>
      </c>
      <c r="S2825" s="42" t="s">
        <v>6909</v>
      </c>
      <c r="T2825" s="3" t="s">
        <v>4868</v>
      </c>
      <c r="U2825" s="45">
        <v>35</v>
      </c>
      <c r="V2825" t="s">
        <v>8125</v>
      </c>
      <c r="W2825" s="1" t="str">
        <f>HYPERLINK("http://ictvonline.org/taxonomy/p/taxonomy-history?taxnode_id=201903300","ICTVonline=201903300")</f>
        <v>ICTVonline=201903300</v>
      </c>
    </row>
    <row r="2826" spans="1:23">
      <c r="A2826" s="3">
        <v>2825</v>
      </c>
      <c r="B2826" s="1" t="s">
        <v>8017</v>
      </c>
      <c r="D2826" s="1" t="s">
        <v>8049</v>
      </c>
      <c r="F2826" s="1" t="s">
        <v>8122</v>
      </c>
      <c r="H2826" s="1" t="s">
        <v>8143</v>
      </c>
      <c r="J2826" s="1" t="s">
        <v>8144</v>
      </c>
      <c r="L2826" s="1" t="s">
        <v>2078</v>
      </c>
      <c r="N2826" s="1" t="s">
        <v>2079</v>
      </c>
      <c r="P2826" s="1" t="s">
        <v>338</v>
      </c>
      <c r="Q2826" s="3">
        <v>0</v>
      </c>
      <c r="R2826" s="22" t="s">
        <v>2724</v>
      </c>
      <c r="S2826" s="42" t="s">
        <v>6909</v>
      </c>
      <c r="T2826" s="3" t="s">
        <v>4868</v>
      </c>
      <c r="U2826" s="45">
        <v>35</v>
      </c>
      <c r="V2826" t="s">
        <v>8125</v>
      </c>
      <c r="W2826" s="1" t="str">
        <f>HYPERLINK("http://ictvonline.org/taxonomy/p/taxonomy-history?taxnode_id=201903301","ICTVonline=201903301")</f>
        <v>ICTVonline=201903301</v>
      </c>
    </row>
    <row r="2827" spans="1:23">
      <c r="A2827" s="3">
        <v>2826</v>
      </c>
      <c r="B2827" s="1" t="s">
        <v>8017</v>
      </c>
      <c r="D2827" s="1" t="s">
        <v>8049</v>
      </c>
      <c r="F2827" s="1" t="s">
        <v>8122</v>
      </c>
      <c r="H2827" s="1" t="s">
        <v>8143</v>
      </c>
      <c r="J2827" s="1" t="s">
        <v>8144</v>
      </c>
      <c r="L2827" s="1" t="s">
        <v>2078</v>
      </c>
      <c r="N2827" s="1" t="s">
        <v>2079</v>
      </c>
      <c r="P2827" s="1" t="s">
        <v>339</v>
      </c>
      <c r="Q2827" s="3">
        <v>0</v>
      </c>
      <c r="R2827" s="22" t="s">
        <v>2724</v>
      </c>
      <c r="S2827" s="42" t="s">
        <v>6909</v>
      </c>
      <c r="T2827" s="3" t="s">
        <v>4868</v>
      </c>
      <c r="U2827" s="45">
        <v>35</v>
      </c>
      <c r="V2827" t="s">
        <v>8125</v>
      </c>
      <c r="W2827" s="1" t="str">
        <f>HYPERLINK("http://ictvonline.org/taxonomy/p/taxonomy-history?taxnode_id=201903302","ICTVonline=201903302")</f>
        <v>ICTVonline=201903302</v>
      </c>
    </row>
    <row r="2828" spans="1:23">
      <c r="A2828" s="3">
        <v>2827</v>
      </c>
      <c r="B2828" s="1" t="s">
        <v>8017</v>
      </c>
      <c r="D2828" s="1" t="s">
        <v>8049</v>
      </c>
      <c r="F2828" s="1" t="s">
        <v>8122</v>
      </c>
      <c r="H2828" s="1" t="s">
        <v>8143</v>
      </c>
      <c r="J2828" s="1" t="s">
        <v>8144</v>
      </c>
      <c r="L2828" s="1" t="s">
        <v>2078</v>
      </c>
      <c r="N2828" s="1" t="s">
        <v>2079</v>
      </c>
      <c r="P2828" s="1" t="s">
        <v>340</v>
      </c>
      <c r="Q2828" s="3">
        <v>0</v>
      </c>
      <c r="R2828" s="22" t="s">
        <v>2724</v>
      </c>
      <c r="S2828" s="42" t="s">
        <v>6909</v>
      </c>
      <c r="T2828" s="3" t="s">
        <v>4868</v>
      </c>
      <c r="U2828" s="45">
        <v>35</v>
      </c>
      <c r="V2828" t="s">
        <v>8125</v>
      </c>
      <c r="W2828" s="1" t="str">
        <f>HYPERLINK("http://ictvonline.org/taxonomy/p/taxonomy-history?taxnode_id=201903303","ICTVonline=201903303")</f>
        <v>ICTVonline=201903303</v>
      </c>
    </row>
    <row r="2829" spans="1:23">
      <c r="A2829" s="3">
        <v>2828</v>
      </c>
      <c r="B2829" s="1" t="s">
        <v>8017</v>
      </c>
      <c r="D2829" s="1" t="s">
        <v>8049</v>
      </c>
      <c r="F2829" s="1" t="s">
        <v>8122</v>
      </c>
      <c r="H2829" s="1" t="s">
        <v>8143</v>
      </c>
      <c r="J2829" s="1" t="s">
        <v>8144</v>
      </c>
      <c r="L2829" s="1" t="s">
        <v>2078</v>
      </c>
      <c r="N2829" s="1" t="s">
        <v>2079</v>
      </c>
      <c r="P2829" s="1" t="s">
        <v>8155</v>
      </c>
      <c r="Q2829" s="3">
        <v>0</v>
      </c>
      <c r="R2829" s="22" t="s">
        <v>2724</v>
      </c>
      <c r="S2829" s="42" t="s">
        <v>6914</v>
      </c>
      <c r="T2829" s="3" t="s">
        <v>4866</v>
      </c>
      <c r="U2829" s="45">
        <v>35</v>
      </c>
      <c r="V2829" t="s">
        <v>8146</v>
      </c>
      <c r="W2829" s="1" t="str">
        <f>HYPERLINK("http://ictvonline.org/taxonomy/p/taxonomy-history?taxnode_id=201907527","ICTVonline=201907527")</f>
        <v>ICTVonline=201907527</v>
      </c>
    </row>
    <row r="2830" spans="1:23">
      <c r="A2830" s="3">
        <v>2829</v>
      </c>
      <c r="B2830" s="1" t="s">
        <v>8017</v>
      </c>
      <c r="D2830" s="1" t="s">
        <v>8049</v>
      </c>
      <c r="F2830" s="1" t="s">
        <v>8122</v>
      </c>
      <c r="H2830" s="1" t="s">
        <v>8143</v>
      </c>
      <c r="J2830" s="1" t="s">
        <v>8144</v>
      </c>
      <c r="L2830" s="1" t="s">
        <v>2078</v>
      </c>
      <c r="N2830" s="1" t="s">
        <v>2079</v>
      </c>
      <c r="P2830" s="1" t="s">
        <v>5368</v>
      </c>
      <c r="Q2830" s="3">
        <v>0</v>
      </c>
      <c r="R2830" s="22" t="s">
        <v>2724</v>
      </c>
      <c r="S2830" s="42" t="s">
        <v>6909</v>
      </c>
      <c r="T2830" s="3" t="s">
        <v>4868</v>
      </c>
      <c r="U2830" s="45">
        <v>35</v>
      </c>
      <c r="V2830" t="s">
        <v>8125</v>
      </c>
      <c r="W2830" s="1" t="str">
        <f>HYPERLINK("http://ictvonline.org/taxonomy/p/taxonomy-history?taxnode_id=201905817","ICTVonline=201905817")</f>
        <v>ICTVonline=201905817</v>
      </c>
    </row>
    <row r="2831" spans="1:23">
      <c r="A2831" s="3">
        <v>2830</v>
      </c>
      <c r="B2831" s="1" t="s">
        <v>8017</v>
      </c>
      <c r="D2831" s="1" t="s">
        <v>8049</v>
      </c>
      <c r="F2831" s="1" t="s">
        <v>8122</v>
      </c>
      <c r="H2831" s="1" t="s">
        <v>8143</v>
      </c>
      <c r="J2831" s="1" t="s">
        <v>8144</v>
      </c>
      <c r="L2831" s="1" t="s">
        <v>2078</v>
      </c>
      <c r="N2831" s="1" t="s">
        <v>2079</v>
      </c>
      <c r="P2831" s="1" t="s">
        <v>2401</v>
      </c>
      <c r="Q2831" s="3">
        <v>0</v>
      </c>
      <c r="R2831" s="22" t="s">
        <v>2724</v>
      </c>
      <c r="S2831" s="42" t="s">
        <v>6909</v>
      </c>
      <c r="T2831" s="3" t="s">
        <v>4868</v>
      </c>
      <c r="U2831" s="45">
        <v>35</v>
      </c>
      <c r="V2831" t="s">
        <v>8125</v>
      </c>
      <c r="W2831" s="1" t="str">
        <f>HYPERLINK("http://ictvonline.org/taxonomy/p/taxonomy-history?taxnode_id=201903304","ICTVonline=201903304")</f>
        <v>ICTVonline=201903304</v>
      </c>
    </row>
    <row r="2832" spans="1:23">
      <c r="A2832" s="3">
        <v>2831</v>
      </c>
      <c r="B2832" s="1" t="s">
        <v>8017</v>
      </c>
      <c r="D2832" s="1" t="s">
        <v>8049</v>
      </c>
      <c r="F2832" s="1" t="s">
        <v>8122</v>
      </c>
      <c r="H2832" s="1" t="s">
        <v>8143</v>
      </c>
      <c r="J2832" s="1" t="s">
        <v>8144</v>
      </c>
      <c r="L2832" s="1" t="s">
        <v>2078</v>
      </c>
      <c r="N2832" s="1" t="s">
        <v>2079</v>
      </c>
      <c r="P2832" s="1" t="s">
        <v>5369</v>
      </c>
      <c r="Q2832" s="3">
        <v>0</v>
      </c>
      <c r="R2832" s="22" t="s">
        <v>2724</v>
      </c>
      <c r="S2832" s="42" t="s">
        <v>6909</v>
      </c>
      <c r="T2832" s="3" t="s">
        <v>4868</v>
      </c>
      <c r="U2832" s="45">
        <v>35</v>
      </c>
      <c r="V2832" t="s">
        <v>8125</v>
      </c>
      <c r="W2832" s="1" t="str">
        <f>HYPERLINK("http://ictvonline.org/taxonomy/p/taxonomy-history?taxnode_id=201905818","ICTVonline=201905818")</f>
        <v>ICTVonline=201905818</v>
      </c>
    </row>
    <row r="2833" spans="1:23">
      <c r="A2833" s="3">
        <v>2832</v>
      </c>
      <c r="B2833" s="1" t="s">
        <v>8017</v>
      </c>
      <c r="D2833" s="1" t="s">
        <v>8049</v>
      </c>
      <c r="F2833" s="1" t="s">
        <v>8122</v>
      </c>
      <c r="H2833" s="1" t="s">
        <v>8143</v>
      </c>
      <c r="J2833" s="1" t="s">
        <v>8144</v>
      </c>
      <c r="L2833" s="1" t="s">
        <v>2078</v>
      </c>
      <c r="N2833" s="1" t="s">
        <v>2079</v>
      </c>
      <c r="P2833" s="1" t="s">
        <v>5370</v>
      </c>
      <c r="Q2833" s="3">
        <v>0</v>
      </c>
      <c r="R2833" s="22" t="s">
        <v>2724</v>
      </c>
      <c r="S2833" s="42" t="s">
        <v>6909</v>
      </c>
      <c r="T2833" s="3" t="s">
        <v>4868</v>
      </c>
      <c r="U2833" s="45">
        <v>35</v>
      </c>
      <c r="V2833" t="s">
        <v>8125</v>
      </c>
      <c r="W2833" s="1" t="str">
        <f>HYPERLINK("http://ictvonline.org/taxonomy/p/taxonomy-history?taxnode_id=201905819","ICTVonline=201905819")</f>
        <v>ICTVonline=201905819</v>
      </c>
    </row>
    <row r="2834" spans="1:23">
      <c r="A2834" s="3">
        <v>2833</v>
      </c>
      <c r="B2834" s="1" t="s">
        <v>8017</v>
      </c>
      <c r="D2834" s="1" t="s">
        <v>8049</v>
      </c>
      <c r="F2834" s="1" t="s">
        <v>8122</v>
      </c>
      <c r="H2834" s="1" t="s">
        <v>8143</v>
      </c>
      <c r="J2834" s="1" t="s">
        <v>8144</v>
      </c>
      <c r="L2834" s="1" t="s">
        <v>2078</v>
      </c>
      <c r="N2834" s="1" t="s">
        <v>2079</v>
      </c>
      <c r="P2834" s="1" t="s">
        <v>5371</v>
      </c>
      <c r="Q2834" s="3">
        <v>0</v>
      </c>
      <c r="R2834" s="22" t="s">
        <v>2724</v>
      </c>
      <c r="S2834" s="42" t="s">
        <v>6909</v>
      </c>
      <c r="T2834" s="3" t="s">
        <v>4868</v>
      </c>
      <c r="U2834" s="45">
        <v>35</v>
      </c>
      <c r="V2834" t="s">
        <v>8125</v>
      </c>
      <c r="W2834" s="1" t="str">
        <f>HYPERLINK("http://ictvonline.org/taxonomy/p/taxonomy-history?taxnode_id=201905820","ICTVonline=201905820")</f>
        <v>ICTVonline=201905820</v>
      </c>
    </row>
    <row r="2835" spans="1:23">
      <c r="A2835" s="3">
        <v>2834</v>
      </c>
      <c r="B2835" s="1" t="s">
        <v>8017</v>
      </c>
      <c r="D2835" s="1" t="s">
        <v>8049</v>
      </c>
      <c r="F2835" s="1" t="s">
        <v>8122</v>
      </c>
      <c r="H2835" s="1" t="s">
        <v>8143</v>
      </c>
      <c r="J2835" s="1" t="s">
        <v>8144</v>
      </c>
      <c r="L2835" s="1" t="s">
        <v>2078</v>
      </c>
      <c r="N2835" s="1" t="s">
        <v>2079</v>
      </c>
      <c r="P2835" s="1" t="s">
        <v>5372</v>
      </c>
      <c r="Q2835" s="3">
        <v>0</v>
      </c>
      <c r="R2835" s="22" t="s">
        <v>2724</v>
      </c>
      <c r="S2835" s="42" t="s">
        <v>6909</v>
      </c>
      <c r="T2835" s="3" t="s">
        <v>4868</v>
      </c>
      <c r="U2835" s="45">
        <v>35</v>
      </c>
      <c r="V2835" t="s">
        <v>8125</v>
      </c>
      <c r="W2835" s="1" t="str">
        <f>HYPERLINK("http://ictvonline.org/taxonomy/p/taxonomy-history?taxnode_id=201903305","ICTVonline=201903305")</f>
        <v>ICTVonline=201903305</v>
      </c>
    </row>
    <row r="2836" spans="1:23">
      <c r="A2836" s="3">
        <v>2835</v>
      </c>
      <c r="B2836" s="1" t="s">
        <v>8017</v>
      </c>
      <c r="D2836" s="1" t="s">
        <v>8049</v>
      </c>
      <c r="F2836" s="1" t="s">
        <v>8122</v>
      </c>
      <c r="H2836" s="1" t="s">
        <v>8143</v>
      </c>
      <c r="J2836" s="1" t="s">
        <v>8144</v>
      </c>
      <c r="L2836" s="1" t="s">
        <v>2078</v>
      </c>
      <c r="N2836" s="1" t="s">
        <v>2079</v>
      </c>
      <c r="P2836" s="1" t="s">
        <v>341</v>
      </c>
      <c r="Q2836" s="3">
        <v>0</v>
      </c>
      <c r="R2836" s="22" t="s">
        <v>2724</v>
      </c>
      <c r="S2836" s="42" t="s">
        <v>6909</v>
      </c>
      <c r="T2836" s="3" t="s">
        <v>4868</v>
      </c>
      <c r="U2836" s="45">
        <v>35</v>
      </c>
      <c r="V2836" t="s">
        <v>8125</v>
      </c>
      <c r="W2836" s="1" t="str">
        <f>HYPERLINK("http://ictvonline.org/taxonomy/p/taxonomy-history?taxnode_id=201903306","ICTVonline=201903306")</f>
        <v>ICTVonline=201903306</v>
      </c>
    </row>
    <row r="2837" spans="1:23">
      <c r="A2837" s="3">
        <v>2836</v>
      </c>
      <c r="B2837" s="1" t="s">
        <v>8017</v>
      </c>
      <c r="D2837" s="1" t="s">
        <v>8049</v>
      </c>
      <c r="F2837" s="1" t="s">
        <v>8122</v>
      </c>
      <c r="H2837" s="1" t="s">
        <v>8143</v>
      </c>
      <c r="J2837" s="1" t="s">
        <v>8144</v>
      </c>
      <c r="L2837" s="1" t="s">
        <v>2078</v>
      </c>
      <c r="N2837" s="1" t="s">
        <v>2079</v>
      </c>
      <c r="P2837" s="1" t="s">
        <v>342</v>
      </c>
      <c r="Q2837" s="3">
        <v>0</v>
      </c>
      <c r="R2837" s="22" t="s">
        <v>2724</v>
      </c>
      <c r="S2837" s="42" t="s">
        <v>6909</v>
      </c>
      <c r="T2837" s="3" t="s">
        <v>4868</v>
      </c>
      <c r="U2837" s="45">
        <v>35</v>
      </c>
      <c r="V2837" t="s">
        <v>8125</v>
      </c>
      <c r="W2837" s="1" t="str">
        <f>HYPERLINK("http://ictvonline.org/taxonomy/p/taxonomy-history?taxnode_id=201903307","ICTVonline=201903307")</f>
        <v>ICTVonline=201903307</v>
      </c>
    </row>
    <row r="2838" spans="1:23">
      <c r="A2838" s="3">
        <v>2837</v>
      </c>
      <c r="B2838" s="1" t="s">
        <v>8017</v>
      </c>
      <c r="D2838" s="1" t="s">
        <v>8049</v>
      </c>
      <c r="F2838" s="1" t="s">
        <v>8122</v>
      </c>
      <c r="H2838" s="1" t="s">
        <v>8143</v>
      </c>
      <c r="J2838" s="1" t="s">
        <v>8144</v>
      </c>
      <c r="L2838" s="1" t="s">
        <v>2078</v>
      </c>
      <c r="N2838" s="1" t="s">
        <v>2079</v>
      </c>
      <c r="P2838" s="1" t="s">
        <v>1437</v>
      </c>
      <c r="Q2838" s="3">
        <v>0</v>
      </c>
      <c r="R2838" s="22" t="s">
        <v>2724</v>
      </c>
      <c r="S2838" s="42" t="s">
        <v>6909</v>
      </c>
      <c r="T2838" s="3" t="s">
        <v>4868</v>
      </c>
      <c r="U2838" s="45">
        <v>35</v>
      </c>
      <c r="V2838" t="s">
        <v>8125</v>
      </c>
      <c r="W2838" s="1" t="str">
        <f>HYPERLINK("http://ictvonline.org/taxonomy/p/taxonomy-history?taxnode_id=201903308","ICTVonline=201903308")</f>
        <v>ICTVonline=201903308</v>
      </c>
    </row>
    <row r="2839" spans="1:23">
      <c r="A2839" s="3">
        <v>2838</v>
      </c>
      <c r="B2839" s="1" t="s">
        <v>8017</v>
      </c>
      <c r="D2839" s="1" t="s">
        <v>8049</v>
      </c>
      <c r="F2839" s="1" t="s">
        <v>8122</v>
      </c>
      <c r="H2839" s="1" t="s">
        <v>8143</v>
      </c>
      <c r="J2839" s="1" t="s">
        <v>8144</v>
      </c>
      <c r="L2839" s="1" t="s">
        <v>2078</v>
      </c>
      <c r="N2839" s="1" t="s">
        <v>2079</v>
      </c>
      <c r="P2839" s="1" t="s">
        <v>450</v>
      </c>
      <c r="Q2839" s="3">
        <v>0</v>
      </c>
      <c r="R2839" s="22" t="s">
        <v>2724</v>
      </c>
      <c r="S2839" s="42" t="s">
        <v>6909</v>
      </c>
      <c r="T2839" s="3" t="s">
        <v>4868</v>
      </c>
      <c r="U2839" s="45">
        <v>35</v>
      </c>
      <c r="V2839" t="s">
        <v>8125</v>
      </c>
      <c r="W2839" s="1" t="str">
        <f>HYPERLINK("http://ictvonline.org/taxonomy/p/taxonomy-history?taxnode_id=201903309","ICTVonline=201903309")</f>
        <v>ICTVonline=201903309</v>
      </c>
    </row>
    <row r="2840" spans="1:23">
      <c r="A2840" s="3">
        <v>2839</v>
      </c>
      <c r="B2840" s="1" t="s">
        <v>8017</v>
      </c>
      <c r="D2840" s="1" t="s">
        <v>8049</v>
      </c>
      <c r="F2840" s="1" t="s">
        <v>8122</v>
      </c>
      <c r="H2840" s="1" t="s">
        <v>8143</v>
      </c>
      <c r="J2840" s="1" t="s">
        <v>8144</v>
      </c>
      <c r="L2840" s="1" t="s">
        <v>2078</v>
      </c>
      <c r="N2840" s="1" t="s">
        <v>2079</v>
      </c>
      <c r="P2840" s="1" t="s">
        <v>451</v>
      </c>
      <c r="Q2840" s="3">
        <v>0</v>
      </c>
      <c r="R2840" s="22" t="s">
        <v>2724</v>
      </c>
      <c r="S2840" s="42" t="s">
        <v>6909</v>
      </c>
      <c r="T2840" s="3" t="s">
        <v>4868</v>
      </c>
      <c r="U2840" s="45">
        <v>35</v>
      </c>
      <c r="V2840" t="s">
        <v>8125</v>
      </c>
      <c r="W2840" s="1" t="str">
        <f>HYPERLINK("http://ictvonline.org/taxonomy/p/taxonomy-history?taxnode_id=201903310","ICTVonline=201903310")</f>
        <v>ICTVonline=201903310</v>
      </c>
    </row>
    <row r="2841" spans="1:23">
      <c r="A2841" s="3">
        <v>2840</v>
      </c>
      <c r="B2841" s="1" t="s">
        <v>8017</v>
      </c>
      <c r="D2841" s="1" t="s">
        <v>8049</v>
      </c>
      <c r="F2841" s="1" t="s">
        <v>8122</v>
      </c>
      <c r="H2841" s="1" t="s">
        <v>8143</v>
      </c>
      <c r="J2841" s="1" t="s">
        <v>8144</v>
      </c>
      <c r="L2841" s="1" t="s">
        <v>2078</v>
      </c>
      <c r="N2841" s="1" t="s">
        <v>2079</v>
      </c>
      <c r="P2841" s="1" t="s">
        <v>2402</v>
      </c>
      <c r="Q2841" s="3">
        <v>0</v>
      </c>
      <c r="R2841" s="22" t="s">
        <v>2724</v>
      </c>
      <c r="S2841" s="42" t="s">
        <v>6909</v>
      </c>
      <c r="T2841" s="3" t="s">
        <v>4868</v>
      </c>
      <c r="U2841" s="45">
        <v>35</v>
      </c>
      <c r="V2841" t="s">
        <v>8125</v>
      </c>
      <c r="W2841" s="1" t="str">
        <f>HYPERLINK("http://ictvonline.org/taxonomy/p/taxonomy-history?taxnode_id=201903311","ICTVonline=201903311")</f>
        <v>ICTVonline=201903311</v>
      </c>
    </row>
    <row r="2842" spans="1:23">
      <c r="A2842" s="3">
        <v>2841</v>
      </c>
      <c r="B2842" s="1" t="s">
        <v>8017</v>
      </c>
      <c r="D2842" s="1" t="s">
        <v>8049</v>
      </c>
      <c r="F2842" s="1" t="s">
        <v>8122</v>
      </c>
      <c r="H2842" s="1" t="s">
        <v>8143</v>
      </c>
      <c r="J2842" s="1" t="s">
        <v>8144</v>
      </c>
      <c r="L2842" s="1" t="s">
        <v>2078</v>
      </c>
      <c r="N2842" s="1" t="s">
        <v>2079</v>
      </c>
      <c r="P2842" s="1" t="s">
        <v>6850</v>
      </c>
      <c r="Q2842" s="3">
        <v>0</v>
      </c>
      <c r="R2842" s="22" t="s">
        <v>2724</v>
      </c>
      <c r="S2842" s="42" t="s">
        <v>6909</v>
      </c>
      <c r="T2842" s="3" t="s">
        <v>4868</v>
      </c>
      <c r="U2842" s="45">
        <v>35</v>
      </c>
      <c r="V2842" t="s">
        <v>8125</v>
      </c>
      <c r="W2842" s="1" t="str">
        <f>HYPERLINK("http://ictvonline.org/taxonomy/p/taxonomy-history?taxnode_id=201906705","ICTVonline=201906705")</f>
        <v>ICTVonline=201906705</v>
      </c>
    </row>
    <row r="2843" spans="1:23">
      <c r="A2843" s="3">
        <v>2842</v>
      </c>
      <c r="B2843" s="1" t="s">
        <v>8017</v>
      </c>
      <c r="D2843" s="1" t="s">
        <v>8049</v>
      </c>
      <c r="F2843" s="1" t="s">
        <v>8122</v>
      </c>
      <c r="H2843" s="1" t="s">
        <v>8143</v>
      </c>
      <c r="J2843" s="1" t="s">
        <v>8144</v>
      </c>
      <c r="L2843" s="1" t="s">
        <v>2078</v>
      </c>
      <c r="N2843" s="1" t="s">
        <v>2079</v>
      </c>
      <c r="P2843" s="1" t="s">
        <v>8156</v>
      </c>
      <c r="Q2843" s="3">
        <v>0</v>
      </c>
      <c r="R2843" s="22" t="s">
        <v>2724</v>
      </c>
      <c r="S2843" s="42" t="s">
        <v>6914</v>
      </c>
      <c r="T2843" s="3" t="s">
        <v>4866</v>
      </c>
      <c r="U2843" s="45">
        <v>35</v>
      </c>
      <c r="V2843" t="s">
        <v>8146</v>
      </c>
      <c r="W2843" s="1" t="str">
        <f>HYPERLINK("http://ictvonline.org/taxonomy/p/taxonomy-history?taxnode_id=201907528","ICTVonline=201907528")</f>
        <v>ICTVonline=201907528</v>
      </c>
    </row>
    <row r="2844" spans="1:23">
      <c r="A2844" s="3">
        <v>2843</v>
      </c>
      <c r="B2844" s="1" t="s">
        <v>8017</v>
      </c>
      <c r="D2844" s="1" t="s">
        <v>8049</v>
      </c>
      <c r="F2844" s="1" t="s">
        <v>8122</v>
      </c>
      <c r="H2844" s="1" t="s">
        <v>8143</v>
      </c>
      <c r="J2844" s="1" t="s">
        <v>8144</v>
      </c>
      <c r="L2844" s="1" t="s">
        <v>2078</v>
      </c>
      <c r="N2844" s="1" t="s">
        <v>2079</v>
      </c>
      <c r="P2844" s="1" t="s">
        <v>1462</v>
      </c>
      <c r="Q2844" s="3">
        <v>0</v>
      </c>
      <c r="R2844" s="22" t="s">
        <v>2724</v>
      </c>
      <c r="S2844" s="42" t="s">
        <v>6909</v>
      </c>
      <c r="T2844" s="3" t="s">
        <v>4868</v>
      </c>
      <c r="U2844" s="45">
        <v>35</v>
      </c>
      <c r="V2844" t="s">
        <v>8125</v>
      </c>
      <c r="W2844" s="1" t="str">
        <f>HYPERLINK("http://ictvonline.org/taxonomy/p/taxonomy-history?taxnode_id=201903312","ICTVonline=201903312")</f>
        <v>ICTVonline=201903312</v>
      </c>
    </row>
    <row r="2845" spans="1:23">
      <c r="A2845" s="3">
        <v>2844</v>
      </c>
      <c r="B2845" s="1" t="s">
        <v>8017</v>
      </c>
      <c r="D2845" s="1" t="s">
        <v>8049</v>
      </c>
      <c r="F2845" s="1" t="s">
        <v>8122</v>
      </c>
      <c r="H2845" s="1" t="s">
        <v>8143</v>
      </c>
      <c r="J2845" s="1" t="s">
        <v>8144</v>
      </c>
      <c r="L2845" s="1" t="s">
        <v>2078</v>
      </c>
      <c r="N2845" s="1" t="s">
        <v>2079</v>
      </c>
      <c r="P2845" s="1" t="s">
        <v>6851</v>
      </c>
      <c r="Q2845" s="3">
        <v>0</v>
      </c>
      <c r="R2845" s="22" t="s">
        <v>2724</v>
      </c>
      <c r="S2845" s="42" t="s">
        <v>6909</v>
      </c>
      <c r="T2845" s="3" t="s">
        <v>4868</v>
      </c>
      <c r="U2845" s="45">
        <v>35</v>
      </c>
      <c r="V2845" t="s">
        <v>8125</v>
      </c>
      <c r="W2845" s="1" t="str">
        <f>HYPERLINK("http://ictvonline.org/taxonomy/p/taxonomy-history?taxnode_id=201906706","ICTVonline=201906706")</f>
        <v>ICTVonline=201906706</v>
      </c>
    </row>
    <row r="2846" spans="1:23">
      <c r="A2846" s="3">
        <v>2845</v>
      </c>
      <c r="B2846" s="1" t="s">
        <v>8017</v>
      </c>
      <c r="D2846" s="1" t="s">
        <v>8049</v>
      </c>
      <c r="F2846" s="1" t="s">
        <v>8122</v>
      </c>
      <c r="H2846" s="1" t="s">
        <v>8143</v>
      </c>
      <c r="J2846" s="1" t="s">
        <v>8144</v>
      </c>
      <c r="L2846" s="1" t="s">
        <v>2078</v>
      </c>
      <c r="N2846" s="1" t="s">
        <v>2079</v>
      </c>
      <c r="P2846" s="1" t="s">
        <v>5373</v>
      </c>
      <c r="Q2846" s="3">
        <v>0</v>
      </c>
      <c r="R2846" s="22" t="s">
        <v>2724</v>
      </c>
      <c r="S2846" s="42" t="s">
        <v>6909</v>
      </c>
      <c r="T2846" s="3" t="s">
        <v>4868</v>
      </c>
      <c r="U2846" s="45">
        <v>35</v>
      </c>
      <c r="V2846" t="s">
        <v>8125</v>
      </c>
      <c r="W2846" s="1" t="str">
        <f>HYPERLINK("http://ictvonline.org/taxonomy/p/taxonomy-history?taxnode_id=201905821","ICTVonline=201905821")</f>
        <v>ICTVonline=201905821</v>
      </c>
    </row>
    <row r="2847" spans="1:23">
      <c r="A2847" s="3">
        <v>2846</v>
      </c>
      <c r="B2847" s="1" t="s">
        <v>8017</v>
      </c>
      <c r="D2847" s="1" t="s">
        <v>8049</v>
      </c>
      <c r="F2847" s="1" t="s">
        <v>8122</v>
      </c>
      <c r="H2847" s="1" t="s">
        <v>8143</v>
      </c>
      <c r="J2847" s="1" t="s">
        <v>8144</v>
      </c>
      <c r="L2847" s="1" t="s">
        <v>2078</v>
      </c>
      <c r="N2847" s="1" t="s">
        <v>2079</v>
      </c>
      <c r="P2847" s="1" t="s">
        <v>3745</v>
      </c>
      <c r="Q2847" s="3">
        <v>0</v>
      </c>
      <c r="R2847" s="22" t="s">
        <v>2724</v>
      </c>
      <c r="S2847" s="42" t="s">
        <v>6909</v>
      </c>
      <c r="T2847" s="3" t="s">
        <v>4868</v>
      </c>
      <c r="U2847" s="45">
        <v>35</v>
      </c>
      <c r="V2847" t="s">
        <v>8125</v>
      </c>
      <c r="W2847" s="1" t="str">
        <f>HYPERLINK("http://ictvonline.org/taxonomy/p/taxonomy-history?taxnode_id=201903313","ICTVonline=201903313")</f>
        <v>ICTVonline=201903313</v>
      </c>
    </row>
    <row r="2848" spans="1:23">
      <c r="A2848" s="3">
        <v>2847</v>
      </c>
      <c r="B2848" s="1" t="s">
        <v>8017</v>
      </c>
      <c r="D2848" s="1" t="s">
        <v>8049</v>
      </c>
      <c r="F2848" s="1" t="s">
        <v>8122</v>
      </c>
      <c r="H2848" s="1" t="s">
        <v>8143</v>
      </c>
      <c r="J2848" s="1" t="s">
        <v>8144</v>
      </c>
      <c r="L2848" s="1" t="s">
        <v>2078</v>
      </c>
      <c r="N2848" s="1" t="s">
        <v>2079</v>
      </c>
      <c r="P2848" s="1" t="s">
        <v>1463</v>
      </c>
      <c r="Q2848" s="3">
        <v>0</v>
      </c>
      <c r="R2848" s="22" t="s">
        <v>2724</v>
      </c>
      <c r="S2848" s="42" t="s">
        <v>6909</v>
      </c>
      <c r="T2848" s="3" t="s">
        <v>4868</v>
      </c>
      <c r="U2848" s="45">
        <v>35</v>
      </c>
      <c r="V2848" t="s">
        <v>8125</v>
      </c>
      <c r="W2848" s="1" t="str">
        <f>HYPERLINK("http://ictvonline.org/taxonomy/p/taxonomy-history?taxnode_id=201903314","ICTVonline=201903314")</f>
        <v>ICTVonline=201903314</v>
      </c>
    </row>
    <row r="2849" spans="1:23">
      <c r="A2849" s="3">
        <v>2848</v>
      </c>
      <c r="B2849" s="1" t="s">
        <v>8017</v>
      </c>
      <c r="D2849" s="1" t="s">
        <v>8049</v>
      </c>
      <c r="F2849" s="1" t="s">
        <v>8122</v>
      </c>
      <c r="H2849" s="1" t="s">
        <v>8143</v>
      </c>
      <c r="J2849" s="1" t="s">
        <v>8144</v>
      </c>
      <c r="L2849" s="1" t="s">
        <v>2078</v>
      </c>
      <c r="N2849" s="1" t="s">
        <v>2079</v>
      </c>
      <c r="P2849" s="1" t="s">
        <v>1464</v>
      </c>
      <c r="Q2849" s="3">
        <v>0</v>
      </c>
      <c r="R2849" s="22" t="s">
        <v>2724</v>
      </c>
      <c r="S2849" s="42" t="s">
        <v>6909</v>
      </c>
      <c r="T2849" s="3" t="s">
        <v>4868</v>
      </c>
      <c r="U2849" s="45">
        <v>35</v>
      </c>
      <c r="V2849" t="s">
        <v>8125</v>
      </c>
      <c r="W2849" s="1" t="str">
        <f>HYPERLINK("http://ictvonline.org/taxonomy/p/taxonomy-history?taxnode_id=201903315","ICTVonline=201903315")</f>
        <v>ICTVonline=201903315</v>
      </c>
    </row>
    <row r="2850" spans="1:23">
      <c r="A2850" s="3">
        <v>2849</v>
      </c>
      <c r="B2850" s="1" t="s">
        <v>8017</v>
      </c>
      <c r="D2850" s="1" t="s">
        <v>8049</v>
      </c>
      <c r="F2850" s="1" t="s">
        <v>8122</v>
      </c>
      <c r="H2850" s="1" t="s">
        <v>8143</v>
      </c>
      <c r="J2850" s="1" t="s">
        <v>8144</v>
      </c>
      <c r="L2850" s="1" t="s">
        <v>2078</v>
      </c>
      <c r="N2850" s="1" t="s">
        <v>2079</v>
      </c>
      <c r="P2850" s="1" t="s">
        <v>1465</v>
      </c>
      <c r="Q2850" s="3">
        <v>0</v>
      </c>
      <c r="R2850" s="22" t="s">
        <v>2724</v>
      </c>
      <c r="S2850" s="42" t="s">
        <v>6909</v>
      </c>
      <c r="T2850" s="3" t="s">
        <v>4868</v>
      </c>
      <c r="U2850" s="45">
        <v>35</v>
      </c>
      <c r="V2850" t="s">
        <v>8125</v>
      </c>
      <c r="W2850" s="1" t="str">
        <f>HYPERLINK("http://ictvonline.org/taxonomy/p/taxonomy-history?taxnode_id=201903316","ICTVonline=201903316")</f>
        <v>ICTVonline=201903316</v>
      </c>
    </row>
    <row r="2851" spans="1:23">
      <c r="A2851" s="3">
        <v>2850</v>
      </c>
      <c r="B2851" s="1" t="s">
        <v>8017</v>
      </c>
      <c r="D2851" s="1" t="s">
        <v>8049</v>
      </c>
      <c r="F2851" s="1" t="s">
        <v>8122</v>
      </c>
      <c r="H2851" s="1" t="s">
        <v>8143</v>
      </c>
      <c r="J2851" s="1" t="s">
        <v>8144</v>
      </c>
      <c r="L2851" s="1" t="s">
        <v>2078</v>
      </c>
      <c r="N2851" s="1" t="s">
        <v>2079</v>
      </c>
      <c r="P2851" s="1" t="s">
        <v>3746</v>
      </c>
      <c r="Q2851" s="3">
        <v>0</v>
      </c>
      <c r="R2851" s="22" t="s">
        <v>2724</v>
      </c>
      <c r="S2851" s="42" t="s">
        <v>6909</v>
      </c>
      <c r="T2851" s="3" t="s">
        <v>4868</v>
      </c>
      <c r="U2851" s="45">
        <v>35</v>
      </c>
      <c r="V2851" t="s">
        <v>8125</v>
      </c>
      <c r="W2851" s="1" t="str">
        <f>HYPERLINK("http://ictvonline.org/taxonomy/p/taxonomy-history?taxnode_id=201903317","ICTVonline=201903317")</f>
        <v>ICTVonline=201903317</v>
      </c>
    </row>
    <row r="2852" spans="1:23">
      <c r="A2852" s="3">
        <v>2851</v>
      </c>
      <c r="B2852" s="1" t="s">
        <v>8017</v>
      </c>
      <c r="D2852" s="1" t="s">
        <v>8049</v>
      </c>
      <c r="F2852" s="1" t="s">
        <v>8122</v>
      </c>
      <c r="H2852" s="1" t="s">
        <v>8143</v>
      </c>
      <c r="J2852" s="1" t="s">
        <v>8144</v>
      </c>
      <c r="L2852" s="1" t="s">
        <v>2078</v>
      </c>
      <c r="N2852" s="1" t="s">
        <v>2079</v>
      </c>
      <c r="P2852" s="1" t="s">
        <v>3747</v>
      </c>
      <c r="Q2852" s="3">
        <v>0</v>
      </c>
      <c r="R2852" s="22" t="s">
        <v>2724</v>
      </c>
      <c r="S2852" s="42" t="s">
        <v>6909</v>
      </c>
      <c r="T2852" s="3" t="s">
        <v>4868</v>
      </c>
      <c r="U2852" s="45">
        <v>35</v>
      </c>
      <c r="V2852" t="s">
        <v>8125</v>
      </c>
      <c r="W2852" s="1" t="str">
        <f>HYPERLINK("http://ictvonline.org/taxonomy/p/taxonomy-history?taxnode_id=201903318","ICTVonline=201903318")</f>
        <v>ICTVonline=201903318</v>
      </c>
    </row>
    <row r="2853" spans="1:23">
      <c r="A2853" s="3">
        <v>2852</v>
      </c>
      <c r="B2853" s="1" t="s">
        <v>8017</v>
      </c>
      <c r="D2853" s="1" t="s">
        <v>8049</v>
      </c>
      <c r="F2853" s="1" t="s">
        <v>8122</v>
      </c>
      <c r="H2853" s="1" t="s">
        <v>8143</v>
      </c>
      <c r="J2853" s="1" t="s">
        <v>8144</v>
      </c>
      <c r="L2853" s="1" t="s">
        <v>2078</v>
      </c>
      <c r="N2853" s="1" t="s">
        <v>2079</v>
      </c>
      <c r="P2853" s="1" t="s">
        <v>6852</v>
      </c>
      <c r="Q2853" s="3">
        <v>0</v>
      </c>
      <c r="R2853" s="22" t="s">
        <v>2724</v>
      </c>
      <c r="S2853" s="42" t="s">
        <v>6909</v>
      </c>
      <c r="T2853" s="3" t="s">
        <v>4868</v>
      </c>
      <c r="U2853" s="45">
        <v>35</v>
      </c>
      <c r="V2853" t="s">
        <v>8125</v>
      </c>
      <c r="W2853" s="1" t="str">
        <f>HYPERLINK("http://ictvonline.org/taxonomy/p/taxonomy-history?taxnode_id=201906707","ICTVonline=201906707")</f>
        <v>ICTVonline=201906707</v>
      </c>
    </row>
    <row r="2854" spans="1:23">
      <c r="A2854" s="3">
        <v>2853</v>
      </c>
      <c r="B2854" s="1" t="s">
        <v>8017</v>
      </c>
      <c r="D2854" s="1" t="s">
        <v>8049</v>
      </c>
      <c r="F2854" s="1" t="s">
        <v>8122</v>
      </c>
      <c r="H2854" s="1" t="s">
        <v>8143</v>
      </c>
      <c r="J2854" s="1" t="s">
        <v>8144</v>
      </c>
      <c r="L2854" s="1" t="s">
        <v>2078</v>
      </c>
      <c r="N2854" s="1" t="s">
        <v>2079</v>
      </c>
      <c r="P2854" s="1" t="s">
        <v>3748</v>
      </c>
      <c r="Q2854" s="3">
        <v>0</v>
      </c>
      <c r="R2854" s="22" t="s">
        <v>2724</v>
      </c>
      <c r="S2854" s="42" t="s">
        <v>6909</v>
      </c>
      <c r="T2854" s="3" t="s">
        <v>4868</v>
      </c>
      <c r="U2854" s="45">
        <v>35</v>
      </c>
      <c r="V2854" t="s">
        <v>8125</v>
      </c>
      <c r="W2854" s="1" t="str">
        <f>HYPERLINK("http://ictvonline.org/taxonomy/p/taxonomy-history?taxnode_id=201903319","ICTVonline=201903319")</f>
        <v>ICTVonline=201903319</v>
      </c>
    </row>
    <row r="2855" spans="1:23">
      <c r="A2855" s="3">
        <v>2854</v>
      </c>
      <c r="B2855" s="1" t="s">
        <v>8017</v>
      </c>
      <c r="D2855" s="1" t="s">
        <v>8049</v>
      </c>
      <c r="F2855" s="1" t="s">
        <v>8122</v>
      </c>
      <c r="H2855" s="1" t="s">
        <v>8143</v>
      </c>
      <c r="J2855" s="1" t="s">
        <v>8144</v>
      </c>
      <c r="L2855" s="1" t="s">
        <v>2078</v>
      </c>
      <c r="N2855" s="1" t="s">
        <v>2079</v>
      </c>
      <c r="P2855" s="1" t="s">
        <v>1466</v>
      </c>
      <c r="Q2855" s="3">
        <v>0</v>
      </c>
      <c r="R2855" s="22" t="s">
        <v>2724</v>
      </c>
      <c r="S2855" s="42" t="s">
        <v>6909</v>
      </c>
      <c r="T2855" s="3" t="s">
        <v>4868</v>
      </c>
      <c r="U2855" s="45">
        <v>35</v>
      </c>
      <c r="V2855" t="s">
        <v>8125</v>
      </c>
      <c r="W2855" s="1" t="str">
        <f>HYPERLINK("http://ictvonline.org/taxonomy/p/taxonomy-history?taxnode_id=201903320","ICTVonline=201903320")</f>
        <v>ICTVonline=201903320</v>
      </c>
    </row>
    <row r="2856" spans="1:23">
      <c r="A2856" s="3">
        <v>2855</v>
      </c>
      <c r="B2856" s="1" t="s">
        <v>8017</v>
      </c>
      <c r="D2856" s="1" t="s">
        <v>8049</v>
      </c>
      <c r="F2856" s="1" t="s">
        <v>8122</v>
      </c>
      <c r="H2856" s="1" t="s">
        <v>8143</v>
      </c>
      <c r="J2856" s="1" t="s">
        <v>8144</v>
      </c>
      <c r="L2856" s="1" t="s">
        <v>2078</v>
      </c>
      <c r="N2856" s="1" t="s">
        <v>2079</v>
      </c>
      <c r="P2856" s="1" t="s">
        <v>1467</v>
      </c>
      <c r="Q2856" s="3">
        <v>0</v>
      </c>
      <c r="R2856" s="22" t="s">
        <v>2724</v>
      </c>
      <c r="S2856" s="42" t="s">
        <v>6909</v>
      </c>
      <c r="T2856" s="3" t="s">
        <v>4868</v>
      </c>
      <c r="U2856" s="45">
        <v>35</v>
      </c>
      <c r="V2856" t="s">
        <v>8125</v>
      </c>
      <c r="W2856" s="1" t="str">
        <f>HYPERLINK("http://ictvonline.org/taxonomy/p/taxonomy-history?taxnode_id=201903321","ICTVonline=201903321")</f>
        <v>ICTVonline=201903321</v>
      </c>
    </row>
    <row r="2857" spans="1:23">
      <c r="A2857" s="3">
        <v>2856</v>
      </c>
      <c r="B2857" s="1" t="s">
        <v>8017</v>
      </c>
      <c r="D2857" s="1" t="s">
        <v>8049</v>
      </c>
      <c r="F2857" s="1" t="s">
        <v>8122</v>
      </c>
      <c r="H2857" s="1" t="s">
        <v>8143</v>
      </c>
      <c r="J2857" s="1" t="s">
        <v>8144</v>
      </c>
      <c r="L2857" s="1" t="s">
        <v>2078</v>
      </c>
      <c r="N2857" s="1" t="s">
        <v>2079</v>
      </c>
      <c r="P2857" s="1" t="s">
        <v>5374</v>
      </c>
      <c r="Q2857" s="3">
        <v>0</v>
      </c>
      <c r="R2857" s="22" t="s">
        <v>2724</v>
      </c>
      <c r="S2857" s="42" t="s">
        <v>6909</v>
      </c>
      <c r="T2857" s="3" t="s">
        <v>4868</v>
      </c>
      <c r="U2857" s="45">
        <v>35</v>
      </c>
      <c r="V2857" t="s">
        <v>8125</v>
      </c>
      <c r="W2857" s="1" t="str">
        <f>HYPERLINK("http://ictvonline.org/taxonomy/p/taxonomy-history?taxnode_id=201905822","ICTVonline=201905822")</f>
        <v>ICTVonline=201905822</v>
      </c>
    </row>
    <row r="2858" spans="1:23">
      <c r="A2858" s="3">
        <v>2857</v>
      </c>
      <c r="B2858" s="1" t="s">
        <v>8017</v>
      </c>
      <c r="D2858" s="1" t="s">
        <v>8049</v>
      </c>
      <c r="F2858" s="1" t="s">
        <v>8122</v>
      </c>
      <c r="H2858" s="1" t="s">
        <v>8143</v>
      </c>
      <c r="J2858" s="1" t="s">
        <v>8144</v>
      </c>
      <c r="L2858" s="1" t="s">
        <v>2078</v>
      </c>
      <c r="N2858" s="1" t="s">
        <v>2079</v>
      </c>
      <c r="P2858" s="1" t="s">
        <v>2403</v>
      </c>
      <c r="Q2858" s="3">
        <v>0</v>
      </c>
      <c r="R2858" s="22" t="s">
        <v>2724</v>
      </c>
      <c r="S2858" s="42" t="s">
        <v>6909</v>
      </c>
      <c r="T2858" s="3" t="s">
        <v>4868</v>
      </c>
      <c r="U2858" s="45">
        <v>35</v>
      </c>
      <c r="V2858" t="s">
        <v>8125</v>
      </c>
      <c r="W2858" s="1" t="str">
        <f>HYPERLINK("http://ictvonline.org/taxonomy/p/taxonomy-history?taxnode_id=201903322","ICTVonline=201903322")</f>
        <v>ICTVonline=201903322</v>
      </c>
    </row>
    <row r="2859" spans="1:23">
      <c r="A2859" s="3">
        <v>2858</v>
      </c>
      <c r="B2859" s="1" t="s">
        <v>8017</v>
      </c>
      <c r="D2859" s="1" t="s">
        <v>8049</v>
      </c>
      <c r="F2859" s="1" t="s">
        <v>8122</v>
      </c>
      <c r="H2859" s="1" t="s">
        <v>8143</v>
      </c>
      <c r="J2859" s="1" t="s">
        <v>8144</v>
      </c>
      <c r="L2859" s="1" t="s">
        <v>2078</v>
      </c>
      <c r="N2859" s="1" t="s">
        <v>2079</v>
      </c>
      <c r="P2859" s="1" t="s">
        <v>1825</v>
      </c>
      <c r="Q2859" s="3">
        <v>0</v>
      </c>
      <c r="R2859" s="22" t="s">
        <v>2724</v>
      </c>
      <c r="S2859" s="42" t="s">
        <v>6909</v>
      </c>
      <c r="T2859" s="3" t="s">
        <v>4868</v>
      </c>
      <c r="U2859" s="45">
        <v>35</v>
      </c>
      <c r="V2859" t="s">
        <v>8125</v>
      </c>
      <c r="W2859" s="1" t="str">
        <f>HYPERLINK("http://ictvonline.org/taxonomy/p/taxonomy-history?taxnode_id=201903323","ICTVonline=201903323")</f>
        <v>ICTVonline=201903323</v>
      </c>
    </row>
    <row r="2860" spans="1:23">
      <c r="A2860" s="3">
        <v>2859</v>
      </c>
      <c r="B2860" s="1" t="s">
        <v>8017</v>
      </c>
      <c r="D2860" s="1" t="s">
        <v>8049</v>
      </c>
      <c r="F2860" s="1" t="s">
        <v>8122</v>
      </c>
      <c r="H2860" s="1" t="s">
        <v>8143</v>
      </c>
      <c r="J2860" s="1" t="s">
        <v>8144</v>
      </c>
      <c r="L2860" s="1" t="s">
        <v>2078</v>
      </c>
      <c r="N2860" s="1" t="s">
        <v>2079</v>
      </c>
      <c r="P2860" s="1" t="s">
        <v>1826</v>
      </c>
      <c r="Q2860" s="3">
        <v>0</v>
      </c>
      <c r="R2860" s="22" t="s">
        <v>2724</v>
      </c>
      <c r="S2860" s="42" t="s">
        <v>6909</v>
      </c>
      <c r="T2860" s="3" t="s">
        <v>4868</v>
      </c>
      <c r="U2860" s="45">
        <v>35</v>
      </c>
      <c r="V2860" t="s">
        <v>8125</v>
      </c>
      <c r="W2860" s="1" t="str">
        <f>HYPERLINK("http://ictvonline.org/taxonomy/p/taxonomy-history?taxnode_id=201903324","ICTVonline=201903324")</f>
        <v>ICTVonline=201903324</v>
      </c>
    </row>
    <row r="2861" spans="1:23">
      <c r="A2861" s="3">
        <v>2860</v>
      </c>
      <c r="B2861" s="1" t="s">
        <v>8017</v>
      </c>
      <c r="D2861" s="1" t="s">
        <v>8049</v>
      </c>
      <c r="F2861" s="1" t="s">
        <v>8122</v>
      </c>
      <c r="H2861" s="1" t="s">
        <v>8143</v>
      </c>
      <c r="J2861" s="1" t="s">
        <v>8144</v>
      </c>
      <c r="L2861" s="1" t="s">
        <v>2078</v>
      </c>
      <c r="N2861" s="1" t="s">
        <v>2079</v>
      </c>
      <c r="P2861" s="1" t="s">
        <v>2404</v>
      </c>
      <c r="Q2861" s="3">
        <v>0</v>
      </c>
      <c r="R2861" s="22" t="s">
        <v>2724</v>
      </c>
      <c r="S2861" s="42" t="s">
        <v>6909</v>
      </c>
      <c r="T2861" s="3" t="s">
        <v>4868</v>
      </c>
      <c r="U2861" s="45">
        <v>35</v>
      </c>
      <c r="V2861" t="s">
        <v>8125</v>
      </c>
      <c r="W2861" s="1" t="str">
        <f>HYPERLINK("http://ictvonline.org/taxonomy/p/taxonomy-history?taxnode_id=201903326","ICTVonline=201903326")</f>
        <v>ICTVonline=201903326</v>
      </c>
    </row>
    <row r="2862" spans="1:23">
      <c r="A2862" s="3">
        <v>2861</v>
      </c>
      <c r="B2862" s="1" t="s">
        <v>8017</v>
      </c>
      <c r="D2862" s="1" t="s">
        <v>8049</v>
      </c>
      <c r="F2862" s="1" t="s">
        <v>8122</v>
      </c>
      <c r="H2862" s="1" t="s">
        <v>8143</v>
      </c>
      <c r="J2862" s="1" t="s">
        <v>8144</v>
      </c>
      <c r="L2862" s="1" t="s">
        <v>2078</v>
      </c>
      <c r="N2862" s="1" t="s">
        <v>2079</v>
      </c>
      <c r="P2862" s="1" t="s">
        <v>2405</v>
      </c>
      <c r="Q2862" s="3">
        <v>0</v>
      </c>
      <c r="R2862" s="22" t="s">
        <v>2724</v>
      </c>
      <c r="S2862" s="42" t="s">
        <v>6909</v>
      </c>
      <c r="T2862" s="3" t="s">
        <v>4868</v>
      </c>
      <c r="U2862" s="45">
        <v>35</v>
      </c>
      <c r="V2862" t="s">
        <v>8125</v>
      </c>
      <c r="W2862" s="1" t="str">
        <f>HYPERLINK("http://ictvonline.org/taxonomy/p/taxonomy-history?taxnode_id=201903327","ICTVonline=201903327")</f>
        <v>ICTVonline=201903327</v>
      </c>
    </row>
    <row r="2863" spans="1:23">
      <c r="A2863" s="3">
        <v>2862</v>
      </c>
      <c r="B2863" s="1" t="s">
        <v>8017</v>
      </c>
      <c r="D2863" s="1" t="s">
        <v>8049</v>
      </c>
      <c r="F2863" s="1" t="s">
        <v>8122</v>
      </c>
      <c r="H2863" s="1" t="s">
        <v>8143</v>
      </c>
      <c r="J2863" s="1" t="s">
        <v>8144</v>
      </c>
      <c r="L2863" s="1" t="s">
        <v>2078</v>
      </c>
      <c r="N2863" s="1" t="s">
        <v>2079</v>
      </c>
      <c r="P2863" s="1" t="s">
        <v>3749</v>
      </c>
      <c r="Q2863" s="3">
        <v>0</v>
      </c>
      <c r="R2863" s="22" t="s">
        <v>2724</v>
      </c>
      <c r="S2863" s="42" t="s">
        <v>6909</v>
      </c>
      <c r="T2863" s="3" t="s">
        <v>4868</v>
      </c>
      <c r="U2863" s="45">
        <v>35</v>
      </c>
      <c r="V2863" t="s">
        <v>8125</v>
      </c>
      <c r="W2863" s="1" t="str">
        <f>HYPERLINK("http://ictvonline.org/taxonomy/p/taxonomy-history?taxnode_id=201903328","ICTVonline=201903328")</f>
        <v>ICTVonline=201903328</v>
      </c>
    </row>
    <row r="2864" spans="1:23">
      <c r="A2864" s="3">
        <v>2863</v>
      </c>
      <c r="B2864" s="1" t="s">
        <v>8017</v>
      </c>
      <c r="D2864" s="1" t="s">
        <v>8049</v>
      </c>
      <c r="F2864" s="1" t="s">
        <v>8122</v>
      </c>
      <c r="H2864" s="1" t="s">
        <v>8143</v>
      </c>
      <c r="J2864" s="1" t="s">
        <v>8144</v>
      </c>
      <c r="L2864" s="1" t="s">
        <v>2078</v>
      </c>
      <c r="N2864" s="1" t="s">
        <v>2079</v>
      </c>
      <c r="P2864" s="1" t="s">
        <v>2406</v>
      </c>
      <c r="Q2864" s="3">
        <v>0</v>
      </c>
      <c r="R2864" s="22" t="s">
        <v>2724</v>
      </c>
      <c r="S2864" s="42" t="s">
        <v>6909</v>
      </c>
      <c r="T2864" s="3" t="s">
        <v>4868</v>
      </c>
      <c r="U2864" s="45">
        <v>35</v>
      </c>
      <c r="V2864" t="s">
        <v>8125</v>
      </c>
      <c r="W2864" s="1" t="str">
        <f>HYPERLINK("http://ictvonline.org/taxonomy/p/taxonomy-history?taxnode_id=201903329","ICTVonline=201903329")</f>
        <v>ICTVonline=201903329</v>
      </c>
    </row>
    <row r="2865" spans="1:23">
      <c r="A2865" s="3">
        <v>2864</v>
      </c>
      <c r="B2865" s="1" t="s">
        <v>8017</v>
      </c>
      <c r="D2865" s="1" t="s">
        <v>8049</v>
      </c>
      <c r="F2865" s="1" t="s">
        <v>8122</v>
      </c>
      <c r="H2865" s="1" t="s">
        <v>8143</v>
      </c>
      <c r="J2865" s="1" t="s">
        <v>8144</v>
      </c>
      <c r="L2865" s="1" t="s">
        <v>2078</v>
      </c>
      <c r="N2865" s="1" t="s">
        <v>2079</v>
      </c>
      <c r="P2865" s="1" t="s">
        <v>2407</v>
      </c>
      <c r="Q2865" s="3">
        <v>0</v>
      </c>
      <c r="R2865" s="22" t="s">
        <v>2724</v>
      </c>
      <c r="S2865" s="42" t="s">
        <v>6909</v>
      </c>
      <c r="T2865" s="3" t="s">
        <v>4868</v>
      </c>
      <c r="U2865" s="45">
        <v>35</v>
      </c>
      <c r="V2865" t="s">
        <v>8125</v>
      </c>
      <c r="W2865" s="1" t="str">
        <f>HYPERLINK("http://ictvonline.org/taxonomy/p/taxonomy-history?taxnode_id=201903330","ICTVonline=201903330")</f>
        <v>ICTVonline=201903330</v>
      </c>
    </row>
    <row r="2866" spans="1:23">
      <c r="A2866" s="3">
        <v>2865</v>
      </c>
      <c r="B2866" s="1" t="s">
        <v>8017</v>
      </c>
      <c r="D2866" s="1" t="s">
        <v>8049</v>
      </c>
      <c r="F2866" s="1" t="s">
        <v>8122</v>
      </c>
      <c r="H2866" s="1" t="s">
        <v>8143</v>
      </c>
      <c r="J2866" s="1" t="s">
        <v>8144</v>
      </c>
      <c r="L2866" s="1" t="s">
        <v>2078</v>
      </c>
      <c r="N2866" s="1" t="s">
        <v>2079</v>
      </c>
      <c r="P2866" s="1" t="s">
        <v>3750</v>
      </c>
      <c r="Q2866" s="3">
        <v>0</v>
      </c>
      <c r="R2866" s="22" t="s">
        <v>2724</v>
      </c>
      <c r="S2866" s="42" t="s">
        <v>6909</v>
      </c>
      <c r="T2866" s="3" t="s">
        <v>4868</v>
      </c>
      <c r="U2866" s="45">
        <v>35</v>
      </c>
      <c r="V2866" t="s">
        <v>8125</v>
      </c>
      <c r="W2866" s="1" t="str">
        <f>HYPERLINK("http://ictvonline.org/taxonomy/p/taxonomy-history?taxnode_id=201903331","ICTVonline=201903331")</f>
        <v>ICTVonline=201903331</v>
      </c>
    </row>
    <row r="2867" spans="1:23">
      <c r="A2867" s="3">
        <v>2866</v>
      </c>
      <c r="B2867" s="1" t="s">
        <v>8017</v>
      </c>
      <c r="D2867" s="1" t="s">
        <v>8049</v>
      </c>
      <c r="F2867" s="1" t="s">
        <v>8122</v>
      </c>
      <c r="H2867" s="1" t="s">
        <v>8143</v>
      </c>
      <c r="J2867" s="1" t="s">
        <v>8144</v>
      </c>
      <c r="L2867" s="1" t="s">
        <v>2078</v>
      </c>
      <c r="N2867" s="1" t="s">
        <v>2079</v>
      </c>
      <c r="P2867" s="1" t="s">
        <v>811</v>
      </c>
      <c r="Q2867" s="3">
        <v>0</v>
      </c>
      <c r="R2867" s="22" t="s">
        <v>2724</v>
      </c>
      <c r="S2867" s="42" t="s">
        <v>6909</v>
      </c>
      <c r="T2867" s="3" t="s">
        <v>4868</v>
      </c>
      <c r="U2867" s="45">
        <v>35</v>
      </c>
      <c r="V2867" t="s">
        <v>8125</v>
      </c>
      <c r="W2867" s="1" t="str">
        <f>HYPERLINK("http://ictvonline.org/taxonomy/p/taxonomy-history?taxnode_id=201903332","ICTVonline=201903332")</f>
        <v>ICTVonline=201903332</v>
      </c>
    </row>
    <row r="2868" spans="1:23">
      <c r="A2868" s="3">
        <v>2867</v>
      </c>
      <c r="B2868" s="1" t="s">
        <v>8017</v>
      </c>
      <c r="D2868" s="1" t="s">
        <v>8049</v>
      </c>
      <c r="F2868" s="1" t="s">
        <v>8122</v>
      </c>
      <c r="H2868" s="1" t="s">
        <v>8143</v>
      </c>
      <c r="J2868" s="1" t="s">
        <v>8144</v>
      </c>
      <c r="L2868" s="1" t="s">
        <v>2078</v>
      </c>
      <c r="N2868" s="1" t="s">
        <v>2079</v>
      </c>
      <c r="P2868" s="1" t="s">
        <v>5375</v>
      </c>
      <c r="Q2868" s="3">
        <v>0</v>
      </c>
      <c r="R2868" s="22" t="s">
        <v>2724</v>
      </c>
      <c r="S2868" s="42" t="s">
        <v>6909</v>
      </c>
      <c r="T2868" s="3" t="s">
        <v>4868</v>
      </c>
      <c r="U2868" s="45">
        <v>35</v>
      </c>
      <c r="V2868" t="s">
        <v>8125</v>
      </c>
      <c r="W2868" s="1" t="str">
        <f>HYPERLINK("http://ictvonline.org/taxonomy/p/taxonomy-history?taxnode_id=201905823","ICTVonline=201905823")</f>
        <v>ICTVonline=201905823</v>
      </c>
    </row>
    <row r="2869" spans="1:23">
      <c r="A2869" s="3">
        <v>2868</v>
      </c>
      <c r="B2869" s="1" t="s">
        <v>8017</v>
      </c>
      <c r="D2869" s="1" t="s">
        <v>8049</v>
      </c>
      <c r="F2869" s="1" t="s">
        <v>8122</v>
      </c>
      <c r="H2869" s="1" t="s">
        <v>8143</v>
      </c>
      <c r="J2869" s="1" t="s">
        <v>8144</v>
      </c>
      <c r="L2869" s="1" t="s">
        <v>2078</v>
      </c>
      <c r="N2869" s="1" t="s">
        <v>2079</v>
      </c>
      <c r="P2869" s="1" t="s">
        <v>5376</v>
      </c>
      <c r="Q2869" s="3">
        <v>0</v>
      </c>
      <c r="R2869" s="22" t="s">
        <v>2724</v>
      </c>
      <c r="S2869" s="42" t="s">
        <v>6909</v>
      </c>
      <c r="T2869" s="3" t="s">
        <v>4868</v>
      </c>
      <c r="U2869" s="45">
        <v>35</v>
      </c>
      <c r="V2869" t="s">
        <v>8125</v>
      </c>
      <c r="W2869" s="1" t="str">
        <f>HYPERLINK("http://ictvonline.org/taxonomy/p/taxonomy-history?taxnode_id=201905824","ICTVonline=201905824")</f>
        <v>ICTVonline=201905824</v>
      </c>
    </row>
    <row r="2870" spans="1:23">
      <c r="A2870" s="3">
        <v>2869</v>
      </c>
      <c r="B2870" s="1" t="s">
        <v>8017</v>
      </c>
      <c r="D2870" s="1" t="s">
        <v>8049</v>
      </c>
      <c r="F2870" s="1" t="s">
        <v>8122</v>
      </c>
      <c r="H2870" s="1" t="s">
        <v>8143</v>
      </c>
      <c r="J2870" s="1" t="s">
        <v>8144</v>
      </c>
      <c r="L2870" s="1" t="s">
        <v>2078</v>
      </c>
      <c r="N2870" s="1" t="s">
        <v>2079</v>
      </c>
      <c r="P2870" s="1" t="s">
        <v>5377</v>
      </c>
      <c r="Q2870" s="3">
        <v>0</v>
      </c>
      <c r="R2870" s="22" t="s">
        <v>2724</v>
      </c>
      <c r="S2870" s="42" t="s">
        <v>6909</v>
      </c>
      <c r="T2870" s="3" t="s">
        <v>4868</v>
      </c>
      <c r="U2870" s="45">
        <v>35</v>
      </c>
      <c r="V2870" t="s">
        <v>8125</v>
      </c>
      <c r="W2870" s="1" t="str">
        <f>HYPERLINK("http://ictvonline.org/taxonomy/p/taxonomy-history?taxnode_id=201905825","ICTVonline=201905825")</f>
        <v>ICTVonline=201905825</v>
      </c>
    </row>
    <row r="2871" spans="1:23">
      <c r="A2871" s="3">
        <v>2870</v>
      </c>
      <c r="B2871" s="1" t="s">
        <v>8017</v>
      </c>
      <c r="D2871" s="1" t="s">
        <v>8049</v>
      </c>
      <c r="F2871" s="1" t="s">
        <v>8122</v>
      </c>
      <c r="H2871" s="1" t="s">
        <v>8143</v>
      </c>
      <c r="J2871" s="1" t="s">
        <v>8144</v>
      </c>
      <c r="L2871" s="1" t="s">
        <v>2078</v>
      </c>
      <c r="N2871" s="1" t="s">
        <v>2079</v>
      </c>
      <c r="P2871" s="1" t="s">
        <v>5378</v>
      </c>
      <c r="Q2871" s="3">
        <v>0</v>
      </c>
      <c r="R2871" s="22" t="s">
        <v>2724</v>
      </c>
      <c r="S2871" s="42" t="s">
        <v>6909</v>
      </c>
      <c r="T2871" s="3" t="s">
        <v>4868</v>
      </c>
      <c r="U2871" s="45">
        <v>35</v>
      </c>
      <c r="V2871" t="s">
        <v>8125</v>
      </c>
      <c r="W2871" s="1" t="str">
        <f>HYPERLINK("http://ictvonline.org/taxonomy/p/taxonomy-history?taxnode_id=201905826","ICTVonline=201905826")</f>
        <v>ICTVonline=201905826</v>
      </c>
    </row>
    <row r="2872" spans="1:23">
      <c r="A2872" s="3">
        <v>2871</v>
      </c>
      <c r="B2872" s="1" t="s">
        <v>8017</v>
      </c>
      <c r="D2872" s="1" t="s">
        <v>8049</v>
      </c>
      <c r="F2872" s="1" t="s">
        <v>8122</v>
      </c>
      <c r="H2872" s="1" t="s">
        <v>8143</v>
      </c>
      <c r="J2872" s="1" t="s">
        <v>8144</v>
      </c>
      <c r="L2872" s="1" t="s">
        <v>2078</v>
      </c>
      <c r="N2872" s="1" t="s">
        <v>2079</v>
      </c>
      <c r="P2872" s="1" t="s">
        <v>5379</v>
      </c>
      <c r="Q2872" s="3">
        <v>0</v>
      </c>
      <c r="R2872" s="22" t="s">
        <v>2724</v>
      </c>
      <c r="S2872" s="42" t="s">
        <v>6909</v>
      </c>
      <c r="T2872" s="3" t="s">
        <v>4868</v>
      </c>
      <c r="U2872" s="45">
        <v>35</v>
      </c>
      <c r="V2872" t="s">
        <v>8125</v>
      </c>
      <c r="W2872" s="1" t="str">
        <f>HYPERLINK("http://ictvonline.org/taxonomy/p/taxonomy-history?taxnode_id=201905827","ICTVonline=201905827")</f>
        <v>ICTVonline=201905827</v>
      </c>
    </row>
    <row r="2873" spans="1:23">
      <c r="A2873" s="3">
        <v>2872</v>
      </c>
      <c r="B2873" s="1" t="s">
        <v>8017</v>
      </c>
      <c r="D2873" s="1" t="s">
        <v>8049</v>
      </c>
      <c r="F2873" s="1" t="s">
        <v>8122</v>
      </c>
      <c r="H2873" s="1" t="s">
        <v>8143</v>
      </c>
      <c r="J2873" s="1" t="s">
        <v>8144</v>
      </c>
      <c r="L2873" s="1" t="s">
        <v>2078</v>
      </c>
      <c r="N2873" s="1" t="s">
        <v>2079</v>
      </c>
      <c r="P2873" s="1" t="s">
        <v>3751</v>
      </c>
      <c r="Q2873" s="3">
        <v>0</v>
      </c>
      <c r="R2873" s="22" t="s">
        <v>2724</v>
      </c>
      <c r="S2873" s="42" t="s">
        <v>6909</v>
      </c>
      <c r="T2873" s="3" t="s">
        <v>4868</v>
      </c>
      <c r="U2873" s="45">
        <v>35</v>
      </c>
      <c r="V2873" t="s">
        <v>8125</v>
      </c>
      <c r="W2873" s="1" t="str">
        <f>HYPERLINK("http://ictvonline.org/taxonomy/p/taxonomy-history?taxnode_id=201903333","ICTVonline=201903333")</f>
        <v>ICTVonline=201903333</v>
      </c>
    </row>
    <row r="2874" spans="1:23">
      <c r="A2874" s="3">
        <v>2873</v>
      </c>
      <c r="B2874" s="1" t="s">
        <v>8017</v>
      </c>
      <c r="D2874" s="1" t="s">
        <v>8049</v>
      </c>
      <c r="F2874" s="1" t="s">
        <v>8122</v>
      </c>
      <c r="H2874" s="1" t="s">
        <v>8143</v>
      </c>
      <c r="J2874" s="1" t="s">
        <v>8144</v>
      </c>
      <c r="L2874" s="1" t="s">
        <v>2078</v>
      </c>
      <c r="N2874" s="1" t="s">
        <v>2079</v>
      </c>
      <c r="P2874" s="1" t="s">
        <v>3752</v>
      </c>
      <c r="Q2874" s="3">
        <v>0</v>
      </c>
      <c r="R2874" s="22" t="s">
        <v>2724</v>
      </c>
      <c r="S2874" s="42" t="s">
        <v>6909</v>
      </c>
      <c r="T2874" s="3" t="s">
        <v>4868</v>
      </c>
      <c r="U2874" s="45">
        <v>35</v>
      </c>
      <c r="V2874" t="s">
        <v>8125</v>
      </c>
      <c r="W2874" s="1" t="str">
        <f>HYPERLINK("http://ictvonline.org/taxonomy/p/taxonomy-history?taxnode_id=201903334","ICTVonline=201903334")</f>
        <v>ICTVonline=201903334</v>
      </c>
    </row>
    <row r="2875" spans="1:23">
      <c r="A2875" s="3">
        <v>2874</v>
      </c>
      <c r="B2875" s="1" t="s">
        <v>8017</v>
      </c>
      <c r="D2875" s="1" t="s">
        <v>8049</v>
      </c>
      <c r="F2875" s="1" t="s">
        <v>8122</v>
      </c>
      <c r="H2875" s="1" t="s">
        <v>8143</v>
      </c>
      <c r="J2875" s="1" t="s">
        <v>8144</v>
      </c>
      <c r="L2875" s="1" t="s">
        <v>2078</v>
      </c>
      <c r="N2875" s="1" t="s">
        <v>2079</v>
      </c>
      <c r="P2875" s="1" t="s">
        <v>2408</v>
      </c>
      <c r="Q2875" s="3">
        <v>0</v>
      </c>
      <c r="R2875" s="22" t="s">
        <v>2724</v>
      </c>
      <c r="S2875" s="42" t="s">
        <v>6909</v>
      </c>
      <c r="T2875" s="3" t="s">
        <v>4868</v>
      </c>
      <c r="U2875" s="45">
        <v>35</v>
      </c>
      <c r="V2875" t="s">
        <v>8125</v>
      </c>
      <c r="W2875" s="1" t="str">
        <f>HYPERLINK("http://ictvonline.org/taxonomy/p/taxonomy-history?taxnode_id=201903335","ICTVonline=201903335")</f>
        <v>ICTVonline=201903335</v>
      </c>
    </row>
    <row r="2876" spans="1:23">
      <c r="A2876" s="3">
        <v>2875</v>
      </c>
      <c r="B2876" s="1" t="s">
        <v>8017</v>
      </c>
      <c r="D2876" s="1" t="s">
        <v>8049</v>
      </c>
      <c r="F2876" s="1" t="s">
        <v>8122</v>
      </c>
      <c r="H2876" s="1" t="s">
        <v>8143</v>
      </c>
      <c r="J2876" s="1" t="s">
        <v>8144</v>
      </c>
      <c r="L2876" s="1" t="s">
        <v>2078</v>
      </c>
      <c r="N2876" s="1" t="s">
        <v>2079</v>
      </c>
      <c r="P2876" s="1" t="s">
        <v>3753</v>
      </c>
      <c r="Q2876" s="3">
        <v>0</v>
      </c>
      <c r="R2876" s="22" t="s">
        <v>2724</v>
      </c>
      <c r="S2876" s="42" t="s">
        <v>6909</v>
      </c>
      <c r="T2876" s="3" t="s">
        <v>4868</v>
      </c>
      <c r="U2876" s="45">
        <v>35</v>
      </c>
      <c r="V2876" t="s">
        <v>8125</v>
      </c>
      <c r="W2876" s="1" t="str">
        <f>HYPERLINK("http://ictvonline.org/taxonomy/p/taxonomy-history?taxnode_id=201903336","ICTVonline=201903336")</f>
        <v>ICTVonline=201903336</v>
      </c>
    </row>
    <row r="2877" spans="1:23">
      <c r="A2877" s="3">
        <v>2876</v>
      </c>
      <c r="B2877" s="1" t="s">
        <v>8017</v>
      </c>
      <c r="D2877" s="1" t="s">
        <v>8049</v>
      </c>
      <c r="F2877" s="1" t="s">
        <v>8122</v>
      </c>
      <c r="H2877" s="1" t="s">
        <v>8143</v>
      </c>
      <c r="J2877" s="1" t="s">
        <v>8144</v>
      </c>
      <c r="L2877" s="1" t="s">
        <v>2078</v>
      </c>
      <c r="N2877" s="1" t="s">
        <v>2079</v>
      </c>
      <c r="P2877" s="1" t="s">
        <v>2409</v>
      </c>
      <c r="Q2877" s="3">
        <v>0</v>
      </c>
      <c r="R2877" s="22" t="s">
        <v>2724</v>
      </c>
      <c r="S2877" s="42" t="s">
        <v>6909</v>
      </c>
      <c r="T2877" s="3" t="s">
        <v>4868</v>
      </c>
      <c r="U2877" s="45">
        <v>35</v>
      </c>
      <c r="V2877" t="s">
        <v>8125</v>
      </c>
      <c r="W2877" s="1" t="str">
        <f>HYPERLINK("http://ictvonline.org/taxonomy/p/taxonomy-history?taxnode_id=201903337","ICTVonline=201903337")</f>
        <v>ICTVonline=201903337</v>
      </c>
    </row>
    <row r="2878" spans="1:23">
      <c r="A2878" s="3">
        <v>2877</v>
      </c>
      <c r="B2878" s="1" t="s">
        <v>8017</v>
      </c>
      <c r="D2878" s="1" t="s">
        <v>8049</v>
      </c>
      <c r="F2878" s="1" t="s">
        <v>8122</v>
      </c>
      <c r="H2878" s="1" t="s">
        <v>8143</v>
      </c>
      <c r="J2878" s="1" t="s">
        <v>8144</v>
      </c>
      <c r="L2878" s="1" t="s">
        <v>2078</v>
      </c>
      <c r="N2878" s="1" t="s">
        <v>2079</v>
      </c>
      <c r="P2878" s="1" t="s">
        <v>812</v>
      </c>
      <c r="Q2878" s="3">
        <v>0</v>
      </c>
      <c r="R2878" s="22" t="s">
        <v>2724</v>
      </c>
      <c r="S2878" s="42" t="s">
        <v>6909</v>
      </c>
      <c r="T2878" s="3" t="s">
        <v>4868</v>
      </c>
      <c r="U2878" s="45">
        <v>35</v>
      </c>
      <c r="V2878" t="s">
        <v>8125</v>
      </c>
      <c r="W2878" s="1" t="str">
        <f>HYPERLINK("http://ictvonline.org/taxonomy/p/taxonomy-history?taxnode_id=201903338","ICTVonline=201903338")</f>
        <v>ICTVonline=201903338</v>
      </c>
    </row>
    <row r="2879" spans="1:23">
      <c r="A2879" s="3">
        <v>2878</v>
      </c>
      <c r="B2879" s="1" t="s">
        <v>8017</v>
      </c>
      <c r="D2879" s="1" t="s">
        <v>8049</v>
      </c>
      <c r="F2879" s="1" t="s">
        <v>8122</v>
      </c>
      <c r="H2879" s="1" t="s">
        <v>8143</v>
      </c>
      <c r="J2879" s="1" t="s">
        <v>8144</v>
      </c>
      <c r="L2879" s="1" t="s">
        <v>2078</v>
      </c>
      <c r="N2879" s="1" t="s">
        <v>2079</v>
      </c>
      <c r="P2879" s="1" t="s">
        <v>813</v>
      </c>
      <c r="Q2879" s="3">
        <v>0</v>
      </c>
      <c r="R2879" s="22" t="s">
        <v>2724</v>
      </c>
      <c r="S2879" s="42" t="s">
        <v>6909</v>
      </c>
      <c r="T2879" s="3" t="s">
        <v>4868</v>
      </c>
      <c r="U2879" s="45">
        <v>35</v>
      </c>
      <c r="V2879" t="s">
        <v>8125</v>
      </c>
      <c r="W2879" s="1" t="str">
        <f>HYPERLINK("http://ictvonline.org/taxonomy/p/taxonomy-history?taxnode_id=201903339","ICTVonline=201903339")</f>
        <v>ICTVonline=201903339</v>
      </c>
    </row>
    <row r="2880" spans="1:23">
      <c r="A2880" s="3">
        <v>2879</v>
      </c>
      <c r="B2880" s="1" t="s">
        <v>8017</v>
      </c>
      <c r="D2880" s="1" t="s">
        <v>8049</v>
      </c>
      <c r="F2880" s="1" t="s">
        <v>8122</v>
      </c>
      <c r="H2880" s="1" t="s">
        <v>8143</v>
      </c>
      <c r="J2880" s="1" t="s">
        <v>8144</v>
      </c>
      <c r="L2880" s="1" t="s">
        <v>2078</v>
      </c>
      <c r="N2880" s="1" t="s">
        <v>2079</v>
      </c>
      <c r="P2880" s="1" t="s">
        <v>3754</v>
      </c>
      <c r="Q2880" s="3">
        <v>0</v>
      </c>
      <c r="R2880" s="22" t="s">
        <v>2724</v>
      </c>
      <c r="S2880" s="42" t="s">
        <v>6909</v>
      </c>
      <c r="T2880" s="3" t="s">
        <v>4868</v>
      </c>
      <c r="U2880" s="45">
        <v>35</v>
      </c>
      <c r="V2880" t="s">
        <v>8125</v>
      </c>
      <c r="W2880" s="1" t="str">
        <f>HYPERLINK("http://ictvonline.org/taxonomy/p/taxonomy-history?taxnode_id=201903340","ICTVonline=201903340")</f>
        <v>ICTVonline=201903340</v>
      </c>
    </row>
    <row r="2881" spans="1:23">
      <c r="A2881" s="3">
        <v>2880</v>
      </c>
      <c r="B2881" s="1" t="s">
        <v>8017</v>
      </c>
      <c r="D2881" s="1" t="s">
        <v>8049</v>
      </c>
      <c r="F2881" s="1" t="s">
        <v>8122</v>
      </c>
      <c r="H2881" s="1" t="s">
        <v>8143</v>
      </c>
      <c r="J2881" s="1" t="s">
        <v>8144</v>
      </c>
      <c r="L2881" s="1" t="s">
        <v>2078</v>
      </c>
      <c r="N2881" s="1" t="s">
        <v>2079</v>
      </c>
      <c r="P2881" s="1" t="s">
        <v>814</v>
      </c>
      <c r="Q2881" s="3">
        <v>0</v>
      </c>
      <c r="R2881" s="22" t="s">
        <v>2724</v>
      </c>
      <c r="S2881" s="42" t="s">
        <v>6909</v>
      </c>
      <c r="T2881" s="3" t="s">
        <v>4868</v>
      </c>
      <c r="U2881" s="45">
        <v>35</v>
      </c>
      <c r="V2881" t="s">
        <v>8125</v>
      </c>
      <c r="W2881" s="1" t="str">
        <f>HYPERLINK("http://ictvonline.org/taxonomy/p/taxonomy-history?taxnode_id=201903341","ICTVonline=201903341")</f>
        <v>ICTVonline=201903341</v>
      </c>
    </row>
    <row r="2882" spans="1:23">
      <c r="A2882" s="3">
        <v>2881</v>
      </c>
      <c r="B2882" s="1" t="s">
        <v>8017</v>
      </c>
      <c r="D2882" s="1" t="s">
        <v>8049</v>
      </c>
      <c r="F2882" s="1" t="s">
        <v>8122</v>
      </c>
      <c r="H2882" s="1" t="s">
        <v>8143</v>
      </c>
      <c r="J2882" s="1" t="s">
        <v>8144</v>
      </c>
      <c r="L2882" s="1" t="s">
        <v>2078</v>
      </c>
      <c r="N2882" s="1" t="s">
        <v>2079</v>
      </c>
      <c r="P2882" s="1" t="s">
        <v>2410</v>
      </c>
      <c r="Q2882" s="3">
        <v>0</v>
      </c>
      <c r="R2882" s="22" t="s">
        <v>2724</v>
      </c>
      <c r="S2882" s="42" t="s">
        <v>6909</v>
      </c>
      <c r="T2882" s="3" t="s">
        <v>4868</v>
      </c>
      <c r="U2882" s="45">
        <v>35</v>
      </c>
      <c r="V2882" t="s">
        <v>8125</v>
      </c>
      <c r="W2882" s="1" t="str">
        <f>HYPERLINK("http://ictvonline.org/taxonomy/p/taxonomy-history?taxnode_id=201903342","ICTVonline=201903342")</f>
        <v>ICTVonline=201903342</v>
      </c>
    </row>
    <row r="2883" spans="1:23">
      <c r="A2883" s="3">
        <v>2882</v>
      </c>
      <c r="B2883" s="1" t="s">
        <v>8017</v>
      </c>
      <c r="D2883" s="1" t="s">
        <v>8049</v>
      </c>
      <c r="F2883" s="1" t="s">
        <v>8122</v>
      </c>
      <c r="H2883" s="1" t="s">
        <v>8143</v>
      </c>
      <c r="J2883" s="1" t="s">
        <v>8144</v>
      </c>
      <c r="L2883" s="1" t="s">
        <v>2078</v>
      </c>
      <c r="N2883" s="1" t="s">
        <v>2079</v>
      </c>
      <c r="P2883" s="1" t="s">
        <v>5380</v>
      </c>
      <c r="Q2883" s="3">
        <v>0</v>
      </c>
      <c r="R2883" s="22" t="s">
        <v>2724</v>
      </c>
      <c r="S2883" s="42" t="s">
        <v>6909</v>
      </c>
      <c r="T2883" s="3" t="s">
        <v>4868</v>
      </c>
      <c r="U2883" s="45">
        <v>35</v>
      </c>
      <c r="V2883" t="s">
        <v>8125</v>
      </c>
      <c r="W2883" s="1" t="str">
        <f>HYPERLINK("http://ictvonline.org/taxonomy/p/taxonomy-history?taxnode_id=201905828","ICTVonline=201905828")</f>
        <v>ICTVonline=201905828</v>
      </c>
    </row>
    <row r="2884" spans="1:23">
      <c r="A2884" s="3">
        <v>2883</v>
      </c>
      <c r="B2884" s="1" t="s">
        <v>8017</v>
      </c>
      <c r="D2884" s="1" t="s">
        <v>8049</v>
      </c>
      <c r="F2884" s="1" t="s">
        <v>8122</v>
      </c>
      <c r="H2884" s="1" t="s">
        <v>8143</v>
      </c>
      <c r="J2884" s="1" t="s">
        <v>8144</v>
      </c>
      <c r="L2884" s="1" t="s">
        <v>2078</v>
      </c>
      <c r="N2884" s="1" t="s">
        <v>2079</v>
      </c>
      <c r="P2884" s="1" t="s">
        <v>815</v>
      </c>
      <c r="Q2884" s="3">
        <v>0</v>
      </c>
      <c r="R2884" s="22" t="s">
        <v>2724</v>
      </c>
      <c r="S2884" s="42" t="s">
        <v>6909</v>
      </c>
      <c r="T2884" s="3" t="s">
        <v>4868</v>
      </c>
      <c r="U2884" s="45">
        <v>35</v>
      </c>
      <c r="V2884" t="s">
        <v>8125</v>
      </c>
      <c r="W2884" s="1" t="str">
        <f>HYPERLINK("http://ictvonline.org/taxonomy/p/taxonomy-history?taxnode_id=201903343","ICTVonline=201903343")</f>
        <v>ICTVonline=201903343</v>
      </c>
    </row>
    <row r="2885" spans="1:23">
      <c r="A2885" s="3">
        <v>2884</v>
      </c>
      <c r="B2885" s="1" t="s">
        <v>8017</v>
      </c>
      <c r="D2885" s="1" t="s">
        <v>8049</v>
      </c>
      <c r="F2885" s="1" t="s">
        <v>8122</v>
      </c>
      <c r="H2885" s="1" t="s">
        <v>8143</v>
      </c>
      <c r="J2885" s="1" t="s">
        <v>8144</v>
      </c>
      <c r="L2885" s="1" t="s">
        <v>2078</v>
      </c>
      <c r="N2885" s="1" t="s">
        <v>2079</v>
      </c>
      <c r="P2885" s="1" t="s">
        <v>816</v>
      </c>
      <c r="Q2885" s="3">
        <v>0</v>
      </c>
      <c r="R2885" s="22" t="s">
        <v>2724</v>
      </c>
      <c r="S2885" s="42" t="s">
        <v>6909</v>
      </c>
      <c r="T2885" s="3" t="s">
        <v>4868</v>
      </c>
      <c r="U2885" s="45">
        <v>35</v>
      </c>
      <c r="V2885" t="s">
        <v>8125</v>
      </c>
      <c r="W2885" s="1" t="str">
        <f>HYPERLINK("http://ictvonline.org/taxonomy/p/taxonomy-history?taxnode_id=201903344","ICTVonline=201903344")</f>
        <v>ICTVonline=201903344</v>
      </c>
    </row>
    <row r="2886" spans="1:23">
      <c r="A2886" s="3">
        <v>2885</v>
      </c>
      <c r="B2886" s="1" t="s">
        <v>8017</v>
      </c>
      <c r="D2886" s="1" t="s">
        <v>8049</v>
      </c>
      <c r="F2886" s="1" t="s">
        <v>8122</v>
      </c>
      <c r="H2886" s="1" t="s">
        <v>8143</v>
      </c>
      <c r="J2886" s="1" t="s">
        <v>8144</v>
      </c>
      <c r="L2886" s="1" t="s">
        <v>2078</v>
      </c>
      <c r="N2886" s="1" t="s">
        <v>2079</v>
      </c>
      <c r="P2886" s="1" t="s">
        <v>817</v>
      </c>
      <c r="Q2886" s="3">
        <v>0</v>
      </c>
      <c r="R2886" s="22" t="s">
        <v>2724</v>
      </c>
      <c r="S2886" s="42" t="s">
        <v>6909</v>
      </c>
      <c r="T2886" s="3" t="s">
        <v>4868</v>
      </c>
      <c r="U2886" s="45">
        <v>35</v>
      </c>
      <c r="V2886" t="s">
        <v>8125</v>
      </c>
      <c r="W2886" s="1" t="str">
        <f>HYPERLINK("http://ictvonline.org/taxonomy/p/taxonomy-history?taxnode_id=201903345","ICTVonline=201903345")</f>
        <v>ICTVonline=201903345</v>
      </c>
    </row>
    <row r="2887" spans="1:23">
      <c r="A2887" s="3">
        <v>2886</v>
      </c>
      <c r="B2887" s="1" t="s">
        <v>8017</v>
      </c>
      <c r="D2887" s="1" t="s">
        <v>8049</v>
      </c>
      <c r="F2887" s="1" t="s">
        <v>8122</v>
      </c>
      <c r="H2887" s="1" t="s">
        <v>8143</v>
      </c>
      <c r="J2887" s="1" t="s">
        <v>8144</v>
      </c>
      <c r="L2887" s="1" t="s">
        <v>2078</v>
      </c>
      <c r="N2887" s="1" t="s">
        <v>2079</v>
      </c>
      <c r="P2887" s="1" t="s">
        <v>2411</v>
      </c>
      <c r="Q2887" s="3">
        <v>0</v>
      </c>
      <c r="R2887" s="22" t="s">
        <v>2724</v>
      </c>
      <c r="S2887" s="42" t="s">
        <v>6909</v>
      </c>
      <c r="T2887" s="3" t="s">
        <v>4868</v>
      </c>
      <c r="U2887" s="45">
        <v>35</v>
      </c>
      <c r="V2887" t="s">
        <v>8125</v>
      </c>
      <c r="W2887" s="1" t="str">
        <f>HYPERLINK("http://ictvonline.org/taxonomy/p/taxonomy-history?taxnode_id=201903346","ICTVonline=201903346")</f>
        <v>ICTVonline=201903346</v>
      </c>
    </row>
    <row r="2888" spans="1:23">
      <c r="A2888" s="3">
        <v>2887</v>
      </c>
      <c r="B2888" s="1" t="s">
        <v>8017</v>
      </c>
      <c r="D2888" s="1" t="s">
        <v>8049</v>
      </c>
      <c r="F2888" s="1" t="s">
        <v>8122</v>
      </c>
      <c r="H2888" s="1" t="s">
        <v>8143</v>
      </c>
      <c r="J2888" s="1" t="s">
        <v>8144</v>
      </c>
      <c r="L2888" s="1" t="s">
        <v>2078</v>
      </c>
      <c r="N2888" s="1" t="s">
        <v>2079</v>
      </c>
      <c r="P2888" s="1" t="s">
        <v>2412</v>
      </c>
      <c r="Q2888" s="3">
        <v>0</v>
      </c>
      <c r="R2888" s="22" t="s">
        <v>2724</v>
      </c>
      <c r="S2888" s="42" t="s">
        <v>6909</v>
      </c>
      <c r="T2888" s="3" t="s">
        <v>4868</v>
      </c>
      <c r="U2888" s="45">
        <v>35</v>
      </c>
      <c r="V2888" t="s">
        <v>8125</v>
      </c>
      <c r="W2888" s="1" t="str">
        <f>HYPERLINK("http://ictvonline.org/taxonomy/p/taxonomy-history?taxnode_id=201903347","ICTVonline=201903347")</f>
        <v>ICTVonline=201903347</v>
      </c>
    </row>
    <row r="2889" spans="1:23">
      <c r="A2889" s="3">
        <v>2888</v>
      </c>
      <c r="B2889" s="1" t="s">
        <v>8017</v>
      </c>
      <c r="D2889" s="1" t="s">
        <v>8049</v>
      </c>
      <c r="F2889" s="1" t="s">
        <v>8122</v>
      </c>
      <c r="H2889" s="1" t="s">
        <v>8143</v>
      </c>
      <c r="J2889" s="1" t="s">
        <v>8144</v>
      </c>
      <c r="L2889" s="1" t="s">
        <v>2078</v>
      </c>
      <c r="N2889" s="1" t="s">
        <v>2079</v>
      </c>
      <c r="P2889" s="1" t="s">
        <v>2413</v>
      </c>
      <c r="Q2889" s="3">
        <v>0</v>
      </c>
      <c r="R2889" s="22" t="s">
        <v>2724</v>
      </c>
      <c r="S2889" s="42" t="s">
        <v>6909</v>
      </c>
      <c r="T2889" s="3" t="s">
        <v>4868</v>
      </c>
      <c r="U2889" s="45">
        <v>35</v>
      </c>
      <c r="V2889" t="s">
        <v>8125</v>
      </c>
      <c r="W2889" s="1" t="str">
        <f>HYPERLINK("http://ictvonline.org/taxonomy/p/taxonomy-history?taxnode_id=201903348","ICTVonline=201903348")</f>
        <v>ICTVonline=201903348</v>
      </c>
    </row>
    <row r="2890" spans="1:23">
      <c r="A2890" s="3">
        <v>2889</v>
      </c>
      <c r="B2890" s="1" t="s">
        <v>8017</v>
      </c>
      <c r="D2890" s="1" t="s">
        <v>8049</v>
      </c>
      <c r="F2890" s="1" t="s">
        <v>8122</v>
      </c>
      <c r="H2890" s="1" t="s">
        <v>8143</v>
      </c>
      <c r="J2890" s="1" t="s">
        <v>8144</v>
      </c>
      <c r="L2890" s="1" t="s">
        <v>2078</v>
      </c>
      <c r="N2890" s="1" t="s">
        <v>2079</v>
      </c>
      <c r="P2890" s="1" t="s">
        <v>2414</v>
      </c>
      <c r="Q2890" s="3">
        <v>0</v>
      </c>
      <c r="R2890" s="22" t="s">
        <v>2724</v>
      </c>
      <c r="S2890" s="42" t="s">
        <v>6909</v>
      </c>
      <c r="T2890" s="3" t="s">
        <v>4868</v>
      </c>
      <c r="U2890" s="45">
        <v>35</v>
      </c>
      <c r="V2890" t="s">
        <v>8125</v>
      </c>
      <c r="W2890" s="1" t="str">
        <f>HYPERLINK("http://ictvonline.org/taxonomy/p/taxonomy-history?taxnode_id=201903349","ICTVonline=201903349")</f>
        <v>ICTVonline=201903349</v>
      </c>
    </row>
    <row r="2891" spans="1:23">
      <c r="A2891" s="3">
        <v>2890</v>
      </c>
      <c r="B2891" s="1" t="s">
        <v>8017</v>
      </c>
      <c r="D2891" s="1" t="s">
        <v>8049</v>
      </c>
      <c r="F2891" s="1" t="s">
        <v>8122</v>
      </c>
      <c r="H2891" s="1" t="s">
        <v>8143</v>
      </c>
      <c r="J2891" s="1" t="s">
        <v>8144</v>
      </c>
      <c r="L2891" s="1" t="s">
        <v>2078</v>
      </c>
      <c r="N2891" s="1" t="s">
        <v>2079</v>
      </c>
      <c r="P2891" s="1" t="s">
        <v>2415</v>
      </c>
      <c r="Q2891" s="3">
        <v>0</v>
      </c>
      <c r="R2891" s="22" t="s">
        <v>2724</v>
      </c>
      <c r="S2891" s="42" t="s">
        <v>6909</v>
      </c>
      <c r="T2891" s="3" t="s">
        <v>4868</v>
      </c>
      <c r="U2891" s="45">
        <v>35</v>
      </c>
      <c r="V2891" t="s">
        <v>8125</v>
      </c>
      <c r="W2891" s="1" t="str">
        <f>HYPERLINK("http://ictvonline.org/taxonomy/p/taxonomy-history?taxnode_id=201903350","ICTVonline=201903350")</f>
        <v>ICTVonline=201903350</v>
      </c>
    </row>
    <row r="2892" spans="1:23">
      <c r="A2892" s="3">
        <v>2891</v>
      </c>
      <c r="B2892" s="1" t="s">
        <v>8017</v>
      </c>
      <c r="D2892" s="1" t="s">
        <v>8049</v>
      </c>
      <c r="F2892" s="1" t="s">
        <v>8122</v>
      </c>
      <c r="H2892" s="1" t="s">
        <v>8143</v>
      </c>
      <c r="J2892" s="1" t="s">
        <v>8144</v>
      </c>
      <c r="L2892" s="1" t="s">
        <v>2078</v>
      </c>
      <c r="N2892" s="1" t="s">
        <v>2079</v>
      </c>
      <c r="P2892" s="1" t="s">
        <v>818</v>
      </c>
      <c r="Q2892" s="3">
        <v>0</v>
      </c>
      <c r="R2892" s="22" t="s">
        <v>2724</v>
      </c>
      <c r="S2892" s="42" t="s">
        <v>6909</v>
      </c>
      <c r="T2892" s="3" t="s">
        <v>4868</v>
      </c>
      <c r="U2892" s="45">
        <v>35</v>
      </c>
      <c r="V2892" t="s">
        <v>8125</v>
      </c>
      <c r="W2892" s="1" t="str">
        <f>HYPERLINK("http://ictvonline.org/taxonomy/p/taxonomy-history?taxnode_id=201903351","ICTVonline=201903351")</f>
        <v>ICTVonline=201903351</v>
      </c>
    </row>
    <row r="2893" spans="1:23">
      <c r="A2893" s="3">
        <v>2892</v>
      </c>
      <c r="B2893" s="1" t="s">
        <v>8017</v>
      </c>
      <c r="D2893" s="1" t="s">
        <v>8049</v>
      </c>
      <c r="F2893" s="1" t="s">
        <v>8122</v>
      </c>
      <c r="H2893" s="1" t="s">
        <v>8143</v>
      </c>
      <c r="J2893" s="1" t="s">
        <v>8144</v>
      </c>
      <c r="L2893" s="1" t="s">
        <v>2078</v>
      </c>
      <c r="N2893" s="1" t="s">
        <v>2079</v>
      </c>
      <c r="P2893" s="1" t="s">
        <v>2416</v>
      </c>
      <c r="Q2893" s="3">
        <v>0</v>
      </c>
      <c r="R2893" s="22" t="s">
        <v>2724</v>
      </c>
      <c r="S2893" s="42" t="s">
        <v>6909</v>
      </c>
      <c r="T2893" s="3" t="s">
        <v>4868</v>
      </c>
      <c r="U2893" s="45">
        <v>35</v>
      </c>
      <c r="V2893" t="s">
        <v>8125</v>
      </c>
      <c r="W2893" s="1" t="str">
        <f>HYPERLINK("http://ictvonline.org/taxonomy/p/taxonomy-history?taxnode_id=201903352","ICTVonline=201903352")</f>
        <v>ICTVonline=201903352</v>
      </c>
    </row>
    <row r="2894" spans="1:23">
      <c r="A2894" s="3">
        <v>2893</v>
      </c>
      <c r="B2894" s="1" t="s">
        <v>8017</v>
      </c>
      <c r="D2894" s="1" t="s">
        <v>8049</v>
      </c>
      <c r="F2894" s="1" t="s">
        <v>8122</v>
      </c>
      <c r="H2894" s="1" t="s">
        <v>8143</v>
      </c>
      <c r="J2894" s="1" t="s">
        <v>8144</v>
      </c>
      <c r="L2894" s="1" t="s">
        <v>2078</v>
      </c>
      <c r="N2894" s="1" t="s">
        <v>2079</v>
      </c>
      <c r="P2894" s="1" t="s">
        <v>3755</v>
      </c>
      <c r="Q2894" s="3">
        <v>0</v>
      </c>
      <c r="R2894" s="22" t="s">
        <v>2724</v>
      </c>
      <c r="S2894" s="42" t="s">
        <v>6909</v>
      </c>
      <c r="T2894" s="3" t="s">
        <v>4868</v>
      </c>
      <c r="U2894" s="45">
        <v>35</v>
      </c>
      <c r="V2894" t="s">
        <v>8125</v>
      </c>
      <c r="W2894" s="1" t="str">
        <f>HYPERLINK("http://ictvonline.org/taxonomy/p/taxonomy-history?taxnode_id=201903353","ICTVonline=201903353")</f>
        <v>ICTVonline=201903353</v>
      </c>
    </row>
    <row r="2895" spans="1:23">
      <c r="A2895" s="3">
        <v>2894</v>
      </c>
      <c r="B2895" s="1" t="s">
        <v>8017</v>
      </c>
      <c r="D2895" s="1" t="s">
        <v>8049</v>
      </c>
      <c r="F2895" s="1" t="s">
        <v>8122</v>
      </c>
      <c r="H2895" s="1" t="s">
        <v>8143</v>
      </c>
      <c r="J2895" s="1" t="s">
        <v>8144</v>
      </c>
      <c r="L2895" s="1" t="s">
        <v>2078</v>
      </c>
      <c r="N2895" s="1" t="s">
        <v>2079</v>
      </c>
      <c r="P2895" s="1" t="s">
        <v>2417</v>
      </c>
      <c r="Q2895" s="3">
        <v>0</v>
      </c>
      <c r="R2895" s="22" t="s">
        <v>2724</v>
      </c>
      <c r="S2895" s="42" t="s">
        <v>6909</v>
      </c>
      <c r="T2895" s="3" t="s">
        <v>4868</v>
      </c>
      <c r="U2895" s="45">
        <v>35</v>
      </c>
      <c r="V2895" t="s">
        <v>8125</v>
      </c>
      <c r="W2895" s="1" t="str">
        <f>HYPERLINK("http://ictvonline.org/taxonomy/p/taxonomy-history?taxnode_id=201903354","ICTVonline=201903354")</f>
        <v>ICTVonline=201903354</v>
      </c>
    </row>
    <row r="2896" spans="1:23">
      <c r="A2896" s="3">
        <v>2895</v>
      </c>
      <c r="B2896" s="1" t="s">
        <v>8017</v>
      </c>
      <c r="D2896" s="1" t="s">
        <v>8049</v>
      </c>
      <c r="F2896" s="1" t="s">
        <v>8122</v>
      </c>
      <c r="H2896" s="1" t="s">
        <v>8143</v>
      </c>
      <c r="J2896" s="1" t="s">
        <v>8144</v>
      </c>
      <c r="L2896" s="1" t="s">
        <v>2078</v>
      </c>
      <c r="N2896" s="1" t="s">
        <v>2079</v>
      </c>
      <c r="P2896" s="1" t="s">
        <v>819</v>
      </c>
      <c r="Q2896" s="3">
        <v>0</v>
      </c>
      <c r="R2896" s="22" t="s">
        <v>2724</v>
      </c>
      <c r="S2896" s="42" t="s">
        <v>6909</v>
      </c>
      <c r="T2896" s="3" t="s">
        <v>4868</v>
      </c>
      <c r="U2896" s="45">
        <v>35</v>
      </c>
      <c r="V2896" t="s">
        <v>8125</v>
      </c>
      <c r="W2896" s="1" t="str">
        <f>HYPERLINK("http://ictvonline.org/taxonomy/p/taxonomy-history?taxnode_id=201903355","ICTVonline=201903355")</f>
        <v>ICTVonline=201903355</v>
      </c>
    </row>
    <row r="2897" spans="1:23">
      <c r="A2897" s="3">
        <v>2896</v>
      </c>
      <c r="B2897" s="1" t="s">
        <v>8017</v>
      </c>
      <c r="D2897" s="1" t="s">
        <v>8049</v>
      </c>
      <c r="F2897" s="1" t="s">
        <v>8122</v>
      </c>
      <c r="H2897" s="1" t="s">
        <v>8143</v>
      </c>
      <c r="J2897" s="1" t="s">
        <v>8144</v>
      </c>
      <c r="L2897" s="1" t="s">
        <v>2078</v>
      </c>
      <c r="N2897" s="1" t="s">
        <v>2079</v>
      </c>
      <c r="P2897" s="1" t="s">
        <v>820</v>
      </c>
      <c r="Q2897" s="3">
        <v>0</v>
      </c>
      <c r="R2897" s="22" t="s">
        <v>2724</v>
      </c>
      <c r="S2897" s="42" t="s">
        <v>6909</v>
      </c>
      <c r="T2897" s="3" t="s">
        <v>4868</v>
      </c>
      <c r="U2897" s="45">
        <v>35</v>
      </c>
      <c r="V2897" t="s">
        <v>8125</v>
      </c>
      <c r="W2897" s="1" t="str">
        <f>HYPERLINK("http://ictvonline.org/taxonomy/p/taxonomy-history?taxnode_id=201903356","ICTVonline=201903356")</f>
        <v>ICTVonline=201903356</v>
      </c>
    </row>
    <row r="2898" spans="1:23">
      <c r="A2898" s="3">
        <v>2897</v>
      </c>
      <c r="B2898" s="1" t="s">
        <v>8017</v>
      </c>
      <c r="D2898" s="1" t="s">
        <v>8049</v>
      </c>
      <c r="F2898" s="1" t="s">
        <v>8122</v>
      </c>
      <c r="H2898" s="1" t="s">
        <v>8143</v>
      </c>
      <c r="J2898" s="1" t="s">
        <v>8144</v>
      </c>
      <c r="L2898" s="1" t="s">
        <v>2078</v>
      </c>
      <c r="N2898" s="1" t="s">
        <v>2079</v>
      </c>
      <c r="P2898" s="1" t="s">
        <v>1832</v>
      </c>
      <c r="Q2898" s="3">
        <v>0</v>
      </c>
      <c r="R2898" s="22" t="s">
        <v>2724</v>
      </c>
      <c r="S2898" s="42" t="s">
        <v>6909</v>
      </c>
      <c r="T2898" s="3" t="s">
        <v>4868</v>
      </c>
      <c r="U2898" s="45">
        <v>35</v>
      </c>
      <c r="V2898" t="s">
        <v>8125</v>
      </c>
      <c r="W2898" s="1" t="str">
        <f>HYPERLINK("http://ictvonline.org/taxonomy/p/taxonomy-history?taxnode_id=201903357","ICTVonline=201903357")</f>
        <v>ICTVonline=201903357</v>
      </c>
    </row>
    <row r="2899" spans="1:23">
      <c r="A2899" s="3">
        <v>2898</v>
      </c>
      <c r="B2899" s="1" t="s">
        <v>8017</v>
      </c>
      <c r="D2899" s="1" t="s">
        <v>8049</v>
      </c>
      <c r="F2899" s="1" t="s">
        <v>8122</v>
      </c>
      <c r="H2899" s="1" t="s">
        <v>8143</v>
      </c>
      <c r="J2899" s="1" t="s">
        <v>8144</v>
      </c>
      <c r="L2899" s="1" t="s">
        <v>2078</v>
      </c>
      <c r="N2899" s="1" t="s">
        <v>2079</v>
      </c>
      <c r="P2899" s="1" t="s">
        <v>2418</v>
      </c>
      <c r="Q2899" s="3">
        <v>0</v>
      </c>
      <c r="R2899" s="22" t="s">
        <v>2724</v>
      </c>
      <c r="S2899" s="42" t="s">
        <v>6909</v>
      </c>
      <c r="T2899" s="3" t="s">
        <v>4868</v>
      </c>
      <c r="U2899" s="45">
        <v>35</v>
      </c>
      <c r="V2899" t="s">
        <v>8125</v>
      </c>
      <c r="W2899" s="1" t="str">
        <f>HYPERLINK("http://ictvonline.org/taxonomy/p/taxonomy-history?taxnode_id=201903358","ICTVonline=201903358")</f>
        <v>ICTVonline=201903358</v>
      </c>
    </row>
    <row r="2900" spans="1:23">
      <c r="A2900" s="3">
        <v>2899</v>
      </c>
      <c r="B2900" s="1" t="s">
        <v>8017</v>
      </c>
      <c r="D2900" s="1" t="s">
        <v>8049</v>
      </c>
      <c r="F2900" s="1" t="s">
        <v>8122</v>
      </c>
      <c r="H2900" s="1" t="s">
        <v>8143</v>
      </c>
      <c r="J2900" s="1" t="s">
        <v>8144</v>
      </c>
      <c r="L2900" s="1" t="s">
        <v>2078</v>
      </c>
      <c r="N2900" s="1" t="s">
        <v>2079</v>
      </c>
      <c r="P2900" s="1" t="s">
        <v>2419</v>
      </c>
      <c r="Q2900" s="3">
        <v>0</v>
      </c>
      <c r="R2900" s="22" t="s">
        <v>2724</v>
      </c>
      <c r="S2900" s="42" t="s">
        <v>6909</v>
      </c>
      <c r="T2900" s="3" t="s">
        <v>4868</v>
      </c>
      <c r="U2900" s="45">
        <v>35</v>
      </c>
      <c r="V2900" t="s">
        <v>8125</v>
      </c>
      <c r="W2900" s="1" t="str">
        <f>HYPERLINK("http://ictvonline.org/taxonomy/p/taxonomy-history?taxnode_id=201903359","ICTVonline=201903359")</f>
        <v>ICTVonline=201903359</v>
      </c>
    </row>
    <row r="2901" spans="1:23">
      <c r="A2901" s="3">
        <v>2900</v>
      </c>
      <c r="B2901" s="1" t="s">
        <v>8017</v>
      </c>
      <c r="D2901" s="1" t="s">
        <v>8049</v>
      </c>
      <c r="F2901" s="1" t="s">
        <v>8122</v>
      </c>
      <c r="H2901" s="1" t="s">
        <v>8143</v>
      </c>
      <c r="J2901" s="1" t="s">
        <v>8144</v>
      </c>
      <c r="L2901" s="1" t="s">
        <v>2078</v>
      </c>
      <c r="N2901" s="1" t="s">
        <v>2079</v>
      </c>
      <c r="P2901" s="1" t="s">
        <v>1833</v>
      </c>
      <c r="Q2901" s="3">
        <v>0</v>
      </c>
      <c r="R2901" s="22" t="s">
        <v>2724</v>
      </c>
      <c r="S2901" s="42" t="s">
        <v>6909</v>
      </c>
      <c r="T2901" s="3" t="s">
        <v>4868</v>
      </c>
      <c r="U2901" s="45">
        <v>35</v>
      </c>
      <c r="V2901" t="s">
        <v>8125</v>
      </c>
      <c r="W2901" s="1" t="str">
        <f>HYPERLINK("http://ictvonline.org/taxonomy/p/taxonomy-history?taxnode_id=201903360","ICTVonline=201903360")</f>
        <v>ICTVonline=201903360</v>
      </c>
    </row>
    <row r="2902" spans="1:23">
      <c r="A2902" s="3">
        <v>2901</v>
      </c>
      <c r="B2902" s="1" t="s">
        <v>8017</v>
      </c>
      <c r="D2902" s="1" t="s">
        <v>8049</v>
      </c>
      <c r="F2902" s="1" t="s">
        <v>8122</v>
      </c>
      <c r="H2902" s="1" t="s">
        <v>8143</v>
      </c>
      <c r="J2902" s="1" t="s">
        <v>8144</v>
      </c>
      <c r="L2902" s="1" t="s">
        <v>2078</v>
      </c>
      <c r="N2902" s="1" t="s">
        <v>2079</v>
      </c>
      <c r="P2902" s="1" t="s">
        <v>1834</v>
      </c>
      <c r="Q2902" s="3">
        <v>0</v>
      </c>
      <c r="R2902" s="22" t="s">
        <v>2724</v>
      </c>
      <c r="S2902" s="42" t="s">
        <v>6909</v>
      </c>
      <c r="T2902" s="3" t="s">
        <v>4868</v>
      </c>
      <c r="U2902" s="45">
        <v>35</v>
      </c>
      <c r="V2902" t="s">
        <v>8125</v>
      </c>
      <c r="W2902" s="1" t="str">
        <f>HYPERLINK("http://ictvonline.org/taxonomy/p/taxonomy-history?taxnode_id=201903361","ICTVonline=201903361")</f>
        <v>ICTVonline=201903361</v>
      </c>
    </row>
    <row r="2903" spans="1:23">
      <c r="A2903" s="3">
        <v>2902</v>
      </c>
      <c r="B2903" s="1" t="s">
        <v>8017</v>
      </c>
      <c r="D2903" s="1" t="s">
        <v>8049</v>
      </c>
      <c r="F2903" s="1" t="s">
        <v>8122</v>
      </c>
      <c r="H2903" s="1" t="s">
        <v>8143</v>
      </c>
      <c r="J2903" s="1" t="s">
        <v>8144</v>
      </c>
      <c r="L2903" s="1" t="s">
        <v>2078</v>
      </c>
      <c r="N2903" s="1" t="s">
        <v>2079</v>
      </c>
      <c r="P2903" s="1" t="s">
        <v>3756</v>
      </c>
      <c r="Q2903" s="3">
        <v>0</v>
      </c>
      <c r="R2903" s="22" t="s">
        <v>2724</v>
      </c>
      <c r="S2903" s="42" t="s">
        <v>6909</v>
      </c>
      <c r="T2903" s="3" t="s">
        <v>4868</v>
      </c>
      <c r="U2903" s="45">
        <v>35</v>
      </c>
      <c r="V2903" t="s">
        <v>8125</v>
      </c>
      <c r="W2903" s="1" t="str">
        <f>HYPERLINK("http://ictvonline.org/taxonomy/p/taxonomy-history?taxnode_id=201903362","ICTVonline=201903362")</f>
        <v>ICTVonline=201903362</v>
      </c>
    </row>
    <row r="2904" spans="1:23">
      <c r="A2904" s="3">
        <v>2903</v>
      </c>
      <c r="B2904" s="1" t="s">
        <v>8017</v>
      </c>
      <c r="D2904" s="1" t="s">
        <v>8049</v>
      </c>
      <c r="F2904" s="1" t="s">
        <v>8122</v>
      </c>
      <c r="H2904" s="1" t="s">
        <v>8143</v>
      </c>
      <c r="J2904" s="1" t="s">
        <v>8144</v>
      </c>
      <c r="L2904" s="1" t="s">
        <v>2078</v>
      </c>
      <c r="N2904" s="1" t="s">
        <v>2079</v>
      </c>
      <c r="P2904" s="1" t="s">
        <v>1835</v>
      </c>
      <c r="Q2904" s="3">
        <v>0</v>
      </c>
      <c r="R2904" s="22" t="s">
        <v>2724</v>
      </c>
      <c r="S2904" s="42" t="s">
        <v>6909</v>
      </c>
      <c r="T2904" s="3" t="s">
        <v>4868</v>
      </c>
      <c r="U2904" s="45">
        <v>35</v>
      </c>
      <c r="V2904" t="s">
        <v>8125</v>
      </c>
      <c r="W2904" s="1" t="str">
        <f>HYPERLINK("http://ictvonline.org/taxonomy/p/taxonomy-history?taxnode_id=201903363","ICTVonline=201903363")</f>
        <v>ICTVonline=201903363</v>
      </c>
    </row>
    <row r="2905" spans="1:23">
      <c r="A2905" s="3">
        <v>2904</v>
      </c>
      <c r="B2905" s="1" t="s">
        <v>8017</v>
      </c>
      <c r="D2905" s="1" t="s">
        <v>8049</v>
      </c>
      <c r="F2905" s="1" t="s">
        <v>8122</v>
      </c>
      <c r="H2905" s="1" t="s">
        <v>8143</v>
      </c>
      <c r="J2905" s="1" t="s">
        <v>8144</v>
      </c>
      <c r="L2905" s="1" t="s">
        <v>2078</v>
      </c>
      <c r="N2905" s="1" t="s">
        <v>2079</v>
      </c>
      <c r="P2905" s="1" t="s">
        <v>1836</v>
      </c>
      <c r="Q2905" s="3">
        <v>0</v>
      </c>
      <c r="R2905" s="22" t="s">
        <v>2724</v>
      </c>
      <c r="S2905" s="42" t="s">
        <v>6909</v>
      </c>
      <c r="T2905" s="3" t="s">
        <v>4868</v>
      </c>
      <c r="U2905" s="45">
        <v>35</v>
      </c>
      <c r="V2905" t="s">
        <v>8125</v>
      </c>
      <c r="W2905" s="1" t="str">
        <f>HYPERLINK("http://ictvonline.org/taxonomy/p/taxonomy-history?taxnode_id=201903364","ICTVonline=201903364")</f>
        <v>ICTVonline=201903364</v>
      </c>
    </row>
    <row r="2906" spans="1:23">
      <c r="A2906" s="3">
        <v>2905</v>
      </c>
      <c r="B2906" s="1" t="s">
        <v>8017</v>
      </c>
      <c r="D2906" s="1" t="s">
        <v>8049</v>
      </c>
      <c r="F2906" s="1" t="s">
        <v>8122</v>
      </c>
      <c r="H2906" s="1" t="s">
        <v>8143</v>
      </c>
      <c r="J2906" s="1" t="s">
        <v>8144</v>
      </c>
      <c r="L2906" s="1" t="s">
        <v>2078</v>
      </c>
      <c r="N2906" s="1" t="s">
        <v>2079</v>
      </c>
      <c r="P2906" s="1" t="s">
        <v>5381</v>
      </c>
      <c r="Q2906" s="3">
        <v>0</v>
      </c>
      <c r="R2906" s="22" t="s">
        <v>2724</v>
      </c>
      <c r="S2906" s="42" t="s">
        <v>6909</v>
      </c>
      <c r="T2906" s="3" t="s">
        <v>4868</v>
      </c>
      <c r="U2906" s="45">
        <v>35</v>
      </c>
      <c r="V2906" t="s">
        <v>8125</v>
      </c>
      <c r="W2906" s="1" t="str">
        <f>HYPERLINK("http://ictvonline.org/taxonomy/p/taxonomy-history?taxnode_id=201905829","ICTVonline=201905829")</f>
        <v>ICTVonline=201905829</v>
      </c>
    </row>
    <row r="2907" spans="1:23">
      <c r="A2907" s="3">
        <v>2906</v>
      </c>
      <c r="B2907" s="1" t="s">
        <v>8017</v>
      </c>
      <c r="D2907" s="1" t="s">
        <v>8049</v>
      </c>
      <c r="F2907" s="1" t="s">
        <v>8122</v>
      </c>
      <c r="H2907" s="1" t="s">
        <v>8143</v>
      </c>
      <c r="J2907" s="1" t="s">
        <v>8144</v>
      </c>
      <c r="L2907" s="1" t="s">
        <v>2078</v>
      </c>
      <c r="N2907" s="1" t="s">
        <v>2079</v>
      </c>
      <c r="P2907" s="1" t="s">
        <v>513</v>
      </c>
      <c r="Q2907" s="3">
        <v>0</v>
      </c>
      <c r="R2907" s="22" t="s">
        <v>2724</v>
      </c>
      <c r="S2907" s="42" t="s">
        <v>6909</v>
      </c>
      <c r="T2907" s="3" t="s">
        <v>4868</v>
      </c>
      <c r="U2907" s="45">
        <v>35</v>
      </c>
      <c r="V2907" t="s">
        <v>8125</v>
      </c>
      <c r="W2907" s="1" t="str">
        <f>HYPERLINK("http://ictvonline.org/taxonomy/p/taxonomy-history?taxnode_id=201903365","ICTVonline=201903365")</f>
        <v>ICTVonline=201903365</v>
      </c>
    </row>
    <row r="2908" spans="1:23">
      <c r="A2908" s="3">
        <v>2907</v>
      </c>
      <c r="B2908" s="1" t="s">
        <v>8017</v>
      </c>
      <c r="D2908" s="1" t="s">
        <v>8049</v>
      </c>
      <c r="F2908" s="1" t="s">
        <v>8122</v>
      </c>
      <c r="H2908" s="1" t="s">
        <v>8143</v>
      </c>
      <c r="J2908" s="1" t="s">
        <v>8144</v>
      </c>
      <c r="L2908" s="1" t="s">
        <v>2078</v>
      </c>
      <c r="N2908" s="1" t="s">
        <v>2079</v>
      </c>
      <c r="P2908" s="1" t="s">
        <v>514</v>
      </c>
      <c r="Q2908" s="3">
        <v>0</v>
      </c>
      <c r="R2908" s="22" t="s">
        <v>2724</v>
      </c>
      <c r="S2908" s="42" t="s">
        <v>6909</v>
      </c>
      <c r="T2908" s="3" t="s">
        <v>4868</v>
      </c>
      <c r="U2908" s="45">
        <v>35</v>
      </c>
      <c r="V2908" t="s">
        <v>8125</v>
      </c>
      <c r="W2908" s="1" t="str">
        <f>HYPERLINK("http://ictvonline.org/taxonomy/p/taxonomy-history?taxnode_id=201903366","ICTVonline=201903366")</f>
        <v>ICTVonline=201903366</v>
      </c>
    </row>
    <row r="2909" spans="1:23">
      <c r="A2909" s="3">
        <v>2908</v>
      </c>
      <c r="B2909" s="1" t="s">
        <v>8017</v>
      </c>
      <c r="D2909" s="1" t="s">
        <v>8049</v>
      </c>
      <c r="F2909" s="1" t="s">
        <v>8122</v>
      </c>
      <c r="H2909" s="1" t="s">
        <v>8143</v>
      </c>
      <c r="J2909" s="1" t="s">
        <v>8144</v>
      </c>
      <c r="L2909" s="1" t="s">
        <v>2078</v>
      </c>
      <c r="N2909" s="1" t="s">
        <v>2079</v>
      </c>
      <c r="P2909" s="1" t="s">
        <v>3757</v>
      </c>
      <c r="Q2909" s="3">
        <v>0</v>
      </c>
      <c r="R2909" s="22" t="s">
        <v>2724</v>
      </c>
      <c r="S2909" s="42" t="s">
        <v>6909</v>
      </c>
      <c r="T2909" s="3" t="s">
        <v>4868</v>
      </c>
      <c r="U2909" s="45">
        <v>35</v>
      </c>
      <c r="V2909" t="s">
        <v>8125</v>
      </c>
      <c r="W2909" s="1" t="str">
        <f>HYPERLINK("http://ictvonline.org/taxonomy/p/taxonomy-history?taxnode_id=201903367","ICTVonline=201903367")</f>
        <v>ICTVonline=201903367</v>
      </c>
    </row>
    <row r="2910" spans="1:23">
      <c r="A2910" s="3">
        <v>2909</v>
      </c>
      <c r="B2910" s="1" t="s">
        <v>8017</v>
      </c>
      <c r="D2910" s="1" t="s">
        <v>8049</v>
      </c>
      <c r="F2910" s="1" t="s">
        <v>8122</v>
      </c>
      <c r="H2910" s="1" t="s">
        <v>8143</v>
      </c>
      <c r="J2910" s="1" t="s">
        <v>8144</v>
      </c>
      <c r="L2910" s="1" t="s">
        <v>2078</v>
      </c>
      <c r="N2910" s="1" t="s">
        <v>2079</v>
      </c>
      <c r="P2910" s="1" t="s">
        <v>2420</v>
      </c>
      <c r="Q2910" s="3">
        <v>0</v>
      </c>
      <c r="R2910" s="22" t="s">
        <v>2724</v>
      </c>
      <c r="S2910" s="42" t="s">
        <v>6909</v>
      </c>
      <c r="T2910" s="3" t="s">
        <v>4868</v>
      </c>
      <c r="U2910" s="45">
        <v>35</v>
      </c>
      <c r="V2910" t="s">
        <v>8125</v>
      </c>
      <c r="W2910" s="1" t="str">
        <f>HYPERLINK("http://ictvonline.org/taxonomy/p/taxonomy-history?taxnode_id=201903368","ICTVonline=201903368")</f>
        <v>ICTVonline=201903368</v>
      </c>
    </row>
    <row r="2911" spans="1:23">
      <c r="A2911" s="3">
        <v>2910</v>
      </c>
      <c r="B2911" s="1" t="s">
        <v>8017</v>
      </c>
      <c r="D2911" s="1" t="s">
        <v>8049</v>
      </c>
      <c r="F2911" s="1" t="s">
        <v>8122</v>
      </c>
      <c r="H2911" s="1" t="s">
        <v>8143</v>
      </c>
      <c r="J2911" s="1" t="s">
        <v>8144</v>
      </c>
      <c r="L2911" s="1" t="s">
        <v>2078</v>
      </c>
      <c r="N2911" s="1" t="s">
        <v>2079</v>
      </c>
      <c r="P2911" s="1" t="s">
        <v>515</v>
      </c>
      <c r="Q2911" s="3">
        <v>0</v>
      </c>
      <c r="R2911" s="22" t="s">
        <v>2724</v>
      </c>
      <c r="S2911" s="42" t="s">
        <v>6909</v>
      </c>
      <c r="T2911" s="3" t="s">
        <v>4868</v>
      </c>
      <c r="U2911" s="45">
        <v>35</v>
      </c>
      <c r="V2911" t="s">
        <v>8125</v>
      </c>
      <c r="W2911" s="1" t="str">
        <f>HYPERLINK("http://ictvonline.org/taxonomy/p/taxonomy-history?taxnode_id=201903369","ICTVonline=201903369")</f>
        <v>ICTVonline=201903369</v>
      </c>
    </row>
    <row r="2912" spans="1:23">
      <c r="A2912" s="3">
        <v>2911</v>
      </c>
      <c r="B2912" s="1" t="s">
        <v>8017</v>
      </c>
      <c r="D2912" s="1" t="s">
        <v>8049</v>
      </c>
      <c r="F2912" s="1" t="s">
        <v>8122</v>
      </c>
      <c r="H2912" s="1" t="s">
        <v>8143</v>
      </c>
      <c r="J2912" s="1" t="s">
        <v>8144</v>
      </c>
      <c r="L2912" s="1" t="s">
        <v>2078</v>
      </c>
      <c r="N2912" s="1" t="s">
        <v>2079</v>
      </c>
      <c r="P2912" s="1" t="s">
        <v>3758</v>
      </c>
      <c r="Q2912" s="3">
        <v>0</v>
      </c>
      <c r="R2912" s="22" t="s">
        <v>2724</v>
      </c>
      <c r="S2912" s="42" t="s">
        <v>6909</v>
      </c>
      <c r="T2912" s="3" t="s">
        <v>4868</v>
      </c>
      <c r="U2912" s="45">
        <v>35</v>
      </c>
      <c r="V2912" t="s">
        <v>8125</v>
      </c>
      <c r="W2912" s="1" t="str">
        <f>HYPERLINK("http://ictvonline.org/taxonomy/p/taxonomy-history?taxnode_id=201903370","ICTVonline=201903370")</f>
        <v>ICTVonline=201903370</v>
      </c>
    </row>
    <row r="2913" spans="1:23">
      <c r="A2913" s="3">
        <v>2912</v>
      </c>
      <c r="B2913" s="1" t="s">
        <v>8017</v>
      </c>
      <c r="D2913" s="1" t="s">
        <v>8049</v>
      </c>
      <c r="F2913" s="1" t="s">
        <v>8122</v>
      </c>
      <c r="H2913" s="1" t="s">
        <v>8143</v>
      </c>
      <c r="J2913" s="1" t="s">
        <v>8144</v>
      </c>
      <c r="L2913" s="1" t="s">
        <v>2078</v>
      </c>
      <c r="N2913" s="1" t="s">
        <v>2079</v>
      </c>
      <c r="P2913" s="1" t="s">
        <v>516</v>
      </c>
      <c r="Q2913" s="3">
        <v>0</v>
      </c>
      <c r="R2913" s="22" t="s">
        <v>2724</v>
      </c>
      <c r="S2913" s="42" t="s">
        <v>6909</v>
      </c>
      <c r="T2913" s="3" t="s">
        <v>4868</v>
      </c>
      <c r="U2913" s="45">
        <v>35</v>
      </c>
      <c r="V2913" t="s">
        <v>8125</v>
      </c>
      <c r="W2913" s="1" t="str">
        <f>HYPERLINK("http://ictvonline.org/taxonomy/p/taxonomy-history?taxnode_id=201903371","ICTVonline=201903371")</f>
        <v>ICTVonline=201903371</v>
      </c>
    </row>
    <row r="2914" spans="1:23">
      <c r="A2914" s="3">
        <v>2913</v>
      </c>
      <c r="B2914" s="1" t="s">
        <v>8017</v>
      </c>
      <c r="D2914" s="1" t="s">
        <v>8049</v>
      </c>
      <c r="F2914" s="1" t="s">
        <v>8122</v>
      </c>
      <c r="H2914" s="1" t="s">
        <v>8143</v>
      </c>
      <c r="J2914" s="1" t="s">
        <v>8144</v>
      </c>
      <c r="L2914" s="1" t="s">
        <v>2078</v>
      </c>
      <c r="N2914" s="1" t="s">
        <v>2079</v>
      </c>
      <c r="P2914" s="1" t="s">
        <v>517</v>
      </c>
      <c r="Q2914" s="3">
        <v>0</v>
      </c>
      <c r="R2914" s="22" t="s">
        <v>2724</v>
      </c>
      <c r="S2914" s="42" t="s">
        <v>6909</v>
      </c>
      <c r="T2914" s="3" t="s">
        <v>4868</v>
      </c>
      <c r="U2914" s="45">
        <v>35</v>
      </c>
      <c r="V2914" t="s">
        <v>8125</v>
      </c>
      <c r="W2914" s="1" t="str">
        <f>HYPERLINK("http://ictvonline.org/taxonomy/p/taxonomy-history?taxnode_id=201903372","ICTVonline=201903372")</f>
        <v>ICTVonline=201903372</v>
      </c>
    </row>
    <row r="2915" spans="1:23">
      <c r="A2915" s="3">
        <v>2914</v>
      </c>
      <c r="B2915" s="1" t="s">
        <v>8017</v>
      </c>
      <c r="D2915" s="1" t="s">
        <v>8049</v>
      </c>
      <c r="F2915" s="1" t="s">
        <v>8122</v>
      </c>
      <c r="H2915" s="1" t="s">
        <v>8143</v>
      </c>
      <c r="J2915" s="1" t="s">
        <v>8144</v>
      </c>
      <c r="L2915" s="1" t="s">
        <v>2078</v>
      </c>
      <c r="N2915" s="1" t="s">
        <v>2079</v>
      </c>
      <c r="P2915" s="1" t="s">
        <v>518</v>
      </c>
      <c r="Q2915" s="3">
        <v>0</v>
      </c>
      <c r="R2915" s="22" t="s">
        <v>2724</v>
      </c>
      <c r="S2915" s="42" t="s">
        <v>6909</v>
      </c>
      <c r="T2915" s="3" t="s">
        <v>4868</v>
      </c>
      <c r="U2915" s="45">
        <v>35</v>
      </c>
      <c r="V2915" t="s">
        <v>8125</v>
      </c>
      <c r="W2915" s="1" t="str">
        <f>HYPERLINK("http://ictvonline.org/taxonomy/p/taxonomy-history?taxnode_id=201903373","ICTVonline=201903373")</f>
        <v>ICTVonline=201903373</v>
      </c>
    </row>
    <row r="2916" spans="1:23">
      <c r="A2916" s="3">
        <v>2915</v>
      </c>
      <c r="B2916" s="1" t="s">
        <v>8017</v>
      </c>
      <c r="D2916" s="1" t="s">
        <v>8049</v>
      </c>
      <c r="F2916" s="1" t="s">
        <v>8122</v>
      </c>
      <c r="H2916" s="1" t="s">
        <v>8143</v>
      </c>
      <c r="J2916" s="1" t="s">
        <v>8144</v>
      </c>
      <c r="L2916" s="1" t="s">
        <v>2078</v>
      </c>
      <c r="N2916" s="1" t="s">
        <v>2079</v>
      </c>
      <c r="P2916" s="1" t="s">
        <v>519</v>
      </c>
      <c r="Q2916" s="3">
        <v>0</v>
      </c>
      <c r="R2916" s="22" t="s">
        <v>2724</v>
      </c>
      <c r="S2916" s="42" t="s">
        <v>6909</v>
      </c>
      <c r="T2916" s="3" t="s">
        <v>4868</v>
      </c>
      <c r="U2916" s="45">
        <v>35</v>
      </c>
      <c r="V2916" t="s">
        <v>8125</v>
      </c>
      <c r="W2916" s="1" t="str">
        <f>HYPERLINK("http://ictvonline.org/taxonomy/p/taxonomy-history?taxnode_id=201903374","ICTVonline=201903374")</f>
        <v>ICTVonline=201903374</v>
      </c>
    </row>
    <row r="2917" spans="1:23">
      <c r="A2917" s="3">
        <v>2916</v>
      </c>
      <c r="B2917" s="1" t="s">
        <v>8017</v>
      </c>
      <c r="D2917" s="1" t="s">
        <v>8049</v>
      </c>
      <c r="F2917" s="1" t="s">
        <v>8122</v>
      </c>
      <c r="H2917" s="1" t="s">
        <v>8143</v>
      </c>
      <c r="J2917" s="1" t="s">
        <v>8144</v>
      </c>
      <c r="L2917" s="1" t="s">
        <v>2078</v>
      </c>
      <c r="N2917" s="1" t="s">
        <v>2079</v>
      </c>
      <c r="P2917" s="1" t="s">
        <v>520</v>
      </c>
      <c r="Q2917" s="3">
        <v>0</v>
      </c>
      <c r="R2917" s="22" t="s">
        <v>2724</v>
      </c>
      <c r="S2917" s="42" t="s">
        <v>6909</v>
      </c>
      <c r="T2917" s="3" t="s">
        <v>4868</v>
      </c>
      <c r="U2917" s="45">
        <v>35</v>
      </c>
      <c r="V2917" t="s">
        <v>8125</v>
      </c>
      <c r="W2917" s="1" t="str">
        <f>HYPERLINK("http://ictvonline.org/taxonomy/p/taxonomy-history?taxnode_id=201903375","ICTVonline=201903375")</f>
        <v>ICTVonline=201903375</v>
      </c>
    </row>
    <row r="2918" spans="1:23">
      <c r="A2918" s="3">
        <v>2917</v>
      </c>
      <c r="B2918" s="1" t="s">
        <v>8017</v>
      </c>
      <c r="D2918" s="1" t="s">
        <v>8049</v>
      </c>
      <c r="F2918" s="1" t="s">
        <v>8122</v>
      </c>
      <c r="H2918" s="1" t="s">
        <v>8143</v>
      </c>
      <c r="J2918" s="1" t="s">
        <v>8144</v>
      </c>
      <c r="L2918" s="1" t="s">
        <v>2078</v>
      </c>
      <c r="N2918" s="1" t="s">
        <v>2079</v>
      </c>
      <c r="P2918" s="1" t="s">
        <v>521</v>
      </c>
      <c r="Q2918" s="3">
        <v>0</v>
      </c>
      <c r="R2918" s="22" t="s">
        <v>2724</v>
      </c>
      <c r="S2918" s="42" t="s">
        <v>6909</v>
      </c>
      <c r="T2918" s="3" t="s">
        <v>4868</v>
      </c>
      <c r="U2918" s="45">
        <v>35</v>
      </c>
      <c r="V2918" t="s">
        <v>8125</v>
      </c>
      <c r="W2918" s="1" t="str">
        <f>HYPERLINK("http://ictvonline.org/taxonomy/p/taxonomy-history?taxnode_id=201903376","ICTVonline=201903376")</f>
        <v>ICTVonline=201903376</v>
      </c>
    </row>
    <row r="2919" spans="1:23">
      <c r="A2919" s="3">
        <v>2918</v>
      </c>
      <c r="B2919" s="1" t="s">
        <v>8017</v>
      </c>
      <c r="D2919" s="1" t="s">
        <v>8049</v>
      </c>
      <c r="F2919" s="1" t="s">
        <v>8122</v>
      </c>
      <c r="H2919" s="1" t="s">
        <v>8143</v>
      </c>
      <c r="J2919" s="1" t="s">
        <v>8144</v>
      </c>
      <c r="L2919" s="1" t="s">
        <v>2078</v>
      </c>
      <c r="N2919" s="1" t="s">
        <v>2079</v>
      </c>
      <c r="P2919" s="1" t="s">
        <v>522</v>
      </c>
      <c r="Q2919" s="3">
        <v>0</v>
      </c>
      <c r="R2919" s="22" t="s">
        <v>2724</v>
      </c>
      <c r="S2919" s="42" t="s">
        <v>6909</v>
      </c>
      <c r="T2919" s="3" t="s">
        <v>4868</v>
      </c>
      <c r="U2919" s="45">
        <v>35</v>
      </c>
      <c r="V2919" t="s">
        <v>8125</v>
      </c>
      <c r="W2919" s="1" t="str">
        <f>HYPERLINK("http://ictvonline.org/taxonomy/p/taxonomy-history?taxnode_id=201903377","ICTVonline=201903377")</f>
        <v>ICTVonline=201903377</v>
      </c>
    </row>
    <row r="2920" spans="1:23">
      <c r="A2920" s="3">
        <v>2919</v>
      </c>
      <c r="B2920" s="1" t="s">
        <v>8017</v>
      </c>
      <c r="D2920" s="1" t="s">
        <v>8049</v>
      </c>
      <c r="F2920" s="1" t="s">
        <v>8122</v>
      </c>
      <c r="H2920" s="1" t="s">
        <v>8143</v>
      </c>
      <c r="J2920" s="1" t="s">
        <v>8144</v>
      </c>
      <c r="L2920" s="1" t="s">
        <v>2078</v>
      </c>
      <c r="N2920" s="1" t="s">
        <v>2079</v>
      </c>
      <c r="P2920" s="1" t="s">
        <v>3759</v>
      </c>
      <c r="Q2920" s="3">
        <v>0</v>
      </c>
      <c r="R2920" s="22" t="s">
        <v>2724</v>
      </c>
      <c r="S2920" s="42" t="s">
        <v>6909</v>
      </c>
      <c r="T2920" s="3" t="s">
        <v>4868</v>
      </c>
      <c r="U2920" s="45">
        <v>35</v>
      </c>
      <c r="V2920" t="s">
        <v>8125</v>
      </c>
      <c r="W2920" s="1" t="str">
        <f>HYPERLINK("http://ictvonline.org/taxonomy/p/taxonomy-history?taxnode_id=201903378","ICTVonline=201903378")</f>
        <v>ICTVonline=201903378</v>
      </c>
    </row>
    <row r="2921" spans="1:23">
      <c r="A2921" s="3">
        <v>2920</v>
      </c>
      <c r="B2921" s="1" t="s">
        <v>8017</v>
      </c>
      <c r="D2921" s="1" t="s">
        <v>8049</v>
      </c>
      <c r="F2921" s="1" t="s">
        <v>8122</v>
      </c>
      <c r="H2921" s="1" t="s">
        <v>8143</v>
      </c>
      <c r="J2921" s="1" t="s">
        <v>8144</v>
      </c>
      <c r="L2921" s="1" t="s">
        <v>2078</v>
      </c>
      <c r="N2921" s="1" t="s">
        <v>2079</v>
      </c>
      <c r="P2921" s="1" t="s">
        <v>5382</v>
      </c>
      <c r="Q2921" s="3">
        <v>0</v>
      </c>
      <c r="R2921" s="22" t="s">
        <v>2724</v>
      </c>
      <c r="S2921" s="42" t="s">
        <v>6909</v>
      </c>
      <c r="T2921" s="3" t="s">
        <v>4868</v>
      </c>
      <c r="U2921" s="45">
        <v>35</v>
      </c>
      <c r="V2921" t="s">
        <v>8125</v>
      </c>
      <c r="W2921" s="1" t="str">
        <f>HYPERLINK("http://ictvonline.org/taxonomy/p/taxonomy-history?taxnode_id=201905830","ICTVonline=201905830")</f>
        <v>ICTVonline=201905830</v>
      </c>
    </row>
    <row r="2922" spans="1:23">
      <c r="A2922" s="3">
        <v>2921</v>
      </c>
      <c r="B2922" s="1" t="s">
        <v>8017</v>
      </c>
      <c r="D2922" s="1" t="s">
        <v>8049</v>
      </c>
      <c r="F2922" s="1" t="s">
        <v>8122</v>
      </c>
      <c r="H2922" s="1" t="s">
        <v>8143</v>
      </c>
      <c r="J2922" s="1" t="s">
        <v>8144</v>
      </c>
      <c r="L2922" s="1" t="s">
        <v>2078</v>
      </c>
      <c r="N2922" s="1" t="s">
        <v>2079</v>
      </c>
      <c r="P2922" s="1" t="s">
        <v>523</v>
      </c>
      <c r="Q2922" s="3">
        <v>0</v>
      </c>
      <c r="R2922" s="22" t="s">
        <v>2724</v>
      </c>
      <c r="S2922" s="42" t="s">
        <v>6909</v>
      </c>
      <c r="T2922" s="3" t="s">
        <v>4868</v>
      </c>
      <c r="U2922" s="45">
        <v>35</v>
      </c>
      <c r="V2922" t="s">
        <v>8125</v>
      </c>
      <c r="W2922" s="1" t="str">
        <f>HYPERLINK("http://ictvonline.org/taxonomy/p/taxonomy-history?taxnode_id=201903379","ICTVonline=201903379")</f>
        <v>ICTVonline=201903379</v>
      </c>
    </row>
    <row r="2923" spans="1:23">
      <c r="A2923" s="3">
        <v>2922</v>
      </c>
      <c r="B2923" s="1" t="s">
        <v>8017</v>
      </c>
      <c r="D2923" s="1" t="s">
        <v>8049</v>
      </c>
      <c r="F2923" s="1" t="s">
        <v>8122</v>
      </c>
      <c r="H2923" s="1" t="s">
        <v>8143</v>
      </c>
      <c r="J2923" s="1" t="s">
        <v>8144</v>
      </c>
      <c r="L2923" s="1" t="s">
        <v>2078</v>
      </c>
      <c r="N2923" s="1" t="s">
        <v>2079</v>
      </c>
      <c r="P2923" s="1" t="s">
        <v>524</v>
      </c>
      <c r="Q2923" s="3">
        <v>0</v>
      </c>
      <c r="R2923" s="22" t="s">
        <v>2724</v>
      </c>
      <c r="S2923" s="42" t="s">
        <v>6909</v>
      </c>
      <c r="T2923" s="3" t="s">
        <v>4868</v>
      </c>
      <c r="U2923" s="45">
        <v>35</v>
      </c>
      <c r="V2923" t="s">
        <v>8125</v>
      </c>
      <c r="W2923" s="1" t="str">
        <f>HYPERLINK("http://ictvonline.org/taxonomy/p/taxonomy-history?taxnode_id=201903380","ICTVonline=201903380")</f>
        <v>ICTVonline=201903380</v>
      </c>
    </row>
    <row r="2924" spans="1:23">
      <c r="A2924" s="3">
        <v>2923</v>
      </c>
      <c r="B2924" s="1" t="s">
        <v>8017</v>
      </c>
      <c r="D2924" s="1" t="s">
        <v>8049</v>
      </c>
      <c r="F2924" s="1" t="s">
        <v>8122</v>
      </c>
      <c r="H2924" s="1" t="s">
        <v>8143</v>
      </c>
      <c r="J2924" s="1" t="s">
        <v>8144</v>
      </c>
      <c r="L2924" s="1" t="s">
        <v>2078</v>
      </c>
      <c r="N2924" s="1" t="s">
        <v>2079</v>
      </c>
      <c r="P2924" s="1" t="s">
        <v>525</v>
      </c>
      <c r="Q2924" s="3">
        <v>0</v>
      </c>
      <c r="R2924" s="22" t="s">
        <v>2724</v>
      </c>
      <c r="S2924" s="42" t="s">
        <v>6909</v>
      </c>
      <c r="T2924" s="3" t="s">
        <v>4868</v>
      </c>
      <c r="U2924" s="45">
        <v>35</v>
      </c>
      <c r="V2924" t="s">
        <v>8125</v>
      </c>
      <c r="W2924" s="1" t="str">
        <f>HYPERLINK("http://ictvonline.org/taxonomy/p/taxonomy-history?taxnode_id=201903381","ICTVonline=201903381")</f>
        <v>ICTVonline=201903381</v>
      </c>
    </row>
    <row r="2925" spans="1:23">
      <c r="A2925" s="3">
        <v>2924</v>
      </c>
      <c r="B2925" s="1" t="s">
        <v>8017</v>
      </c>
      <c r="D2925" s="1" t="s">
        <v>8049</v>
      </c>
      <c r="F2925" s="1" t="s">
        <v>8122</v>
      </c>
      <c r="H2925" s="1" t="s">
        <v>8143</v>
      </c>
      <c r="J2925" s="1" t="s">
        <v>8144</v>
      </c>
      <c r="L2925" s="1" t="s">
        <v>2078</v>
      </c>
      <c r="N2925" s="1" t="s">
        <v>2079</v>
      </c>
      <c r="P2925" s="1" t="s">
        <v>5383</v>
      </c>
      <c r="Q2925" s="3">
        <v>0</v>
      </c>
      <c r="R2925" s="22" t="s">
        <v>2724</v>
      </c>
      <c r="S2925" s="42" t="s">
        <v>6909</v>
      </c>
      <c r="T2925" s="3" t="s">
        <v>4868</v>
      </c>
      <c r="U2925" s="45">
        <v>35</v>
      </c>
      <c r="V2925" t="s">
        <v>8125</v>
      </c>
      <c r="W2925" s="1" t="str">
        <f>HYPERLINK("http://ictvonline.org/taxonomy/p/taxonomy-history?taxnode_id=201905831","ICTVonline=201905831")</f>
        <v>ICTVonline=201905831</v>
      </c>
    </row>
    <row r="2926" spans="1:23">
      <c r="A2926" s="3">
        <v>2925</v>
      </c>
      <c r="B2926" s="1" t="s">
        <v>8017</v>
      </c>
      <c r="D2926" s="1" t="s">
        <v>8049</v>
      </c>
      <c r="F2926" s="1" t="s">
        <v>8122</v>
      </c>
      <c r="H2926" s="1" t="s">
        <v>8143</v>
      </c>
      <c r="J2926" s="1" t="s">
        <v>8144</v>
      </c>
      <c r="L2926" s="1" t="s">
        <v>2078</v>
      </c>
      <c r="N2926" s="1" t="s">
        <v>2079</v>
      </c>
      <c r="P2926" s="1" t="s">
        <v>3760</v>
      </c>
      <c r="Q2926" s="3">
        <v>0</v>
      </c>
      <c r="R2926" s="22" t="s">
        <v>2724</v>
      </c>
      <c r="S2926" s="42" t="s">
        <v>6909</v>
      </c>
      <c r="T2926" s="3" t="s">
        <v>4868</v>
      </c>
      <c r="U2926" s="45">
        <v>35</v>
      </c>
      <c r="V2926" t="s">
        <v>8125</v>
      </c>
      <c r="W2926" s="1" t="str">
        <f>HYPERLINK("http://ictvonline.org/taxonomy/p/taxonomy-history?taxnode_id=201903382","ICTVonline=201903382")</f>
        <v>ICTVonline=201903382</v>
      </c>
    </row>
    <row r="2927" spans="1:23">
      <c r="A2927" s="3">
        <v>2926</v>
      </c>
      <c r="B2927" s="1" t="s">
        <v>8017</v>
      </c>
      <c r="D2927" s="1" t="s">
        <v>8049</v>
      </c>
      <c r="F2927" s="1" t="s">
        <v>8122</v>
      </c>
      <c r="H2927" s="1" t="s">
        <v>8143</v>
      </c>
      <c r="J2927" s="1" t="s">
        <v>8144</v>
      </c>
      <c r="L2927" s="1" t="s">
        <v>2078</v>
      </c>
      <c r="N2927" s="1" t="s">
        <v>2079</v>
      </c>
      <c r="P2927" s="1" t="s">
        <v>8157</v>
      </c>
      <c r="Q2927" s="3">
        <v>0</v>
      </c>
      <c r="R2927" s="22" t="s">
        <v>2724</v>
      </c>
      <c r="S2927" s="42" t="s">
        <v>6914</v>
      </c>
      <c r="T2927" s="3" t="s">
        <v>4866</v>
      </c>
      <c r="U2927" s="45">
        <v>35</v>
      </c>
      <c r="V2927" t="s">
        <v>8146</v>
      </c>
      <c r="W2927" s="1" t="str">
        <f>HYPERLINK("http://ictvonline.org/taxonomy/p/taxonomy-history?taxnode_id=201907533","ICTVonline=201907533")</f>
        <v>ICTVonline=201907533</v>
      </c>
    </row>
    <row r="2928" spans="1:23">
      <c r="A2928" s="3">
        <v>2927</v>
      </c>
      <c r="B2928" s="1" t="s">
        <v>8017</v>
      </c>
      <c r="D2928" s="1" t="s">
        <v>8049</v>
      </c>
      <c r="F2928" s="1" t="s">
        <v>8122</v>
      </c>
      <c r="H2928" s="1" t="s">
        <v>8143</v>
      </c>
      <c r="J2928" s="1" t="s">
        <v>8144</v>
      </c>
      <c r="L2928" s="1" t="s">
        <v>2078</v>
      </c>
      <c r="N2928" s="1" t="s">
        <v>2079</v>
      </c>
      <c r="P2928" s="1" t="s">
        <v>2421</v>
      </c>
      <c r="Q2928" s="3">
        <v>0</v>
      </c>
      <c r="R2928" s="22" t="s">
        <v>2724</v>
      </c>
      <c r="S2928" s="42" t="s">
        <v>6909</v>
      </c>
      <c r="T2928" s="3" t="s">
        <v>4868</v>
      </c>
      <c r="U2928" s="45">
        <v>35</v>
      </c>
      <c r="V2928" t="s">
        <v>8125</v>
      </c>
      <c r="W2928" s="1" t="str">
        <f>HYPERLINK("http://ictvonline.org/taxonomy/p/taxonomy-history?taxnode_id=201903383","ICTVonline=201903383")</f>
        <v>ICTVonline=201903383</v>
      </c>
    </row>
    <row r="2929" spans="1:23">
      <c r="A2929" s="3">
        <v>2928</v>
      </c>
      <c r="B2929" s="1" t="s">
        <v>8017</v>
      </c>
      <c r="D2929" s="1" t="s">
        <v>8049</v>
      </c>
      <c r="F2929" s="1" t="s">
        <v>8122</v>
      </c>
      <c r="H2929" s="1" t="s">
        <v>8143</v>
      </c>
      <c r="J2929" s="1" t="s">
        <v>8144</v>
      </c>
      <c r="L2929" s="1" t="s">
        <v>2078</v>
      </c>
      <c r="N2929" s="1" t="s">
        <v>2079</v>
      </c>
      <c r="P2929" s="1" t="s">
        <v>6853</v>
      </c>
      <c r="Q2929" s="3">
        <v>0</v>
      </c>
      <c r="R2929" s="22" t="s">
        <v>2724</v>
      </c>
      <c r="S2929" s="42" t="s">
        <v>6909</v>
      </c>
      <c r="T2929" s="3" t="s">
        <v>4868</v>
      </c>
      <c r="U2929" s="45">
        <v>35</v>
      </c>
      <c r="V2929" t="s">
        <v>8125</v>
      </c>
      <c r="W2929" s="1" t="str">
        <f>HYPERLINK("http://ictvonline.org/taxonomy/p/taxonomy-history?taxnode_id=201906708","ICTVonline=201906708")</f>
        <v>ICTVonline=201906708</v>
      </c>
    </row>
    <row r="2930" spans="1:23">
      <c r="A2930" s="3">
        <v>2929</v>
      </c>
      <c r="B2930" s="1" t="s">
        <v>8017</v>
      </c>
      <c r="D2930" s="1" t="s">
        <v>8049</v>
      </c>
      <c r="F2930" s="1" t="s">
        <v>8122</v>
      </c>
      <c r="H2930" s="1" t="s">
        <v>8143</v>
      </c>
      <c r="J2930" s="1" t="s">
        <v>8144</v>
      </c>
      <c r="L2930" s="1" t="s">
        <v>2078</v>
      </c>
      <c r="N2930" s="1" t="s">
        <v>2079</v>
      </c>
      <c r="P2930" s="1" t="s">
        <v>3761</v>
      </c>
      <c r="Q2930" s="3">
        <v>0</v>
      </c>
      <c r="R2930" s="22" t="s">
        <v>2724</v>
      </c>
      <c r="S2930" s="42" t="s">
        <v>6909</v>
      </c>
      <c r="T2930" s="3" t="s">
        <v>4868</v>
      </c>
      <c r="U2930" s="45">
        <v>35</v>
      </c>
      <c r="V2930" t="s">
        <v>8125</v>
      </c>
      <c r="W2930" s="1" t="str">
        <f>HYPERLINK("http://ictvonline.org/taxonomy/p/taxonomy-history?taxnode_id=201903384","ICTVonline=201903384")</f>
        <v>ICTVonline=201903384</v>
      </c>
    </row>
    <row r="2931" spans="1:23">
      <c r="A2931" s="3">
        <v>2930</v>
      </c>
      <c r="B2931" s="1" t="s">
        <v>8017</v>
      </c>
      <c r="D2931" s="1" t="s">
        <v>8049</v>
      </c>
      <c r="F2931" s="1" t="s">
        <v>8122</v>
      </c>
      <c r="H2931" s="1" t="s">
        <v>8143</v>
      </c>
      <c r="J2931" s="1" t="s">
        <v>8144</v>
      </c>
      <c r="L2931" s="1" t="s">
        <v>2078</v>
      </c>
      <c r="N2931" s="1" t="s">
        <v>2079</v>
      </c>
      <c r="P2931" s="1" t="s">
        <v>3762</v>
      </c>
      <c r="Q2931" s="3">
        <v>0</v>
      </c>
      <c r="R2931" s="22" t="s">
        <v>2724</v>
      </c>
      <c r="S2931" s="42" t="s">
        <v>6909</v>
      </c>
      <c r="T2931" s="3" t="s">
        <v>4868</v>
      </c>
      <c r="U2931" s="45">
        <v>35</v>
      </c>
      <c r="V2931" t="s">
        <v>8125</v>
      </c>
      <c r="W2931" s="1" t="str">
        <f>HYPERLINK("http://ictvonline.org/taxonomy/p/taxonomy-history?taxnode_id=201903385","ICTVonline=201903385")</f>
        <v>ICTVonline=201903385</v>
      </c>
    </row>
    <row r="2932" spans="1:23">
      <c r="A2932" s="3">
        <v>2931</v>
      </c>
      <c r="B2932" s="1" t="s">
        <v>8017</v>
      </c>
      <c r="D2932" s="1" t="s">
        <v>8049</v>
      </c>
      <c r="F2932" s="1" t="s">
        <v>8122</v>
      </c>
      <c r="H2932" s="1" t="s">
        <v>8143</v>
      </c>
      <c r="J2932" s="1" t="s">
        <v>8144</v>
      </c>
      <c r="L2932" s="1" t="s">
        <v>2078</v>
      </c>
      <c r="N2932" s="1" t="s">
        <v>2079</v>
      </c>
      <c r="P2932" s="1" t="s">
        <v>2422</v>
      </c>
      <c r="Q2932" s="3">
        <v>0</v>
      </c>
      <c r="R2932" s="22" t="s">
        <v>2724</v>
      </c>
      <c r="S2932" s="42" t="s">
        <v>6909</v>
      </c>
      <c r="T2932" s="3" t="s">
        <v>4868</v>
      </c>
      <c r="U2932" s="45">
        <v>35</v>
      </c>
      <c r="V2932" t="s">
        <v>8125</v>
      </c>
      <c r="W2932" s="1" t="str">
        <f>HYPERLINK("http://ictvonline.org/taxonomy/p/taxonomy-history?taxnode_id=201903386","ICTVonline=201903386")</f>
        <v>ICTVonline=201903386</v>
      </c>
    </row>
    <row r="2933" spans="1:23">
      <c r="A2933" s="3">
        <v>2932</v>
      </c>
      <c r="B2933" s="1" t="s">
        <v>8017</v>
      </c>
      <c r="D2933" s="1" t="s">
        <v>8049</v>
      </c>
      <c r="F2933" s="1" t="s">
        <v>8122</v>
      </c>
      <c r="H2933" s="1" t="s">
        <v>8143</v>
      </c>
      <c r="J2933" s="1" t="s">
        <v>8144</v>
      </c>
      <c r="L2933" s="1" t="s">
        <v>2078</v>
      </c>
      <c r="N2933" s="1" t="s">
        <v>2079</v>
      </c>
      <c r="P2933" s="1" t="s">
        <v>526</v>
      </c>
      <c r="Q2933" s="3">
        <v>0</v>
      </c>
      <c r="R2933" s="22" t="s">
        <v>2724</v>
      </c>
      <c r="S2933" s="42" t="s">
        <v>6909</v>
      </c>
      <c r="T2933" s="3" t="s">
        <v>4868</v>
      </c>
      <c r="U2933" s="45">
        <v>35</v>
      </c>
      <c r="V2933" t="s">
        <v>8125</v>
      </c>
      <c r="W2933" s="1" t="str">
        <f>HYPERLINK("http://ictvonline.org/taxonomy/p/taxonomy-history?taxnode_id=201903388","ICTVonline=201903388")</f>
        <v>ICTVonline=201903388</v>
      </c>
    </row>
    <row r="2934" spans="1:23">
      <c r="A2934" s="3">
        <v>2933</v>
      </c>
      <c r="B2934" s="1" t="s">
        <v>8017</v>
      </c>
      <c r="D2934" s="1" t="s">
        <v>8049</v>
      </c>
      <c r="F2934" s="1" t="s">
        <v>8122</v>
      </c>
      <c r="H2934" s="1" t="s">
        <v>8143</v>
      </c>
      <c r="J2934" s="1" t="s">
        <v>8144</v>
      </c>
      <c r="L2934" s="1" t="s">
        <v>2078</v>
      </c>
      <c r="N2934" s="1" t="s">
        <v>2079</v>
      </c>
      <c r="P2934" s="1" t="s">
        <v>2423</v>
      </c>
      <c r="Q2934" s="3">
        <v>0</v>
      </c>
      <c r="R2934" s="22" t="s">
        <v>2724</v>
      </c>
      <c r="S2934" s="42" t="s">
        <v>6909</v>
      </c>
      <c r="T2934" s="3" t="s">
        <v>4868</v>
      </c>
      <c r="U2934" s="45">
        <v>35</v>
      </c>
      <c r="V2934" t="s">
        <v>8125</v>
      </c>
      <c r="W2934" s="1" t="str">
        <f>HYPERLINK("http://ictvonline.org/taxonomy/p/taxonomy-history?taxnode_id=201903389","ICTVonline=201903389")</f>
        <v>ICTVonline=201903389</v>
      </c>
    </row>
    <row r="2935" spans="1:23">
      <c r="A2935" s="3">
        <v>2934</v>
      </c>
      <c r="B2935" s="1" t="s">
        <v>8017</v>
      </c>
      <c r="D2935" s="1" t="s">
        <v>8049</v>
      </c>
      <c r="F2935" s="1" t="s">
        <v>8122</v>
      </c>
      <c r="H2935" s="1" t="s">
        <v>8143</v>
      </c>
      <c r="J2935" s="1" t="s">
        <v>8144</v>
      </c>
      <c r="L2935" s="1" t="s">
        <v>2078</v>
      </c>
      <c r="N2935" s="1" t="s">
        <v>2079</v>
      </c>
      <c r="P2935" s="1" t="s">
        <v>5384</v>
      </c>
      <c r="Q2935" s="3">
        <v>0</v>
      </c>
      <c r="R2935" s="22" t="s">
        <v>2724</v>
      </c>
      <c r="S2935" s="42" t="s">
        <v>6909</v>
      </c>
      <c r="T2935" s="3" t="s">
        <v>4868</v>
      </c>
      <c r="U2935" s="45">
        <v>35</v>
      </c>
      <c r="V2935" t="s">
        <v>8125</v>
      </c>
      <c r="W2935" s="1" t="str">
        <f>HYPERLINK("http://ictvonline.org/taxonomy/p/taxonomy-history?taxnode_id=201905832","ICTVonline=201905832")</f>
        <v>ICTVonline=201905832</v>
      </c>
    </row>
    <row r="2936" spans="1:23">
      <c r="A2936" s="3">
        <v>2935</v>
      </c>
      <c r="B2936" s="1" t="s">
        <v>8017</v>
      </c>
      <c r="D2936" s="1" t="s">
        <v>8049</v>
      </c>
      <c r="F2936" s="1" t="s">
        <v>8122</v>
      </c>
      <c r="H2936" s="1" t="s">
        <v>8143</v>
      </c>
      <c r="J2936" s="1" t="s">
        <v>8144</v>
      </c>
      <c r="L2936" s="1" t="s">
        <v>2078</v>
      </c>
      <c r="N2936" s="1" t="s">
        <v>2079</v>
      </c>
      <c r="P2936" s="1" t="s">
        <v>5385</v>
      </c>
      <c r="Q2936" s="3">
        <v>0</v>
      </c>
      <c r="R2936" s="22" t="s">
        <v>2724</v>
      </c>
      <c r="S2936" s="42" t="s">
        <v>6909</v>
      </c>
      <c r="T2936" s="3" t="s">
        <v>4868</v>
      </c>
      <c r="U2936" s="45">
        <v>35</v>
      </c>
      <c r="V2936" t="s">
        <v>8125</v>
      </c>
      <c r="W2936" s="1" t="str">
        <f>HYPERLINK("http://ictvonline.org/taxonomy/p/taxonomy-history?taxnode_id=201905833","ICTVonline=201905833")</f>
        <v>ICTVonline=201905833</v>
      </c>
    </row>
    <row r="2937" spans="1:23">
      <c r="A2937" s="3">
        <v>2936</v>
      </c>
      <c r="B2937" s="1" t="s">
        <v>8017</v>
      </c>
      <c r="D2937" s="1" t="s">
        <v>8049</v>
      </c>
      <c r="F2937" s="1" t="s">
        <v>8122</v>
      </c>
      <c r="H2937" s="1" t="s">
        <v>8143</v>
      </c>
      <c r="J2937" s="1" t="s">
        <v>8144</v>
      </c>
      <c r="L2937" s="1" t="s">
        <v>2078</v>
      </c>
      <c r="N2937" s="1" t="s">
        <v>2079</v>
      </c>
      <c r="P2937" s="1" t="s">
        <v>527</v>
      </c>
      <c r="Q2937" s="3">
        <v>0</v>
      </c>
      <c r="R2937" s="22" t="s">
        <v>2724</v>
      </c>
      <c r="S2937" s="42" t="s">
        <v>6909</v>
      </c>
      <c r="T2937" s="3" t="s">
        <v>4868</v>
      </c>
      <c r="U2937" s="45">
        <v>35</v>
      </c>
      <c r="V2937" t="s">
        <v>8125</v>
      </c>
      <c r="W2937" s="1" t="str">
        <f>HYPERLINK("http://ictvonline.org/taxonomy/p/taxonomy-history?taxnode_id=201903390","ICTVonline=201903390")</f>
        <v>ICTVonline=201903390</v>
      </c>
    </row>
    <row r="2938" spans="1:23">
      <c r="A2938" s="3">
        <v>2937</v>
      </c>
      <c r="B2938" s="1" t="s">
        <v>8017</v>
      </c>
      <c r="D2938" s="1" t="s">
        <v>8049</v>
      </c>
      <c r="F2938" s="1" t="s">
        <v>8122</v>
      </c>
      <c r="H2938" s="1" t="s">
        <v>8143</v>
      </c>
      <c r="J2938" s="1" t="s">
        <v>8144</v>
      </c>
      <c r="L2938" s="1" t="s">
        <v>2078</v>
      </c>
      <c r="N2938" s="1" t="s">
        <v>2079</v>
      </c>
      <c r="P2938" s="1" t="s">
        <v>3763</v>
      </c>
      <c r="Q2938" s="3">
        <v>0</v>
      </c>
      <c r="R2938" s="22" t="s">
        <v>2724</v>
      </c>
      <c r="S2938" s="42" t="s">
        <v>6909</v>
      </c>
      <c r="T2938" s="3" t="s">
        <v>4868</v>
      </c>
      <c r="U2938" s="45">
        <v>35</v>
      </c>
      <c r="V2938" t="s">
        <v>8125</v>
      </c>
      <c r="W2938" s="1" t="str">
        <f>HYPERLINK("http://ictvonline.org/taxonomy/p/taxonomy-history?taxnode_id=201903391","ICTVonline=201903391")</f>
        <v>ICTVonline=201903391</v>
      </c>
    </row>
    <row r="2939" spans="1:23">
      <c r="A2939" s="3">
        <v>2938</v>
      </c>
      <c r="B2939" s="1" t="s">
        <v>8017</v>
      </c>
      <c r="D2939" s="1" t="s">
        <v>8049</v>
      </c>
      <c r="F2939" s="1" t="s">
        <v>8122</v>
      </c>
      <c r="H2939" s="1" t="s">
        <v>8143</v>
      </c>
      <c r="J2939" s="1" t="s">
        <v>8144</v>
      </c>
      <c r="L2939" s="1" t="s">
        <v>2078</v>
      </c>
      <c r="N2939" s="1" t="s">
        <v>2079</v>
      </c>
      <c r="P2939" s="1" t="s">
        <v>1599</v>
      </c>
      <c r="Q2939" s="3">
        <v>0</v>
      </c>
      <c r="R2939" s="22" t="s">
        <v>2724</v>
      </c>
      <c r="S2939" s="42" t="s">
        <v>6909</v>
      </c>
      <c r="T2939" s="3" t="s">
        <v>4868</v>
      </c>
      <c r="U2939" s="45">
        <v>35</v>
      </c>
      <c r="V2939" t="s">
        <v>8125</v>
      </c>
      <c r="W2939" s="1" t="str">
        <f>HYPERLINK("http://ictvonline.org/taxonomy/p/taxonomy-history?taxnode_id=201903392","ICTVonline=201903392")</f>
        <v>ICTVonline=201903392</v>
      </c>
    </row>
    <row r="2940" spans="1:23">
      <c r="A2940" s="3">
        <v>2939</v>
      </c>
      <c r="B2940" s="1" t="s">
        <v>8017</v>
      </c>
      <c r="D2940" s="1" t="s">
        <v>8049</v>
      </c>
      <c r="F2940" s="1" t="s">
        <v>8122</v>
      </c>
      <c r="H2940" s="1" t="s">
        <v>8143</v>
      </c>
      <c r="J2940" s="1" t="s">
        <v>8144</v>
      </c>
      <c r="L2940" s="1" t="s">
        <v>2078</v>
      </c>
      <c r="N2940" s="1" t="s">
        <v>2079</v>
      </c>
      <c r="P2940" s="1" t="s">
        <v>8158</v>
      </c>
      <c r="Q2940" s="3">
        <v>0</v>
      </c>
      <c r="R2940" s="22" t="s">
        <v>2724</v>
      </c>
      <c r="S2940" s="42" t="s">
        <v>6914</v>
      </c>
      <c r="T2940" s="3" t="s">
        <v>4866</v>
      </c>
      <c r="U2940" s="45">
        <v>35</v>
      </c>
      <c r="V2940" t="s">
        <v>8146</v>
      </c>
      <c r="W2940" s="1" t="str">
        <f>HYPERLINK("http://ictvonline.org/taxonomy/p/taxonomy-history?taxnode_id=201907529","ICTVonline=201907529")</f>
        <v>ICTVonline=201907529</v>
      </c>
    </row>
    <row r="2941" spans="1:23">
      <c r="A2941" s="3">
        <v>2940</v>
      </c>
      <c r="B2941" s="1" t="s">
        <v>8017</v>
      </c>
      <c r="D2941" s="1" t="s">
        <v>8049</v>
      </c>
      <c r="F2941" s="1" t="s">
        <v>8122</v>
      </c>
      <c r="H2941" s="1" t="s">
        <v>8143</v>
      </c>
      <c r="J2941" s="1" t="s">
        <v>8144</v>
      </c>
      <c r="L2941" s="1" t="s">
        <v>2078</v>
      </c>
      <c r="N2941" s="1" t="s">
        <v>2079</v>
      </c>
      <c r="P2941" s="1" t="s">
        <v>2424</v>
      </c>
      <c r="Q2941" s="3">
        <v>0</v>
      </c>
      <c r="R2941" s="22" t="s">
        <v>2724</v>
      </c>
      <c r="S2941" s="42" t="s">
        <v>6909</v>
      </c>
      <c r="T2941" s="3" t="s">
        <v>4868</v>
      </c>
      <c r="U2941" s="45">
        <v>35</v>
      </c>
      <c r="V2941" t="s">
        <v>8125</v>
      </c>
      <c r="W2941" s="1" t="str">
        <f>HYPERLINK("http://ictvonline.org/taxonomy/p/taxonomy-history?taxnode_id=201903394","ICTVonline=201903394")</f>
        <v>ICTVonline=201903394</v>
      </c>
    </row>
    <row r="2942" spans="1:23">
      <c r="A2942" s="3">
        <v>2941</v>
      </c>
      <c r="B2942" s="1" t="s">
        <v>8017</v>
      </c>
      <c r="D2942" s="1" t="s">
        <v>8049</v>
      </c>
      <c r="F2942" s="1" t="s">
        <v>8122</v>
      </c>
      <c r="H2942" s="1" t="s">
        <v>8143</v>
      </c>
      <c r="J2942" s="1" t="s">
        <v>8144</v>
      </c>
      <c r="L2942" s="1" t="s">
        <v>2078</v>
      </c>
      <c r="N2942" s="1" t="s">
        <v>2079</v>
      </c>
      <c r="P2942" s="1" t="s">
        <v>2425</v>
      </c>
      <c r="Q2942" s="3">
        <v>0</v>
      </c>
      <c r="R2942" s="22" t="s">
        <v>2724</v>
      </c>
      <c r="S2942" s="42" t="s">
        <v>6909</v>
      </c>
      <c r="T2942" s="3" t="s">
        <v>4868</v>
      </c>
      <c r="U2942" s="45">
        <v>35</v>
      </c>
      <c r="V2942" t="s">
        <v>8125</v>
      </c>
      <c r="W2942" s="1" t="str">
        <f>HYPERLINK("http://ictvonline.org/taxonomy/p/taxonomy-history?taxnode_id=201903395","ICTVonline=201903395")</f>
        <v>ICTVonline=201903395</v>
      </c>
    </row>
    <row r="2943" spans="1:23">
      <c r="A2943" s="3">
        <v>2942</v>
      </c>
      <c r="B2943" s="1" t="s">
        <v>8017</v>
      </c>
      <c r="D2943" s="1" t="s">
        <v>8049</v>
      </c>
      <c r="F2943" s="1" t="s">
        <v>8122</v>
      </c>
      <c r="H2943" s="1" t="s">
        <v>8143</v>
      </c>
      <c r="J2943" s="1" t="s">
        <v>8144</v>
      </c>
      <c r="L2943" s="1" t="s">
        <v>2078</v>
      </c>
      <c r="N2943" s="1" t="s">
        <v>2079</v>
      </c>
      <c r="P2943" s="1" t="s">
        <v>1600</v>
      </c>
      <c r="Q2943" s="3">
        <v>0</v>
      </c>
      <c r="R2943" s="22" t="s">
        <v>2724</v>
      </c>
      <c r="S2943" s="42" t="s">
        <v>6909</v>
      </c>
      <c r="T2943" s="3" t="s">
        <v>4868</v>
      </c>
      <c r="U2943" s="45">
        <v>35</v>
      </c>
      <c r="V2943" t="s">
        <v>8125</v>
      </c>
      <c r="W2943" s="1" t="str">
        <f>HYPERLINK("http://ictvonline.org/taxonomy/p/taxonomy-history?taxnode_id=201903396","ICTVonline=201903396")</f>
        <v>ICTVonline=201903396</v>
      </c>
    </row>
    <row r="2944" spans="1:23">
      <c r="A2944" s="3">
        <v>2943</v>
      </c>
      <c r="B2944" s="1" t="s">
        <v>8017</v>
      </c>
      <c r="D2944" s="1" t="s">
        <v>8049</v>
      </c>
      <c r="F2944" s="1" t="s">
        <v>8122</v>
      </c>
      <c r="H2944" s="1" t="s">
        <v>8143</v>
      </c>
      <c r="J2944" s="1" t="s">
        <v>8144</v>
      </c>
      <c r="L2944" s="1" t="s">
        <v>2078</v>
      </c>
      <c r="N2944" s="1" t="s">
        <v>2079</v>
      </c>
      <c r="P2944" s="1" t="s">
        <v>1601</v>
      </c>
      <c r="Q2944" s="3">
        <v>0</v>
      </c>
      <c r="R2944" s="22" t="s">
        <v>2724</v>
      </c>
      <c r="S2944" s="42" t="s">
        <v>6909</v>
      </c>
      <c r="T2944" s="3" t="s">
        <v>4868</v>
      </c>
      <c r="U2944" s="45">
        <v>35</v>
      </c>
      <c r="V2944" t="s">
        <v>8125</v>
      </c>
      <c r="W2944" s="1" t="str">
        <f>HYPERLINK("http://ictvonline.org/taxonomy/p/taxonomy-history?taxnode_id=201903397","ICTVonline=201903397")</f>
        <v>ICTVonline=201903397</v>
      </c>
    </row>
    <row r="2945" spans="1:23">
      <c r="A2945" s="3">
        <v>2944</v>
      </c>
      <c r="B2945" s="1" t="s">
        <v>8017</v>
      </c>
      <c r="D2945" s="1" t="s">
        <v>8049</v>
      </c>
      <c r="F2945" s="1" t="s">
        <v>8122</v>
      </c>
      <c r="H2945" s="1" t="s">
        <v>8143</v>
      </c>
      <c r="J2945" s="1" t="s">
        <v>8144</v>
      </c>
      <c r="L2945" s="1" t="s">
        <v>2078</v>
      </c>
      <c r="N2945" s="1" t="s">
        <v>2079</v>
      </c>
      <c r="P2945" s="1" t="s">
        <v>2426</v>
      </c>
      <c r="Q2945" s="3">
        <v>0</v>
      </c>
      <c r="R2945" s="22" t="s">
        <v>2724</v>
      </c>
      <c r="S2945" s="42" t="s">
        <v>6909</v>
      </c>
      <c r="T2945" s="3" t="s">
        <v>4868</v>
      </c>
      <c r="U2945" s="45">
        <v>35</v>
      </c>
      <c r="V2945" t="s">
        <v>8125</v>
      </c>
      <c r="W2945" s="1" t="str">
        <f>HYPERLINK("http://ictvonline.org/taxonomy/p/taxonomy-history?taxnode_id=201903398","ICTVonline=201903398")</f>
        <v>ICTVonline=201903398</v>
      </c>
    </row>
    <row r="2946" spans="1:23">
      <c r="A2946" s="3">
        <v>2945</v>
      </c>
      <c r="B2946" s="1" t="s">
        <v>8017</v>
      </c>
      <c r="D2946" s="1" t="s">
        <v>8049</v>
      </c>
      <c r="F2946" s="1" t="s">
        <v>8122</v>
      </c>
      <c r="H2946" s="1" t="s">
        <v>8143</v>
      </c>
      <c r="J2946" s="1" t="s">
        <v>8144</v>
      </c>
      <c r="L2946" s="1" t="s">
        <v>2078</v>
      </c>
      <c r="N2946" s="1" t="s">
        <v>2079</v>
      </c>
      <c r="P2946" s="1" t="s">
        <v>2427</v>
      </c>
      <c r="Q2946" s="3">
        <v>0</v>
      </c>
      <c r="R2946" s="22" t="s">
        <v>2724</v>
      </c>
      <c r="S2946" s="42" t="s">
        <v>6909</v>
      </c>
      <c r="T2946" s="3" t="s">
        <v>4868</v>
      </c>
      <c r="U2946" s="45">
        <v>35</v>
      </c>
      <c r="V2946" t="s">
        <v>8125</v>
      </c>
      <c r="W2946" s="1" t="str">
        <f>HYPERLINK("http://ictvonline.org/taxonomy/p/taxonomy-history?taxnode_id=201903399","ICTVonline=201903399")</f>
        <v>ICTVonline=201903399</v>
      </c>
    </row>
    <row r="2947" spans="1:23">
      <c r="A2947" s="3">
        <v>2946</v>
      </c>
      <c r="B2947" s="1" t="s">
        <v>8017</v>
      </c>
      <c r="D2947" s="1" t="s">
        <v>8049</v>
      </c>
      <c r="F2947" s="1" t="s">
        <v>8122</v>
      </c>
      <c r="H2947" s="1" t="s">
        <v>8143</v>
      </c>
      <c r="J2947" s="1" t="s">
        <v>8144</v>
      </c>
      <c r="L2947" s="1" t="s">
        <v>2078</v>
      </c>
      <c r="N2947" s="1" t="s">
        <v>2079</v>
      </c>
      <c r="P2947" s="1" t="s">
        <v>2428</v>
      </c>
      <c r="Q2947" s="3">
        <v>0</v>
      </c>
      <c r="R2947" s="22" t="s">
        <v>2724</v>
      </c>
      <c r="S2947" s="42" t="s">
        <v>6909</v>
      </c>
      <c r="T2947" s="3" t="s">
        <v>4868</v>
      </c>
      <c r="U2947" s="45">
        <v>35</v>
      </c>
      <c r="V2947" t="s">
        <v>8125</v>
      </c>
      <c r="W2947" s="1" t="str">
        <f>HYPERLINK("http://ictvonline.org/taxonomy/p/taxonomy-history?taxnode_id=201903400","ICTVonline=201903400")</f>
        <v>ICTVonline=201903400</v>
      </c>
    </row>
    <row r="2948" spans="1:23">
      <c r="A2948" s="3">
        <v>2947</v>
      </c>
      <c r="B2948" s="1" t="s">
        <v>8017</v>
      </c>
      <c r="D2948" s="1" t="s">
        <v>8049</v>
      </c>
      <c r="F2948" s="1" t="s">
        <v>8122</v>
      </c>
      <c r="H2948" s="1" t="s">
        <v>8143</v>
      </c>
      <c r="J2948" s="1" t="s">
        <v>8144</v>
      </c>
      <c r="L2948" s="1" t="s">
        <v>2078</v>
      </c>
      <c r="N2948" s="1" t="s">
        <v>2079</v>
      </c>
      <c r="P2948" s="1" t="s">
        <v>3764</v>
      </c>
      <c r="Q2948" s="3">
        <v>0</v>
      </c>
      <c r="R2948" s="22" t="s">
        <v>2724</v>
      </c>
      <c r="S2948" s="42" t="s">
        <v>6909</v>
      </c>
      <c r="T2948" s="3" t="s">
        <v>4868</v>
      </c>
      <c r="U2948" s="45">
        <v>35</v>
      </c>
      <c r="V2948" t="s">
        <v>8125</v>
      </c>
      <c r="W2948" s="1" t="str">
        <f>HYPERLINK("http://ictvonline.org/taxonomy/p/taxonomy-history?taxnode_id=201903401","ICTVonline=201903401")</f>
        <v>ICTVonline=201903401</v>
      </c>
    </row>
    <row r="2949" spans="1:23">
      <c r="A2949" s="3">
        <v>2948</v>
      </c>
      <c r="B2949" s="1" t="s">
        <v>8017</v>
      </c>
      <c r="D2949" s="1" t="s">
        <v>8049</v>
      </c>
      <c r="F2949" s="1" t="s">
        <v>8122</v>
      </c>
      <c r="H2949" s="1" t="s">
        <v>8143</v>
      </c>
      <c r="J2949" s="1" t="s">
        <v>8144</v>
      </c>
      <c r="L2949" s="1" t="s">
        <v>2078</v>
      </c>
      <c r="N2949" s="1" t="s">
        <v>2079</v>
      </c>
      <c r="P2949" s="1" t="s">
        <v>3765</v>
      </c>
      <c r="Q2949" s="3">
        <v>0</v>
      </c>
      <c r="R2949" s="22" t="s">
        <v>2724</v>
      </c>
      <c r="S2949" s="42" t="s">
        <v>6909</v>
      </c>
      <c r="T2949" s="3" t="s">
        <v>4868</v>
      </c>
      <c r="U2949" s="45">
        <v>35</v>
      </c>
      <c r="V2949" t="s">
        <v>8125</v>
      </c>
      <c r="W2949" s="1" t="str">
        <f>HYPERLINK("http://ictvonline.org/taxonomy/p/taxonomy-history?taxnode_id=201903402","ICTVonline=201903402")</f>
        <v>ICTVonline=201903402</v>
      </c>
    </row>
    <row r="2950" spans="1:23">
      <c r="A2950" s="3">
        <v>2949</v>
      </c>
      <c r="B2950" s="1" t="s">
        <v>8017</v>
      </c>
      <c r="D2950" s="1" t="s">
        <v>8049</v>
      </c>
      <c r="F2950" s="1" t="s">
        <v>8122</v>
      </c>
      <c r="H2950" s="1" t="s">
        <v>8143</v>
      </c>
      <c r="J2950" s="1" t="s">
        <v>8144</v>
      </c>
      <c r="L2950" s="1" t="s">
        <v>2078</v>
      </c>
      <c r="N2950" s="1" t="s">
        <v>2079</v>
      </c>
      <c r="P2950" s="1" t="s">
        <v>1803</v>
      </c>
      <c r="Q2950" s="3">
        <v>0</v>
      </c>
      <c r="R2950" s="22" t="s">
        <v>2724</v>
      </c>
      <c r="S2950" s="42" t="s">
        <v>6909</v>
      </c>
      <c r="T2950" s="3" t="s">
        <v>4868</v>
      </c>
      <c r="U2950" s="45">
        <v>35</v>
      </c>
      <c r="V2950" t="s">
        <v>8125</v>
      </c>
      <c r="W2950" s="1" t="str">
        <f>HYPERLINK("http://ictvonline.org/taxonomy/p/taxonomy-history?taxnode_id=201903403","ICTVonline=201903403")</f>
        <v>ICTVonline=201903403</v>
      </c>
    </row>
    <row r="2951" spans="1:23">
      <c r="A2951" s="3">
        <v>2950</v>
      </c>
      <c r="B2951" s="1" t="s">
        <v>8017</v>
      </c>
      <c r="D2951" s="1" t="s">
        <v>8049</v>
      </c>
      <c r="F2951" s="1" t="s">
        <v>8122</v>
      </c>
      <c r="H2951" s="1" t="s">
        <v>8143</v>
      </c>
      <c r="J2951" s="1" t="s">
        <v>8144</v>
      </c>
      <c r="L2951" s="1" t="s">
        <v>2078</v>
      </c>
      <c r="N2951" s="1" t="s">
        <v>2079</v>
      </c>
      <c r="P2951" s="1" t="s">
        <v>8159</v>
      </c>
      <c r="Q2951" s="3">
        <v>0</v>
      </c>
      <c r="R2951" s="22" t="s">
        <v>2724</v>
      </c>
      <c r="S2951" s="42" t="s">
        <v>6914</v>
      </c>
      <c r="T2951" s="3" t="s">
        <v>4866</v>
      </c>
      <c r="U2951" s="45">
        <v>35</v>
      </c>
      <c r="V2951" t="s">
        <v>8146</v>
      </c>
      <c r="W2951" s="1" t="str">
        <f>HYPERLINK("http://ictvonline.org/taxonomy/p/taxonomy-history?taxnode_id=201907530","ICTVonline=201907530")</f>
        <v>ICTVonline=201907530</v>
      </c>
    </row>
    <row r="2952" spans="1:23">
      <c r="A2952" s="3">
        <v>2951</v>
      </c>
      <c r="B2952" s="1" t="s">
        <v>8017</v>
      </c>
      <c r="D2952" s="1" t="s">
        <v>8049</v>
      </c>
      <c r="F2952" s="1" t="s">
        <v>8122</v>
      </c>
      <c r="H2952" s="1" t="s">
        <v>8143</v>
      </c>
      <c r="J2952" s="1" t="s">
        <v>8144</v>
      </c>
      <c r="L2952" s="1" t="s">
        <v>2078</v>
      </c>
      <c r="N2952" s="1" t="s">
        <v>2079</v>
      </c>
      <c r="P2952" s="1" t="s">
        <v>2429</v>
      </c>
      <c r="Q2952" s="3">
        <v>0</v>
      </c>
      <c r="R2952" s="22" t="s">
        <v>2724</v>
      </c>
      <c r="S2952" s="42" t="s">
        <v>6909</v>
      </c>
      <c r="T2952" s="3" t="s">
        <v>4868</v>
      </c>
      <c r="U2952" s="45">
        <v>35</v>
      </c>
      <c r="V2952" t="s">
        <v>8125</v>
      </c>
      <c r="W2952" s="1" t="str">
        <f>HYPERLINK("http://ictvonline.org/taxonomy/p/taxonomy-history?taxnode_id=201903404","ICTVonline=201903404")</f>
        <v>ICTVonline=201903404</v>
      </c>
    </row>
    <row r="2953" spans="1:23">
      <c r="A2953" s="3">
        <v>2952</v>
      </c>
      <c r="B2953" s="1" t="s">
        <v>8017</v>
      </c>
      <c r="D2953" s="1" t="s">
        <v>8049</v>
      </c>
      <c r="F2953" s="1" t="s">
        <v>8122</v>
      </c>
      <c r="H2953" s="1" t="s">
        <v>8143</v>
      </c>
      <c r="J2953" s="1" t="s">
        <v>8144</v>
      </c>
      <c r="L2953" s="1" t="s">
        <v>2078</v>
      </c>
      <c r="N2953" s="1" t="s">
        <v>2079</v>
      </c>
      <c r="P2953" s="1" t="s">
        <v>5386</v>
      </c>
      <c r="Q2953" s="3">
        <v>0</v>
      </c>
      <c r="R2953" s="22" t="s">
        <v>2724</v>
      </c>
      <c r="S2953" s="42" t="s">
        <v>6909</v>
      </c>
      <c r="T2953" s="3" t="s">
        <v>4868</v>
      </c>
      <c r="U2953" s="45">
        <v>35</v>
      </c>
      <c r="V2953" t="s">
        <v>8125</v>
      </c>
      <c r="W2953" s="1" t="str">
        <f>HYPERLINK("http://ictvonline.org/taxonomy/p/taxonomy-history?taxnode_id=201905834","ICTVonline=201905834")</f>
        <v>ICTVonline=201905834</v>
      </c>
    </row>
    <row r="2954" spans="1:23">
      <c r="A2954" s="3">
        <v>2953</v>
      </c>
      <c r="B2954" s="1" t="s">
        <v>8017</v>
      </c>
      <c r="D2954" s="1" t="s">
        <v>8049</v>
      </c>
      <c r="F2954" s="1" t="s">
        <v>8122</v>
      </c>
      <c r="H2954" s="1" t="s">
        <v>8143</v>
      </c>
      <c r="J2954" s="1" t="s">
        <v>8144</v>
      </c>
      <c r="L2954" s="1" t="s">
        <v>2078</v>
      </c>
      <c r="N2954" s="1" t="s">
        <v>2079</v>
      </c>
      <c r="P2954" s="1" t="s">
        <v>1804</v>
      </c>
      <c r="Q2954" s="3">
        <v>0</v>
      </c>
      <c r="R2954" s="22" t="s">
        <v>2724</v>
      </c>
      <c r="S2954" s="42" t="s">
        <v>6909</v>
      </c>
      <c r="T2954" s="3" t="s">
        <v>4868</v>
      </c>
      <c r="U2954" s="45">
        <v>35</v>
      </c>
      <c r="V2954" t="s">
        <v>8125</v>
      </c>
      <c r="W2954" s="1" t="str">
        <f>HYPERLINK("http://ictvonline.org/taxonomy/p/taxonomy-history?taxnode_id=201903405","ICTVonline=201903405")</f>
        <v>ICTVonline=201903405</v>
      </c>
    </row>
    <row r="2955" spans="1:23">
      <c r="A2955" s="3">
        <v>2954</v>
      </c>
      <c r="B2955" s="1" t="s">
        <v>8017</v>
      </c>
      <c r="D2955" s="1" t="s">
        <v>8049</v>
      </c>
      <c r="F2955" s="1" t="s">
        <v>8122</v>
      </c>
      <c r="H2955" s="1" t="s">
        <v>8143</v>
      </c>
      <c r="J2955" s="1" t="s">
        <v>8144</v>
      </c>
      <c r="L2955" s="1" t="s">
        <v>2078</v>
      </c>
      <c r="N2955" s="1" t="s">
        <v>2079</v>
      </c>
      <c r="P2955" s="1" t="s">
        <v>2430</v>
      </c>
      <c r="Q2955" s="3">
        <v>0</v>
      </c>
      <c r="R2955" s="22" t="s">
        <v>2724</v>
      </c>
      <c r="S2955" s="42" t="s">
        <v>6909</v>
      </c>
      <c r="T2955" s="3" t="s">
        <v>4868</v>
      </c>
      <c r="U2955" s="45">
        <v>35</v>
      </c>
      <c r="V2955" t="s">
        <v>8125</v>
      </c>
      <c r="W2955" s="1" t="str">
        <f>HYPERLINK("http://ictvonline.org/taxonomy/p/taxonomy-history?taxnode_id=201903406","ICTVonline=201903406")</f>
        <v>ICTVonline=201903406</v>
      </c>
    </row>
    <row r="2956" spans="1:23">
      <c r="A2956" s="3">
        <v>2955</v>
      </c>
      <c r="B2956" s="1" t="s">
        <v>8017</v>
      </c>
      <c r="D2956" s="1" t="s">
        <v>8049</v>
      </c>
      <c r="F2956" s="1" t="s">
        <v>8122</v>
      </c>
      <c r="H2956" s="1" t="s">
        <v>8143</v>
      </c>
      <c r="J2956" s="1" t="s">
        <v>8144</v>
      </c>
      <c r="L2956" s="1" t="s">
        <v>2078</v>
      </c>
      <c r="N2956" s="1" t="s">
        <v>2079</v>
      </c>
      <c r="P2956" s="1" t="s">
        <v>1805</v>
      </c>
      <c r="Q2956" s="3">
        <v>0</v>
      </c>
      <c r="R2956" s="22" t="s">
        <v>2724</v>
      </c>
      <c r="S2956" s="42" t="s">
        <v>6909</v>
      </c>
      <c r="T2956" s="3" t="s">
        <v>4868</v>
      </c>
      <c r="U2956" s="45">
        <v>35</v>
      </c>
      <c r="V2956" t="s">
        <v>8125</v>
      </c>
      <c r="W2956" s="1" t="str">
        <f>HYPERLINK("http://ictvonline.org/taxonomy/p/taxonomy-history?taxnode_id=201903407","ICTVonline=201903407")</f>
        <v>ICTVonline=201903407</v>
      </c>
    </row>
    <row r="2957" spans="1:23">
      <c r="A2957" s="3">
        <v>2956</v>
      </c>
      <c r="B2957" s="1" t="s">
        <v>8017</v>
      </c>
      <c r="D2957" s="1" t="s">
        <v>8049</v>
      </c>
      <c r="F2957" s="1" t="s">
        <v>8122</v>
      </c>
      <c r="H2957" s="1" t="s">
        <v>8143</v>
      </c>
      <c r="J2957" s="1" t="s">
        <v>8144</v>
      </c>
      <c r="L2957" s="1" t="s">
        <v>2078</v>
      </c>
      <c r="N2957" s="1" t="s">
        <v>2079</v>
      </c>
      <c r="P2957" s="1" t="s">
        <v>2431</v>
      </c>
      <c r="Q2957" s="3">
        <v>0</v>
      </c>
      <c r="R2957" s="22" t="s">
        <v>2724</v>
      </c>
      <c r="S2957" s="42" t="s">
        <v>6909</v>
      </c>
      <c r="T2957" s="3" t="s">
        <v>4868</v>
      </c>
      <c r="U2957" s="45">
        <v>35</v>
      </c>
      <c r="V2957" t="s">
        <v>8125</v>
      </c>
      <c r="W2957" s="1" t="str">
        <f>HYPERLINK("http://ictvonline.org/taxonomy/p/taxonomy-history?taxnode_id=201903408","ICTVonline=201903408")</f>
        <v>ICTVonline=201903408</v>
      </c>
    </row>
    <row r="2958" spans="1:23">
      <c r="A2958" s="3">
        <v>2957</v>
      </c>
      <c r="B2958" s="1" t="s">
        <v>8017</v>
      </c>
      <c r="D2958" s="1" t="s">
        <v>8049</v>
      </c>
      <c r="F2958" s="1" t="s">
        <v>8122</v>
      </c>
      <c r="H2958" s="1" t="s">
        <v>8143</v>
      </c>
      <c r="J2958" s="1" t="s">
        <v>8144</v>
      </c>
      <c r="L2958" s="1" t="s">
        <v>2078</v>
      </c>
      <c r="N2958" s="1" t="s">
        <v>2079</v>
      </c>
      <c r="P2958" s="1" t="s">
        <v>5387</v>
      </c>
      <c r="Q2958" s="3">
        <v>0</v>
      </c>
      <c r="R2958" s="22" t="s">
        <v>2724</v>
      </c>
      <c r="S2958" s="42" t="s">
        <v>6909</v>
      </c>
      <c r="T2958" s="3" t="s">
        <v>4868</v>
      </c>
      <c r="U2958" s="45">
        <v>35</v>
      </c>
      <c r="V2958" t="s">
        <v>8125</v>
      </c>
      <c r="W2958" s="1" t="str">
        <f>HYPERLINK("http://ictvonline.org/taxonomy/p/taxonomy-history?taxnode_id=201905835","ICTVonline=201905835")</f>
        <v>ICTVonline=201905835</v>
      </c>
    </row>
    <row r="2959" spans="1:23">
      <c r="A2959" s="3">
        <v>2958</v>
      </c>
      <c r="B2959" s="1" t="s">
        <v>8017</v>
      </c>
      <c r="D2959" s="1" t="s">
        <v>8049</v>
      </c>
      <c r="F2959" s="1" t="s">
        <v>8122</v>
      </c>
      <c r="H2959" s="1" t="s">
        <v>8143</v>
      </c>
      <c r="J2959" s="1" t="s">
        <v>8144</v>
      </c>
      <c r="L2959" s="1" t="s">
        <v>2078</v>
      </c>
      <c r="N2959" s="1" t="s">
        <v>2079</v>
      </c>
      <c r="P2959" s="1" t="s">
        <v>3766</v>
      </c>
      <c r="Q2959" s="3">
        <v>0</v>
      </c>
      <c r="R2959" s="22" t="s">
        <v>2724</v>
      </c>
      <c r="S2959" s="42" t="s">
        <v>6909</v>
      </c>
      <c r="T2959" s="3" t="s">
        <v>4868</v>
      </c>
      <c r="U2959" s="45">
        <v>35</v>
      </c>
      <c r="V2959" t="s">
        <v>8125</v>
      </c>
      <c r="W2959" s="1" t="str">
        <f>HYPERLINK("http://ictvonline.org/taxonomy/p/taxonomy-history?taxnode_id=201903409","ICTVonline=201903409")</f>
        <v>ICTVonline=201903409</v>
      </c>
    </row>
    <row r="2960" spans="1:23">
      <c r="A2960" s="3">
        <v>2959</v>
      </c>
      <c r="B2960" s="1" t="s">
        <v>8017</v>
      </c>
      <c r="D2960" s="1" t="s">
        <v>8049</v>
      </c>
      <c r="F2960" s="1" t="s">
        <v>8122</v>
      </c>
      <c r="H2960" s="1" t="s">
        <v>8143</v>
      </c>
      <c r="J2960" s="1" t="s">
        <v>8144</v>
      </c>
      <c r="L2960" s="1" t="s">
        <v>2078</v>
      </c>
      <c r="N2960" s="1" t="s">
        <v>2079</v>
      </c>
      <c r="P2960" s="1" t="s">
        <v>5388</v>
      </c>
      <c r="Q2960" s="3">
        <v>0</v>
      </c>
      <c r="R2960" s="22" t="s">
        <v>2724</v>
      </c>
      <c r="S2960" s="42" t="s">
        <v>6909</v>
      </c>
      <c r="T2960" s="3" t="s">
        <v>4868</v>
      </c>
      <c r="U2960" s="45">
        <v>35</v>
      </c>
      <c r="V2960" t="s">
        <v>8125</v>
      </c>
      <c r="W2960" s="1" t="str">
        <f>HYPERLINK("http://ictvonline.org/taxonomy/p/taxonomy-history?taxnode_id=201905836","ICTVonline=201905836")</f>
        <v>ICTVonline=201905836</v>
      </c>
    </row>
    <row r="2961" spans="1:23">
      <c r="A2961" s="3">
        <v>2960</v>
      </c>
      <c r="B2961" s="1" t="s">
        <v>8017</v>
      </c>
      <c r="D2961" s="1" t="s">
        <v>8049</v>
      </c>
      <c r="F2961" s="1" t="s">
        <v>8122</v>
      </c>
      <c r="H2961" s="1" t="s">
        <v>8143</v>
      </c>
      <c r="J2961" s="1" t="s">
        <v>8144</v>
      </c>
      <c r="L2961" s="1" t="s">
        <v>2078</v>
      </c>
      <c r="N2961" s="1" t="s">
        <v>2079</v>
      </c>
      <c r="P2961" s="1" t="s">
        <v>1806</v>
      </c>
      <c r="Q2961" s="3">
        <v>0</v>
      </c>
      <c r="R2961" s="22" t="s">
        <v>2724</v>
      </c>
      <c r="S2961" s="42" t="s">
        <v>6909</v>
      </c>
      <c r="T2961" s="3" t="s">
        <v>4868</v>
      </c>
      <c r="U2961" s="45">
        <v>35</v>
      </c>
      <c r="V2961" t="s">
        <v>8125</v>
      </c>
      <c r="W2961" s="1" t="str">
        <f>HYPERLINK("http://ictvonline.org/taxonomy/p/taxonomy-history?taxnode_id=201903410","ICTVonline=201903410")</f>
        <v>ICTVonline=201903410</v>
      </c>
    </row>
    <row r="2962" spans="1:23">
      <c r="A2962" s="3">
        <v>2961</v>
      </c>
      <c r="B2962" s="1" t="s">
        <v>8017</v>
      </c>
      <c r="D2962" s="1" t="s">
        <v>8049</v>
      </c>
      <c r="F2962" s="1" t="s">
        <v>8122</v>
      </c>
      <c r="H2962" s="1" t="s">
        <v>8143</v>
      </c>
      <c r="J2962" s="1" t="s">
        <v>8144</v>
      </c>
      <c r="L2962" s="1" t="s">
        <v>2078</v>
      </c>
      <c r="N2962" s="1" t="s">
        <v>2079</v>
      </c>
      <c r="P2962" s="1" t="s">
        <v>1807</v>
      </c>
      <c r="Q2962" s="3">
        <v>0</v>
      </c>
      <c r="R2962" s="22" t="s">
        <v>2724</v>
      </c>
      <c r="S2962" s="42" t="s">
        <v>6909</v>
      </c>
      <c r="T2962" s="3" t="s">
        <v>4868</v>
      </c>
      <c r="U2962" s="45">
        <v>35</v>
      </c>
      <c r="V2962" t="s">
        <v>8125</v>
      </c>
      <c r="W2962" s="1" t="str">
        <f>HYPERLINK("http://ictvonline.org/taxonomy/p/taxonomy-history?taxnode_id=201903411","ICTVonline=201903411")</f>
        <v>ICTVonline=201903411</v>
      </c>
    </row>
    <row r="2963" spans="1:23">
      <c r="A2963" s="3">
        <v>2962</v>
      </c>
      <c r="B2963" s="1" t="s">
        <v>8017</v>
      </c>
      <c r="D2963" s="1" t="s">
        <v>8049</v>
      </c>
      <c r="F2963" s="1" t="s">
        <v>8122</v>
      </c>
      <c r="H2963" s="1" t="s">
        <v>8143</v>
      </c>
      <c r="J2963" s="1" t="s">
        <v>8144</v>
      </c>
      <c r="L2963" s="1" t="s">
        <v>2078</v>
      </c>
      <c r="N2963" s="1" t="s">
        <v>2079</v>
      </c>
      <c r="P2963" s="1" t="s">
        <v>2432</v>
      </c>
      <c r="Q2963" s="3">
        <v>0</v>
      </c>
      <c r="R2963" s="22" t="s">
        <v>2724</v>
      </c>
      <c r="S2963" s="42" t="s">
        <v>6909</v>
      </c>
      <c r="T2963" s="3" t="s">
        <v>4868</v>
      </c>
      <c r="U2963" s="45">
        <v>35</v>
      </c>
      <c r="V2963" t="s">
        <v>8125</v>
      </c>
      <c r="W2963" s="1" t="str">
        <f>HYPERLINK("http://ictvonline.org/taxonomy/p/taxonomy-history?taxnode_id=201903412","ICTVonline=201903412")</f>
        <v>ICTVonline=201903412</v>
      </c>
    </row>
    <row r="2964" spans="1:23">
      <c r="A2964" s="3">
        <v>2963</v>
      </c>
      <c r="B2964" s="1" t="s">
        <v>8017</v>
      </c>
      <c r="D2964" s="1" t="s">
        <v>8049</v>
      </c>
      <c r="F2964" s="1" t="s">
        <v>8122</v>
      </c>
      <c r="H2964" s="1" t="s">
        <v>8143</v>
      </c>
      <c r="J2964" s="1" t="s">
        <v>8144</v>
      </c>
      <c r="L2964" s="1" t="s">
        <v>2078</v>
      </c>
      <c r="N2964" s="1" t="s">
        <v>2079</v>
      </c>
      <c r="P2964" s="1" t="s">
        <v>3767</v>
      </c>
      <c r="Q2964" s="3">
        <v>0</v>
      </c>
      <c r="R2964" s="22" t="s">
        <v>2724</v>
      </c>
      <c r="S2964" s="42" t="s">
        <v>6909</v>
      </c>
      <c r="T2964" s="3" t="s">
        <v>4868</v>
      </c>
      <c r="U2964" s="45">
        <v>35</v>
      </c>
      <c r="V2964" t="s">
        <v>8125</v>
      </c>
      <c r="W2964" s="1" t="str">
        <f>HYPERLINK("http://ictvonline.org/taxonomy/p/taxonomy-history?taxnode_id=201903413","ICTVonline=201903413")</f>
        <v>ICTVonline=201903413</v>
      </c>
    </row>
    <row r="2965" spans="1:23">
      <c r="A2965" s="3">
        <v>2964</v>
      </c>
      <c r="B2965" s="1" t="s">
        <v>8017</v>
      </c>
      <c r="D2965" s="1" t="s">
        <v>8049</v>
      </c>
      <c r="F2965" s="1" t="s">
        <v>8122</v>
      </c>
      <c r="H2965" s="1" t="s">
        <v>8143</v>
      </c>
      <c r="J2965" s="1" t="s">
        <v>8144</v>
      </c>
      <c r="L2965" s="1" t="s">
        <v>2078</v>
      </c>
      <c r="N2965" s="1" t="s">
        <v>2079</v>
      </c>
      <c r="P2965" s="1" t="s">
        <v>5389</v>
      </c>
      <c r="Q2965" s="3">
        <v>0</v>
      </c>
      <c r="R2965" s="22" t="s">
        <v>2724</v>
      </c>
      <c r="S2965" s="42" t="s">
        <v>6909</v>
      </c>
      <c r="T2965" s="3" t="s">
        <v>4868</v>
      </c>
      <c r="U2965" s="45">
        <v>35</v>
      </c>
      <c r="V2965" t="s">
        <v>8125</v>
      </c>
      <c r="W2965" s="1" t="str">
        <f>HYPERLINK("http://ictvonline.org/taxonomy/p/taxonomy-history?taxnode_id=201905837","ICTVonline=201905837")</f>
        <v>ICTVonline=201905837</v>
      </c>
    </row>
    <row r="2966" spans="1:23">
      <c r="A2966" s="3">
        <v>2965</v>
      </c>
      <c r="B2966" s="1" t="s">
        <v>8017</v>
      </c>
      <c r="D2966" s="1" t="s">
        <v>8049</v>
      </c>
      <c r="F2966" s="1" t="s">
        <v>8122</v>
      </c>
      <c r="H2966" s="1" t="s">
        <v>8143</v>
      </c>
      <c r="J2966" s="1" t="s">
        <v>8144</v>
      </c>
      <c r="L2966" s="1" t="s">
        <v>2078</v>
      </c>
      <c r="N2966" s="1" t="s">
        <v>2079</v>
      </c>
      <c r="P2966" s="1" t="s">
        <v>2433</v>
      </c>
      <c r="Q2966" s="3">
        <v>0</v>
      </c>
      <c r="R2966" s="22" t="s">
        <v>2724</v>
      </c>
      <c r="S2966" s="42" t="s">
        <v>6909</v>
      </c>
      <c r="T2966" s="3" t="s">
        <v>4868</v>
      </c>
      <c r="U2966" s="45">
        <v>35</v>
      </c>
      <c r="V2966" t="s">
        <v>8125</v>
      </c>
      <c r="W2966" s="1" t="str">
        <f>HYPERLINK("http://ictvonline.org/taxonomy/p/taxonomy-history?taxnode_id=201903414","ICTVonline=201903414")</f>
        <v>ICTVonline=201903414</v>
      </c>
    </row>
    <row r="2967" spans="1:23">
      <c r="A2967" s="3">
        <v>2966</v>
      </c>
      <c r="B2967" s="1" t="s">
        <v>8017</v>
      </c>
      <c r="D2967" s="1" t="s">
        <v>8049</v>
      </c>
      <c r="F2967" s="1" t="s">
        <v>8122</v>
      </c>
      <c r="H2967" s="1" t="s">
        <v>8143</v>
      </c>
      <c r="J2967" s="1" t="s">
        <v>8144</v>
      </c>
      <c r="L2967" s="1" t="s">
        <v>2078</v>
      </c>
      <c r="N2967" s="1" t="s">
        <v>2079</v>
      </c>
      <c r="P2967" s="1" t="s">
        <v>1808</v>
      </c>
      <c r="Q2967" s="3">
        <v>0</v>
      </c>
      <c r="R2967" s="22" t="s">
        <v>2724</v>
      </c>
      <c r="S2967" s="42" t="s">
        <v>6909</v>
      </c>
      <c r="T2967" s="3" t="s">
        <v>4868</v>
      </c>
      <c r="U2967" s="45">
        <v>35</v>
      </c>
      <c r="V2967" t="s">
        <v>8125</v>
      </c>
      <c r="W2967" s="1" t="str">
        <f>HYPERLINK("http://ictvonline.org/taxonomy/p/taxonomy-history?taxnode_id=201903415","ICTVonline=201903415")</f>
        <v>ICTVonline=201903415</v>
      </c>
    </row>
    <row r="2968" spans="1:23">
      <c r="A2968" s="3">
        <v>2967</v>
      </c>
      <c r="B2968" s="1" t="s">
        <v>8017</v>
      </c>
      <c r="D2968" s="1" t="s">
        <v>8049</v>
      </c>
      <c r="F2968" s="1" t="s">
        <v>8122</v>
      </c>
      <c r="H2968" s="1" t="s">
        <v>8143</v>
      </c>
      <c r="J2968" s="1" t="s">
        <v>8144</v>
      </c>
      <c r="L2968" s="1" t="s">
        <v>2078</v>
      </c>
      <c r="N2968" s="1" t="s">
        <v>2079</v>
      </c>
      <c r="P2968" s="1" t="s">
        <v>1577</v>
      </c>
      <c r="Q2968" s="3">
        <v>0</v>
      </c>
      <c r="R2968" s="22" t="s">
        <v>2724</v>
      </c>
      <c r="S2968" s="42" t="s">
        <v>6909</v>
      </c>
      <c r="T2968" s="3" t="s">
        <v>4868</v>
      </c>
      <c r="U2968" s="45">
        <v>35</v>
      </c>
      <c r="V2968" t="s">
        <v>8125</v>
      </c>
      <c r="W2968" s="1" t="str">
        <f>HYPERLINK("http://ictvonline.org/taxonomy/p/taxonomy-history?taxnode_id=201903416","ICTVonline=201903416")</f>
        <v>ICTVonline=201903416</v>
      </c>
    </row>
    <row r="2969" spans="1:23">
      <c r="A2969" s="3">
        <v>2968</v>
      </c>
      <c r="B2969" s="1" t="s">
        <v>8017</v>
      </c>
      <c r="D2969" s="1" t="s">
        <v>8049</v>
      </c>
      <c r="F2969" s="1" t="s">
        <v>8122</v>
      </c>
      <c r="H2969" s="1" t="s">
        <v>8143</v>
      </c>
      <c r="J2969" s="1" t="s">
        <v>8144</v>
      </c>
      <c r="L2969" s="1" t="s">
        <v>2078</v>
      </c>
      <c r="N2969" s="1" t="s">
        <v>2079</v>
      </c>
      <c r="P2969" s="1" t="s">
        <v>1578</v>
      </c>
      <c r="Q2969" s="3">
        <v>0</v>
      </c>
      <c r="R2969" s="22" t="s">
        <v>2724</v>
      </c>
      <c r="S2969" s="42" t="s">
        <v>6909</v>
      </c>
      <c r="T2969" s="3" t="s">
        <v>4868</v>
      </c>
      <c r="U2969" s="45">
        <v>35</v>
      </c>
      <c r="V2969" t="s">
        <v>8125</v>
      </c>
      <c r="W2969" s="1" t="str">
        <f>HYPERLINK("http://ictvonline.org/taxonomy/p/taxonomy-history?taxnode_id=201903417","ICTVonline=201903417")</f>
        <v>ICTVonline=201903417</v>
      </c>
    </row>
    <row r="2970" spans="1:23">
      <c r="A2970" s="3">
        <v>2969</v>
      </c>
      <c r="B2970" s="1" t="s">
        <v>8017</v>
      </c>
      <c r="D2970" s="1" t="s">
        <v>8049</v>
      </c>
      <c r="F2970" s="1" t="s">
        <v>8122</v>
      </c>
      <c r="H2970" s="1" t="s">
        <v>8143</v>
      </c>
      <c r="J2970" s="1" t="s">
        <v>8144</v>
      </c>
      <c r="L2970" s="1" t="s">
        <v>2078</v>
      </c>
      <c r="N2970" s="1" t="s">
        <v>2079</v>
      </c>
      <c r="P2970" s="1" t="s">
        <v>5390</v>
      </c>
      <c r="Q2970" s="3">
        <v>0</v>
      </c>
      <c r="R2970" s="22" t="s">
        <v>2724</v>
      </c>
      <c r="S2970" s="42" t="s">
        <v>6909</v>
      </c>
      <c r="T2970" s="3" t="s">
        <v>4868</v>
      </c>
      <c r="U2970" s="45">
        <v>35</v>
      </c>
      <c r="V2970" t="s">
        <v>8125</v>
      </c>
      <c r="W2970" s="1" t="str">
        <f>HYPERLINK("http://ictvonline.org/taxonomy/p/taxonomy-history?taxnode_id=201905838","ICTVonline=201905838")</f>
        <v>ICTVonline=201905838</v>
      </c>
    </row>
    <row r="2971" spans="1:23">
      <c r="A2971" s="3">
        <v>2970</v>
      </c>
      <c r="B2971" s="1" t="s">
        <v>8017</v>
      </c>
      <c r="D2971" s="1" t="s">
        <v>8049</v>
      </c>
      <c r="F2971" s="1" t="s">
        <v>8122</v>
      </c>
      <c r="H2971" s="1" t="s">
        <v>8143</v>
      </c>
      <c r="J2971" s="1" t="s">
        <v>8144</v>
      </c>
      <c r="L2971" s="1" t="s">
        <v>2078</v>
      </c>
      <c r="N2971" s="1" t="s">
        <v>2079</v>
      </c>
      <c r="P2971" s="1" t="s">
        <v>2434</v>
      </c>
      <c r="Q2971" s="3">
        <v>0</v>
      </c>
      <c r="R2971" s="22" t="s">
        <v>2724</v>
      </c>
      <c r="S2971" s="42" t="s">
        <v>6909</v>
      </c>
      <c r="T2971" s="3" t="s">
        <v>4868</v>
      </c>
      <c r="U2971" s="45">
        <v>35</v>
      </c>
      <c r="V2971" t="s">
        <v>8125</v>
      </c>
      <c r="W2971" s="1" t="str">
        <f>HYPERLINK("http://ictvonline.org/taxonomy/p/taxonomy-history?taxnode_id=201903418","ICTVonline=201903418")</f>
        <v>ICTVonline=201903418</v>
      </c>
    </row>
    <row r="2972" spans="1:23">
      <c r="A2972" s="3">
        <v>2971</v>
      </c>
      <c r="B2972" s="1" t="s">
        <v>8017</v>
      </c>
      <c r="D2972" s="1" t="s">
        <v>8049</v>
      </c>
      <c r="F2972" s="1" t="s">
        <v>8122</v>
      </c>
      <c r="H2972" s="1" t="s">
        <v>8143</v>
      </c>
      <c r="J2972" s="1" t="s">
        <v>8144</v>
      </c>
      <c r="L2972" s="1" t="s">
        <v>2078</v>
      </c>
      <c r="N2972" s="1" t="s">
        <v>2079</v>
      </c>
      <c r="P2972" s="1" t="s">
        <v>1916</v>
      </c>
      <c r="Q2972" s="3">
        <v>0</v>
      </c>
      <c r="R2972" s="22" t="s">
        <v>2724</v>
      </c>
      <c r="S2972" s="42" t="s">
        <v>6909</v>
      </c>
      <c r="T2972" s="3" t="s">
        <v>4868</v>
      </c>
      <c r="U2972" s="45">
        <v>35</v>
      </c>
      <c r="V2972" t="s">
        <v>8125</v>
      </c>
      <c r="W2972" s="1" t="str">
        <f>HYPERLINK("http://ictvonline.org/taxonomy/p/taxonomy-history?taxnode_id=201903419","ICTVonline=201903419")</f>
        <v>ICTVonline=201903419</v>
      </c>
    </row>
    <row r="2973" spans="1:23">
      <c r="A2973" s="3">
        <v>2972</v>
      </c>
      <c r="B2973" s="1" t="s">
        <v>8017</v>
      </c>
      <c r="D2973" s="1" t="s">
        <v>8049</v>
      </c>
      <c r="F2973" s="1" t="s">
        <v>8122</v>
      </c>
      <c r="H2973" s="1" t="s">
        <v>8143</v>
      </c>
      <c r="J2973" s="1" t="s">
        <v>8144</v>
      </c>
      <c r="L2973" s="1" t="s">
        <v>2078</v>
      </c>
      <c r="N2973" s="1" t="s">
        <v>2079</v>
      </c>
      <c r="P2973" s="1" t="s">
        <v>1831</v>
      </c>
      <c r="Q2973" s="3">
        <v>0</v>
      </c>
      <c r="R2973" s="22" t="s">
        <v>2724</v>
      </c>
      <c r="S2973" s="42" t="s">
        <v>6909</v>
      </c>
      <c r="T2973" s="3" t="s">
        <v>4868</v>
      </c>
      <c r="U2973" s="45">
        <v>35</v>
      </c>
      <c r="V2973" t="s">
        <v>8125</v>
      </c>
      <c r="W2973" s="1" t="str">
        <f>HYPERLINK("http://ictvonline.org/taxonomy/p/taxonomy-history?taxnode_id=201903420","ICTVonline=201903420")</f>
        <v>ICTVonline=201903420</v>
      </c>
    </row>
    <row r="2974" spans="1:23">
      <c r="A2974" s="3">
        <v>2973</v>
      </c>
      <c r="B2974" s="1" t="s">
        <v>8017</v>
      </c>
      <c r="D2974" s="1" t="s">
        <v>8049</v>
      </c>
      <c r="F2974" s="1" t="s">
        <v>8122</v>
      </c>
      <c r="H2974" s="1" t="s">
        <v>8143</v>
      </c>
      <c r="J2974" s="1" t="s">
        <v>8144</v>
      </c>
      <c r="L2974" s="1" t="s">
        <v>2078</v>
      </c>
      <c r="N2974" s="1" t="s">
        <v>2079</v>
      </c>
      <c r="P2974" s="1" t="s">
        <v>2435</v>
      </c>
      <c r="Q2974" s="3">
        <v>0</v>
      </c>
      <c r="R2974" s="22" t="s">
        <v>2724</v>
      </c>
      <c r="S2974" s="42" t="s">
        <v>6909</v>
      </c>
      <c r="T2974" s="3" t="s">
        <v>4868</v>
      </c>
      <c r="U2974" s="45">
        <v>35</v>
      </c>
      <c r="V2974" t="s">
        <v>8125</v>
      </c>
      <c r="W2974" s="1" t="str">
        <f>HYPERLINK("http://ictvonline.org/taxonomy/p/taxonomy-history?taxnode_id=201903421","ICTVonline=201903421")</f>
        <v>ICTVonline=201903421</v>
      </c>
    </row>
    <row r="2975" spans="1:23">
      <c r="A2975" s="3">
        <v>2974</v>
      </c>
      <c r="B2975" s="1" t="s">
        <v>8017</v>
      </c>
      <c r="D2975" s="1" t="s">
        <v>8049</v>
      </c>
      <c r="F2975" s="1" t="s">
        <v>8122</v>
      </c>
      <c r="H2975" s="1" t="s">
        <v>8143</v>
      </c>
      <c r="J2975" s="1" t="s">
        <v>8144</v>
      </c>
      <c r="L2975" s="1" t="s">
        <v>2078</v>
      </c>
      <c r="N2975" s="1" t="s">
        <v>2079</v>
      </c>
      <c r="P2975" s="1" t="s">
        <v>2436</v>
      </c>
      <c r="Q2975" s="3">
        <v>0</v>
      </c>
      <c r="R2975" s="22" t="s">
        <v>2724</v>
      </c>
      <c r="S2975" s="42" t="s">
        <v>6909</v>
      </c>
      <c r="T2975" s="3" t="s">
        <v>4868</v>
      </c>
      <c r="U2975" s="45">
        <v>35</v>
      </c>
      <c r="V2975" t="s">
        <v>8125</v>
      </c>
      <c r="W2975" s="1" t="str">
        <f>HYPERLINK("http://ictvonline.org/taxonomy/p/taxonomy-history?taxnode_id=201903422","ICTVonline=201903422")</f>
        <v>ICTVonline=201903422</v>
      </c>
    </row>
    <row r="2976" spans="1:23">
      <c r="A2976" s="3">
        <v>2975</v>
      </c>
      <c r="B2976" s="1" t="s">
        <v>8017</v>
      </c>
      <c r="D2976" s="1" t="s">
        <v>8049</v>
      </c>
      <c r="F2976" s="1" t="s">
        <v>8122</v>
      </c>
      <c r="H2976" s="1" t="s">
        <v>8143</v>
      </c>
      <c r="J2976" s="1" t="s">
        <v>8144</v>
      </c>
      <c r="L2976" s="1" t="s">
        <v>2078</v>
      </c>
      <c r="N2976" s="1" t="s">
        <v>2079</v>
      </c>
      <c r="P2976" s="1" t="s">
        <v>1517</v>
      </c>
      <c r="Q2976" s="3">
        <v>0</v>
      </c>
      <c r="R2976" s="22" t="s">
        <v>2724</v>
      </c>
      <c r="S2976" s="42" t="s">
        <v>6909</v>
      </c>
      <c r="T2976" s="3" t="s">
        <v>4868</v>
      </c>
      <c r="U2976" s="45">
        <v>35</v>
      </c>
      <c r="V2976" t="s">
        <v>8125</v>
      </c>
      <c r="W2976" s="1" t="str">
        <f>HYPERLINK("http://ictvonline.org/taxonomy/p/taxonomy-history?taxnode_id=201903423","ICTVonline=201903423")</f>
        <v>ICTVonline=201903423</v>
      </c>
    </row>
    <row r="2977" spans="1:23">
      <c r="A2977" s="3">
        <v>2976</v>
      </c>
      <c r="B2977" s="1" t="s">
        <v>8017</v>
      </c>
      <c r="D2977" s="1" t="s">
        <v>8049</v>
      </c>
      <c r="F2977" s="1" t="s">
        <v>8122</v>
      </c>
      <c r="H2977" s="1" t="s">
        <v>8143</v>
      </c>
      <c r="J2977" s="1" t="s">
        <v>8144</v>
      </c>
      <c r="L2977" s="1" t="s">
        <v>2078</v>
      </c>
      <c r="N2977" s="1" t="s">
        <v>2079</v>
      </c>
      <c r="P2977" s="1" t="s">
        <v>462</v>
      </c>
      <c r="Q2977" s="3">
        <v>0</v>
      </c>
      <c r="R2977" s="22" t="s">
        <v>2724</v>
      </c>
      <c r="S2977" s="42" t="s">
        <v>6909</v>
      </c>
      <c r="T2977" s="3" t="s">
        <v>4868</v>
      </c>
      <c r="U2977" s="45">
        <v>35</v>
      </c>
      <c r="V2977" t="s">
        <v>8125</v>
      </c>
      <c r="W2977" s="1" t="str">
        <f>HYPERLINK("http://ictvonline.org/taxonomy/p/taxonomy-history?taxnode_id=201903424","ICTVonline=201903424")</f>
        <v>ICTVonline=201903424</v>
      </c>
    </row>
    <row r="2978" spans="1:23">
      <c r="A2978" s="3">
        <v>2977</v>
      </c>
      <c r="B2978" s="1" t="s">
        <v>8017</v>
      </c>
      <c r="D2978" s="1" t="s">
        <v>8049</v>
      </c>
      <c r="F2978" s="1" t="s">
        <v>8122</v>
      </c>
      <c r="H2978" s="1" t="s">
        <v>8143</v>
      </c>
      <c r="J2978" s="1" t="s">
        <v>8144</v>
      </c>
      <c r="L2978" s="1" t="s">
        <v>2078</v>
      </c>
      <c r="N2978" s="1" t="s">
        <v>2079</v>
      </c>
      <c r="P2978" s="1" t="s">
        <v>463</v>
      </c>
      <c r="Q2978" s="3">
        <v>0</v>
      </c>
      <c r="R2978" s="22" t="s">
        <v>2724</v>
      </c>
      <c r="S2978" s="42" t="s">
        <v>6909</v>
      </c>
      <c r="T2978" s="3" t="s">
        <v>4868</v>
      </c>
      <c r="U2978" s="45">
        <v>35</v>
      </c>
      <c r="V2978" t="s">
        <v>8125</v>
      </c>
      <c r="W2978" s="1" t="str">
        <f>HYPERLINK("http://ictvonline.org/taxonomy/p/taxonomy-history?taxnode_id=201903425","ICTVonline=201903425")</f>
        <v>ICTVonline=201903425</v>
      </c>
    </row>
    <row r="2979" spans="1:23">
      <c r="A2979" s="3">
        <v>2978</v>
      </c>
      <c r="B2979" s="1" t="s">
        <v>8017</v>
      </c>
      <c r="D2979" s="1" t="s">
        <v>8049</v>
      </c>
      <c r="F2979" s="1" t="s">
        <v>8122</v>
      </c>
      <c r="H2979" s="1" t="s">
        <v>8143</v>
      </c>
      <c r="J2979" s="1" t="s">
        <v>8144</v>
      </c>
      <c r="L2979" s="1" t="s">
        <v>2078</v>
      </c>
      <c r="N2979" s="1" t="s">
        <v>2079</v>
      </c>
      <c r="P2979" s="1" t="s">
        <v>2437</v>
      </c>
      <c r="Q2979" s="3">
        <v>0</v>
      </c>
      <c r="R2979" s="22" t="s">
        <v>2724</v>
      </c>
      <c r="S2979" s="42" t="s">
        <v>6909</v>
      </c>
      <c r="T2979" s="3" t="s">
        <v>4868</v>
      </c>
      <c r="U2979" s="45">
        <v>35</v>
      </c>
      <c r="V2979" t="s">
        <v>8125</v>
      </c>
      <c r="W2979" s="1" t="str">
        <f>HYPERLINK("http://ictvonline.org/taxonomy/p/taxonomy-history?taxnode_id=201903426","ICTVonline=201903426")</f>
        <v>ICTVonline=201903426</v>
      </c>
    </row>
    <row r="2980" spans="1:23">
      <c r="A2980" s="3">
        <v>2979</v>
      </c>
      <c r="B2980" s="1" t="s">
        <v>8017</v>
      </c>
      <c r="D2980" s="1" t="s">
        <v>8049</v>
      </c>
      <c r="F2980" s="1" t="s">
        <v>8122</v>
      </c>
      <c r="H2980" s="1" t="s">
        <v>8143</v>
      </c>
      <c r="J2980" s="1" t="s">
        <v>8144</v>
      </c>
      <c r="L2980" s="1" t="s">
        <v>2078</v>
      </c>
      <c r="N2980" s="1" t="s">
        <v>2079</v>
      </c>
      <c r="P2980" s="1" t="s">
        <v>2438</v>
      </c>
      <c r="Q2980" s="3">
        <v>0</v>
      </c>
      <c r="R2980" s="22" t="s">
        <v>2724</v>
      </c>
      <c r="S2980" s="42" t="s">
        <v>6909</v>
      </c>
      <c r="T2980" s="3" t="s">
        <v>4868</v>
      </c>
      <c r="U2980" s="45">
        <v>35</v>
      </c>
      <c r="V2980" t="s">
        <v>8125</v>
      </c>
      <c r="W2980" s="1" t="str">
        <f>HYPERLINK("http://ictvonline.org/taxonomy/p/taxonomy-history?taxnode_id=201903427","ICTVonline=201903427")</f>
        <v>ICTVonline=201903427</v>
      </c>
    </row>
    <row r="2981" spans="1:23">
      <c r="A2981" s="3">
        <v>2980</v>
      </c>
      <c r="B2981" s="1" t="s">
        <v>8017</v>
      </c>
      <c r="D2981" s="1" t="s">
        <v>8049</v>
      </c>
      <c r="F2981" s="1" t="s">
        <v>8122</v>
      </c>
      <c r="H2981" s="1" t="s">
        <v>8143</v>
      </c>
      <c r="J2981" s="1" t="s">
        <v>8144</v>
      </c>
      <c r="L2981" s="1" t="s">
        <v>2078</v>
      </c>
      <c r="N2981" s="1" t="s">
        <v>2079</v>
      </c>
      <c r="P2981" s="1" t="s">
        <v>445</v>
      </c>
      <c r="Q2981" s="3">
        <v>0</v>
      </c>
      <c r="R2981" s="22" t="s">
        <v>2724</v>
      </c>
      <c r="S2981" s="42" t="s">
        <v>6909</v>
      </c>
      <c r="T2981" s="3" t="s">
        <v>4868</v>
      </c>
      <c r="U2981" s="45">
        <v>35</v>
      </c>
      <c r="V2981" t="s">
        <v>8125</v>
      </c>
      <c r="W2981" s="1" t="str">
        <f>HYPERLINK("http://ictvonline.org/taxonomy/p/taxonomy-history?taxnode_id=201903428","ICTVonline=201903428")</f>
        <v>ICTVonline=201903428</v>
      </c>
    </row>
    <row r="2982" spans="1:23">
      <c r="A2982" s="3">
        <v>2981</v>
      </c>
      <c r="B2982" s="1" t="s">
        <v>8017</v>
      </c>
      <c r="D2982" s="1" t="s">
        <v>8049</v>
      </c>
      <c r="F2982" s="1" t="s">
        <v>8122</v>
      </c>
      <c r="H2982" s="1" t="s">
        <v>8143</v>
      </c>
      <c r="J2982" s="1" t="s">
        <v>8144</v>
      </c>
      <c r="L2982" s="1" t="s">
        <v>2078</v>
      </c>
      <c r="N2982" s="1" t="s">
        <v>2079</v>
      </c>
      <c r="P2982" s="1" t="s">
        <v>2439</v>
      </c>
      <c r="Q2982" s="3">
        <v>0</v>
      </c>
      <c r="R2982" s="22" t="s">
        <v>2724</v>
      </c>
      <c r="S2982" s="42" t="s">
        <v>6909</v>
      </c>
      <c r="T2982" s="3" t="s">
        <v>4868</v>
      </c>
      <c r="U2982" s="45">
        <v>35</v>
      </c>
      <c r="V2982" t="s">
        <v>8125</v>
      </c>
      <c r="W2982" s="1" t="str">
        <f>HYPERLINK("http://ictvonline.org/taxonomy/p/taxonomy-history?taxnode_id=201903429","ICTVonline=201903429")</f>
        <v>ICTVonline=201903429</v>
      </c>
    </row>
    <row r="2983" spans="1:23">
      <c r="A2983" s="3">
        <v>2982</v>
      </c>
      <c r="B2983" s="1" t="s">
        <v>8017</v>
      </c>
      <c r="D2983" s="1" t="s">
        <v>8049</v>
      </c>
      <c r="F2983" s="1" t="s">
        <v>8122</v>
      </c>
      <c r="H2983" s="1" t="s">
        <v>8143</v>
      </c>
      <c r="J2983" s="1" t="s">
        <v>8144</v>
      </c>
      <c r="L2983" s="1" t="s">
        <v>2078</v>
      </c>
      <c r="N2983" s="1" t="s">
        <v>2079</v>
      </c>
      <c r="P2983" s="1" t="s">
        <v>6854</v>
      </c>
      <c r="Q2983" s="3">
        <v>0</v>
      </c>
      <c r="R2983" s="22" t="s">
        <v>2724</v>
      </c>
      <c r="S2983" s="42" t="s">
        <v>6909</v>
      </c>
      <c r="T2983" s="3" t="s">
        <v>4868</v>
      </c>
      <c r="U2983" s="45">
        <v>35</v>
      </c>
      <c r="V2983" t="s">
        <v>8125</v>
      </c>
      <c r="W2983" s="1" t="str">
        <f>HYPERLINK("http://ictvonline.org/taxonomy/p/taxonomy-history?taxnode_id=201906709","ICTVonline=201906709")</f>
        <v>ICTVonline=201906709</v>
      </c>
    </row>
    <row r="2984" spans="1:23">
      <c r="A2984" s="3">
        <v>2983</v>
      </c>
      <c r="B2984" s="1" t="s">
        <v>8017</v>
      </c>
      <c r="D2984" s="1" t="s">
        <v>8049</v>
      </c>
      <c r="F2984" s="1" t="s">
        <v>8122</v>
      </c>
      <c r="H2984" s="1" t="s">
        <v>8143</v>
      </c>
      <c r="J2984" s="1" t="s">
        <v>8144</v>
      </c>
      <c r="L2984" s="1" t="s">
        <v>2078</v>
      </c>
      <c r="N2984" s="1" t="s">
        <v>2079</v>
      </c>
      <c r="P2984" s="1" t="s">
        <v>300</v>
      </c>
      <c r="Q2984" s="3">
        <v>0</v>
      </c>
      <c r="R2984" s="22" t="s">
        <v>2724</v>
      </c>
      <c r="S2984" s="42" t="s">
        <v>6909</v>
      </c>
      <c r="T2984" s="3" t="s">
        <v>4868</v>
      </c>
      <c r="U2984" s="45">
        <v>35</v>
      </c>
      <c r="V2984" t="s">
        <v>8125</v>
      </c>
      <c r="W2984" s="1" t="str">
        <f>HYPERLINK("http://ictvonline.org/taxonomy/p/taxonomy-history?taxnode_id=201903430","ICTVonline=201903430")</f>
        <v>ICTVonline=201903430</v>
      </c>
    </row>
    <row r="2985" spans="1:23">
      <c r="A2985" s="3">
        <v>2984</v>
      </c>
      <c r="B2985" s="1" t="s">
        <v>8017</v>
      </c>
      <c r="D2985" s="1" t="s">
        <v>8049</v>
      </c>
      <c r="F2985" s="1" t="s">
        <v>8122</v>
      </c>
      <c r="H2985" s="1" t="s">
        <v>8143</v>
      </c>
      <c r="J2985" s="1" t="s">
        <v>8144</v>
      </c>
      <c r="L2985" s="1" t="s">
        <v>2078</v>
      </c>
      <c r="N2985" s="1" t="s">
        <v>2079</v>
      </c>
      <c r="P2985" s="1" t="s">
        <v>304</v>
      </c>
      <c r="Q2985" s="3">
        <v>0</v>
      </c>
      <c r="R2985" s="22" t="s">
        <v>2724</v>
      </c>
      <c r="S2985" s="42" t="s">
        <v>6909</v>
      </c>
      <c r="T2985" s="3" t="s">
        <v>4868</v>
      </c>
      <c r="U2985" s="45">
        <v>35</v>
      </c>
      <c r="V2985" t="s">
        <v>8125</v>
      </c>
      <c r="W2985" s="1" t="str">
        <f>HYPERLINK("http://ictvonline.org/taxonomy/p/taxonomy-history?taxnode_id=201903431","ICTVonline=201903431")</f>
        <v>ICTVonline=201903431</v>
      </c>
    </row>
    <row r="2986" spans="1:23">
      <c r="A2986" s="3">
        <v>2985</v>
      </c>
      <c r="B2986" s="1" t="s">
        <v>8017</v>
      </c>
      <c r="D2986" s="1" t="s">
        <v>8049</v>
      </c>
      <c r="F2986" s="1" t="s">
        <v>8122</v>
      </c>
      <c r="H2986" s="1" t="s">
        <v>8143</v>
      </c>
      <c r="J2986" s="1" t="s">
        <v>8144</v>
      </c>
      <c r="L2986" s="1" t="s">
        <v>2078</v>
      </c>
      <c r="N2986" s="1" t="s">
        <v>2079</v>
      </c>
      <c r="P2986" s="1" t="s">
        <v>858</v>
      </c>
      <c r="Q2986" s="3">
        <v>0</v>
      </c>
      <c r="R2986" s="22" t="s">
        <v>2724</v>
      </c>
      <c r="S2986" s="42" t="s">
        <v>6909</v>
      </c>
      <c r="T2986" s="3" t="s">
        <v>4868</v>
      </c>
      <c r="U2986" s="45">
        <v>35</v>
      </c>
      <c r="V2986" t="s">
        <v>8125</v>
      </c>
      <c r="W2986" s="1" t="str">
        <f>HYPERLINK("http://ictvonline.org/taxonomy/p/taxonomy-history?taxnode_id=201903432","ICTVonline=201903432")</f>
        <v>ICTVonline=201903432</v>
      </c>
    </row>
    <row r="2987" spans="1:23">
      <c r="A2987" s="3">
        <v>2986</v>
      </c>
      <c r="B2987" s="1" t="s">
        <v>8017</v>
      </c>
      <c r="D2987" s="1" t="s">
        <v>8049</v>
      </c>
      <c r="F2987" s="1" t="s">
        <v>8122</v>
      </c>
      <c r="H2987" s="1" t="s">
        <v>8143</v>
      </c>
      <c r="J2987" s="1" t="s">
        <v>8144</v>
      </c>
      <c r="L2987" s="1" t="s">
        <v>2078</v>
      </c>
      <c r="N2987" s="1" t="s">
        <v>2079</v>
      </c>
      <c r="P2987" s="1" t="s">
        <v>6855</v>
      </c>
      <c r="Q2987" s="3">
        <v>0</v>
      </c>
      <c r="R2987" s="22" t="s">
        <v>2724</v>
      </c>
      <c r="S2987" s="42" t="s">
        <v>6909</v>
      </c>
      <c r="T2987" s="3" t="s">
        <v>4868</v>
      </c>
      <c r="U2987" s="45">
        <v>35</v>
      </c>
      <c r="V2987" t="s">
        <v>8125</v>
      </c>
      <c r="W2987" s="1" t="str">
        <f>HYPERLINK("http://ictvonline.org/taxonomy/p/taxonomy-history?taxnode_id=201906713","ICTVonline=201906713")</f>
        <v>ICTVonline=201906713</v>
      </c>
    </row>
    <row r="2988" spans="1:23">
      <c r="A2988" s="3">
        <v>2987</v>
      </c>
      <c r="B2988" s="1" t="s">
        <v>8017</v>
      </c>
      <c r="D2988" s="1" t="s">
        <v>8049</v>
      </c>
      <c r="F2988" s="1" t="s">
        <v>8122</v>
      </c>
      <c r="H2988" s="1" t="s">
        <v>8143</v>
      </c>
      <c r="J2988" s="1" t="s">
        <v>8144</v>
      </c>
      <c r="L2988" s="1" t="s">
        <v>2078</v>
      </c>
      <c r="N2988" s="1" t="s">
        <v>2079</v>
      </c>
      <c r="P2988" s="1" t="s">
        <v>6856</v>
      </c>
      <c r="Q2988" s="3">
        <v>0</v>
      </c>
      <c r="R2988" s="22" t="s">
        <v>2724</v>
      </c>
      <c r="S2988" s="42" t="s">
        <v>6909</v>
      </c>
      <c r="T2988" s="3" t="s">
        <v>4868</v>
      </c>
      <c r="U2988" s="45">
        <v>35</v>
      </c>
      <c r="V2988" t="s">
        <v>8125</v>
      </c>
      <c r="W2988" s="1" t="str">
        <f>HYPERLINK("http://ictvonline.org/taxonomy/p/taxonomy-history?taxnode_id=201906714","ICTVonline=201906714")</f>
        <v>ICTVonline=201906714</v>
      </c>
    </row>
    <row r="2989" spans="1:23">
      <c r="A2989" s="3">
        <v>2988</v>
      </c>
      <c r="B2989" s="1" t="s">
        <v>8017</v>
      </c>
      <c r="D2989" s="1" t="s">
        <v>8049</v>
      </c>
      <c r="F2989" s="1" t="s">
        <v>8122</v>
      </c>
      <c r="H2989" s="1" t="s">
        <v>8143</v>
      </c>
      <c r="J2989" s="1" t="s">
        <v>8144</v>
      </c>
      <c r="L2989" s="1" t="s">
        <v>2078</v>
      </c>
      <c r="N2989" s="1" t="s">
        <v>2079</v>
      </c>
      <c r="P2989" s="1" t="s">
        <v>1518</v>
      </c>
      <c r="Q2989" s="3">
        <v>0</v>
      </c>
      <c r="R2989" s="22" t="s">
        <v>2724</v>
      </c>
      <c r="S2989" s="42" t="s">
        <v>6909</v>
      </c>
      <c r="T2989" s="3" t="s">
        <v>4868</v>
      </c>
      <c r="U2989" s="45">
        <v>35</v>
      </c>
      <c r="V2989" t="s">
        <v>8125</v>
      </c>
      <c r="W2989" s="1" t="str">
        <f>HYPERLINK("http://ictvonline.org/taxonomy/p/taxonomy-history?taxnode_id=201903433","ICTVonline=201903433")</f>
        <v>ICTVonline=201903433</v>
      </c>
    </row>
    <row r="2990" spans="1:23">
      <c r="A2990" s="3">
        <v>2989</v>
      </c>
      <c r="B2990" s="1" t="s">
        <v>8017</v>
      </c>
      <c r="D2990" s="1" t="s">
        <v>8049</v>
      </c>
      <c r="F2990" s="1" t="s">
        <v>8122</v>
      </c>
      <c r="H2990" s="1" t="s">
        <v>8143</v>
      </c>
      <c r="J2990" s="1" t="s">
        <v>8144</v>
      </c>
      <c r="L2990" s="1" t="s">
        <v>2078</v>
      </c>
      <c r="N2990" s="1" t="s">
        <v>2079</v>
      </c>
      <c r="P2990" s="1" t="s">
        <v>1519</v>
      </c>
      <c r="Q2990" s="3">
        <v>0</v>
      </c>
      <c r="R2990" s="22" t="s">
        <v>2724</v>
      </c>
      <c r="S2990" s="42" t="s">
        <v>6909</v>
      </c>
      <c r="T2990" s="3" t="s">
        <v>4868</v>
      </c>
      <c r="U2990" s="45">
        <v>35</v>
      </c>
      <c r="V2990" t="s">
        <v>8125</v>
      </c>
      <c r="W2990" s="1" t="str">
        <f>HYPERLINK("http://ictvonline.org/taxonomy/p/taxonomy-history?taxnode_id=201903434","ICTVonline=201903434")</f>
        <v>ICTVonline=201903434</v>
      </c>
    </row>
    <row r="2991" spans="1:23">
      <c r="A2991" s="3">
        <v>2990</v>
      </c>
      <c r="B2991" s="1" t="s">
        <v>8017</v>
      </c>
      <c r="D2991" s="1" t="s">
        <v>8049</v>
      </c>
      <c r="F2991" s="1" t="s">
        <v>8122</v>
      </c>
      <c r="H2991" s="1" t="s">
        <v>8143</v>
      </c>
      <c r="J2991" s="1" t="s">
        <v>8144</v>
      </c>
      <c r="L2991" s="1" t="s">
        <v>2078</v>
      </c>
      <c r="N2991" s="1" t="s">
        <v>2079</v>
      </c>
      <c r="P2991" s="1" t="s">
        <v>3768</v>
      </c>
      <c r="Q2991" s="3">
        <v>0</v>
      </c>
      <c r="R2991" s="22" t="s">
        <v>2724</v>
      </c>
      <c r="S2991" s="42" t="s">
        <v>6909</v>
      </c>
      <c r="T2991" s="3" t="s">
        <v>4868</v>
      </c>
      <c r="U2991" s="45">
        <v>35</v>
      </c>
      <c r="V2991" t="s">
        <v>8125</v>
      </c>
      <c r="W2991" s="1" t="str">
        <f>HYPERLINK("http://ictvonline.org/taxonomy/p/taxonomy-history?taxnode_id=201903435","ICTVonline=201903435")</f>
        <v>ICTVonline=201903435</v>
      </c>
    </row>
    <row r="2992" spans="1:23">
      <c r="A2992" s="3">
        <v>2991</v>
      </c>
      <c r="B2992" s="1" t="s">
        <v>8017</v>
      </c>
      <c r="D2992" s="1" t="s">
        <v>8049</v>
      </c>
      <c r="F2992" s="1" t="s">
        <v>8122</v>
      </c>
      <c r="H2992" s="1" t="s">
        <v>8143</v>
      </c>
      <c r="J2992" s="1" t="s">
        <v>8144</v>
      </c>
      <c r="L2992" s="1" t="s">
        <v>2078</v>
      </c>
      <c r="N2992" s="1" t="s">
        <v>2079</v>
      </c>
      <c r="P2992" s="1" t="s">
        <v>1520</v>
      </c>
      <c r="Q2992" s="3">
        <v>0</v>
      </c>
      <c r="R2992" s="22" t="s">
        <v>2724</v>
      </c>
      <c r="S2992" s="42" t="s">
        <v>6909</v>
      </c>
      <c r="T2992" s="3" t="s">
        <v>4868</v>
      </c>
      <c r="U2992" s="45">
        <v>35</v>
      </c>
      <c r="V2992" t="s">
        <v>8125</v>
      </c>
      <c r="W2992" s="1" t="str">
        <f>HYPERLINK("http://ictvonline.org/taxonomy/p/taxonomy-history?taxnode_id=201903436","ICTVonline=201903436")</f>
        <v>ICTVonline=201903436</v>
      </c>
    </row>
    <row r="2993" spans="1:23">
      <c r="A2993" s="3">
        <v>2992</v>
      </c>
      <c r="B2993" s="1" t="s">
        <v>8017</v>
      </c>
      <c r="D2993" s="1" t="s">
        <v>8049</v>
      </c>
      <c r="F2993" s="1" t="s">
        <v>8122</v>
      </c>
      <c r="H2993" s="1" t="s">
        <v>8143</v>
      </c>
      <c r="J2993" s="1" t="s">
        <v>8144</v>
      </c>
      <c r="L2993" s="1" t="s">
        <v>2078</v>
      </c>
      <c r="N2993" s="1" t="s">
        <v>2079</v>
      </c>
      <c r="P2993" s="1" t="s">
        <v>8160</v>
      </c>
      <c r="Q2993" s="3">
        <v>0</v>
      </c>
      <c r="R2993" s="22" t="s">
        <v>2724</v>
      </c>
      <c r="S2993" s="42" t="s">
        <v>6914</v>
      </c>
      <c r="T2993" s="3" t="s">
        <v>4866</v>
      </c>
      <c r="U2993" s="45">
        <v>35</v>
      </c>
      <c r="V2993" t="s">
        <v>8146</v>
      </c>
      <c r="W2993" s="1" t="str">
        <f>HYPERLINK("http://ictvonline.org/taxonomy/p/taxonomy-history?taxnode_id=201907531","ICTVonline=201907531")</f>
        <v>ICTVonline=201907531</v>
      </c>
    </row>
    <row r="2994" spans="1:23">
      <c r="A2994" s="3">
        <v>2993</v>
      </c>
      <c r="B2994" s="1" t="s">
        <v>8017</v>
      </c>
      <c r="D2994" s="1" t="s">
        <v>8049</v>
      </c>
      <c r="F2994" s="1" t="s">
        <v>8122</v>
      </c>
      <c r="H2994" s="1" t="s">
        <v>8143</v>
      </c>
      <c r="J2994" s="1" t="s">
        <v>8144</v>
      </c>
      <c r="L2994" s="1" t="s">
        <v>2078</v>
      </c>
      <c r="N2994" s="1" t="s">
        <v>2079</v>
      </c>
      <c r="P2994" s="1" t="s">
        <v>1521</v>
      </c>
      <c r="Q2994" s="3">
        <v>0</v>
      </c>
      <c r="R2994" s="22" t="s">
        <v>2724</v>
      </c>
      <c r="S2994" s="42" t="s">
        <v>6909</v>
      </c>
      <c r="T2994" s="3" t="s">
        <v>4868</v>
      </c>
      <c r="U2994" s="45">
        <v>35</v>
      </c>
      <c r="V2994" t="s">
        <v>8125</v>
      </c>
      <c r="W2994" s="1" t="str">
        <f>HYPERLINK("http://ictvonline.org/taxonomy/p/taxonomy-history?taxnode_id=201903437","ICTVonline=201903437")</f>
        <v>ICTVonline=201903437</v>
      </c>
    </row>
    <row r="2995" spans="1:23">
      <c r="A2995" s="3">
        <v>2994</v>
      </c>
      <c r="B2995" s="1" t="s">
        <v>8017</v>
      </c>
      <c r="D2995" s="1" t="s">
        <v>8049</v>
      </c>
      <c r="F2995" s="1" t="s">
        <v>8122</v>
      </c>
      <c r="H2995" s="1" t="s">
        <v>8143</v>
      </c>
      <c r="J2995" s="1" t="s">
        <v>8144</v>
      </c>
      <c r="L2995" s="1" t="s">
        <v>2078</v>
      </c>
      <c r="N2995" s="1" t="s">
        <v>2079</v>
      </c>
      <c r="P2995" s="1" t="s">
        <v>1522</v>
      </c>
      <c r="Q2995" s="3">
        <v>0</v>
      </c>
      <c r="R2995" s="22" t="s">
        <v>2724</v>
      </c>
      <c r="S2995" s="42" t="s">
        <v>6909</v>
      </c>
      <c r="T2995" s="3" t="s">
        <v>4868</v>
      </c>
      <c r="U2995" s="45">
        <v>35</v>
      </c>
      <c r="V2995" t="s">
        <v>8125</v>
      </c>
      <c r="W2995" s="1" t="str">
        <f>HYPERLINK("http://ictvonline.org/taxonomy/p/taxonomy-history?taxnode_id=201903438","ICTVonline=201903438")</f>
        <v>ICTVonline=201903438</v>
      </c>
    </row>
    <row r="2996" spans="1:23">
      <c r="A2996" s="3">
        <v>2995</v>
      </c>
      <c r="B2996" s="1" t="s">
        <v>8017</v>
      </c>
      <c r="D2996" s="1" t="s">
        <v>8049</v>
      </c>
      <c r="F2996" s="1" t="s">
        <v>8122</v>
      </c>
      <c r="H2996" s="1" t="s">
        <v>8143</v>
      </c>
      <c r="J2996" s="1" t="s">
        <v>8144</v>
      </c>
      <c r="L2996" s="1" t="s">
        <v>2078</v>
      </c>
      <c r="N2996" s="1" t="s">
        <v>2079</v>
      </c>
      <c r="P2996" s="1" t="s">
        <v>2440</v>
      </c>
      <c r="Q2996" s="3">
        <v>0</v>
      </c>
      <c r="R2996" s="22" t="s">
        <v>2724</v>
      </c>
      <c r="S2996" s="42" t="s">
        <v>6909</v>
      </c>
      <c r="T2996" s="3" t="s">
        <v>4868</v>
      </c>
      <c r="U2996" s="45">
        <v>35</v>
      </c>
      <c r="V2996" t="s">
        <v>8125</v>
      </c>
      <c r="W2996" s="1" t="str">
        <f>HYPERLINK("http://ictvonline.org/taxonomy/p/taxonomy-history?taxnode_id=201903439","ICTVonline=201903439")</f>
        <v>ICTVonline=201903439</v>
      </c>
    </row>
    <row r="2997" spans="1:23">
      <c r="A2997" s="3">
        <v>2996</v>
      </c>
      <c r="B2997" s="1" t="s">
        <v>8017</v>
      </c>
      <c r="D2997" s="1" t="s">
        <v>8049</v>
      </c>
      <c r="F2997" s="1" t="s">
        <v>8122</v>
      </c>
      <c r="H2997" s="1" t="s">
        <v>8143</v>
      </c>
      <c r="J2997" s="1" t="s">
        <v>8144</v>
      </c>
      <c r="L2997" s="1" t="s">
        <v>2078</v>
      </c>
      <c r="N2997" s="1" t="s">
        <v>2079</v>
      </c>
      <c r="P2997" s="1" t="s">
        <v>2441</v>
      </c>
      <c r="Q2997" s="3">
        <v>0</v>
      </c>
      <c r="R2997" s="22" t="s">
        <v>2724</v>
      </c>
      <c r="S2997" s="42" t="s">
        <v>6909</v>
      </c>
      <c r="T2997" s="3" t="s">
        <v>4868</v>
      </c>
      <c r="U2997" s="45">
        <v>35</v>
      </c>
      <c r="V2997" t="s">
        <v>8125</v>
      </c>
      <c r="W2997" s="1" t="str">
        <f>HYPERLINK("http://ictvonline.org/taxonomy/p/taxonomy-history?taxnode_id=201903440","ICTVonline=201903440")</f>
        <v>ICTVonline=201903440</v>
      </c>
    </row>
    <row r="2998" spans="1:23">
      <c r="A2998" s="3">
        <v>2997</v>
      </c>
      <c r="B2998" s="1" t="s">
        <v>8017</v>
      </c>
      <c r="D2998" s="1" t="s">
        <v>8049</v>
      </c>
      <c r="F2998" s="1" t="s">
        <v>8122</v>
      </c>
      <c r="H2998" s="1" t="s">
        <v>8143</v>
      </c>
      <c r="J2998" s="1" t="s">
        <v>8144</v>
      </c>
      <c r="L2998" s="1" t="s">
        <v>2078</v>
      </c>
      <c r="N2998" s="1" t="s">
        <v>2079</v>
      </c>
      <c r="P2998" s="1" t="s">
        <v>2442</v>
      </c>
      <c r="Q2998" s="3">
        <v>0</v>
      </c>
      <c r="R2998" s="22" t="s">
        <v>2724</v>
      </c>
      <c r="S2998" s="42" t="s">
        <v>6909</v>
      </c>
      <c r="T2998" s="3" t="s">
        <v>4868</v>
      </c>
      <c r="U2998" s="45">
        <v>35</v>
      </c>
      <c r="V2998" t="s">
        <v>8125</v>
      </c>
      <c r="W2998" s="1" t="str">
        <f>HYPERLINK("http://ictvonline.org/taxonomy/p/taxonomy-history?taxnode_id=201903441","ICTVonline=201903441")</f>
        <v>ICTVonline=201903441</v>
      </c>
    </row>
    <row r="2999" spans="1:23">
      <c r="A2999" s="3">
        <v>2998</v>
      </c>
      <c r="B2999" s="1" t="s">
        <v>8017</v>
      </c>
      <c r="D2999" s="1" t="s">
        <v>8049</v>
      </c>
      <c r="F2999" s="1" t="s">
        <v>8122</v>
      </c>
      <c r="H2999" s="1" t="s">
        <v>8143</v>
      </c>
      <c r="J2999" s="1" t="s">
        <v>8144</v>
      </c>
      <c r="L2999" s="1" t="s">
        <v>2078</v>
      </c>
      <c r="N2999" s="1" t="s">
        <v>2079</v>
      </c>
      <c r="P2999" s="1" t="s">
        <v>1523</v>
      </c>
      <c r="Q2999" s="3">
        <v>0</v>
      </c>
      <c r="R2999" s="22" t="s">
        <v>2724</v>
      </c>
      <c r="S2999" s="42" t="s">
        <v>6909</v>
      </c>
      <c r="T2999" s="3" t="s">
        <v>4868</v>
      </c>
      <c r="U2999" s="45">
        <v>35</v>
      </c>
      <c r="V2999" t="s">
        <v>8125</v>
      </c>
      <c r="W2999" s="1" t="str">
        <f>HYPERLINK("http://ictvonline.org/taxonomy/p/taxonomy-history?taxnode_id=201903442","ICTVonline=201903442")</f>
        <v>ICTVonline=201903442</v>
      </c>
    </row>
    <row r="3000" spans="1:23">
      <c r="A3000" s="3">
        <v>2999</v>
      </c>
      <c r="B3000" s="1" t="s">
        <v>8017</v>
      </c>
      <c r="D3000" s="1" t="s">
        <v>8049</v>
      </c>
      <c r="F3000" s="1" t="s">
        <v>8122</v>
      </c>
      <c r="H3000" s="1" t="s">
        <v>8143</v>
      </c>
      <c r="J3000" s="1" t="s">
        <v>8144</v>
      </c>
      <c r="L3000" s="1" t="s">
        <v>2078</v>
      </c>
      <c r="N3000" s="1" t="s">
        <v>2079</v>
      </c>
      <c r="P3000" s="1" t="s">
        <v>3769</v>
      </c>
      <c r="Q3000" s="3">
        <v>0</v>
      </c>
      <c r="R3000" s="22" t="s">
        <v>2724</v>
      </c>
      <c r="S3000" s="42" t="s">
        <v>6909</v>
      </c>
      <c r="T3000" s="3" t="s">
        <v>4868</v>
      </c>
      <c r="U3000" s="45">
        <v>35</v>
      </c>
      <c r="V3000" t="s">
        <v>8125</v>
      </c>
      <c r="W3000" s="1" t="str">
        <f>HYPERLINK("http://ictvonline.org/taxonomy/p/taxonomy-history?taxnode_id=201903443","ICTVonline=201903443")</f>
        <v>ICTVonline=201903443</v>
      </c>
    </row>
    <row r="3001" spans="1:23">
      <c r="A3001" s="3">
        <v>3000</v>
      </c>
      <c r="B3001" s="1" t="s">
        <v>8017</v>
      </c>
      <c r="D3001" s="1" t="s">
        <v>8049</v>
      </c>
      <c r="F3001" s="1" t="s">
        <v>8122</v>
      </c>
      <c r="H3001" s="1" t="s">
        <v>8143</v>
      </c>
      <c r="J3001" s="1" t="s">
        <v>8144</v>
      </c>
      <c r="L3001" s="1" t="s">
        <v>2078</v>
      </c>
      <c r="N3001" s="1" t="s">
        <v>2079</v>
      </c>
      <c r="P3001" s="1" t="s">
        <v>3770</v>
      </c>
      <c r="Q3001" s="3">
        <v>0</v>
      </c>
      <c r="R3001" s="22" t="s">
        <v>2724</v>
      </c>
      <c r="S3001" s="42" t="s">
        <v>6909</v>
      </c>
      <c r="T3001" s="3" t="s">
        <v>4868</v>
      </c>
      <c r="U3001" s="45">
        <v>35</v>
      </c>
      <c r="V3001" t="s">
        <v>8125</v>
      </c>
      <c r="W3001" s="1" t="str">
        <f>HYPERLINK("http://ictvonline.org/taxonomy/p/taxonomy-history?taxnode_id=201903444","ICTVonline=201903444")</f>
        <v>ICTVonline=201903444</v>
      </c>
    </row>
    <row r="3002" spans="1:23">
      <c r="A3002" s="3">
        <v>3001</v>
      </c>
      <c r="B3002" s="1" t="s">
        <v>8017</v>
      </c>
      <c r="D3002" s="1" t="s">
        <v>8049</v>
      </c>
      <c r="F3002" s="1" t="s">
        <v>8122</v>
      </c>
      <c r="H3002" s="1" t="s">
        <v>8143</v>
      </c>
      <c r="J3002" s="1" t="s">
        <v>8144</v>
      </c>
      <c r="L3002" s="1" t="s">
        <v>2078</v>
      </c>
      <c r="N3002" s="1" t="s">
        <v>2079</v>
      </c>
      <c r="P3002" s="1" t="s">
        <v>6857</v>
      </c>
      <c r="Q3002" s="3">
        <v>0</v>
      </c>
      <c r="R3002" s="22" t="s">
        <v>2724</v>
      </c>
      <c r="S3002" s="42" t="s">
        <v>6909</v>
      </c>
      <c r="T3002" s="3" t="s">
        <v>4868</v>
      </c>
      <c r="U3002" s="45">
        <v>35</v>
      </c>
      <c r="V3002" t="s">
        <v>8125</v>
      </c>
      <c r="W3002" s="1" t="str">
        <f>HYPERLINK("http://ictvonline.org/taxonomy/p/taxonomy-history?taxnode_id=201906711","ICTVonline=201906711")</f>
        <v>ICTVonline=201906711</v>
      </c>
    </row>
    <row r="3003" spans="1:23">
      <c r="A3003" s="3">
        <v>3002</v>
      </c>
      <c r="B3003" s="1" t="s">
        <v>8017</v>
      </c>
      <c r="D3003" s="1" t="s">
        <v>8049</v>
      </c>
      <c r="F3003" s="1" t="s">
        <v>8122</v>
      </c>
      <c r="H3003" s="1" t="s">
        <v>8143</v>
      </c>
      <c r="J3003" s="1" t="s">
        <v>8144</v>
      </c>
      <c r="L3003" s="1" t="s">
        <v>2078</v>
      </c>
      <c r="N3003" s="1" t="s">
        <v>2079</v>
      </c>
      <c r="P3003" s="1" t="s">
        <v>2443</v>
      </c>
      <c r="Q3003" s="3">
        <v>0</v>
      </c>
      <c r="R3003" s="22" t="s">
        <v>2724</v>
      </c>
      <c r="S3003" s="42" t="s">
        <v>6909</v>
      </c>
      <c r="T3003" s="3" t="s">
        <v>4868</v>
      </c>
      <c r="U3003" s="45">
        <v>35</v>
      </c>
      <c r="V3003" t="s">
        <v>8125</v>
      </c>
      <c r="W3003" s="1" t="str">
        <f>HYPERLINK("http://ictvonline.org/taxonomy/p/taxonomy-history?taxnode_id=201903445","ICTVonline=201903445")</f>
        <v>ICTVonline=201903445</v>
      </c>
    </row>
    <row r="3004" spans="1:23">
      <c r="A3004" s="3">
        <v>3003</v>
      </c>
      <c r="B3004" s="1" t="s">
        <v>8017</v>
      </c>
      <c r="D3004" s="1" t="s">
        <v>8049</v>
      </c>
      <c r="F3004" s="1" t="s">
        <v>8122</v>
      </c>
      <c r="H3004" s="1" t="s">
        <v>8143</v>
      </c>
      <c r="J3004" s="1" t="s">
        <v>8144</v>
      </c>
      <c r="L3004" s="1" t="s">
        <v>2078</v>
      </c>
      <c r="N3004" s="1" t="s">
        <v>2079</v>
      </c>
      <c r="P3004" s="1" t="s">
        <v>3771</v>
      </c>
      <c r="Q3004" s="3">
        <v>0</v>
      </c>
      <c r="R3004" s="22" t="s">
        <v>2724</v>
      </c>
      <c r="S3004" s="42" t="s">
        <v>6909</v>
      </c>
      <c r="T3004" s="3" t="s">
        <v>4868</v>
      </c>
      <c r="U3004" s="45">
        <v>35</v>
      </c>
      <c r="V3004" t="s">
        <v>8125</v>
      </c>
      <c r="W3004" s="1" t="str">
        <f>HYPERLINK("http://ictvonline.org/taxonomy/p/taxonomy-history?taxnode_id=201903447","ICTVonline=201903447")</f>
        <v>ICTVonline=201903447</v>
      </c>
    </row>
    <row r="3005" spans="1:23">
      <c r="A3005" s="3">
        <v>3004</v>
      </c>
      <c r="B3005" s="1" t="s">
        <v>8017</v>
      </c>
      <c r="D3005" s="1" t="s">
        <v>8049</v>
      </c>
      <c r="F3005" s="1" t="s">
        <v>8122</v>
      </c>
      <c r="H3005" s="1" t="s">
        <v>8143</v>
      </c>
      <c r="J3005" s="1" t="s">
        <v>8144</v>
      </c>
      <c r="L3005" s="1" t="s">
        <v>2078</v>
      </c>
      <c r="N3005" s="1" t="s">
        <v>2079</v>
      </c>
      <c r="P3005" s="1" t="s">
        <v>3772</v>
      </c>
      <c r="Q3005" s="3">
        <v>0</v>
      </c>
      <c r="R3005" s="22" t="s">
        <v>2724</v>
      </c>
      <c r="S3005" s="42" t="s">
        <v>6909</v>
      </c>
      <c r="T3005" s="3" t="s">
        <v>4868</v>
      </c>
      <c r="U3005" s="45">
        <v>35</v>
      </c>
      <c r="V3005" t="s">
        <v>8125</v>
      </c>
      <c r="W3005" s="1" t="str">
        <f>HYPERLINK("http://ictvonline.org/taxonomy/p/taxonomy-history?taxnode_id=201903448","ICTVonline=201903448")</f>
        <v>ICTVonline=201903448</v>
      </c>
    </row>
    <row r="3006" spans="1:23">
      <c r="A3006" s="3">
        <v>3005</v>
      </c>
      <c r="B3006" s="1" t="s">
        <v>8017</v>
      </c>
      <c r="D3006" s="1" t="s">
        <v>8049</v>
      </c>
      <c r="F3006" s="1" t="s">
        <v>8122</v>
      </c>
      <c r="H3006" s="1" t="s">
        <v>8143</v>
      </c>
      <c r="J3006" s="1" t="s">
        <v>8144</v>
      </c>
      <c r="L3006" s="1" t="s">
        <v>2078</v>
      </c>
      <c r="N3006" s="1" t="s">
        <v>2079</v>
      </c>
      <c r="P3006" s="1" t="s">
        <v>1524</v>
      </c>
      <c r="Q3006" s="3">
        <v>0</v>
      </c>
      <c r="R3006" s="22" t="s">
        <v>2724</v>
      </c>
      <c r="S3006" s="42" t="s">
        <v>6909</v>
      </c>
      <c r="T3006" s="3" t="s">
        <v>4868</v>
      </c>
      <c r="U3006" s="45">
        <v>35</v>
      </c>
      <c r="V3006" t="s">
        <v>8125</v>
      </c>
      <c r="W3006" s="1" t="str">
        <f>HYPERLINK("http://ictvonline.org/taxonomy/p/taxonomy-history?taxnode_id=201903449","ICTVonline=201903449")</f>
        <v>ICTVonline=201903449</v>
      </c>
    </row>
    <row r="3007" spans="1:23">
      <c r="A3007" s="3">
        <v>3006</v>
      </c>
      <c r="B3007" s="1" t="s">
        <v>8017</v>
      </c>
      <c r="D3007" s="1" t="s">
        <v>8049</v>
      </c>
      <c r="F3007" s="1" t="s">
        <v>8122</v>
      </c>
      <c r="H3007" s="1" t="s">
        <v>8143</v>
      </c>
      <c r="J3007" s="1" t="s">
        <v>8144</v>
      </c>
      <c r="L3007" s="1" t="s">
        <v>2078</v>
      </c>
      <c r="N3007" s="1" t="s">
        <v>2079</v>
      </c>
      <c r="P3007" s="1" t="s">
        <v>1525</v>
      </c>
      <c r="Q3007" s="3">
        <v>0</v>
      </c>
      <c r="R3007" s="22" t="s">
        <v>2724</v>
      </c>
      <c r="S3007" s="42" t="s">
        <v>6909</v>
      </c>
      <c r="T3007" s="3" t="s">
        <v>4868</v>
      </c>
      <c r="U3007" s="45">
        <v>35</v>
      </c>
      <c r="V3007" t="s">
        <v>8125</v>
      </c>
      <c r="W3007" s="1" t="str">
        <f>HYPERLINK("http://ictvonline.org/taxonomy/p/taxonomy-history?taxnode_id=201903450","ICTVonline=201903450")</f>
        <v>ICTVonline=201903450</v>
      </c>
    </row>
    <row r="3008" spans="1:23">
      <c r="A3008" s="3">
        <v>3007</v>
      </c>
      <c r="B3008" s="1" t="s">
        <v>8017</v>
      </c>
      <c r="D3008" s="1" t="s">
        <v>8049</v>
      </c>
      <c r="F3008" s="1" t="s">
        <v>8122</v>
      </c>
      <c r="H3008" s="1" t="s">
        <v>8143</v>
      </c>
      <c r="J3008" s="1" t="s">
        <v>8144</v>
      </c>
      <c r="L3008" s="1" t="s">
        <v>2078</v>
      </c>
      <c r="N3008" s="1" t="s">
        <v>2079</v>
      </c>
      <c r="P3008" s="1" t="s">
        <v>6858</v>
      </c>
      <c r="Q3008" s="3">
        <v>0</v>
      </c>
      <c r="R3008" s="22" t="s">
        <v>2724</v>
      </c>
      <c r="S3008" s="42" t="s">
        <v>6909</v>
      </c>
      <c r="T3008" s="3" t="s">
        <v>4868</v>
      </c>
      <c r="U3008" s="45">
        <v>35</v>
      </c>
      <c r="V3008" t="s">
        <v>8125</v>
      </c>
      <c r="W3008" s="1" t="str">
        <f>HYPERLINK("http://ictvonline.org/taxonomy/p/taxonomy-history?taxnode_id=201906710","ICTVonline=201906710")</f>
        <v>ICTVonline=201906710</v>
      </c>
    </row>
    <row r="3009" spans="1:23">
      <c r="A3009" s="3">
        <v>3008</v>
      </c>
      <c r="B3009" s="1" t="s">
        <v>8017</v>
      </c>
      <c r="D3009" s="1" t="s">
        <v>8049</v>
      </c>
      <c r="F3009" s="1" t="s">
        <v>8122</v>
      </c>
      <c r="H3009" s="1" t="s">
        <v>8143</v>
      </c>
      <c r="J3009" s="1" t="s">
        <v>8144</v>
      </c>
      <c r="L3009" s="1" t="s">
        <v>2078</v>
      </c>
      <c r="N3009" s="1" t="s">
        <v>2079</v>
      </c>
      <c r="P3009" s="1" t="s">
        <v>3773</v>
      </c>
      <c r="Q3009" s="3">
        <v>0</v>
      </c>
      <c r="R3009" s="22" t="s">
        <v>2724</v>
      </c>
      <c r="S3009" s="42" t="s">
        <v>6909</v>
      </c>
      <c r="T3009" s="3" t="s">
        <v>4868</v>
      </c>
      <c r="U3009" s="45">
        <v>35</v>
      </c>
      <c r="V3009" t="s">
        <v>8125</v>
      </c>
      <c r="W3009" s="1" t="str">
        <f>HYPERLINK("http://ictvonline.org/taxonomy/p/taxonomy-history?taxnode_id=201903451","ICTVonline=201903451")</f>
        <v>ICTVonline=201903451</v>
      </c>
    </row>
    <row r="3010" spans="1:23">
      <c r="A3010" s="3">
        <v>3009</v>
      </c>
      <c r="B3010" s="1" t="s">
        <v>8017</v>
      </c>
      <c r="D3010" s="1" t="s">
        <v>8049</v>
      </c>
      <c r="F3010" s="1" t="s">
        <v>8122</v>
      </c>
      <c r="H3010" s="1" t="s">
        <v>8143</v>
      </c>
      <c r="J3010" s="1" t="s">
        <v>8144</v>
      </c>
      <c r="L3010" s="1" t="s">
        <v>2078</v>
      </c>
      <c r="N3010" s="1" t="s">
        <v>2079</v>
      </c>
      <c r="P3010" s="1" t="s">
        <v>1526</v>
      </c>
      <c r="Q3010" s="3">
        <v>0</v>
      </c>
      <c r="R3010" s="22" t="s">
        <v>2724</v>
      </c>
      <c r="S3010" s="42" t="s">
        <v>6909</v>
      </c>
      <c r="T3010" s="3" t="s">
        <v>4868</v>
      </c>
      <c r="U3010" s="45">
        <v>35</v>
      </c>
      <c r="V3010" t="s">
        <v>8125</v>
      </c>
      <c r="W3010" s="1" t="str">
        <f>HYPERLINK("http://ictvonline.org/taxonomy/p/taxonomy-history?taxnode_id=201903452","ICTVonline=201903452")</f>
        <v>ICTVonline=201903452</v>
      </c>
    </row>
    <row r="3011" spans="1:23">
      <c r="A3011" s="3">
        <v>3010</v>
      </c>
      <c r="B3011" s="1" t="s">
        <v>8017</v>
      </c>
      <c r="D3011" s="1" t="s">
        <v>8049</v>
      </c>
      <c r="F3011" s="1" t="s">
        <v>8122</v>
      </c>
      <c r="H3011" s="1" t="s">
        <v>8143</v>
      </c>
      <c r="J3011" s="1" t="s">
        <v>8144</v>
      </c>
      <c r="L3011" s="1" t="s">
        <v>2078</v>
      </c>
      <c r="N3011" s="1" t="s">
        <v>2079</v>
      </c>
      <c r="P3011" s="1" t="s">
        <v>1527</v>
      </c>
      <c r="Q3011" s="3">
        <v>0</v>
      </c>
      <c r="R3011" s="22" t="s">
        <v>2724</v>
      </c>
      <c r="S3011" s="42" t="s">
        <v>6909</v>
      </c>
      <c r="T3011" s="3" t="s">
        <v>4868</v>
      </c>
      <c r="U3011" s="45">
        <v>35</v>
      </c>
      <c r="V3011" t="s">
        <v>8125</v>
      </c>
      <c r="W3011" s="1" t="str">
        <f>HYPERLINK("http://ictvonline.org/taxonomy/p/taxonomy-history?taxnode_id=201903453","ICTVonline=201903453")</f>
        <v>ICTVonline=201903453</v>
      </c>
    </row>
    <row r="3012" spans="1:23">
      <c r="A3012" s="3">
        <v>3011</v>
      </c>
      <c r="B3012" s="1" t="s">
        <v>8017</v>
      </c>
      <c r="D3012" s="1" t="s">
        <v>8049</v>
      </c>
      <c r="F3012" s="1" t="s">
        <v>8122</v>
      </c>
      <c r="H3012" s="1" t="s">
        <v>8143</v>
      </c>
      <c r="J3012" s="1" t="s">
        <v>8144</v>
      </c>
      <c r="L3012" s="1" t="s">
        <v>2078</v>
      </c>
      <c r="N3012" s="1" t="s">
        <v>2079</v>
      </c>
      <c r="P3012" s="1" t="s">
        <v>1528</v>
      </c>
      <c r="Q3012" s="3">
        <v>0</v>
      </c>
      <c r="R3012" s="22" t="s">
        <v>2724</v>
      </c>
      <c r="S3012" s="42" t="s">
        <v>6909</v>
      </c>
      <c r="T3012" s="3" t="s">
        <v>4868</v>
      </c>
      <c r="U3012" s="45">
        <v>35</v>
      </c>
      <c r="V3012" t="s">
        <v>8125</v>
      </c>
      <c r="W3012" s="1" t="str">
        <f>HYPERLINK("http://ictvonline.org/taxonomy/p/taxonomy-history?taxnode_id=201903454","ICTVonline=201903454")</f>
        <v>ICTVonline=201903454</v>
      </c>
    </row>
    <row r="3013" spans="1:23">
      <c r="A3013" s="3">
        <v>3012</v>
      </c>
      <c r="B3013" s="1" t="s">
        <v>8017</v>
      </c>
      <c r="D3013" s="1" t="s">
        <v>8049</v>
      </c>
      <c r="F3013" s="1" t="s">
        <v>8122</v>
      </c>
      <c r="H3013" s="1" t="s">
        <v>8143</v>
      </c>
      <c r="J3013" s="1" t="s">
        <v>8144</v>
      </c>
      <c r="L3013" s="1" t="s">
        <v>2078</v>
      </c>
      <c r="N3013" s="1" t="s">
        <v>2079</v>
      </c>
      <c r="P3013" s="1" t="s">
        <v>1529</v>
      </c>
      <c r="Q3013" s="3">
        <v>0</v>
      </c>
      <c r="R3013" s="22" t="s">
        <v>2724</v>
      </c>
      <c r="S3013" s="42" t="s">
        <v>6909</v>
      </c>
      <c r="T3013" s="3" t="s">
        <v>4868</v>
      </c>
      <c r="U3013" s="45">
        <v>35</v>
      </c>
      <c r="V3013" t="s">
        <v>8125</v>
      </c>
      <c r="W3013" s="1" t="str">
        <f>HYPERLINK("http://ictvonline.org/taxonomy/p/taxonomy-history?taxnode_id=201903455","ICTVonline=201903455")</f>
        <v>ICTVonline=201903455</v>
      </c>
    </row>
    <row r="3014" spans="1:23">
      <c r="A3014" s="3">
        <v>3013</v>
      </c>
      <c r="B3014" s="1" t="s">
        <v>8017</v>
      </c>
      <c r="D3014" s="1" t="s">
        <v>8049</v>
      </c>
      <c r="F3014" s="1" t="s">
        <v>8122</v>
      </c>
      <c r="H3014" s="1" t="s">
        <v>8143</v>
      </c>
      <c r="J3014" s="1" t="s">
        <v>8144</v>
      </c>
      <c r="L3014" s="1" t="s">
        <v>2078</v>
      </c>
      <c r="N3014" s="1" t="s">
        <v>2079</v>
      </c>
      <c r="P3014" s="1" t="s">
        <v>3774</v>
      </c>
      <c r="Q3014" s="3">
        <v>0</v>
      </c>
      <c r="R3014" s="22" t="s">
        <v>2724</v>
      </c>
      <c r="S3014" s="42" t="s">
        <v>6909</v>
      </c>
      <c r="T3014" s="3" t="s">
        <v>4868</v>
      </c>
      <c r="U3014" s="45">
        <v>35</v>
      </c>
      <c r="V3014" t="s">
        <v>8125</v>
      </c>
      <c r="W3014" s="1" t="str">
        <f>HYPERLINK("http://ictvonline.org/taxonomy/p/taxonomy-history?taxnode_id=201903456","ICTVonline=201903456")</f>
        <v>ICTVonline=201903456</v>
      </c>
    </row>
    <row r="3015" spans="1:23">
      <c r="A3015" s="3">
        <v>3014</v>
      </c>
      <c r="B3015" s="1" t="s">
        <v>8017</v>
      </c>
      <c r="D3015" s="1" t="s">
        <v>8049</v>
      </c>
      <c r="F3015" s="1" t="s">
        <v>8122</v>
      </c>
      <c r="H3015" s="1" t="s">
        <v>8143</v>
      </c>
      <c r="J3015" s="1" t="s">
        <v>8144</v>
      </c>
      <c r="L3015" s="1" t="s">
        <v>2078</v>
      </c>
      <c r="N3015" s="1" t="s">
        <v>2079</v>
      </c>
      <c r="P3015" s="1" t="s">
        <v>1530</v>
      </c>
      <c r="Q3015" s="3">
        <v>0</v>
      </c>
      <c r="R3015" s="22" t="s">
        <v>2724</v>
      </c>
      <c r="S3015" s="42" t="s">
        <v>6909</v>
      </c>
      <c r="T3015" s="3" t="s">
        <v>4868</v>
      </c>
      <c r="U3015" s="45">
        <v>35</v>
      </c>
      <c r="V3015" t="s">
        <v>8125</v>
      </c>
      <c r="W3015" s="1" t="str">
        <f>HYPERLINK("http://ictvonline.org/taxonomy/p/taxonomy-history?taxnode_id=201903457","ICTVonline=201903457")</f>
        <v>ICTVonline=201903457</v>
      </c>
    </row>
    <row r="3016" spans="1:23">
      <c r="A3016" s="3">
        <v>3015</v>
      </c>
      <c r="B3016" s="1" t="s">
        <v>8017</v>
      </c>
      <c r="D3016" s="1" t="s">
        <v>8049</v>
      </c>
      <c r="F3016" s="1" t="s">
        <v>8122</v>
      </c>
      <c r="H3016" s="1" t="s">
        <v>8143</v>
      </c>
      <c r="J3016" s="1" t="s">
        <v>8144</v>
      </c>
      <c r="L3016" s="1" t="s">
        <v>2078</v>
      </c>
      <c r="N3016" s="1" t="s">
        <v>2079</v>
      </c>
      <c r="P3016" s="1" t="s">
        <v>6859</v>
      </c>
      <c r="Q3016" s="3">
        <v>0</v>
      </c>
      <c r="R3016" s="22" t="s">
        <v>2724</v>
      </c>
      <c r="S3016" s="42" t="s">
        <v>6909</v>
      </c>
      <c r="T3016" s="3" t="s">
        <v>4868</v>
      </c>
      <c r="U3016" s="45">
        <v>35</v>
      </c>
      <c r="V3016" t="s">
        <v>8125</v>
      </c>
      <c r="W3016" s="1" t="str">
        <f>HYPERLINK("http://ictvonline.org/taxonomy/p/taxonomy-history?taxnode_id=201906712","ICTVonline=201906712")</f>
        <v>ICTVonline=201906712</v>
      </c>
    </row>
    <row r="3017" spans="1:23">
      <c r="A3017" s="3">
        <v>3016</v>
      </c>
      <c r="B3017" s="1" t="s">
        <v>8017</v>
      </c>
      <c r="D3017" s="1" t="s">
        <v>8049</v>
      </c>
      <c r="F3017" s="1" t="s">
        <v>8122</v>
      </c>
      <c r="H3017" s="1" t="s">
        <v>8143</v>
      </c>
      <c r="J3017" s="1" t="s">
        <v>8144</v>
      </c>
      <c r="L3017" s="1" t="s">
        <v>2078</v>
      </c>
      <c r="N3017" s="1" t="s">
        <v>2079</v>
      </c>
      <c r="P3017" s="1" t="s">
        <v>2444</v>
      </c>
      <c r="Q3017" s="3">
        <v>0</v>
      </c>
      <c r="R3017" s="22" t="s">
        <v>2724</v>
      </c>
      <c r="S3017" s="42" t="s">
        <v>6909</v>
      </c>
      <c r="T3017" s="3" t="s">
        <v>4868</v>
      </c>
      <c r="U3017" s="45">
        <v>35</v>
      </c>
      <c r="V3017" t="s">
        <v>8125</v>
      </c>
      <c r="W3017" s="1" t="str">
        <f>HYPERLINK("http://ictvonline.org/taxonomy/p/taxonomy-history?taxnode_id=201903458","ICTVonline=201903458")</f>
        <v>ICTVonline=201903458</v>
      </c>
    </row>
    <row r="3018" spans="1:23">
      <c r="A3018" s="3">
        <v>3017</v>
      </c>
      <c r="B3018" s="1" t="s">
        <v>8017</v>
      </c>
      <c r="D3018" s="1" t="s">
        <v>8049</v>
      </c>
      <c r="F3018" s="1" t="s">
        <v>8122</v>
      </c>
      <c r="H3018" s="1" t="s">
        <v>8143</v>
      </c>
      <c r="J3018" s="1" t="s">
        <v>8144</v>
      </c>
      <c r="L3018" s="1" t="s">
        <v>2078</v>
      </c>
      <c r="N3018" s="1" t="s">
        <v>2079</v>
      </c>
      <c r="P3018" s="1" t="s">
        <v>1531</v>
      </c>
      <c r="Q3018" s="3">
        <v>0</v>
      </c>
      <c r="R3018" s="22" t="s">
        <v>2724</v>
      </c>
      <c r="S3018" s="42" t="s">
        <v>6909</v>
      </c>
      <c r="T3018" s="3" t="s">
        <v>4868</v>
      </c>
      <c r="U3018" s="45">
        <v>35</v>
      </c>
      <c r="V3018" t="s">
        <v>8125</v>
      </c>
      <c r="W3018" s="1" t="str">
        <f>HYPERLINK("http://ictvonline.org/taxonomy/p/taxonomy-history?taxnode_id=201903459","ICTVonline=201903459")</f>
        <v>ICTVonline=201903459</v>
      </c>
    </row>
    <row r="3019" spans="1:23">
      <c r="A3019" s="3">
        <v>3018</v>
      </c>
      <c r="B3019" s="1" t="s">
        <v>8017</v>
      </c>
      <c r="D3019" s="1" t="s">
        <v>8049</v>
      </c>
      <c r="F3019" s="1" t="s">
        <v>8122</v>
      </c>
      <c r="H3019" s="1" t="s">
        <v>8143</v>
      </c>
      <c r="J3019" s="1" t="s">
        <v>8144</v>
      </c>
      <c r="L3019" s="1" t="s">
        <v>2078</v>
      </c>
      <c r="N3019" s="1" t="s">
        <v>2079</v>
      </c>
      <c r="P3019" s="1" t="s">
        <v>1532</v>
      </c>
      <c r="Q3019" s="3">
        <v>0</v>
      </c>
      <c r="R3019" s="22" t="s">
        <v>2724</v>
      </c>
      <c r="S3019" s="42" t="s">
        <v>6909</v>
      </c>
      <c r="T3019" s="3" t="s">
        <v>4868</v>
      </c>
      <c r="U3019" s="45">
        <v>35</v>
      </c>
      <c r="V3019" t="s">
        <v>8125</v>
      </c>
      <c r="W3019" s="1" t="str">
        <f>HYPERLINK("http://ictvonline.org/taxonomy/p/taxonomy-history?taxnode_id=201903460","ICTVonline=201903460")</f>
        <v>ICTVonline=201903460</v>
      </c>
    </row>
    <row r="3020" spans="1:23">
      <c r="A3020" s="3">
        <v>3019</v>
      </c>
      <c r="B3020" s="1" t="s">
        <v>8017</v>
      </c>
      <c r="D3020" s="1" t="s">
        <v>8049</v>
      </c>
      <c r="F3020" s="1" t="s">
        <v>8122</v>
      </c>
      <c r="H3020" s="1" t="s">
        <v>8143</v>
      </c>
      <c r="J3020" s="1" t="s">
        <v>8144</v>
      </c>
      <c r="L3020" s="1" t="s">
        <v>2078</v>
      </c>
      <c r="N3020" s="1" t="s">
        <v>2079</v>
      </c>
      <c r="P3020" s="1" t="s">
        <v>1533</v>
      </c>
      <c r="Q3020" s="3">
        <v>0</v>
      </c>
      <c r="R3020" s="22" t="s">
        <v>2724</v>
      </c>
      <c r="S3020" s="42" t="s">
        <v>6909</v>
      </c>
      <c r="T3020" s="3" t="s">
        <v>4868</v>
      </c>
      <c r="U3020" s="45">
        <v>35</v>
      </c>
      <c r="V3020" t="s">
        <v>8125</v>
      </c>
      <c r="W3020" s="1" t="str">
        <f>HYPERLINK("http://ictvonline.org/taxonomy/p/taxonomy-history?taxnode_id=201903461","ICTVonline=201903461")</f>
        <v>ICTVonline=201903461</v>
      </c>
    </row>
    <row r="3021" spans="1:23">
      <c r="A3021" s="3">
        <v>3020</v>
      </c>
      <c r="B3021" s="1" t="s">
        <v>8017</v>
      </c>
      <c r="D3021" s="1" t="s">
        <v>8049</v>
      </c>
      <c r="F3021" s="1" t="s">
        <v>8122</v>
      </c>
      <c r="H3021" s="1" t="s">
        <v>8143</v>
      </c>
      <c r="J3021" s="1" t="s">
        <v>8144</v>
      </c>
      <c r="L3021" s="1" t="s">
        <v>2078</v>
      </c>
      <c r="N3021" s="1" t="s">
        <v>2079</v>
      </c>
      <c r="P3021" s="1" t="s">
        <v>2445</v>
      </c>
      <c r="Q3021" s="3">
        <v>0</v>
      </c>
      <c r="R3021" s="22" t="s">
        <v>2724</v>
      </c>
      <c r="S3021" s="42" t="s">
        <v>6909</v>
      </c>
      <c r="T3021" s="3" t="s">
        <v>4868</v>
      </c>
      <c r="U3021" s="45">
        <v>35</v>
      </c>
      <c r="V3021" t="s">
        <v>8125</v>
      </c>
      <c r="W3021" s="1" t="str">
        <f>HYPERLINK("http://ictvonline.org/taxonomy/p/taxonomy-history?taxnode_id=201903462","ICTVonline=201903462")</f>
        <v>ICTVonline=201903462</v>
      </c>
    </row>
    <row r="3022" spans="1:23">
      <c r="A3022" s="3">
        <v>3021</v>
      </c>
      <c r="B3022" s="1" t="s">
        <v>8017</v>
      </c>
      <c r="D3022" s="1" t="s">
        <v>8049</v>
      </c>
      <c r="F3022" s="1" t="s">
        <v>8122</v>
      </c>
      <c r="H3022" s="1" t="s">
        <v>8143</v>
      </c>
      <c r="J3022" s="1" t="s">
        <v>8144</v>
      </c>
      <c r="L3022" s="1" t="s">
        <v>2078</v>
      </c>
      <c r="N3022" s="1" t="s">
        <v>2079</v>
      </c>
      <c r="P3022" s="1" t="s">
        <v>2446</v>
      </c>
      <c r="Q3022" s="3">
        <v>0</v>
      </c>
      <c r="R3022" s="22" t="s">
        <v>2724</v>
      </c>
      <c r="S3022" s="42" t="s">
        <v>6909</v>
      </c>
      <c r="T3022" s="3" t="s">
        <v>4868</v>
      </c>
      <c r="U3022" s="45">
        <v>35</v>
      </c>
      <c r="V3022" t="s">
        <v>8125</v>
      </c>
      <c r="W3022" s="1" t="str">
        <f>HYPERLINK("http://ictvonline.org/taxonomy/p/taxonomy-history?taxnode_id=201903463","ICTVonline=201903463")</f>
        <v>ICTVonline=201903463</v>
      </c>
    </row>
    <row r="3023" spans="1:23">
      <c r="A3023" s="3">
        <v>3022</v>
      </c>
      <c r="B3023" s="1" t="s">
        <v>8017</v>
      </c>
      <c r="D3023" s="1" t="s">
        <v>8049</v>
      </c>
      <c r="F3023" s="1" t="s">
        <v>8122</v>
      </c>
      <c r="H3023" s="1" t="s">
        <v>8143</v>
      </c>
      <c r="J3023" s="1" t="s">
        <v>8144</v>
      </c>
      <c r="L3023" s="1" t="s">
        <v>2078</v>
      </c>
      <c r="N3023" s="1" t="s">
        <v>2079</v>
      </c>
      <c r="P3023" s="1" t="s">
        <v>2447</v>
      </c>
      <c r="Q3023" s="3">
        <v>0</v>
      </c>
      <c r="R3023" s="22" t="s">
        <v>2724</v>
      </c>
      <c r="S3023" s="42" t="s">
        <v>6909</v>
      </c>
      <c r="T3023" s="3" t="s">
        <v>4868</v>
      </c>
      <c r="U3023" s="45">
        <v>35</v>
      </c>
      <c r="V3023" t="s">
        <v>8125</v>
      </c>
      <c r="W3023" s="1" t="str">
        <f>HYPERLINK("http://ictvonline.org/taxonomy/p/taxonomy-history?taxnode_id=201903464","ICTVonline=201903464")</f>
        <v>ICTVonline=201903464</v>
      </c>
    </row>
    <row r="3024" spans="1:23">
      <c r="A3024" s="3">
        <v>3023</v>
      </c>
      <c r="B3024" s="1" t="s">
        <v>8017</v>
      </c>
      <c r="D3024" s="1" t="s">
        <v>8049</v>
      </c>
      <c r="F3024" s="1" t="s">
        <v>8122</v>
      </c>
      <c r="H3024" s="1" t="s">
        <v>8143</v>
      </c>
      <c r="J3024" s="1" t="s">
        <v>8144</v>
      </c>
      <c r="L3024" s="1" t="s">
        <v>2078</v>
      </c>
      <c r="N3024" s="1" t="s">
        <v>2079</v>
      </c>
      <c r="P3024" s="1" t="s">
        <v>1534</v>
      </c>
      <c r="Q3024" s="3">
        <v>0</v>
      </c>
      <c r="R3024" s="22" t="s">
        <v>2724</v>
      </c>
      <c r="S3024" s="42" t="s">
        <v>6909</v>
      </c>
      <c r="T3024" s="3" t="s">
        <v>4868</v>
      </c>
      <c r="U3024" s="45">
        <v>35</v>
      </c>
      <c r="V3024" t="s">
        <v>8125</v>
      </c>
      <c r="W3024" s="1" t="str">
        <f>HYPERLINK("http://ictvonline.org/taxonomy/p/taxonomy-history?taxnode_id=201903465","ICTVonline=201903465")</f>
        <v>ICTVonline=201903465</v>
      </c>
    </row>
    <row r="3025" spans="1:23">
      <c r="A3025" s="3">
        <v>3024</v>
      </c>
      <c r="B3025" s="1" t="s">
        <v>8017</v>
      </c>
      <c r="D3025" s="1" t="s">
        <v>8049</v>
      </c>
      <c r="F3025" s="1" t="s">
        <v>8122</v>
      </c>
      <c r="H3025" s="1" t="s">
        <v>8143</v>
      </c>
      <c r="J3025" s="1" t="s">
        <v>8144</v>
      </c>
      <c r="L3025" s="1" t="s">
        <v>2078</v>
      </c>
      <c r="N3025" s="1" t="s">
        <v>2079</v>
      </c>
      <c r="P3025" s="1" t="s">
        <v>1535</v>
      </c>
      <c r="Q3025" s="3">
        <v>0</v>
      </c>
      <c r="R3025" s="22" t="s">
        <v>2724</v>
      </c>
      <c r="S3025" s="42" t="s">
        <v>6909</v>
      </c>
      <c r="T3025" s="3" t="s">
        <v>4868</v>
      </c>
      <c r="U3025" s="45">
        <v>35</v>
      </c>
      <c r="V3025" t="s">
        <v>8125</v>
      </c>
      <c r="W3025" s="1" t="str">
        <f>HYPERLINK("http://ictvonline.org/taxonomy/p/taxonomy-history?taxnode_id=201903466","ICTVonline=201903466")</f>
        <v>ICTVonline=201903466</v>
      </c>
    </row>
    <row r="3026" spans="1:23">
      <c r="A3026" s="3">
        <v>3025</v>
      </c>
      <c r="B3026" s="1" t="s">
        <v>8017</v>
      </c>
      <c r="D3026" s="1" t="s">
        <v>8049</v>
      </c>
      <c r="F3026" s="1" t="s">
        <v>8122</v>
      </c>
      <c r="H3026" s="1" t="s">
        <v>8143</v>
      </c>
      <c r="J3026" s="1" t="s">
        <v>8144</v>
      </c>
      <c r="L3026" s="1" t="s">
        <v>2078</v>
      </c>
      <c r="N3026" s="1" t="s">
        <v>2079</v>
      </c>
      <c r="P3026" s="1" t="s">
        <v>2448</v>
      </c>
      <c r="Q3026" s="3">
        <v>0</v>
      </c>
      <c r="R3026" s="22" t="s">
        <v>2724</v>
      </c>
      <c r="S3026" s="42" t="s">
        <v>6909</v>
      </c>
      <c r="T3026" s="3" t="s">
        <v>4868</v>
      </c>
      <c r="U3026" s="45">
        <v>35</v>
      </c>
      <c r="V3026" t="s">
        <v>8125</v>
      </c>
      <c r="W3026" s="1" t="str">
        <f>HYPERLINK("http://ictvonline.org/taxonomy/p/taxonomy-history?taxnode_id=201903467","ICTVonline=201903467")</f>
        <v>ICTVonline=201903467</v>
      </c>
    </row>
    <row r="3027" spans="1:23">
      <c r="A3027" s="3">
        <v>3026</v>
      </c>
      <c r="B3027" s="1" t="s">
        <v>8017</v>
      </c>
      <c r="D3027" s="1" t="s">
        <v>8049</v>
      </c>
      <c r="F3027" s="1" t="s">
        <v>8122</v>
      </c>
      <c r="H3027" s="1" t="s">
        <v>8143</v>
      </c>
      <c r="J3027" s="1" t="s">
        <v>8144</v>
      </c>
      <c r="L3027" s="1" t="s">
        <v>2078</v>
      </c>
      <c r="N3027" s="1" t="s">
        <v>2079</v>
      </c>
      <c r="P3027" s="1" t="s">
        <v>1850</v>
      </c>
      <c r="Q3027" s="3">
        <v>0</v>
      </c>
      <c r="R3027" s="22" t="s">
        <v>2724</v>
      </c>
      <c r="S3027" s="42" t="s">
        <v>6909</v>
      </c>
      <c r="T3027" s="3" t="s">
        <v>4868</v>
      </c>
      <c r="U3027" s="45">
        <v>35</v>
      </c>
      <c r="V3027" t="s">
        <v>8125</v>
      </c>
      <c r="W3027" s="1" t="str">
        <f>HYPERLINK("http://ictvonline.org/taxonomy/p/taxonomy-history?taxnode_id=201903468","ICTVonline=201903468")</f>
        <v>ICTVonline=201903468</v>
      </c>
    </row>
    <row r="3028" spans="1:23">
      <c r="A3028" s="3">
        <v>3027</v>
      </c>
      <c r="B3028" s="1" t="s">
        <v>8017</v>
      </c>
      <c r="D3028" s="1" t="s">
        <v>8049</v>
      </c>
      <c r="F3028" s="1" t="s">
        <v>8122</v>
      </c>
      <c r="H3028" s="1" t="s">
        <v>8143</v>
      </c>
      <c r="J3028" s="1" t="s">
        <v>8144</v>
      </c>
      <c r="L3028" s="1" t="s">
        <v>2078</v>
      </c>
      <c r="N3028" s="1" t="s">
        <v>2079</v>
      </c>
      <c r="P3028" s="1" t="s">
        <v>1851</v>
      </c>
      <c r="Q3028" s="3">
        <v>0</v>
      </c>
      <c r="R3028" s="22" t="s">
        <v>2724</v>
      </c>
      <c r="S3028" s="42" t="s">
        <v>6909</v>
      </c>
      <c r="T3028" s="3" t="s">
        <v>4868</v>
      </c>
      <c r="U3028" s="45">
        <v>35</v>
      </c>
      <c r="V3028" t="s">
        <v>8125</v>
      </c>
      <c r="W3028" s="1" t="str">
        <f>HYPERLINK("http://ictvonline.org/taxonomy/p/taxonomy-history?taxnode_id=201903469","ICTVonline=201903469")</f>
        <v>ICTVonline=201903469</v>
      </c>
    </row>
    <row r="3029" spans="1:23">
      <c r="A3029" s="3">
        <v>3028</v>
      </c>
      <c r="B3029" s="1" t="s">
        <v>8017</v>
      </c>
      <c r="D3029" s="1" t="s">
        <v>8049</v>
      </c>
      <c r="F3029" s="1" t="s">
        <v>8122</v>
      </c>
      <c r="H3029" s="1" t="s">
        <v>8143</v>
      </c>
      <c r="J3029" s="1" t="s">
        <v>8144</v>
      </c>
      <c r="L3029" s="1" t="s">
        <v>2078</v>
      </c>
      <c r="N3029" s="1" t="s">
        <v>2079</v>
      </c>
      <c r="P3029" s="1" t="s">
        <v>5391</v>
      </c>
      <c r="Q3029" s="3">
        <v>0</v>
      </c>
      <c r="R3029" s="22" t="s">
        <v>2724</v>
      </c>
      <c r="S3029" s="42" t="s">
        <v>6909</v>
      </c>
      <c r="T3029" s="3" t="s">
        <v>4868</v>
      </c>
      <c r="U3029" s="45">
        <v>35</v>
      </c>
      <c r="V3029" t="s">
        <v>8125</v>
      </c>
      <c r="W3029" s="1" t="str">
        <f>HYPERLINK("http://ictvonline.org/taxonomy/p/taxonomy-history?taxnode_id=201905839","ICTVonline=201905839")</f>
        <v>ICTVonline=201905839</v>
      </c>
    </row>
    <row r="3030" spans="1:23">
      <c r="A3030" s="3">
        <v>3029</v>
      </c>
      <c r="B3030" s="1" t="s">
        <v>8017</v>
      </c>
      <c r="D3030" s="1" t="s">
        <v>8049</v>
      </c>
      <c r="F3030" s="1" t="s">
        <v>8122</v>
      </c>
      <c r="H3030" s="1" t="s">
        <v>8143</v>
      </c>
      <c r="J3030" s="1" t="s">
        <v>8144</v>
      </c>
      <c r="L3030" s="1" t="s">
        <v>2078</v>
      </c>
      <c r="N3030" s="1" t="s">
        <v>2079</v>
      </c>
      <c r="P3030" s="1" t="s">
        <v>1852</v>
      </c>
      <c r="Q3030" s="3">
        <v>0</v>
      </c>
      <c r="R3030" s="22" t="s">
        <v>2724</v>
      </c>
      <c r="S3030" s="42" t="s">
        <v>6909</v>
      </c>
      <c r="T3030" s="3" t="s">
        <v>4868</v>
      </c>
      <c r="U3030" s="45">
        <v>35</v>
      </c>
      <c r="V3030" t="s">
        <v>8125</v>
      </c>
      <c r="W3030" s="1" t="str">
        <f>HYPERLINK("http://ictvonline.org/taxonomy/p/taxonomy-history?taxnode_id=201903470","ICTVonline=201903470")</f>
        <v>ICTVonline=201903470</v>
      </c>
    </row>
    <row r="3031" spans="1:23">
      <c r="A3031" s="3">
        <v>3030</v>
      </c>
      <c r="B3031" s="1" t="s">
        <v>8017</v>
      </c>
      <c r="D3031" s="1" t="s">
        <v>8049</v>
      </c>
      <c r="F3031" s="1" t="s">
        <v>8122</v>
      </c>
      <c r="H3031" s="1" t="s">
        <v>8143</v>
      </c>
      <c r="J3031" s="1" t="s">
        <v>8144</v>
      </c>
      <c r="L3031" s="1" t="s">
        <v>2078</v>
      </c>
      <c r="N3031" s="1" t="s">
        <v>2079</v>
      </c>
      <c r="P3031" s="1" t="s">
        <v>2449</v>
      </c>
      <c r="Q3031" s="3">
        <v>0</v>
      </c>
      <c r="R3031" s="22" t="s">
        <v>2724</v>
      </c>
      <c r="S3031" s="42" t="s">
        <v>6909</v>
      </c>
      <c r="T3031" s="3" t="s">
        <v>4868</v>
      </c>
      <c r="U3031" s="45">
        <v>35</v>
      </c>
      <c r="V3031" t="s">
        <v>8125</v>
      </c>
      <c r="W3031" s="1" t="str">
        <f>HYPERLINK("http://ictvonline.org/taxonomy/p/taxonomy-history?taxnode_id=201903471","ICTVonline=201903471")</f>
        <v>ICTVonline=201903471</v>
      </c>
    </row>
    <row r="3032" spans="1:23">
      <c r="A3032" s="3">
        <v>3031</v>
      </c>
      <c r="B3032" s="1" t="s">
        <v>8017</v>
      </c>
      <c r="D3032" s="1" t="s">
        <v>8049</v>
      </c>
      <c r="F3032" s="1" t="s">
        <v>8122</v>
      </c>
      <c r="H3032" s="1" t="s">
        <v>8143</v>
      </c>
      <c r="J3032" s="1" t="s">
        <v>8144</v>
      </c>
      <c r="L3032" s="1" t="s">
        <v>2078</v>
      </c>
      <c r="N3032" s="1" t="s">
        <v>2079</v>
      </c>
      <c r="P3032" s="1" t="s">
        <v>6860</v>
      </c>
      <c r="Q3032" s="3">
        <v>0</v>
      </c>
      <c r="R3032" s="22" t="s">
        <v>2724</v>
      </c>
      <c r="S3032" s="42" t="s">
        <v>6909</v>
      </c>
      <c r="T3032" s="3" t="s">
        <v>4868</v>
      </c>
      <c r="U3032" s="45">
        <v>35</v>
      </c>
      <c r="V3032" t="s">
        <v>8125</v>
      </c>
      <c r="W3032" s="1" t="str">
        <f>HYPERLINK("http://ictvonline.org/taxonomy/p/taxonomy-history?taxnode_id=201906715","ICTVonline=201906715")</f>
        <v>ICTVonline=201906715</v>
      </c>
    </row>
    <row r="3033" spans="1:23">
      <c r="A3033" s="3">
        <v>3032</v>
      </c>
      <c r="B3033" s="1" t="s">
        <v>8017</v>
      </c>
      <c r="D3033" s="1" t="s">
        <v>8049</v>
      </c>
      <c r="F3033" s="1" t="s">
        <v>8122</v>
      </c>
      <c r="H3033" s="1" t="s">
        <v>8143</v>
      </c>
      <c r="J3033" s="1" t="s">
        <v>8144</v>
      </c>
      <c r="L3033" s="1" t="s">
        <v>2078</v>
      </c>
      <c r="N3033" s="1" t="s">
        <v>2079</v>
      </c>
      <c r="P3033" s="1" t="s">
        <v>1853</v>
      </c>
      <c r="Q3033" s="3">
        <v>0</v>
      </c>
      <c r="R3033" s="22" t="s">
        <v>2724</v>
      </c>
      <c r="S3033" s="42" t="s">
        <v>6909</v>
      </c>
      <c r="T3033" s="3" t="s">
        <v>4868</v>
      </c>
      <c r="U3033" s="45">
        <v>35</v>
      </c>
      <c r="V3033" t="s">
        <v>8125</v>
      </c>
      <c r="W3033" s="1" t="str">
        <f>HYPERLINK("http://ictvonline.org/taxonomy/p/taxonomy-history?taxnode_id=201903472","ICTVonline=201903472")</f>
        <v>ICTVonline=201903472</v>
      </c>
    </row>
    <row r="3034" spans="1:23">
      <c r="A3034" s="3">
        <v>3033</v>
      </c>
      <c r="B3034" s="1" t="s">
        <v>8017</v>
      </c>
      <c r="D3034" s="1" t="s">
        <v>8049</v>
      </c>
      <c r="F3034" s="1" t="s">
        <v>8122</v>
      </c>
      <c r="H3034" s="1" t="s">
        <v>8143</v>
      </c>
      <c r="J3034" s="1" t="s">
        <v>8144</v>
      </c>
      <c r="L3034" s="1" t="s">
        <v>2078</v>
      </c>
      <c r="N3034" s="1" t="s">
        <v>2079</v>
      </c>
      <c r="P3034" s="1" t="s">
        <v>1854</v>
      </c>
      <c r="Q3034" s="3">
        <v>0</v>
      </c>
      <c r="R3034" s="22" t="s">
        <v>2724</v>
      </c>
      <c r="S3034" s="42" t="s">
        <v>6909</v>
      </c>
      <c r="T3034" s="3" t="s">
        <v>4868</v>
      </c>
      <c r="U3034" s="45">
        <v>35</v>
      </c>
      <c r="V3034" t="s">
        <v>8125</v>
      </c>
      <c r="W3034" s="1" t="str">
        <f>HYPERLINK("http://ictvonline.org/taxonomy/p/taxonomy-history?taxnode_id=201903473","ICTVonline=201903473")</f>
        <v>ICTVonline=201903473</v>
      </c>
    </row>
    <row r="3035" spans="1:23">
      <c r="A3035" s="3">
        <v>3034</v>
      </c>
      <c r="B3035" s="1" t="s">
        <v>8017</v>
      </c>
      <c r="D3035" s="1" t="s">
        <v>8049</v>
      </c>
      <c r="F3035" s="1" t="s">
        <v>8122</v>
      </c>
      <c r="H3035" s="1" t="s">
        <v>8143</v>
      </c>
      <c r="J3035" s="1" t="s">
        <v>8144</v>
      </c>
      <c r="L3035" s="1" t="s">
        <v>2078</v>
      </c>
      <c r="N3035" s="1" t="s">
        <v>2079</v>
      </c>
      <c r="P3035" s="1" t="s">
        <v>8161</v>
      </c>
      <c r="Q3035" s="3">
        <v>0</v>
      </c>
      <c r="R3035" s="22" t="s">
        <v>2724</v>
      </c>
      <c r="S3035" s="42" t="s">
        <v>6914</v>
      </c>
      <c r="T3035" s="3" t="s">
        <v>4866</v>
      </c>
      <c r="U3035" s="45">
        <v>35</v>
      </c>
      <c r="V3035" t="s">
        <v>8146</v>
      </c>
      <c r="W3035" s="1" t="str">
        <f>HYPERLINK("http://ictvonline.org/taxonomy/p/taxonomy-history?taxnode_id=201907532","ICTVonline=201907532")</f>
        <v>ICTVonline=201907532</v>
      </c>
    </row>
    <row r="3036" spans="1:23">
      <c r="A3036" s="3">
        <v>3035</v>
      </c>
      <c r="B3036" s="1" t="s">
        <v>8017</v>
      </c>
      <c r="D3036" s="1" t="s">
        <v>8049</v>
      </c>
      <c r="F3036" s="1" t="s">
        <v>8122</v>
      </c>
      <c r="H3036" s="1" t="s">
        <v>8143</v>
      </c>
      <c r="J3036" s="1" t="s">
        <v>8144</v>
      </c>
      <c r="L3036" s="1" t="s">
        <v>2078</v>
      </c>
      <c r="N3036" s="1" t="s">
        <v>2079</v>
      </c>
      <c r="P3036" s="1" t="s">
        <v>6861</v>
      </c>
      <c r="Q3036" s="3">
        <v>0</v>
      </c>
      <c r="R3036" s="22" t="s">
        <v>2724</v>
      </c>
      <c r="S3036" s="42" t="s">
        <v>6909</v>
      </c>
      <c r="T3036" s="3" t="s">
        <v>4868</v>
      </c>
      <c r="U3036" s="45">
        <v>35</v>
      </c>
      <c r="V3036" t="s">
        <v>8125</v>
      </c>
      <c r="W3036" s="1" t="str">
        <f>HYPERLINK("http://ictvonline.org/taxonomy/p/taxonomy-history?taxnode_id=201906716","ICTVonline=201906716")</f>
        <v>ICTVonline=201906716</v>
      </c>
    </row>
    <row r="3037" spans="1:23">
      <c r="A3037" s="3">
        <v>3036</v>
      </c>
      <c r="B3037" s="1" t="s">
        <v>8017</v>
      </c>
      <c r="D3037" s="1" t="s">
        <v>8049</v>
      </c>
      <c r="F3037" s="1" t="s">
        <v>8122</v>
      </c>
      <c r="H3037" s="1" t="s">
        <v>8143</v>
      </c>
      <c r="J3037" s="1" t="s">
        <v>8144</v>
      </c>
      <c r="L3037" s="1" t="s">
        <v>2078</v>
      </c>
      <c r="N3037" s="1" t="s">
        <v>2079</v>
      </c>
      <c r="P3037" s="1" t="s">
        <v>1855</v>
      </c>
      <c r="Q3037" s="3">
        <v>0</v>
      </c>
      <c r="R3037" s="22" t="s">
        <v>2724</v>
      </c>
      <c r="S3037" s="42" t="s">
        <v>6909</v>
      </c>
      <c r="T3037" s="3" t="s">
        <v>4868</v>
      </c>
      <c r="U3037" s="45">
        <v>35</v>
      </c>
      <c r="V3037" t="s">
        <v>8125</v>
      </c>
      <c r="W3037" s="1" t="str">
        <f>HYPERLINK("http://ictvonline.org/taxonomy/p/taxonomy-history?taxnode_id=201903474","ICTVonline=201903474")</f>
        <v>ICTVonline=201903474</v>
      </c>
    </row>
    <row r="3038" spans="1:23">
      <c r="A3038" s="3">
        <v>3037</v>
      </c>
      <c r="B3038" s="1" t="s">
        <v>8017</v>
      </c>
      <c r="D3038" s="1" t="s">
        <v>8049</v>
      </c>
      <c r="F3038" s="1" t="s">
        <v>8122</v>
      </c>
      <c r="H3038" s="1" t="s">
        <v>8143</v>
      </c>
      <c r="J3038" s="1" t="s">
        <v>8144</v>
      </c>
      <c r="L3038" s="1" t="s">
        <v>2078</v>
      </c>
      <c r="N3038" s="1" t="s">
        <v>2079</v>
      </c>
      <c r="P3038" s="1" t="s">
        <v>1856</v>
      </c>
      <c r="Q3038" s="3">
        <v>0</v>
      </c>
      <c r="R3038" s="22" t="s">
        <v>2724</v>
      </c>
      <c r="S3038" s="42" t="s">
        <v>6909</v>
      </c>
      <c r="T3038" s="3" t="s">
        <v>4868</v>
      </c>
      <c r="U3038" s="45">
        <v>35</v>
      </c>
      <c r="V3038" t="s">
        <v>8125</v>
      </c>
      <c r="W3038" s="1" t="str">
        <f>HYPERLINK("http://ictvonline.org/taxonomy/p/taxonomy-history?taxnode_id=201903475","ICTVonline=201903475")</f>
        <v>ICTVonline=201903475</v>
      </c>
    </row>
    <row r="3039" spans="1:23">
      <c r="A3039" s="3">
        <v>3038</v>
      </c>
      <c r="B3039" s="1" t="s">
        <v>8017</v>
      </c>
      <c r="D3039" s="1" t="s">
        <v>8049</v>
      </c>
      <c r="F3039" s="1" t="s">
        <v>8122</v>
      </c>
      <c r="H3039" s="1" t="s">
        <v>8143</v>
      </c>
      <c r="J3039" s="1" t="s">
        <v>8144</v>
      </c>
      <c r="L3039" s="1" t="s">
        <v>2078</v>
      </c>
      <c r="N3039" s="1" t="s">
        <v>2079</v>
      </c>
      <c r="P3039" s="1" t="s">
        <v>1857</v>
      </c>
      <c r="Q3039" s="3">
        <v>0</v>
      </c>
      <c r="R3039" s="22" t="s">
        <v>2724</v>
      </c>
      <c r="S3039" s="42" t="s">
        <v>6909</v>
      </c>
      <c r="T3039" s="3" t="s">
        <v>4868</v>
      </c>
      <c r="U3039" s="45">
        <v>35</v>
      </c>
      <c r="V3039" t="s">
        <v>8125</v>
      </c>
      <c r="W3039" s="1" t="str">
        <f>HYPERLINK("http://ictvonline.org/taxonomy/p/taxonomy-history?taxnode_id=201903476","ICTVonline=201903476")</f>
        <v>ICTVonline=201903476</v>
      </c>
    </row>
    <row r="3040" spans="1:23">
      <c r="A3040" s="3">
        <v>3039</v>
      </c>
      <c r="B3040" s="1" t="s">
        <v>8017</v>
      </c>
      <c r="D3040" s="1" t="s">
        <v>8049</v>
      </c>
      <c r="F3040" s="1" t="s">
        <v>8122</v>
      </c>
      <c r="H3040" s="1" t="s">
        <v>8143</v>
      </c>
      <c r="J3040" s="1" t="s">
        <v>8144</v>
      </c>
      <c r="L3040" s="1" t="s">
        <v>2078</v>
      </c>
      <c r="N3040" s="1" t="s">
        <v>2079</v>
      </c>
      <c r="P3040" s="1" t="s">
        <v>863</v>
      </c>
      <c r="Q3040" s="3">
        <v>0</v>
      </c>
      <c r="R3040" s="22" t="s">
        <v>2724</v>
      </c>
      <c r="S3040" s="42" t="s">
        <v>6909</v>
      </c>
      <c r="T3040" s="3" t="s">
        <v>4868</v>
      </c>
      <c r="U3040" s="45">
        <v>35</v>
      </c>
      <c r="V3040" t="s">
        <v>8125</v>
      </c>
      <c r="W3040" s="1" t="str">
        <f>HYPERLINK("http://ictvonline.org/taxonomy/p/taxonomy-history?taxnode_id=201903477","ICTVonline=201903477")</f>
        <v>ICTVonline=201903477</v>
      </c>
    </row>
    <row r="3041" spans="1:23">
      <c r="A3041" s="3">
        <v>3040</v>
      </c>
      <c r="B3041" s="1" t="s">
        <v>8017</v>
      </c>
      <c r="D3041" s="1" t="s">
        <v>8049</v>
      </c>
      <c r="F3041" s="1" t="s">
        <v>8122</v>
      </c>
      <c r="H3041" s="1" t="s">
        <v>8143</v>
      </c>
      <c r="J3041" s="1" t="s">
        <v>8144</v>
      </c>
      <c r="L3041" s="1" t="s">
        <v>2078</v>
      </c>
      <c r="N3041" s="1" t="s">
        <v>2079</v>
      </c>
      <c r="P3041" s="1" t="s">
        <v>864</v>
      </c>
      <c r="Q3041" s="3">
        <v>0</v>
      </c>
      <c r="R3041" s="22" t="s">
        <v>2724</v>
      </c>
      <c r="S3041" s="42" t="s">
        <v>6909</v>
      </c>
      <c r="T3041" s="3" t="s">
        <v>4868</v>
      </c>
      <c r="U3041" s="45">
        <v>35</v>
      </c>
      <c r="V3041" t="s">
        <v>8125</v>
      </c>
      <c r="W3041" s="1" t="str">
        <f>HYPERLINK("http://ictvonline.org/taxonomy/p/taxonomy-history?taxnode_id=201903478","ICTVonline=201903478")</f>
        <v>ICTVonline=201903478</v>
      </c>
    </row>
    <row r="3042" spans="1:23">
      <c r="A3042" s="3">
        <v>3041</v>
      </c>
      <c r="B3042" s="1" t="s">
        <v>8017</v>
      </c>
      <c r="D3042" s="1" t="s">
        <v>8049</v>
      </c>
      <c r="F3042" s="1" t="s">
        <v>8122</v>
      </c>
      <c r="H3042" s="1" t="s">
        <v>8143</v>
      </c>
      <c r="J3042" s="1" t="s">
        <v>8144</v>
      </c>
      <c r="L3042" s="1" t="s">
        <v>2078</v>
      </c>
      <c r="N3042" s="1" t="s">
        <v>2079</v>
      </c>
      <c r="P3042" s="1" t="s">
        <v>1858</v>
      </c>
      <c r="Q3042" s="3">
        <v>0</v>
      </c>
      <c r="R3042" s="22" t="s">
        <v>2724</v>
      </c>
      <c r="S3042" s="42" t="s">
        <v>6909</v>
      </c>
      <c r="T3042" s="3" t="s">
        <v>4868</v>
      </c>
      <c r="U3042" s="45">
        <v>35</v>
      </c>
      <c r="V3042" t="s">
        <v>8125</v>
      </c>
      <c r="W3042" s="1" t="str">
        <f>HYPERLINK("http://ictvonline.org/taxonomy/p/taxonomy-history?taxnode_id=201903479","ICTVonline=201903479")</f>
        <v>ICTVonline=201903479</v>
      </c>
    </row>
    <row r="3043" spans="1:23">
      <c r="A3043" s="3">
        <v>3042</v>
      </c>
      <c r="B3043" s="1" t="s">
        <v>8017</v>
      </c>
      <c r="D3043" s="1" t="s">
        <v>8049</v>
      </c>
      <c r="F3043" s="1" t="s">
        <v>8122</v>
      </c>
      <c r="H3043" s="1" t="s">
        <v>8143</v>
      </c>
      <c r="J3043" s="1" t="s">
        <v>8144</v>
      </c>
      <c r="L3043" s="1" t="s">
        <v>2078</v>
      </c>
      <c r="N3043" s="1" t="s">
        <v>2079</v>
      </c>
      <c r="P3043" s="1" t="s">
        <v>1925</v>
      </c>
      <c r="Q3043" s="3">
        <v>0</v>
      </c>
      <c r="R3043" s="22" t="s">
        <v>2724</v>
      </c>
      <c r="S3043" s="42" t="s">
        <v>6909</v>
      </c>
      <c r="T3043" s="3" t="s">
        <v>4868</v>
      </c>
      <c r="U3043" s="45">
        <v>35</v>
      </c>
      <c r="V3043" t="s">
        <v>8125</v>
      </c>
      <c r="W3043" s="1" t="str">
        <f>HYPERLINK("http://ictvonline.org/taxonomy/p/taxonomy-history?taxnode_id=201903480","ICTVonline=201903480")</f>
        <v>ICTVonline=201903480</v>
      </c>
    </row>
    <row r="3044" spans="1:23">
      <c r="A3044" s="3">
        <v>3043</v>
      </c>
      <c r="B3044" s="1" t="s">
        <v>8017</v>
      </c>
      <c r="D3044" s="1" t="s">
        <v>8049</v>
      </c>
      <c r="F3044" s="1" t="s">
        <v>8122</v>
      </c>
      <c r="H3044" s="1" t="s">
        <v>8143</v>
      </c>
      <c r="J3044" s="1" t="s">
        <v>8144</v>
      </c>
      <c r="L3044" s="1" t="s">
        <v>2078</v>
      </c>
      <c r="N3044" s="1" t="s">
        <v>2079</v>
      </c>
      <c r="P3044" s="1" t="s">
        <v>808</v>
      </c>
      <c r="Q3044" s="3">
        <v>0</v>
      </c>
      <c r="R3044" s="22" t="s">
        <v>2724</v>
      </c>
      <c r="S3044" s="42" t="s">
        <v>6909</v>
      </c>
      <c r="T3044" s="3" t="s">
        <v>4868</v>
      </c>
      <c r="U3044" s="45">
        <v>35</v>
      </c>
      <c r="V3044" t="s">
        <v>8125</v>
      </c>
      <c r="W3044" s="1" t="str">
        <f>HYPERLINK("http://ictvonline.org/taxonomy/p/taxonomy-history?taxnode_id=201903481","ICTVonline=201903481")</f>
        <v>ICTVonline=201903481</v>
      </c>
    </row>
    <row r="3045" spans="1:23">
      <c r="A3045" s="3">
        <v>3044</v>
      </c>
      <c r="B3045" s="1" t="s">
        <v>8017</v>
      </c>
      <c r="D3045" s="1" t="s">
        <v>8049</v>
      </c>
      <c r="F3045" s="1" t="s">
        <v>8122</v>
      </c>
      <c r="H3045" s="1" t="s">
        <v>8143</v>
      </c>
      <c r="J3045" s="1" t="s">
        <v>8144</v>
      </c>
      <c r="L3045" s="1" t="s">
        <v>2078</v>
      </c>
      <c r="N3045" s="1" t="s">
        <v>2079</v>
      </c>
      <c r="P3045" s="1" t="s">
        <v>5392</v>
      </c>
      <c r="Q3045" s="3">
        <v>0</v>
      </c>
      <c r="R3045" s="22" t="s">
        <v>2724</v>
      </c>
      <c r="S3045" s="42" t="s">
        <v>6909</v>
      </c>
      <c r="T3045" s="3" t="s">
        <v>4868</v>
      </c>
      <c r="U3045" s="45">
        <v>35</v>
      </c>
      <c r="V3045" t="s">
        <v>8125</v>
      </c>
      <c r="W3045" s="1" t="str">
        <f>HYPERLINK("http://ictvonline.org/taxonomy/p/taxonomy-history?taxnode_id=201905840","ICTVonline=201905840")</f>
        <v>ICTVonline=201905840</v>
      </c>
    </row>
    <row r="3046" spans="1:23">
      <c r="A3046" s="3">
        <v>3045</v>
      </c>
      <c r="B3046" s="1" t="s">
        <v>8017</v>
      </c>
      <c r="D3046" s="1" t="s">
        <v>8049</v>
      </c>
      <c r="F3046" s="1" t="s">
        <v>8122</v>
      </c>
      <c r="H3046" s="1" t="s">
        <v>8143</v>
      </c>
      <c r="J3046" s="1" t="s">
        <v>8144</v>
      </c>
      <c r="L3046" s="1" t="s">
        <v>2078</v>
      </c>
      <c r="N3046" s="1" t="s">
        <v>2079</v>
      </c>
      <c r="P3046" s="1" t="s">
        <v>809</v>
      </c>
      <c r="Q3046" s="3">
        <v>0</v>
      </c>
      <c r="R3046" s="22" t="s">
        <v>2724</v>
      </c>
      <c r="S3046" s="42" t="s">
        <v>6909</v>
      </c>
      <c r="T3046" s="3" t="s">
        <v>4868</v>
      </c>
      <c r="U3046" s="45">
        <v>35</v>
      </c>
      <c r="V3046" t="s">
        <v>8125</v>
      </c>
      <c r="W3046" s="1" t="str">
        <f>HYPERLINK("http://ictvonline.org/taxonomy/p/taxonomy-history?taxnode_id=201903482","ICTVonline=201903482")</f>
        <v>ICTVonline=201903482</v>
      </c>
    </row>
    <row r="3047" spans="1:23">
      <c r="A3047" s="3">
        <v>3046</v>
      </c>
      <c r="B3047" s="1" t="s">
        <v>8017</v>
      </c>
      <c r="D3047" s="1" t="s">
        <v>8049</v>
      </c>
      <c r="F3047" s="1" t="s">
        <v>8122</v>
      </c>
      <c r="H3047" s="1" t="s">
        <v>8143</v>
      </c>
      <c r="J3047" s="1" t="s">
        <v>8144</v>
      </c>
      <c r="L3047" s="1" t="s">
        <v>2078</v>
      </c>
      <c r="N3047" s="1" t="s">
        <v>2079</v>
      </c>
      <c r="P3047" s="1" t="s">
        <v>810</v>
      </c>
      <c r="Q3047" s="3">
        <v>0</v>
      </c>
      <c r="R3047" s="22" t="s">
        <v>2724</v>
      </c>
      <c r="S3047" s="42" t="s">
        <v>6909</v>
      </c>
      <c r="T3047" s="3" t="s">
        <v>4868</v>
      </c>
      <c r="U3047" s="45">
        <v>35</v>
      </c>
      <c r="V3047" t="s">
        <v>8125</v>
      </c>
      <c r="W3047" s="1" t="str">
        <f>HYPERLINK("http://ictvonline.org/taxonomy/p/taxonomy-history?taxnode_id=201903483","ICTVonline=201903483")</f>
        <v>ICTVonline=201903483</v>
      </c>
    </row>
    <row r="3048" spans="1:23">
      <c r="A3048" s="3">
        <v>3047</v>
      </c>
      <c r="B3048" s="1" t="s">
        <v>8017</v>
      </c>
      <c r="D3048" s="1" t="s">
        <v>8049</v>
      </c>
      <c r="F3048" s="1" t="s">
        <v>8122</v>
      </c>
      <c r="H3048" s="1" t="s">
        <v>8143</v>
      </c>
      <c r="J3048" s="1" t="s">
        <v>8144</v>
      </c>
      <c r="L3048" s="1" t="s">
        <v>2078</v>
      </c>
      <c r="N3048" s="1" t="s">
        <v>2079</v>
      </c>
      <c r="P3048" s="1" t="s">
        <v>1820</v>
      </c>
      <c r="Q3048" s="3">
        <v>0</v>
      </c>
      <c r="R3048" s="22" t="s">
        <v>2724</v>
      </c>
      <c r="S3048" s="42" t="s">
        <v>6909</v>
      </c>
      <c r="T3048" s="3" t="s">
        <v>4868</v>
      </c>
      <c r="U3048" s="45">
        <v>35</v>
      </c>
      <c r="V3048" t="s">
        <v>8125</v>
      </c>
      <c r="W3048" s="1" t="str">
        <f>HYPERLINK("http://ictvonline.org/taxonomy/p/taxonomy-history?taxnode_id=201903484","ICTVonline=201903484")</f>
        <v>ICTVonline=201903484</v>
      </c>
    </row>
    <row r="3049" spans="1:23">
      <c r="A3049" s="3">
        <v>3048</v>
      </c>
      <c r="B3049" s="1" t="s">
        <v>8017</v>
      </c>
      <c r="D3049" s="1" t="s">
        <v>8049</v>
      </c>
      <c r="F3049" s="1" t="s">
        <v>8122</v>
      </c>
      <c r="H3049" s="1" t="s">
        <v>8143</v>
      </c>
      <c r="J3049" s="1" t="s">
        <v>8144</v>
      </c>
      <c r="L3049" s="1" t="s">
        <v>2078</v>
      </c>
      <c r="N3049" s="1" t="s">
        <v>2079</v>
      </c>
      <c r="P3049" s="1" t="s">
        <v>5393</v>
      </c>
      <c r="Q3049" s="3">
        <v>0</v>
      </c>
      <c r="R3049" s="22" t="s">
        <v>2724</v>
      </c>
      <c r="S3049" s="42" t="s">
        <v>6909</v>
      </c>
      <c r="T3049" s="3" t="s">
        <v>4868</v>
      </c>
      <c r="U3049" s="45">
        <v>35</v>
      </c>
      <c r="V3049" t="s">
        <v>8125</v>
      </c>
      <c r="W3049" s="1" t="str">
        <f>HYPERLINK("http://ictvonline.org/taxonomy/p/taxonomy-history?taxnode_id=201905841","ICTVonline=201905841")</f>
        <v>ICTVonline=201905841</v>
      </c>
    </row>
    <row r="3050" spans="1:23">
      <c r="A3050" s="3">
        <v>3049</v>
      </c>
      <c r="B3050" s="1" t="s">
        <v>8017</v>
      </c>
      <c r="D3050" s="1" t="s">
        <v>8049</v>
      </c>
      <c r="F3050" s="1" t="s">
        <v>8122</v>
      </c>
      <c r="H3050" s="1" t="s">
        <v>8143</v>
      </c>
      <c r="J3050" s="1" t="s">
        <v>8144</v>
      </c>
      <c r="L3050" s="1" t="s">
        <v>2078</v>
      </c>
      <c r="N3050" s="1" t="s">
        <v>2079</v>
      </c>
      <c r="P3050" s="1" t="s">
        <v>2450</v>
      </c>
      <c r="Q3050" s="3">
        <v>0</v>
      </c>
      <c r="R3050" s="22" t="s">
        <v>2724</v>
      </c>
      <c r="S3050" s="42" t="s">
        <v>6909</v>
      </c>
      <c r="T3050" s="3" t="s">
        <v>4868</v>
      </c>
      <c r="U3050" s="45">
        <v>35</v>
      </c>
      <c r="V3050" t="s">
        <v>8125</v>
      </c>
      <c r="W3050" s="1" t="str">
        <f>HYPERLINK("http://ictvonline.org/taxonomy/p/taxonomy-history?taxnode_id=201903485","ICTVonline=201903485")</f>
        <v>ICTVonline=201903485</v>
      </c>
    </row>
    <row r="3051" spans="1:23">
      <c r="A3051" s="3">
        <v>3050</v>
      </c>
      <c r="B3051" s="1" t="s">
        <v>8017</v>
      </c>
      <c r="D3051" s="1" t="s">
        <v>8049</v>
      </c>
      <c r="F3051" s="1" t="s">
        <v>8122</v>
      </c>
      <c r="H3051" s="1" t="s">
        <v>8143</v>
      </c>
      <c r="J3051" s="1" t="s">
        <v>8144</v>
      </c>
      <c r="L3051" s="1" t="s">
        <v>2078</v>
      </c>
      <c r="N3051" s="1" t="s">
        <v>2079</v>
      </c>
      <c r="P3051" s="1" t="s">
        <v>1039</v>
      </c>
      <c r="Q3051" s="3">
        <v>0</v>
      </c>
      <c r="R3051" s="22" t="s">
        <v>2724</v>
      </c>
      <c r="S3051" s="42" t="s">
        <v>6909</v>
      </c>
      <c r="T3051" s="3" t="s">
        <v>4868</v>
      </c>
      <c r="U3051" s="45">
        <v>35</v>
      </c>
      <c r="V3051" t="s">
        <v>8125</v>
      </c>
      <c r="W3051" s="1" t="str">
        <f>HYPERLINK("http://ictvonline.org/taxonomy/p/taxonomy-history?taxnode_id=201903486","ICTVonline=201903486")</f>
        <v>ICTVonline=201903486</v>
      </c>
    </row>
    <row r="3052" spans="1:23">
      <c r="A3052" s="3">
        <v>3051</v>
      </c>
      <c r="B3052" s="1" t="s">
        <v>8017</v>
      </c>
      <c r="D3052" s="1" t="s">
        <v>8049</v>
      </c>
      <c r="F3052" s="1" t="s">
        <v>8122</v>
      </c>
      <c r="H3052" s="1" t="s">
        <v>8143</v>
      </c>
      <c r="J3052" s="1" t="s">
        <v>8144</v>
      </c>
      <c r="L3052" s="1" t="s">
        <v>2078</v>
      </c>
      <c r="N3052" s="1" t="s">
        <v>2079</v>
      </c>
      <c r="P3052" s="1" t="s">
        <v>2451</v>
      </c>
      <c r="Q3052" s="3">
        <v>0</v>
      </c>
      <c r="R3052" s="22" t="s">
        <v>2724</v>
      </c>
      <c r="S3052" s="42" t="s">
        <v>6909</v>
      </c>
      <c r="T3052" s="3" t="s">
        <v>4868</v>
      </c>
      <c r="U3052" s="45">
        <v>35</v>
      </c>
      <c r="V3052" t="s">
        <v>8125</v>
      </c>
      <c r="W3052" s="1" t="str">
        <f>HYPERLINK("http://ictvonline.org/taxonomy/p/taxonomy-history?taxnode_id=201903487","ICTVonline=201903487")</f>
        <v>ICTVonline=201903487</v>
      </c>
    </row>
    <row r="3053" spans="1:23">
      <c r="A3053" s="3">
        <v>3052</v>
      </c>
      <c r="B3053" s="1" t="s">
        <v>8017</v>
      </c>
      <c r="D3053" s="1" t="s">
        <v>8049</v>
      </c>
      <c r="F3053" s="1" t="s">
        <v>8122</v>
      </c>
      <c r="H3053" s="1" t="s">
        <v>8143</v>
      </c>
      <c r="J3053" s="1" t="s">
        <v>8144</v>
      </c>
      <c r="L3053" s="1" t="s">
        <v>2078</v>
      </c>
      <c r="N3053" s="1" t="s">
        <v>2079</v>
      </c>
      <c r="P3053" s="1" t="s">
        <v>1040</v>
      </c>
      <c r="Q3053" s="3">
        <v>0</v>
      </c>
      <c r="R3053" s="22" t="s">
        <v>2724</v>
      </c>
      <c r="S3053" s="42" t="s">
        <v>6909</v>
      </c>
      <c r="T3053" s="3" t="s">
        <v>4868</v>
      </c>
      <c r="U3053" s="45">
        <v>35</v>
      </c>
      <c r="V3053" t="s">
        <v>8125</v>
      </c>
      <c r="W3053" s="1" t="str">
        <f>HYPERLINK("http://ictvonline.org/taxonomy/p/taxonomy-history?taxnode_id=201903488","ICTVonline=201903488")</f>
        <v>ICTVonline=201903488</v>
      </c>
    </row>
    <row r="3054" spans="1:23">
      <c r="A3054" s="3">
        <v>3053</v>
      </c>
      <c r="B3054" s="1" t="s">
        <v>8017</v>
      </c>
      <c r="D3054" s="1" t="s">
        <v>8049</v>
      </c>
      <c r="F3054" s="1" t="s">
        <v>8122</v>
      </c>
      <c r="H3054" s="1" t="s">
        <v>8143</v>
      </c>
      <c r="J3054" s="1" t="s">
        <v>8144</v>
      </c>
      <c r="L3054" s="1" t="s">
        <v>2078</v>
      </c>
      <c r="N3054" s="1" t="s">
        <v>2079</v>
      </c>
      <c r="P3054" s="1" t="s">
        <v>1041</v>
      </c>
      <c r="Q3054" s="3">
        <v>0</v>
      </c>
      <c r="R3054" s="22" t="s">
        <v>2724</v>
      </c>
      <c r="S3054" s="42" t="s">
        <v>6909</v>
      </c>
      <c r="T3054" s="3" t="s">
        <v>4868</v>
      </c>
      <c r="U3054" s="45">
        <v>35</v>
      </c>
      <c r="V3054" t="s">
        <v>8125</v>
      </c>
      <c r="W3054" s="1" t="str">
        <f>HYPERLINK("http://ictvonline.org/taxonomy/p/taxonomy-history?taxnode_id=201903489","ICTVonline=201903489")</f>
        <v>ICTVonline=201903489</v>
      </c>
    </row>
    <row r="3055" spans="1:23">
      <c r="A3055" s="3">
        <v>3054</v>
      </c>
      <c r="B3055" s="1" t="s">
        <v>8017</v>
      </c>
      <c r="D3055" s="1" t="s">
        <v>8049</v>
      </c>
      <c r="F3055" s="1" t="s">
        <v>8122</v>
      </c>
      <c r="H3055" s="1" t="s">
        <v>8143</v>
      </c>
      <c r="J3055" s="1" t="s">
        <v>8144</v>
      </c>
      <c r="L3055" s="1" t="s">
        <v>2078</v>
      </c>
      <c r="N3055" s="1" t="s">
        <v>2079</v>
      </c>
      <c r="P3055" s="1" t="s">
        <v>5394</v>
      </c>
      <c r="Q3055" s="3">
        <v>0</v>
      </c>
      <c r="R3055" s="22" t="s">
        <v>2724</v>
      </c>
      <c r="S3055" s="42" t="s">
        <v>6909</v>
      </c>
      <c r="T3055" s="3" t="s">
        <v>4868</v>
      </c>
      <c r="U3055" s="45">
        <v>35</v>
      </c>
      <c r="V3055" t="s">
        <v>8125</v>
      </c>
      <c r="W3055" s="1" t="str">
        <f>HYPERLINK("http://ictvonline.org/taxonomy/p/taxonomy-history?taxnode_id=201905842","ICTVonline=201905842")</f>
        <v>ICTVonline=201905842</v>
      </c>
    </row>
    <row r="3056" spans="1:23">
      <c r="A3056" s="3">
        <v>3055</v>
      </c>
      <c r="B3056" s="1" t="s">
        <v>8017</v>
      </c>
      <c r="D3056" s="1" t="s">
        <v>8049</v>
      </c>
      <c r="F3056" s="1" t="s">
        <v>8122</v>
      </c>
      <c r="H3056" s="1" t="s">
        <v>8143</v>
      </c>
      <c r="J3056" s="1" t="s">
        <v>8144</v>
      </c>
      <c r="L3056" s="1" t="s">
        <v>2078</v>
      </c>
      <c r="N3056" s="1" t="s">
        <v>2079</v>
      </c>
      <c r="P3056" s="1" t="s">
        <v>5395</v>
      </c>
      <c r="Q3056" s="3">
        <v>0</v>
      </c>
      <c r="R3056" s="22" t="s">
        <v>2724</v>
      </c>
      <c r="S3056" s="42" t="s">
        <v>6909</v>
      </c>
      <c r="T3056" s="3" t="s">
        <v>4868</v>
      </c>
      <c r="U3056" s="45">
        <v>35</v>
      </c>
      <c r="V3056" t="s">
        <v>8125</v>
      </c>
      <c r="W3056" s="1" t="str">
        <f>HYPERLINK("http://ictvonline.org/taxonomy/p/taxonomy-history?taxnode_id=201905843","ICTVonline=201905843")</f>
        <v>ICTVonline=201905843</v>
      </c>
    </row>
    <row r="3057" spans="1:23">
      <c r="A3057" s="3">
        <v>3056</v>
      </c>
      <c r="B3057" s="1" t="s">
        <v>8017</v>
      </c>
      <c r="D3057" s="1" t="s">
        <v>8049</v>
      </c>
      <c r="F3057" s="1" t="s">
        <v>8122</v>
      </c>
      <c r="H3057" s="1" t="s">
        <v>8143</v>
      </c>
      <c r="J3057" s="1" t="s">
        <v>8144</v>
      </c>
      <c r="L3057" s="1" t="s">
        <v>2078</v>
      </c>
      <c r="N3057" s="1" t="s">
        <v>2079</v>
      </c>
      <c r="P3057" s="1" t="s">
        <v>3775</v>
      </c>
      <c r="Q3057" s="3">
        <v>0</v>
      </c>
      <c r="R3057" s="22" t="s">
        <v>2724</v>
      </c>
      <c r="S3057" s="42" t="s">
        <v>6909</v>
      </c>
      <c r="T3057" s="3" t="s">
        <v>4868</v>
      </c>
      <c r="U3057" s="45">
        <v>35</v>
      </c>
      <c r="V3057" t="s">
        <v>8125</v>
      </c>
      <c r="W3057" s="1" t="str">
        <f>HYPERLINK("http://ictvonline.org/taxonomy/p/taxonomy-history?taxnode_id=201903490","ICTVonline=201903490")</f>
        <v>ICTVonline=201903490</v>
      </c>
    </row>
    <row r="3058" spans="1:23">
      <c r="A3058" s="3">
        <v>3057</v>
      </c>
      <c r="B3058" s="1" t="s">
        <v>8017</v>
      </c>
      <c r="D3058" s="1" t="s">
        <v>8049</v>
      </c>
      <c r="F3058" s="1" t="s">
        <v>8122</v>
      </c>
      <c r="H3058" s="1" t="s">
        <v>8143</v>
      </c>
      <c r="J3058" s="1" t="s">
        <v>8144</v>
      </c>
      <c r="L3058" s="1" t="s">
        <v>2078</v>
      </c>
      <c r="N3058" s="1" t="s">
        <v>2079</v>
      </c>
      <c r="P3058" s="1" t="s">
        <v>5396</v>
      </c>
      <c r="Q3058" s="3">
        <v>0</v>
      </c>
      <c r="R3058" s="22" t="s">
        <v>2724</v>
      </c>
      <c r="S3058" s="42" t="s">
        <v>6909</v>
      </c>
      <c r="T3058" s="3" t="s">
        <v>4868</v>
      </c>
      <c r="U3058" s="45">
        <v>35</v>
      </c>
      <c r="V3058" t="s">
        <v>8125</v>
      </c>
      <c r="W3058" s="1" t="str">
        <f>HYPERLINK("http://ictvonline.org/taxonomy/p/taxonomy-history?taxnode_id=201905844","ICTVonline=201905844")</f>
        <v>ICTVonline=201905844</v>
      </c>
    </row>
    <row r="3059" spans="1:23">
      <c r="A3059" s="3">
        <v>3058</v>
      </c>
      <c r="B3059" s="1" t="s">
        <v>8017</v>
      </c>
      <c r="D3059" s="1" t="s">
        <v>8049</v>
      </c>
      <c r="F3059" s="1" t="s">
        <v>8122</v>
      </c>
      <c r="H3059" s="1" t="s">
        <v>8143</v>
      </c>
      <c r="J3059" s="1" t="s">
        <v>8144</v>
      </c>
      <c r="L3059" s="1" t="s">
        <v>2078</v>
      </c>
      <c r="N3059" s="1" t="s">
        <v>2079</v>
      </c>
      <c r="P3059" s="1" t="s">
        <v>6862</v>
      </c>
      <c r="Q3059" s="3">
        <v>0</v>
      </c>
      <c r="R3059" s="22" t="s">
        <v>2724</v>
      </c>
      <c r="S3059" s="42" t="s">
        <v>6909</v>
      </c>
      <c r="T3059" s="3" t="s">
        <v>4868</v>
      </c>
      <c r="U3059" s="45">
        <v>35</v>
      </c>
      <c r="V3059" t="s">
        <v>8125</v>
      </c>
      <c r="W3059" s="1" t="str">
        <f>HYPERLINK("http://ictvonline.org/taxonomy/p/taxonomy-history?taxnode_id=201906717","ICTVonline=201906717")</f>
        <v>ICTVonline=201906717</v>
      </c>
    </row>
    <row r="3060" spans="1:23">
      <c r="A3060" s="3">
        <v>3059</v>
      </c>
      <c r="B3060" s="1" t="s">
        <v>8017</v>
      </c>
      <c r="D3060" s="1" t="s">
        <v>8049</v>
      </c>
      <c r="F3060" s="1" t="s">
        <v>8122</v>
      </c>
      <c r="H3060" s="1" t="s">
        <v>8143</v>
      </c>
      <c r="J3060" s="1" t="s">
        <v>8144</v>
      </c>
      <c r="L3060" s="1" t="s">
        <v>2078</v>
      </c>
      <c r="N3060" s="1" t="s">
        <v>2079</v>
      </c>
      <c r="P3060" s="1" t="s">
        <v>1122</v>
      </c>
      <c r="Q3060" s="3">
        <v>0</v>
      </c>
      <c r="R3060" s="22" t="s">
        <v>2724</v>
      </c>
      <c r="S3060" s="42" t="s">
        <v>6909</v>
      </c>
      <c r="T3060" s="3" t="s">
        <v>4868</v>
      </c>
      <c r="U3060" s="45">
        <v>35</v>
      </c>
      <c r="V3060" t="s">
        <v>8125</v>
      </c>
      <c r="W3060" s="1" t="str">
        <f>HYPERLINK("http://ictvonline.org/taxonomy/p/taxonomy-history?taxnode_id=201903491","ICTVonline=201903491")</f>
        <v>ICTVonline=201903491</v>
      </c>
    </row>
    <row r="3061" spans="1:23">
      <c r="A3061" s="3">
        <v>3060</v>
      </c>
      <c r="B3061" s="1" t="s">
        <v>8017</v>
      </c>
      <c r="D3061" s="1" t="s">
        <v>8049</v>
      </c>
      <c r="F3061" s="1" t="s">
        <v>8122</v>
      </c>
      <c r="H3061" s="1" t="s">
        <v>8143</v>
      </c>
      <c r="J3061" s="1" t="s">
        <v>8144</v>
      </c>
      <c r="L3061" s="1" t="s">
        <v>2078</v>
      </c>
      <c r="N3061" s="1" t="s">
        <v>2079</v>
      </c>
      <c r="P3061" s="1" t="s">
        <v>3776</v>
      </c>
      <c r="Q3061" s="3">
        <v>0</v>
      </c>
      <c r="R3061" s="22" t="s">
        <v>2724</v>
      </c>
      <c r="S3061" s="42" t="s">
        <v>6909</v>
      </c>
      <c r="T3061" s="3" t="s">
        <v>4868</v>
      </c>
      <c r="U3061" s="45">
        <v>35</v>
      </c>
      <c r="V3061" t="s">
        <v>8125</v>
      </c>
      <c r="W3061" s="1" t="str">
        <f>HYPERLINK("http://ictvonline.org/taxonomy/p/taxonomy-history?taxnode_id=201903492","ICTVonline=201903492")</f>
        <v>ICTVonline=201903492</v>
      </c>
    </row>
    <row r="3062" spans="1:23">
      <c r="A3062" s="3">
        <v>3061</v>
      </c>
      <c r="B3062" s="1" t="s">
        <v>8017</v>
      </c>
      <c r="D3062" s="1" t="s">
        <v>8049</v>
      </c>
      <c r="F3062" s="1" t="s">
        <v>8122</v>
      </c>
      <c r="H3062" s="1" t="s">
        <v>8143</v>
      </c>
      <c r="J3062" s="1" t="s">
        <v>8144</v>
      </c>
      <c r="L3062" s="1" t="s">
        <v>2078</v>
      </c>
      <c r="N3062" s="1" t="s">
        <v>2079</v>
      </c>
      <c r="P3062" s="1" t="s">
        <v>5397</v>
      </c>
      <c r="Q3062" s="3">
        <v>0</v>
      </c>
      <c r="R3062" s="22" t="s">
        <v>2724</v>
      </c>
      <c r="S3062" s="42" t="s">
        <v>6909</v>
      </c>
      <c r="T3062" s="3" t="s">
        <v>4868</v>
      </c>
      <c r="U3062" s="45">
        <v>35</v>
      </c>
      <c r="V3062" t="s">
        <v>8125</v>
      </c>
      <c r="W3062" s="1" t="str">
        <f>HYPERLINK("http://ictvonline.org/taxonomy/p/taxonomy-history?taxnode_id=201905845","ICTVonline=201905845")</f>
        <v>ICTVonline=201905845</v>
      </c>
    </row>
    <row r="3063" spans="1:23">
      <c r="A3063" s="3">
        <v>3062</v>
      </c>
      <c r="B3063" s="1" t="s">
        <v>8017</v>
      </c>
      <c r="D3063" s="1" t="s">
        <v>8049</v>
      </c>
      <c r="F3063" s="1" t="s">
        <v>8122</v>
      </c>
      <c r="H3063" s="1" t="s">
        <v>8143</v>
      </c>
      <c r="J3063" s="1" t="s">
        <v>8144</v>
      </c>
      <c r="L3063" s="1" t="s">
        <v>2078</v>
      </c>
      <c r="N3063" s="1" t="s">
        <v>2079</v>
      </c>
      <c r="P3063" s="1" t="s">
        <v>1123</v>
      </c>
      <c r="Q3063" s="3">
        <v>0</v>
      </c>
      <c r="R3063" s="22" t="s">
        <v>2724</v>
      </c>
      <c r="S3063" s="42" t="s">
        <v>6909</v>
      </c>
      <c r="T3063" s="3" t="s">
        <v>4868</v>
      </c>
      <c r="U3063" s="45">
        <v>35</v>
      </c>
      <c r="V3063" t="s">
        <v>8125</v>
      </c>
      <c r="W3063" s="1" t="str">
        <f>HYPERLINK("http://ictvonline.org/taxonomy/p/taxonomy-history?taxnode_id=201903493","ICTVonline=201903493")</f>
        <v>ICTVonline=201903493</v>
      </c>
    </row>
    <row r="3064" spans="1:23">
      <c r="A3064" s="3">
        <v>3063</v>
      </c>
      <c r="B3064" s="1" t="s">
        <v>8017</v>
      </c>
      <c r="D3064" s="1" t="s">
        <v>8049</v>
      </c>
      <c r="F3064" s="1" t="s">
        <v>8122</v>
      </c>
      <c r="H3064" s="1" t="s">
        <v>8143</v>
      </c>
      <c r="J3064" s="1" t="s">
        <v>8144</v>
      </c>
      <c r="L3064" s="1" t="s">
        <v>2078</v>
      </c>
      <c r="N3064" s="1" t="s">
        <v>2079</v>
      </c>
      <c r="P3064" s="1" t="s">
        <v>2452</v>
      </c>
      <c r="Q3064" s="3">
        <v>0</v>
      </c>
      <c r="R3064" s="22" t="s">
        <v>2724</v>
      </c>
      <c r="S3064" s="42" t="s">
        <v>6909</v>
      </c>
      <c r="T3064" s="3" t="s">
        <v>4868</v>
      </c>
      <c r="U3064" s="45">
        <v>35</v>
      </c>
      <c r="V3064" t="s">
        <v>8125</v>
      </c>
      <c r="W3064" s="1" t="str">
        <f>HYPERLINK("http://ictvonline.org/taxonomy/p/taxonomy-history?taxnode_id=201903494","ICTVonline=201903494")</f>
        <v>ICTVonline=201903494</v>
      </c>
    </row>
    <row r="3065" spans="1:23">
      <c r="A3065" s="3">
        <v>3064</v>
      </c>
      <c r="B3065" s="1" t="s">
        <v>8017</v>
      </c>
      <c r="D3065" s="1" t="s">
        <v>8049</v>
      </c>
      <c r="F3065" s="1" t="s">
        <v>8122</v>
      </c>
      <c r="H3065" s="1" t="s">
        <v>8143</v>
      </c>
      <c r="J3065" s="1" t="s">
        <v>8144</v>
      </c>
      <c r="L3065" s="1" t="s">
        <v>2078</v>
      </c>
      <c r="N3065" s="1" t="s">
        <v>2079</v>
      </c>
      <c r="P3065" s="1" t="s">
        <v>2453</v>
      </c>
      <c r="Q3065" s="3">
        <v>0</v>
      </c>
      <c r="R3065" s="22" t="s">
        <v>2724</v>
      </c>
      <c r="S3065" s="42" t="s">
        <v>6909</v>
      </c>
      <c r="T3065" s="3" t="s">
        <v>4868</v>
      </c>
      <c r="U3065" s="45">
        <v>35</v>
      </c>
      <c r="V3065" t="s">
        <v>8125</v>
      </c>
      <c r="W3065" s="1" t="str">
        <f>HYPERLINK("http://ictvonline.org/taxonomy/p/taxonomy-history?taxnode_id=201903495","ICTVonline=201903495")</f>
        <v>ICTVonline=201903495</v>
      </c>
    </row>
    <row r="3066" spans="1:23">
      <c r="A3066" s="3">
        <v>3065</v>
      </c>
      <c r="B3066" s="1" t="s">
        <v>8017</v>
      </c>
      <c r="D3066" s="1" t="s">
        <v>8049</v>
      </c>
      <c r="F3066" s="1" t="s">
        <v>8122</v>
      </c>
      <c r="H3066" s="1" t="s">
        <v>8143</v>
      </c>
      <c r="J3066" s="1" t="s">
        <v>8144</v>
      </c>
      <c r="L3066" s="1" t="s">
        <v>2078</v>
      </c>
      <c r="N3066" s="1" t="s">
        <v>2079</v>
      </c>
      <c r="P3066" s="1" t="s">
        <v>6863</v>
      </c>
      <c r="Q3066" s="3">
        <v>0</v>
      </c>
      <c r="R3066" s="22" t="s">
        <v>2724</v>
      </c>
      <c r="S3066" s="42" t="s">
        <v>6909</v>
      </c>
      <c r="T3066" s="3" t="s">
        <v>4868</v>
      </c>
      <c r="U3066" s="45">
        <v>35</v>
      </c>
      <c r="V3066" t="s">
        <v>8125</v>
      </c>
      <c r="W3066" s="1" t="str">
        <f>HYPERLINK("http://ictvonline.org/taxonomy/p/taxonomy-history?taxnode_id=201906718","ICTVonline=201906718")</f>
        <v>ICTVonline=201906718</v>
      </c>
    </row>
    <row r="3067" spans="1:23">
      <c r="A3067" s="3">
        <v>3066</v>
      </c>
      <c r="B3067" s="1" t="s">
        <v>8017</v>
      </c>
      <c r="D3067" s="1" t="s">
        <v>8049</v>
      </c>
      <c r="F3067" s="1" t="s">
        <v>8122</v>
      </c>
      <c r="H3067" s="1" t="s">
        <v>8143</v>
      </c>
      <c r="J3067" s="1" t="s">
        <v>8144</v>
      </c>
      <c r="L3067" s="1" t="s">
        <v>2078</v>
      </c>
      <c r="N3067" s="1" t="s">
        <v>2079</v>
      </c>
      <c r="P3067" s="1" t="s">
        <v>5398</v>
      </c>
      <c r="Q3067" s="3">
        <v>0</v>
      </c>
      <c r="R3067" s="22" t="s">
        <v>2724</v>
      </c>
      <c r="S3067" s="42" t="s">
        <v>6909</v>
      </c>
      <c r="T3067" s="3" t="s">
        <v>4868</v>
      </c>
      <c r="U3067" s="45">
        <v>35</v>
      </c>
      <c r="V3067" t="s">
        <v>8125</v>
      </c>
      <c r="W3067" s="1" t="str">
        <f>HYPERLINK("http://ictvonline.org/taxonomy/p/taxonomy-history?taxnode_id=201905846","ICTVonline=201905846")</f>
        <v>ICTVonline=201905846</v>
      </c>
    </row>
    <row r="3068" spans="1:23">
      <c r="A3068" s="3">
        <v>3067</v>
      </c>
      <c r="B3068" s="1" t="s">
        <v>8017</v>
      </c>
      <c r="D3068" s="1" t="s">
        <v>8049</v>
      </c>
      <c r="F3068" s="1" t="s">
        <v>8122</v>
      </c>
      <c r="H3068" s="1" t="s">
        <v>8143</v>
      </c>
      <c r="J3068" s="1" t="s">
        <v>8144</v>
      </c>
      <c r="L3068" s="1" t="s">
        <v>2078</v>
      </c>
      <c r="N3068" s="1" t="s">
        <v>2079</v>
      </c>
      <c r="P3068" s="1" t="s">
        <v>5399</v>
      </c>
      <c r="Q3068" s="3">
        <v>0</v>
      </c>
      <c r="R3068" s="22" t="s">
        <v>2724</v>
      </c>
      <c r="S3068" s="42" t="s">
        <v>6909</v>
      </c>
      <c r="T3068" s="3" t="s">
        <v>4868</v>
      </c>
      <c r="U3068" s="45">
        <v>35</v>
      </c>
      <c r="V3068" t="s">
        <v>8125</v>
      </c>
      <c r="W3068" s="1" t="str">
        <f>HYPERLINK("http://ictvonline.org/taxonomy/p/taxonomy-history?taxnode_id=201905847","ICTVonline=201905847")</f>
        <v>ICTVonline=201905847</v>
      </c>
    </row>
    <row r="3069" spans="1:23">
      <c r="A3069" s="3">
        <v>3068</v>
      </c>
      <c r="B3069" s="1" t="s">
        <v>8017</v>
      </c>
      <c r="D3069" s="1" t="s">
        <v>8049</v>
      </c>
      <c r="F3069" s="1" t="s">
        <v>8122</v>
      </c>
      <c r="H3069" s="1" t="s">
        <v>8143</v>
      </c>
      <c r="J3069" s="1" t="s">
        <v>8144</v>
      </c>
      <c r="L3069" s="1" t="s">
        <v>2078</v>
      </c>
      <c r="N3069" s="1" t="s">
        <v>2079</v>
      </c>
      <c r="P3069" s="1" t="s">
        <v>5400</v>
      </c>
      <c r="Q3069" s="3">
        <v>0</v>
      </c>
      <c r="R3069" s="22" t="s">
        <v>2724</v>
      </c>
      <c r="S3069" s="42" t="s">
        <v>6909</v>
      </c>
      <c r="T3069" s="3" t="s">
        <v>4868</v>
      </c>
      <c r="U3069" s="45">
        <v>35</v>
      </c>
      <c r="V3069" t="s">
        <v>8125</v>
      </c>
      <c r="W3069" s="1" t="str">
        <f>HYPERLINK("http://ictvonline.org/taxonomy/p/taxonomy-history?taxnode_id=201905848","ICTVonline=201905848")</f>
        <v>ICTVonline=201905848</v>
      </c>
    </row>
    <row r="3070" spans="1:23">
      <c r="A3070" s="3">
        <v>3069</v>
      </c>
      <c r="B3070" s="1" t="s">
        <v>8017</v>
      </c>
      <c r="D3070" s="1" t="s">
        <v>8049</v>
      </c>
      <c r="F3070" s="1" t="s">
        <v>8122</v>
      </c>
      <c r="H3070" s="1" t="s">
        <v>8143</v>
      </c>
      <c r="J3070" s="1" t="s">
        <v>8144</v>
      </c>
      <c r="L3070" s="1" t="s">
        <v>2078</v>
      </c>
      <c r="N3070" s="1" t="s">
        <v>2079</v>
      </c>
      <c r="P3070" s="1" t="s">
        <v>5401</v>
      </c>
      <c r="Q3070" s="3">
        <v>0</v>
      </c>
      <c r="R3070" s="22" t="s">
        <v>2724</v>
      </c>
      <c r="S3070" s="42" t="s">
        <v>6909</v>
      </c>
      <c r="T3070" s="3" t="s">
        <v>4868</v>
      </c>
      <c r="U3070" s="45">
        <v>35</v>
      </c>
      <c r="V3070" t="s">
        <v>8125</v>
      </c>
      <c r="W3070" s="1" t="str">
        <f>HYPERLINK("http://ictvonline.org/taxonomy/p/taxonomy-history?taxnode_id=201905849","ICTVonline=201905849")</f>
        <v>ICTVonline=201905849</v>
      </c>
    </row>
    <row r="3071" spans="1:23">
      <c r="A3071" s="3">
        <v>3070</v>
      </c>
      <c r="B3071" s="1" t="s">
        <v>8017</v>
      </c>
      <c r="D3071" s="1" t="s">
        <v>8049</v>
      </c>
      <c r="F3071" s="1" t="s">
        <v>8122</v>
      </c>
      <c r="H3071" s="1" t="s">
        <v>8143</v>
      </c>
      <c r="J3071" s="1" t="s">
        <v>8144</v>
      </c>
      <c r="L3071" s="1" t="s">
        <v>2078</v>
      </c>
      <c r="N3071" s="1" t="s">
        <v>2079</v>
      </c>
      <c r="P3071" s="1" t="s">
        <v>5402</v>
      </c>
      <c r="Q3071" s="3">
        <v>0</v>
      </c>
      <c r="R3071" s="22" t="s">
        <v>2724</v>
      </c>
      <c r="S3071" s="42" t="s">
        <v>6909</v>
      </c>
      <c r="T3071" s="3" t="s">
        <v>4868</v>
      </c>
      <c r="U3071" s="45">
        <v>35</v>
      </c>
      <c r="V3071" t="s">
        <v>8125</v>
      </c>
      <c r="W3071" s="1" t="str">
        <f>HYPERLINK("http://ictvonline.org/taxonomy/p/taxonomy-history?taxnode_id=201905850","ICTVonline=201905850")</f>
        <v>ICTVonline=201905850</v>
      </c>
    </row>
    <row r="3072" spans="1:23">
      <c r="A3072" s="3">
        <v>3071</v>
      </c>
      <c r="B3072" s="1" t="s">
        <v>8017</v>
      </c>
      <c r="D3072" s="1" t="s">
        <v>8049</v>
      </c>
      <c r="F3072" s="1" t="s">
        <v>8122</v>
      </c>
      <c r="H3072" s="1" t="s">
        <v>8143</v>
      </c>
      <c r="J3072" s="1" t="s">
        <v>8144</v>
      </c>
      <c r="L3072" s="1" t="s">
        <v>2078</v>
      </c>
      <c r="N3072" s="1" t="s">
        <v>2079</v>
      </c>
      <c r="P3072" s="1" t="s">
        <v>5403</v>
      </c>
      <c r="Q3072" s="3">
        <v>0</v>
      </c>
      <c r="R3072" s="22" t="s">
        <v>2724</v>
      </c>
      <c r="S3072" s="42" t="s">
        <v>6909</v>
      </c>
      <c r="T3072" s="3" t="s">
        <v>4868</v>
      </c>
      <c r="U3072" s="45">
        <v>35</v>
      </c>
      <c r="V3072" t="s">
        <v>8125</v>
      </c>
      <c r="W3072" s="1" t="str">
        <f>HYPERLINK("http://ictvonline.org/taxonomy/p/taxonomy-history?taxnode_id=201905851","ICTVonline=201905851")</f>
        <v>ICTVonline=201905851</v>
      </c>
    </row>
    <row r="3073" spans="1:23">
      <c r="A3073" s="3">
        <v>3072</v>
      </c>
      <c r="B3073" s="1" t="s">
        <v>8017</v>
      </c>
      <c r="D3073" s="1" t="s">
        <v>8049</v>
      </c>
      <c r="F3073" s="1" t="s">
        <v>8122</v>
      </c>
      <c r="H3073" s="1" t="s">
        <v>8143</v>
      </c>
      <c r="J3073" s="1" t="s">
        <v>8144</v>
      </c>
      <c r="L3073" s="1" t="s">
        <v>2078</v>
      </c>
      <c r="N3073" s="1" t="s">
        <v>2079</v>
      </c>
      <c r="P3073" s="1" t="s">
        <v>2454</v>
      </c>
      <c r="Q3073" s="3">
        <v>0</v>
      </c>
      <c r="R3073" s="22" t="s">
        <v>2724</v>
      </c>
      <c r="S3073" s="42" t="s">
        <v>6909</v>
      </c>
      <c r="T3073" s="3" t="s">
        <v>4868</v>
      </c>
      <c r="U3073" s="45">
        <v>35</v>
      </c>
      <c r="V3073" t="s">
        <v>8125</v>
      </c>
      <c r="W3073" s="1" t="str">
        <f>HYPERLINK("http://ictvonline.org/taxonomy/p/taxonomy-history?taxnode_id=201903496","ICTVonline=201903496")</f>
        <v>ICTVonline=201903496</v>
      </c>
    </row>
    <row r="3074" spans="1:23">
      <c r="A3074" s="3">
        <v>3073</v>
      </c>
      <c r="B3074" s="1" t="s">
        <v>8017</v>
      </c>
      <c r="D3074" s="1" t="s">
        <v>8049</v>
      </c>
      <c r="F3074" s="1" t="s">
        <v>8122</v>
      </c>
      <c r="H3074" s="1" t="s">
        <v>8143</v>
      </c>
      <c r="J3074" s="1" t="s">
        <v>8144</v>
      </c>
      <c r="L3074" s="1" t="s">
        <v>2078</v>
      </c>
      <c r="N3074" s="1" t="s">
        <v>2079</v>
      </c>
      <c r="P3074" s="1" t="s">
        <v>5404</v>
      </c>
      <c r="Q3074" s="3">
        <v>0</v>
      </c>
      <c r="R3074" s="22" t="s">
        <v>2724</v>
      </c>
      <c r="S3074" s="42" t="s">
        <v>6909</v>
      </c>
      <c r="T3074" s="3" t="s">
        <v>4868</v>
      </c>
      <c r="U3074" s="45">
        <v>35</v>
      </c>
      <c r="V3074" t="s">
        <v>8125</v>
      </c>
      <c r="W3074" s="1" t="str">
        <f>HYPERLINK("http://ictvonline.org/taxonomy/p/taxonomy-history?taxnode_id=201905852","ICTVonline=201905852")</f>
        <v>ICTVonline=201905852</v>
      </c>
    </row>
    <row r="3075" spans="1:23">
      <c r="A3075" s="3">
        <v>3074</v>
      </c>
      <c r="B3075" s="1" t="s">
        <v>8017</v>
      </c>
      <c r="D3075" s="1" t="s">
        <v>8049</v>
      </c>
      <c r="F3075" s="1" t="s">
        <v>8122</v>
      </c>
      <c r="H3075" s="1" t="s">
        <v>8143</v>
      </c>
      <c r="J3075" s="1" t="s">
        <v>8144</v>
      </c>
      <c r="L3075" s="1" t="s">
        <v>2078</v>
      </c>
      <c r="N3075" s="1" t="s">
        <v>4646</v>
      </c>
      <c r="P3075" s="1" t="s">
        <v>4647</v>
      </c>
      <c r="Q3075" s="3">
        <v>0</v>
      </c>
      <c r="R3075" s="22" t="s">
        <v>2724</v>
      </c>
      <c r="S3075" s="42" t="s">
        <v>6909</v>
      </c>
      <c r="T3075" s="3" t="s">
        <v>4868</v>
      </c>
      <c r="U3075" s="45">
        <v>35</v>
      </c>
      <c r="V3075" t="s">
        <v>8125</v>
      </c>
      <c r="W3075" s="1" t="str">
        <f>HYPERLINK("http://ictvonline.org/taxonomy/p/taxonomy-history?taxnode_id=201903498","ICTVonline=201903498")</f>
        <v>ICTVonline=201903498</v>
      </c>
    </row>
    <row r="3076" spans="1:23">
      <c r="A3076" s="3">
        <v>3075</v>
      </c>
      <c r="B3076" s="1" t="s">
        <v>8017</v>
      </c>
      <c r="D3076" s="1" t="s">
        <v>8049</v>
      </c>
      <c r="F3076" s="1" t="s">
        <v>8122</v>
      </c>
      <c r="H3076" s="1" t="s">
        <v>8143</v>
      </c>
      <c r="J3076" s="1" t="s">
        <v>8144</v>
      </c>
      <c r="L3076" s="1" t="s">
        <v>2078</v>
      </c>
      <c r="N3076" s="1" t="s">
        <v>4646</v>
      </c>
      <c r="P3076" s="1" t="s">
        <v>4648</v>
      </c>
      <c r="Q3076" s="3">
        <v>1</v>
      </c>
      <c r="R3076" s="22" t="s">
        <v>2724</v>
      </c>
      <c r="S3076" s="42" t="s">
        <v>6909</v>
      </c>
      <c r="T3076" s="3" t="s">
        <v>4868</v>
      </c>
      <c r="U3076" s="45">
        <v>35</v>
      </c>
      <c r="V3076" t="s">
        <v>8125</v>
      </c>
      <c r="W3076" s="1" t="str">
        <f>HYPERLINK("http://ictvonline.org/taxonomy/p/taxonomy-history?taxnode_id=201903499","ICTVonline=201903499")</f>
        <v>ICTVonline=201903499</v>
      </c>
    </row>
    <row r="3077" spans="1:23">
      <c r="A3077" s="3">
        <v>3076</v>
      </c>
      <c r="B3077" s="1" t="s">
        <v>8017</v>
      </c>
      <c r="D3077" s="1" t="s">
        <v>8049</v>
      </c>
      <c r="F3077" s="1" t="s">
        <v>8122</v>
      </c>
      <c r="H3077" s="1" t="s">
        <v>8143</v>
      </c>
      <c r="J3077" s="1" t="s">
        <v>8144</v>
      </c>
      <c r="L3077" s="1" t="s">
        <v>2078</v>
      </c>
      <c r="N3077" s="1" t="s">
        <v>4646</v>
      </c>
      <c r="P3077" s="1" t="s">
        <v>4649</v>
      </c>
      <c r="Q3077" s="3">
        <v>0</v>
      </c>
      <c r="R3077" s="22" t="s">
        <v>2724</v>
      </c>
      <c r="S3077" s="42" t="s">
        <v>6909</v>
      </c>
      <c r="T3077" s="3" t="s">
        <v>4868</v>
      </c>
      <c r="U3077" s="45">
        <v>35</v>
      </c>
      <c r="V3077" t="s">
        <v>8125</v>
      </c>
      <c r="W3077" s="1" t="str">
        <f>HYPERLINK("http://ictvonline.org/taxonomy/p/taxonomy-history?taxnode_id=201903500","ICTVonline=201903500")</f>
        <v>ICTVonline=201903500</v>
      </c>
    </row>
    <row r="3078" spans="1:23">
      <c r="A3078" s="3">
        <v>3077</v>
      </c>
      <c r="B3078" s="1" t="s">
        <v>8017</v>
      </c>
      <c r="D3078" s="1" t="s">
        <v>8049</v>
      </c>
      <c r="F3078" s="1" t="s">
        <v>8122</v>
      </c>
      <c r="H3078" s="1" t="s">
        <v>8143</v>
      </c>
      <c r="J3078" s="1" t="s">
        <v>8144</v>
      </c>
      <c r="L3078" s="1" t="s">
        <v>2078</v>
      </c>
      <c r="N3078" s="1" t="s">
        <v>4646</v>
      </c>
      <c r="P3078" s="1" t="s">
        <v>4650</v>
      </c>
      <c r="Q3078" s="3">
        <v>0</v>
      </c>
      <c r="R3078" s="22" t="s">
        <v>2724</v>
      </c>
      <c r="S3078" s="42" t="s">
        <v>6909</v>
      </c>
      <c r="T3078" s="3" t="s">
        <v>4868</v>
      </c>
      <c r="U3078" s="45">
        <v>35</v>
      </c>
      <c r="V3078" t="s">
        <v>8125</v>
      </c>
      <c r="W3078" s="1" t="str">
        <f>HYPERLINK("http://ictvonline.org/taxonomy/p/taxonomy-history?taxnode_id=201903501","ICTVonline=201903501")</f>
        <v>ICTVonline=201903501</v>
      </c>
    </row>
    <row r="3079" spans="1:23">
      <c r="A3079" s="3">
        <v>3078</v>
      </c>
      <c r="B3079" s="1" t="s">
        <v>8017</v>
      </c>
      <c r="D3079" s="1" t="s">
        <v>8049</v>
      </c>
      <c r="F3079" s="1" t="s">
        <v>8122</v>
      </c>
      <c r="H3079" s="1" t="s">
        <v>8143</v>
      </c>
      <c r="J3079" s="1" t="s">
        <v>8144</v>
      </c>
      <c r="L3079" s="1" t="s">
        <v>2078</v>
      </c>
      <c r="N3079" s="1" t="s">
        <v>1124</v>
      </c>
      <c r="P3079" s="1" t="s">
        <v>1125</v>
      </c>
      <c r="Q3079" s="3">
        <v>1</v>
      </c>
      <c r="R3079" s="22" t="s">
        <v>2724</v>
      </c>
      <c r="S3079" s="42" t="s">
        <v>6909</v>
      </c>
      <c r="T3079" s="3" t="s">
        <v>4868</v>
      </c>
      <c r="U3079" s="45">
        <v>35</v>
      </c>
      <c r="V3079" t="s">
        <v>8125</v>
      </c>
      <c r="W3079" s="1" t="str">
        <f>HYPERLINK("http://ictvonline.org/taxonomy/p/taxonomy-history?taxnode_id=201903503","ICTVonline=201903503")</f>
        <v>ICTVonline=201903503</v>
      </c>
    </row>
    <row r="3080" spans="1:23">
      <c r="A3080" s="3">
        <v>3079</v>
      </c>
      <c r="B3080" s="1" t="s">
        <v>8017</v>
      </c>
      <c r="D3080" s="1" t="s">
        <v>8049</v>
      </c>
      <c r="F3080" s="1" t="s">
        <v>8122</v>
      </c>
      <c r="H3080" s="1" t="s">
        <v>8143</v>
      </c>
      <c r="J3080" s="1" t="s">
        <v>8144</v>
      </c>
      <c r="L3080" s="1" t="s">
        <v>2078</v>
      </c>
      <c r="N3080" s="1" t="s">
        <v>1124</v>
      </c>
      <c r="P3080" s="1" t="s">
        <v>672</v>
      </c>
      <c r="Q3080" s="3">
        <v>0</v>
      </c>
      <c r="R3080" s="22" t="s">
        <v>2724</v>
      </c>
      <c r="S3080" s="42" t="s">
        <v>6909</v>
      </c>
      <c r="T3080" s="3" t="s">
        <v>4868</v>
      </c>
      <c r="U3080" s="45">
        <v>35</v>
      </c>
      <c r="V3080" t="s">
        <v>8125</v>
      </c>
      <c r="W3080" s="1" t="str">
        <f>HYPERLINK("http://ictvonline.org/taxonomy/p/taxonomy-history?taxnode_id=201903504","ICTVonline=201903504")</f>
        <v>ICTVonline=201903504</v>
      </c>
    </row>
    <row r="3081" spans="1:23">
      <c r="A3081" s="3">
        <v>3080</v>
      </c>
      <c r="B3081" s="1" t="s">
        <v>8017</v>
      </c>
      <c r="D3081" s="1" t="s">
        <v>8049</v>
      </c>
      <c r="F3081" s="1" t="s">
        <v>8122</v>
      </c>
      <c r="H3081" s="1" t="s">
        <v>8143</v>
      </c>
      <c r="J3081" s="1" t="s">
        <v>8144</v>
      </c>
      <c r="L3081" s="1" t="s">
        <v>2078</v>
      </c>
      <c r="N3081" s="1" t="s">
        <v>1124</v>
      </c>
      <c r="P3081" s="1" t="s">
        <v>2231</v>
      </c>
      <c r="Q3081" s="3">
        <v>0</v>
      </c>
      <c r="R3081" s="22" t="s">
        <v>2724</v>
      </c>
      <c r="S3081" s="42" t="s">
        <v>6909</v>
      </c>
      <c r="T3081" s="3" t="s">
        <v>4868</v>
      </c>
      <c r="U3081" s="45">
        <v>35</v>
      </c>
      <c r="V3081" t="s">
        <v>8125</v>
      </c>
      <c r="W3081" s="1" t="str">
        <f>HYPERLINK("http://ictvonline.org/taxonomy/p/taxonomy-history?taxnode_id=201903505","ICTVonline=201903505")</f>
        <v>ICTVonline=201903505</v>
      </c>
    </row>
    <row r="3082" spans="1:23">
      <c r="A3082" s="3">
        <v>3081</v>
      </c>
      <c r="B3082" s="1" t="s">
        <v>8017</v>
      </c>
      <c r="D3082" s="1" t="s">
        <v>8049</v>
      </c>
      <c r="F3082" s="1" t="s">
        <v>8122</v>
      </c>
      <c r="H3082" s="1" t="s">
        <v>8143</v>
      </c>
      <c r="J3082" s="1" t="s">
        <v>8144</v>
      </c>
      <c r="L3082" s="1" t="s">
        <v>2078</v>
      </c>
      <c r="N3082" s="1" t="s">
        <v>2232</v>
      </c>
      <c r="P3082" s="1" t="s">
        <v>2233</v>
      </c>
      <c r="Q3082" s="3">
        <v>1</v>
      </c>
      <c r="R3082" s="22" t="s">
        <v>2724</v>
      </c>
      <c r="S3082" s="42" t="s">
        <v>6909</v>
      </c>
      <c r="T3082" s="3" t="s">
        <v>4868</v>
      </c>
      <c r="U3082" s="45">
        <v>35</v>
      </c>
      <c r="V3082" t="s">
        <v>8125</v>
      </c>
      <c r="W3082" s="1" t="str">
        <f>HYPERLINK("http://ictvonline.org/taxonomy/p/taxonomy-history?taxnode_id=201903507","ICTVonline=201903507")</f>
        <v>ICTVonline=201903507</v>
      </c>
    </row>
    <row r="3083" spans="1:23">
      <c r="A3083" s="3">
        <v>3082</v>
      </c>
      <c r="B3083" s="1" t="s">
        <v>8017</v>
      </c>
      <c r="D3083" s="1" t="s">
        <v>8049</v>
      </c>
      <c r="F3083" s="1" t="s">
        <v>8122</v>
      </c>
      <c r="H3083" s="1" t="s">
        <v>8143</v>
      </c>
      <c r="J3083" s="1" t="s">
        <v>8144</v>
      </c>
      <c r="L3083" s="1" t="s">
        <v>2078</v>
      </c>
      <c r="N3083" s="1" t="s">
        <v>4651</v>
      </c>
      <c r="P3083" s="1" t="s">
        <v>4652</v>
      </c>
      <c r="Q3083" s="3">
        <v>1</v>
      </c>
      <c r="R3083" s="22" t="s">
        <v>2724</v>
      </c>
      <c r="S3083" s="42" t="s">
        <v>6909</v>
      </c>
      <c r="T3083" s="3" t="s">
        <v>4868</v>
      </c>
      <c r="U3083" s="45">
        <v>35</v>
      </c>
      <c r="V3083" t="s">
        <v>8125</v>
      </c>
      <c r="W3083" s="1" t="str">
        <f>HYPERLINK("http://ictvonline.org/taxonomy/p/taxonomy-history?taxnode_id=201903509","ICTVonline=201903509")</f>
        <v>ICTVonline=201903509</v>
      </c>
    </row>
    <row r="3084" spans="1:23">
      <c r="A3084" s="3">
        <v>3083</v>
      </c>
      <c r="B3084" s="1" t="s">
        <v>8017</v>
      </c>
      <c r="D3084" s="1" t="s">
        <v>8049</v>
      </c>
      <c r="F3084" s="1" t="s">
        <v>8122</v>
      </c>
      <c r="H3084" s="1" t="s">
        <v>8143</v>
      </c>
      <c r="J3084" s="1" t="s">
        <v>8144</v>
      </c>
      <c r="L3084" s="1" t="s">
        <v>2078</v>
      </c>
      <c r="N3084" s="1" t="s">
        <v>4651</v>
      </c>
      <c r="P3084" s="1" t="s">
        <v>6864</v>
      </c>
      <c r="Q3084" s="3">
        <v>0</v>
      </c>
      <c r="R3084" s="22" t="s">
        <v>2724</v>
      </c>
      <c r="S3084" s="42" t="s">
        <v>6909</v>
      </c>
      <c r="T3084" s="3" t="s">
        <v>4868</v>
      </c>
      <c r="U3084" s="45">
        <v>35</v>
      </c>
      <c r="V3084" t="s">
        <v>8125</v>
      </c>
      <c r="W3084" s="1" t="str">
        <f>HYPERLINK("http://ictvonline.org/taxonomy/p/taxonomy-history?taxnode_id=201906690","ICTVonline=201906690")</f>
        <v>ICTVonline=201906690</v>
      </c>
    </row>
    <row r="3085" spans="1:23">
      <c r="A3085" s="3">
        <v>3084</v>
      </c>
      <c r="B3085" s="1" t="s">
        <v>8017</v>
      </c>
      <c r="D3085" s="1" t="s">
        <v>8049</v>
      </c>
      <c r="F3085" s="1" t="s">
        <v>8122</v>
      </c>
      <c r="H3085" s="1" t="s">
        <v>8143</v>
      </c>
      <c r="J3085" s="1" t="s">
        <v>8144</v>
      </c>
      <c r="L3085" s="1" t="s">
        <v>2078</v>
      </c>
      <c r="N3085" s="1" t="s">
        <v>4651</v>
      </c>
      <c r="P3085" s="1" t="s">
        <v>6865</v>
      </c>
      <c r="Q3085" s="3">
        <v>0</v>
      </c>
      <c r="R3085" s="22" t="s">
        <v>2724</v>
      </c>
      <c r="S3085" s="42" t="s">
        <v>6909</v>
      </c>
      <c r="T3085" s="3" t="s">
        <v>4868</v>
      </c>
      <c r="U3085" s="45">
        <v>35</v>
      </c>
      <c r="V3085" t="s">
        <v>8125</v>
      </c>
      <c r="W3085" s="1" t="str">
        <f>HYPERLINK("http://ictvonline.org/taxonomy/p/taxonomy-history?taxnode_id=201906689","ICTVonline=201906689")</f>
        <v>ICTVonline=201906689</v>
      </c>
    </row>
    <row r="3086" spans="1:23">
      <c r="A3086" s="3">
        <v>3085</v>
      </c>
      <c r="B3086" s="1" t="s">
        <v>8017</v>
      </c>
      <c r="D3086" s="1" t="s">
        <v>8049</v>
      </c>
      <c r="F3086" s="1" t="s">
        <v>8122</v>
      </c>
      <c r="H3086" s="1" t="s">
        <v>8143</v>
      </c>
      <c r="J3086" s="1" t="s">
        <v>8144</v>
      </c>
      <c r="L3086" s="1" t="s">
        <v>2078</v>
      </c>
      <c r="N3086" s="1" t="s">
        <v>673</v>
      </c>
      <c r="P3086" s="1" t="s">
        <v>3777</v>
      </c>
      <c r="Q3086" s="3">
        <v>0</v>
      </c>
      <c r="R3086" s="22" t="s">
        <v>2724</v>
      </c>
      <c r="S3086" s="42" t="s">
        <v>6909</v>
      </c>
      <c r="T3086" s="3" t="s">
        <v>4868</v>
      </c>
      <c r="U3086" s="45">
        <v>35</v>
      </c>
      <c r="V3086" t="s">
        <v>8125</v>
      </c>
      <c r="W3086" s="1" t="str">
        <f>HYPERLINK("http://ictvonline.org/taxonomy/p/taxonomy-history?taxnode_id=201903511","ICTVonline=201903511")</f>
        <v>ICTVonline=201903511</v>
      </c>
    </row>
    <row r="3087" spans="1:23">
      <c r="A3087" s="3">
        <v>3086</v>
      </c>
      <c r="B3087" s="1" t="s">
        <v>8017</v>
      </c>
      <c r="D3087" s="1" t="s">
        <v>8049</v>
      </c>
      <c r="F3087" s="1" t="s">
        <v>8122</v>
      </c>
      <c r="H3087" s="1" t="s">
        <v>8143</v>
      </c>
      <c r="J3087" s="1" t="s">
        <v>8144</v>
      </c>
      <c r="L3087" s="1" t="s">
        <v>2078</v>
      </c>
      <c r="N3087" s="1" t="s">
        <v>673</v>
      </c>
      <c r="P3087" s="1" t="s">
        <v>2234</v>
      </c>
      <c r="Q3087" s="3">
        <v>0</v>
      </c>
      <c r="R3087" s="22" t="s">
        <v>2724</v>
      </c>
      <c r="S3087" s="42" t="s">
        <v>6909</v>
      </c>
      <c r="T3087" s="3" t="s">
        <v>4868</v>
      </c>
      <c r="U3087" s="45">
        <v>35</v>
      </c>
      <c r="V3087" t="s">
        <v>8125</v>
      </c>
      <c r="W3087" s="1" t="str">
        <f>HYPERLINK("http://ictvonline.org/taxonomy/p/taxonomy-history?taxnode_id=201903512","ICTVonline=201903512")</f>
        <v>ICTVonline=201903512</v>
      </c>
    </row>
    <row r="3088" spans="1:23">
      <c r="A3088" s="3">
        <v>3087</v>
      </c>
      <c r="B3088" s="1" t="s">
        <v>8017</v>
      </c>
      <c r="D3088" s="1" t="s">
        <v>8049</v>
      </c>
      <c r="F3088" s="1" t="s">
        <v>8122</v>
      </c>
      <c r="H3088" s="1" t="s">
        <v>8143</v>
      </c>
      <c r="J3088" s="1" t="s">
        <v>8144</v>
      </c>
      <c r="L3088" s="1" t="s">
        <v>2078</v>
      </c>
      <c r="N3088" s="1" t="s">
        <v>673</v>
      </c>
      <c r="P3088" s="1" t="s">
        <v>2235</v>
      </c>
      <c r="Q3088" s="3">
        <v>0</v>
      </c>
      <c r="R3088" s="22" t="s">
        <v>2724</v>
      </c>
      <c r="S3088" s="42" t="s">
        <v>6909</v>
      </c>
      <c r="T3088" s="3" t="s">
        <v>4868</v>
      </c>
      <c r="U3088" s="45">
        <v>35</v>
      </c>
      <c r="V3088" t="s">
        <v>8125</v>
      </c>
      <c r="W3088" s="1" t="str">
        <f>HYPERLINK("http://ictvonline.org/taxonomy/p/taxonomy-history?taxnode_id=201903513","ICTVonline=201903513")</f>
        <v>ICTVonline=201903513</v>
      </c>
    </row>
    <row r="3089" spans="1:23">
      <c r="A3089" s="3">
        <v>3088</v>
      </c>
      <c r="B3089" s="1" t="s">
        <v>8017</v>
      </c>
      <c r="D3089" s="1" t="s">
        <v>8049</v>
      </c>
      <c r="F3089" s="1" t="s">
        <v>8122</v>
      </c>
      <c r="H3089" s="1" t="s">
        <v>8143</v>
      </c>
      <c r="J3089" s="1" t="s">
        <v>8144</v>
      </c>
      <c r="L3089" s="1" t="s">
        <v>2078</v>
      </c>
      <c r="N3089" s="1" t="s">
        <v>673</v>
      </c>
      <c r="P3089" s="1" t="s">
        <v>2236</v>
      </c>
      <c r="Q3089" s="3">
        <v>0</v>
      </c>
      <c r="R3089" s="22" t="s">
        <v>2724</v>
      </c>
      <c r="S3089" s="42" t="s">
        <v>6909</v>
      </c>
      <c r="T3089" s="3" t="s">
        <v>4868</v>
      </c>
      <c r="U3089" s="45">
        <v>35</v>
      </c>
      <c r="V3089" t="s">
        <v>8125</v>
      </c>
      <c r="W3089" s="1" t="str">
        <f>HYPERLINK("http://ictvonline.org/taxonomy/p/taxonomy-history?taxnode_id=201903514","ICTVonline=201903514")</f>
        <v>ICTVonline=201903514</v>
      </c>
    </row>
    <row r="3090" spans="1:23">
      <c r="A3090" s="3">
        <v>3089</v>
      </c>
      <c r="B3090" s="1" t="s">
        <v>8017</v>
      </c>
      <c r="D3090" s="1" t="s">
        <v>8049</v>
      </c>
      <c r="F3090" s="1" t="s">
        <v>8122</v>
      </c>
      <c r="H3090" s="1" t="s">
        <v>8143</v>
      </c>
      <c r="J3090" s="1" t="s">
        <v>8144</v>
      </c>
      <c r="L3090" s="1" t="s">
        <v>2078</v>
      </c>
      <c r="N3090" s="1" t="s">
        <v>673</v>
      </c>
      <c r="P3090" s="1" t="s">
        <v>2237</v>
      </c>
      <c r="Q3090" s="3">
        <v>0</v>
      </c>
      <c r="R3090" s="22" t="s">
        <v>2724</v>
      </c>
      <c r="S3090" s="42" t="s">
        <v>6909</v>
      </c>
      <c r="T3090" s="3" t="s">
        <v>4868</v>
      </c>
      <c r="U3090" s="45">
        <v>35</v>
      </c>
      <c r="V3090" t="s">
        <v>8125</v>
      </c>
      <c r="W3090" s="1" t="str">
        <f>HYPERLINK("http://ictvonline.org/taxonomy/p/taxonomy-history?taxnode_id=201903515","ICTVonline=201903515")</f>
        <v>ICTVonline=201903515</v>
      </c>
    </row>
    <row r="3091" spans="1:23">
      <c r="A3091" s="3">
        <v>3090</v>
      </c>
      <c r="B3091" s="1" t="s">
        <v>8017</v>
      </c>
      <c r="D3091" s="1" t="s">
        <v>8049</v>
      </c>
      <c r="F3091" s="1" t="s">
        <v>8122</v>
      </c>
      <c r="H3091" s="1" t="s">
        <v>8143</v>
      </c>
      <c r="J3091" s="1" t="s">
        <v>8144</v>
      </c>
      <c r="L3091" s="1" t="s">
        <v>2078</v>
      </c>
      <c r="N3091" s="1" t="s">
        <v>673</v>
      </c>
      <c r="P3091" s="1" t="s">
        <v>2238</v>
      </c>
      <c r="Q3091" s="3">
        <v>0</v>
      </c>
      <c r="R3091" s="22" t="s">
        <v>2724</v>
      </c>
      <c r="S3091" s="42" t="s">
        <v>6909</v>
      </c>
      <c r="T3091" s="3" t="s">
        <v>4868</v>
      </c>
      <c r="U3091" s="45">
        <v>35</v>
      </c>
      <c r="V3091" t="s">
        <v>8125</v>
      </c>
      <c r="W3091" s="1" t="str">
        <f>HYPERLINK("http://ictvonline.org/taxonomy/p/taxonomy-history?taxnode_id=201903516","ICTVonline=201903516")</f>
        <v>ICTVonline=201903516</v>
      </c>
    </row>
    <row r="3092" spans="1:23">
      <c r="A3092" s="3">
        <v>3091</v>
      </c>
      <c r="B3092" s="1" t="s">
        <v>8017</v>
      </c>
      <c r="D3092" s="1" t="s">
        <v>8049</v>
      </c>
      <c r="F3092" s="1" t="s">
        <v>8122</v>
      </c>
      <c r="H3092" s="1" t="s">
        <v>8143</v>
      </c>
      <c r="J3092" s="1" t="s">
        <v>8144</v>
      </c>
      <c r="L3092" s="1" t="s">
        <v>2078</v>
      </c>
      <c r="N3092" s="1" t="s">
        <v>673</v>
      </c>
      <c r="P3092" s="1" t="s">
        <v>5405</v>
      </c>
      <c r="Q3092" s="3">
        <v>0</v>
      </c>
      <c r="R3092" s="22" t="s">
        <v>2724</v>
      </c>
      <c r="S3092" s="42" t="s">
        <v>6909</v>
      </c>
      <c r="T3092" s="3" t="s">
        <v>4868</v>
      </c>
      <c r="U3092" s="45">
        <v>35</v>
      </c>
      <c r="V3092" t="s">
        <v>8125</v>
      </c>
      <c r="W3092" s="1" t="str">
        <f>HYPERLINK("http://ictvonline.org/taxonomy/p/taxonomy-history?taxnode_id=201905853","ICTVonline=201905853")</f>
        <v>ICTVonline=201905853</v>
      </c>
    </row>
    <row r="3093" spans="1:23">
      <c r="A3093" s="3">
        <v>3092</v>
      </c>
      <c r="B3093" s="1" t="s">
        <v>8017</v>
      </c>
      <c r="D3093" s="1" t="s">
        <v>8049</v>
      </c>
      <c r="F3093" s="1" t="s">
        <v>8122</v>
      </c>
      <c r="H3093" s="1" t="s">
        <v>8143</v>
      </c>
      <c r="J3093" s="1" t="s">
        <v>8144</v>
      </c>
      <c r="L3093" s="1" t="s">
        <v>2078</v>
      </c>
      <c r="N3093" s="1" t="s">
        <v>673</v>
      </c>
      <c r="P3093" s="1" t="s">
        <v>2239</v>
      </c>
      <c r="Q3093" s="3">
        <v>0</v>
      </c>
      <c r="R3093" s="22" t="s">
        <v>2724</v>
      </c>
      <c r="S3093" s="42" t="s">
        <v>6909</v>
      </c>
      <c r="T3093" s="3" t="s">
        <v>4868</v>
      </c>
      <c r="U3093" s="45">
        <v>35</v>
      </c>
      <c r="V3093" t="s">
        <v>8125</v>
      </c>
      <c r="W3093" s="1" t="str">
        <f>HYPERLINK("http://ictvonline.org/taxonomy/p/taxonomy-history?taxnode_id=201903517","ICTVonline=201903517")</f>
        <v>ICTVonline=201903517</v>
      </c>
    </row>
    <row r="3094" spans="1:23">
      <c r="A3094" s="3">
        <v>3093</v>
      </c>
      <c r="B3094" s="1" t="s">
        <v>8017</v>
      </c>
      <c r="D3094" s="1" t="s">
        <v>8049</v>
      </c>
      <c r="F3094" s="1" t="s">
        <v>8122</v>
      </c>
      <c r="H3094" s="1" t="s">
        <v>8143</v>
      </c>
      <c r="J3094" s="1" t="s">
        <v>8144</v>
      </c>
      <c r="L3094" s="1" t="s">
        <v>2078</v>
      </c>
      <c r="N3094" s="1" t="s">
        <v>673</v>
      </c>
      <c r="P3094" s="1" t="s">
        <v>1476</v>
      </c>
      <c r="Q3094" s="3">
        <v>0</v>
      </c>
      <c r="R3094" s="22" t="s">
        <v>2724</v>
      </c>
      <c r="S3094" s="42" t="s">
        <v>6909</v>
      </c>
      <c r="T3094" s="3" t="s">
        <v>4868</v>
      </c>
      <c r="U3094" s="45">
        <v>35</v>
      </c>
      <c r="V3094" t="s">
        <v>8125</v>
      </c>
      <c r="W3094" s="1" t="str">
        <f>HYPERLINK("http://ictvonline.org/taxonomy/p/taxonomy-history?taxnode_id=201903518","ICTVonline=201903518")</f>
        <v>ICTVonline=201903518</v>
      </c>
    </row>
    <row r="3095" spans="1:23">
      <c r="A3095" s="3">
        <v>3094</v>
      </c>
      <c r="B3095" s="1" t="s">
        <v>8017</v>
      </c>
      <c r="D3095" s="1" t="s">
        <v>8049</v>
      </c>
      <c r="F3095" s="1" t="s">
        <v>8122</v>
      </c>
      <c r="H3095" s="1" t="s">
        <v>8143</v>
      </c>
      <c r="J3095" s="1" t="s">
        <v>8144</v>
      </c>
      <c r="L3095" s="1" t="s">
        <v>2078</v>
      </c>
      <c r="N3095" s="1" t="s">
        <v>673</v>
      </c>
      <c r="P3095" s="1" t="s">
        <v>2240</v>
      </c>
      <c r="Q3095" s="3">
        <v>0</v>
      </c>
      <c r="R3095" s="22" t="s">
        <v>2724</v>
      </c>
      <c r="S3095" s="42" t="s">
        <v>6909</v>
      </c>
      <c r="T3095" s="3" t="s">
        <v>4868</v>
      </c>
      <c r="U3095" s="45">
        <v>35</v>
      </c>
      <c r="V3095" t="s">
        <v>8125</v>
      </c>
      <c r="W3095" s="1" t="str">
        <f>HYPERLINK("http://ictvonline.org/taxonomy/p/taxonomy-history?taxnode_id=201903519","ICTVonline=201903519")</f>
        <v>ICTVonline=201903519</v>
      </c>
    </row>
    <row r="3096" spans="1:23">
      <c r="A3096" s="3">
        <v>3095</v>
      </c>
      <c r="B3096" s="1" t="s">
        <v>8017</v>
      </c>
      <c r="D3096" s="1" t="s">
        <v>8049</v>
      </c>
      <c r="F3096" s="1" t="s">
        <v>8122</v>
      </c>
      <c r="H3096" s="1" t="s">
        <v>8143</v>
      </c>
      <c r="J3096" s="1" t="s">
        <v>8144</v>
      </c>
      <c r="L3096" s="1" t="s">
        <v>2078</v>
      </c>
      <c r="N3096" s="1" t="s">
        <v>673</v>
      </c>
      <c r="P3096" s="1" t="s">
        <v>2241</v>
      </c>
      <c r="Q3096" s="3">
        <v>0</v>
      </c>
      <c r="R3096" s="22" t="s">
        <v>2724</v>
      </c>
      <c r="S3096" s="42" t="s">
        <v>6909</v>
      </c>
      <c r="T3096" s="3" t="s">
        <v>4868</v>
      </c>
      <c r="U3096" s="45">
        <v>35</v>
      </c>
      <c r="V3096" t="s">
        <v>8125</v>
      </c>
      <c r="W3096" s="1" t="str">
        <f>HYPERLINK("http://ictvonline.org/taxonomy/p/taxonomy-history?taxnode_id=201903520","ICTVonline=201903520")</f>
        <v>ICTVonline=201903520</v>
      </c>
    </row>
    <row r="3097" spans="1:23">
      <c r="A3097" s="3">
        <v>3096</v>
      </c>
      <c r="B3097" s="1" t="s">
        <v>8017</v>
      </c>
      <c r="D3097" s="1" t="s">
        <v>8049</v>
      </c>
      <c r="F3097" s="1" t="s">
        <v>8122</v>
      </c>
      <c r="H3097" s="1" t="s">
        <v>8143</v>
      </c>
      <c r="J3097" s="1" t="s">
        <v>8144</v>
      </c>
      <c r="L3097" s="1" t="s">
        <v>2078</v>
      </c>
      <c r="N3097" s="1" t="s">
        <v>673</v>
      </c>
      <c r="P3097" s="1" t="s">
        <v>1477</v>
      </c>
      <c r="Q3097" s="3">
        <v>0</v>
      </c>
      <c r="R3097" s="22" t="s">
        <v>2724</v>
      </c>
      <c r="S3097" s="42" t="s">
        <v>6909</v>
      </c>
      <c r="T3097" s="3" t="s">
        <v>4868</v>
      </c>
      <c r="U3097" s="45">
        <v>35</v>
      </c>
      <c r="V3097" t="s">
        <v>8125</v>
      </c>
      <c r="W3097" s="1" t="str">
        <f>HYPERLINK("http://ictvonline.org/taxonomy/p/taxonomy-history?taxnode_id=201903521","ICTVonline=201903521")</f>
        <v>ICTVonline=201903521</v>
      </c>
    </row>
    <row r="3098" spans="1:23">
      <c r="A3098" s="3">
        <v>3097</v>
      </c>
      <c r="B3098" s="1" t="s">
        <v>8017</v>
      </c>
      <c r="D3098" s="1" t="s">
        <v>8049</v>
      </c>
      <c r="F3098" s="1" t="s">
        <v>8122</v>
      </c>
      <c r="H3098" s="1" t="s">
        <v>8143</v>
      </c>
      <c r="J3098" s="1" t="s">
        <v>8144</v>
      </c>
      <c r="L3098" s="1" t="s">
        <v>2078</v>
      </c>
      <c r="N3098" s="1" t="s">
        <v>673</v>
      </c>
      <c r="P3098" s="1" t="s">
        <v>5406</v>
      </c>
      <c r="Q3098" s="3">
        <v>0</v>
      </c>
      <c r="R3098" s="22" t="s">
        <v>2724</v>
      </c>
      <c r="S3098" s="42" t="s">
        <v>6909</v>
      </c>
      <c r="T3098" s="3" t="s">
        <v>4868</v>
      </c>
      <c r="U3098" s="45">
        <v>35</v>
      </c>
      <c r="V3098" t="s">
        <v>8125</v>
      </c>
      <c r="W3098" s="1" t="str">
        <f>HYPERLINK("http://ictvonline.org/taxonomy/p/taxonomy-history?taxnode_id=201905854","ICTVonline=201905854")</f>
        <v>ICTVonline=201905854</v>
      </c>
    </row>
    <row r="3099" spans="1:23">
      <c r="A3099" s="3">
        <v>3098</v>
      </c>
      <c r="B3099" s="1" t="s">
        <v>8017</v>
      </c>
      <c r="D3099" s="1" t="s">
        <v>8049</v>
      </c>
      <c r="F3099" s="1" t="s">
        <v>8122</v>
      </c>
      <c r="H3099" s="1" t="s">
        <v>8143</v>
      </c>
      <c r="J3099" s="1" t="s">
        <v>8144</v>
      </c>
      <c r="L3099" s="1" t="s">
        <v>2078</v>
      </c>
      <c r="N3099" s="1" t="s">
        <v>673</v>
      </c>
      <c r="P3099" s="1" t="s">
        <v>2242</v>
      </c>
      <c r="Q3099" s="3">
        <v>0</v>
      </c>
      <c r="R3099" s="22" t="s">
        <v>2724</v>
      </c>
      <c r="S3099" s="42" t="s">
        <v>6909</v>
      </c>
      <c r="T3099" s="3" t="s">
        <v>4868</v>
      </c>
      <c r="U3099" s="45">
        <v>35</v>
      </c>
      <c r="V3099" t="s">
        <v>8125</v>
      </c>
      <c r="W3099" s="1" t="str">
        <f>HYPERLINK("http://ictvonline.org/taxonomy/p/taxonomy-history?taxnode_id=201903522","ICTVonline=201903522")</f>
        <v>ICTVonline=201903522</v>
      </c>
    </row>
    <row r="3100" spans="1:23">
      <c r="A3100" s="3">
        <v>3099</v>
      </c>
      <c r="B3100" s="1" t="s">
        <v>8017</v>
      </c>
      <c r="D3100" s="1" t="s">
        <v>8049</v>
      </c>
      <c r="F3100" s="1" t="s">
        <v>8122</v>
      </c>
      <c r="H3100" s="1" t="s">
        <v>8143</v>
      </c>
      <c r="J3100" s="1" t="s">
        <v>8144</v>
      </c>
      <c r="L3100" s="1" t="s">
        <v>2078</v>
      </c>
      <c r="N3100" s="1" t="s">
        <v>673</v>
      </c>
      <c r="P3100" s="1" t="s">
        <v>562</v>
      </c>
      <c r="Q3100" s="3">
        <v>0</v>
      </c>
      <c r="R3100" s="22" t="s">
        <v>2724</v>
      </c>
      <c r="S3100" s="42" t="s">
        <v>6909</v>
      </c>
      <c r="T3100" s="3" t="s">
        <v>4868</v>
      </c>
      <c r="U3100" s="45">
        <v>35</v>
      </c>
      <c r="V3100" t="s">
        <v>8125</v>
      </c>
      <c r="W3100" s="1" t="str">
        <f>HYPERLINK("http://ictvonline.org/taxonomy/p/taxonomy-history?taxnode_id=201903523","ICTVonline=201903523")</f>
        <v>ICTVonline=201903523</v>
      </c>
    </row>
    <row r="3101" spans="1:23">
      <c r="A3101" s="3">
        <v>3100</v>
      </c>
      <c r="B3101" s="1" t="s">
        <v>8017</v>
      </c>
      <c r="D3101" s="1" t="s">
        <v>8049</v>
      </c>
      <c r="F3101" s="1" t="s">
        <v>8122</v>
      </c>
      <c r="H3101" s="1" t="s">
        <v>8143</v>
      </c>
      <c r="J3101" s="1" t="s">
        <v>8144</v>
      </c>
      <c r="L3101" s="1" t="s">
        <v>2078</v>
      </c>
      <c r="N3101" s="1" t="s">
        <v>673</v>
      </c>
      <c r="P3101" s="1" t="s">
        <v>8162</v>
      </c>
      <c r="Q3101" s="3">
        <v>0</v>
      </c>
      <c r="R3101" s="22" t="s">
        <v>2724</v>
      </c>
      <c r="S3101" s="42" t="s">
        <v>6914</v>
      </c>
      <c r="T3101" s="3" t="s">
        <v>4866</v>
      </c>
      <c r="U3101" s="45">
        <v>35</v>
      </c>
      <c r="V3101" t="s">
        <v>8163</v>
      </c>
      <c r="W3101" s="1" t="str">
        <f>HYPERLINK("http://ictvonline.org/taxonomy/p/taxonomy-history?taxnode_id=201908695","ICTVonline=201908695")</f>
        <v>ICTVonline=201908695</v>
      </c>
    </row>
    <row r="3102" spans="1:23">
      <c r="A3102" s="3">
        <v>3101</v>
      </c>
      <c r="B3102" s="1" t="s">
        <v>8017</v>
      </c>
      <c r="D3102" s="1" t="s">
        <v>8049</v>
      </c>
      <c r="F3102" s="1" t="s">
        <v>8122</v>
      </c>
      <c r="H3102" s="1" t="s">
        <v>8143</v>
      </c>
      <c r="J3102" s="1" t="s">
        <v>8144</v>
      </c>
      <c r="L3102" s="1" t="s">
        <v>2078</v>
      </c>
      <c r="N3102" s="1" t="s">
        <v>673</v>
      </c>
      <c r="P3102" s="1" t="s">
        <v>2243</v>
      </c>
      <c r="Q3102" s="3">
        <v>0</v>
      </c>
      <c r="R3102" s="22" t="s">
        <v>2724</v>
      </c>
      <c r="S3102" s="42" t="s">
        <v>6909</v>
      </c>
      <c r="T3102" s="3" t="s">
        <v>4868</v>
      </c>
      <c r="U3102" s="45">
        <v>35</v>
      </c>
      <c r="V3102" t="s">
        <v>8125</v>
      </c>
      <c r="W3102" s="1" t="str">
        <f>HYPERLINK("http://ictvonline.org/taxonomy/p/taxonomy-history?taxnode_id=201903524","ICTVonline=201903524")</f>
        <v>ICTVonline=201903524</v>
      </c>
    </row>
    <row r="3103" spans="1:23">
      <c r="A3103" s="3">
        <v>3102</v>
      </c>
      <c r="B3103" s="1" t="s">
        <v>8017</v>
      </c>
      <c r="D3103" s="1" t="s">
        <v>8049</v>
      </c>
      <c r="F3103" s="1" t="s">
        <v>8122</v>
      </c>
      <c r="H3103" s="1" t="s">
        <v>8143</v>
      </c>
      <c r="J3103" s="1" t="s">
        <v>8144</v>
      </c>
      <c r="L3103" s="1" t="s">
        <v>2078</v>
      </c>
      <c r="N3103" s="1" t="s">
        <v>673</v>
      </c>
      <c r="P3103" s="1" t="s">
        <v>1478</v>
      </c>
      <c r="Q3103" s="3">
        <v>1</v>
      </c>
      <c r="R3103" s="22" t="s">
        <v>2724</v>
      </c>
      <c r="S3103" s="42" t="s">
        <v>6909</v>
      </c>
      <c r="T3103" s="3" t="s">
        <v>4868</v>
      </c>
      <c r="U3103" s="45">
        <v>35</v>
      </c>
      <c r="V3103" t="s">
        <v>8125</v>
      </c>
      <c r="W3103" s="1" t="str">
        <f>HYPERLINK("http://ictvonline.org/taxonomy/p/taxonomy-history?taxnode_id=201903525","ICTVonline=201903525")</f>
        <v>ICTVonline=201903525</v>
      </c>
    </row>
    <row r="3104" spans="1:23">
      <c r="A3104" s="3">
        <v>3103</v>
      </c>
      <c r="B3104" s="1" t="s">
        <v>8017</v>
      </c>
      <c r="D3104" s="1" t="s">
        <v>8049</v>
      </c>
      <c r="F3104" s="1" t="s">
        <v>8122</v>
      </c>
      <c r="H3104" s="1" t="s">
        <v>8143</v>
      </c>
      <c r="J3104" s="1" t="s">
        <v>8144</v>
      </c>
      <c r="L3104" s="1" t="s">
        <v>2078</v>
      </c>
      <c r="N3104" s="1" t="s">
        <v>673</v>
      </c>
      <c r="P3104" s="1" t="s">
        <v>6866</v>
      </c>
      <c r="Q3104" s="3">
        <v>0</v>
      </c>
      <c r="R3104" s="22" t="s">
        <v>2724</v>
      </c>
      <c r="S3104" s="42" t="s">
        <v>6909</v>
      </c>
      <c r="T3104" s="3" t="s">
        <v>4868</v>
      </c>
      <c r="U3104" s="45">
        <v>35</v>
      </c>
      <c r="V3104" t="s">
        <v>8125</v>
      </c>
      <c r="W3104" s="1" t="str">
        <f>HYPERLINK("http://ictvonline.org/taxonomy/p/taxonomy-history?taxnode_id=201906685","ICTVonline=201906685")</f>
        <v>ICTVonline=201906685</v>
      </c>
    </row>
    <row r="3105" spans="1:23">
      <c r="A3105" s="3">
        <v>3104</v>
      </c>
      <c r="B3105" s="1" t="s">
        <v>8017</v>
      </c>
      <c r="D3105" s="1" t="s">
        <v>8049</v>
      </c>
      <c r="F3105" s="1" t="s">
        <v>8122</v>
      </c>
      <c r="H3105" s="1" t="s">
        <v>8143</v>
      </c>
      <c r="J3105" s="1" t="s">
        <v>8144</v>
      </c>
      <c r="L3105" s="1" t="s">
        <v>2078</v>
      </c>
      <c r="N3105" s="1" t="s">
        <v>673</v>
      </c>
      <c r="P3105" s="1" t="s">
        <v>369</v>
      </c>
      <c r="Q3105" s="3">
        <v>0</v>
      </c>
      <c r="R3105" s="22" t="s">
        <v>2724</v>
      </c>
      <c r="S3105" s="42" t="s">
        <v>6909</v>
      </c>
      <c r="T3105" s="3" t="s">
        <v>4868</v>
      </c>
      <c r="U3105" s="45">
        <v>35</v>
      </c>
      <c r="V3105" t="s">
        <v>8125</v>
      </c>
      <c r="W3105" s="1" t="str">
        <f>HYPERLINK("http://ictvonline.org/taxonomy/p/taxonomy-history?taxnode_id=201903526","ICTVonline=201903526")</f>
        <v>ICTVonline=201903526</v>
      </c>
    </row>
    <row r="3106" spans="1:23">
      <c r="A3106" s="3">
        <v>3105</v>
      </c>
      <c r="B3106" s="1" t="s">
        <v>8017</v>
      </c>
      <c r="D3106" s="1" t="s">
        <v>8049</v>
      </c>
      <c r="F3106" s="1" t="s">
        <v>8122</v>
      </c>
      <c r="H3106" s="1" t="s">
        <v>8143</v>
      </c>
      <c r="J3106" s="1" t="s">
        <v>8144</v>
      </c>
      <c r="L3106" s="1" t="s">
        <v>2078</v>
      </c>
      <c r="N3106" s="1" t="s">
        <v>673</v>
      </c>
      <c r="P3106" s="1" t="s">
        <v>2244</v>
      </c>
      <c r="Q3106" s="3">
        <v>0</v>
      </c>
      <c r="R3106" s="22" t="s">
        <v>2724</v>
      </c>
      <c r="S3106" s="42" t="s">
        <v>6909</v>
      </c>
      <c r="T3106" s="3" t="s">
        <v>4868</v>
      </c>
      <c r="U3106" s="45">
        <v>35</v>
      </c>
      <c r="V3106" t="s">
        <v>8125</v>
      </c>
      <c r="W3106" s="1" t="str">
        <f>HYPERLINK("http://ictvonline.org/taxonomy/p/taxonomy-history?taxnode_id=201903527","ICTVonline=201903527")</f>
        <v>ICTVonline=201903527</v>
      </c>
    </row>
    <row r="3107" spans="1:23">
      <c r="A3107" s="3">
        <v>3106</v>
      </c>
      <c r="B3107" s="1" t="s">
        <v>8017</v>
      </c>
      <c r="D3107" s="1" t="s">
        <v>8049</v>
      </c>
      <c r="F3107" s="1" t="s">
        <v>8122</v>
      </c>
      <c r="H3107" s="1" t="s">
        <v>8143</v>
      </c>
      <c r="J3107" s="1" t="s">
        <v>8144</v>
      </c>
      <c r="L3107" s="1" t="s">
        <v>2078</v>
      </c>
      <c r="N3107" s="1" t="s">
        <v>673</v>
      </c>
      <c r="P3107" s="1" t="s">
        <v>370</v>
      </c>
      <c r="Q3107" s="3">
        <v>0</v>
      </c>
      <c r="R3107" s="22" t="s">
        <v>2724</v>
      </c>
      <c r="S3107" s="42" t="s">
        <v>6909</v>
      </c>
      <c r="T3107" s="3" t="s">
        <v>4868</v>
      </c>
      <c r="U3107" s="45">
        <v>35</v>
      </c>
      <c r="V3107" t="s">
        <v>8125</v>
      </c>
      <c r="W3107" s="1" t="str">
        <f>HYPERLINK("http://ictvonline.org/taxonomy/p/taxonomy-history?taxnode_id=201903528","ICTVonline=201903528")</f>
        <v>ICTVonline=201903528</v>
      </c>
    </row>
    <row r="3108" spans="1:23">
      <c r="A3108" s="3">
        <v>3107</v>
      </c>
      <c r="B3108" s="1" t="s">
        <v>8017</v>
      </c>
      <c r="D3108" s="1" t="s">
        <v>8049</v>
      </c>
      <c r="F3108" s="1" t="s">
        <v>8122</v>
      </c>
      <c r="H3108" s="1" t="s">
        <v>8143</v>
      </c>
      <c r="J3108" s="1" t="s">
        <v>8144</v>
      </c>
      <c r="L3108" s="1" t="s">
        <v>2078</v>
      </c>
      <c r="N3108" s="1" t="s">
        <v>673</v>
      </c>
      <c r="P3108" s="1" t="s">
        <v>2245</v>
      </c>
      <c r="Q3108" s="3">
        <v>0</v>
      </c>
      <c r="R3108" s="22" t="s">
        <v>2724</v>
      </c>
      <c r="S3108" s="42" t="s">
        <v>6909</v>
      </c>
      <c r="T3108" s="3" t="s">
        <v>4868</v>
      </c>
      <c r="U3108" s="45">
        <v>35</v>
      </c>
      <c r="V3108" t="s">
        <v>8125</v>
      </c>
      <c r="W3108" s="1" t="str">
        <f>HYPERLINK("http://ictvonline.org/taxonomy/p/taxonomy-history?taxnode_id=201903529","ICTVonline=201903529")</f>
        <v>ICTVonline=201903529</v>
      </c>
    </row>
    <row r="3109" spans="1:23">
      <c r="A3109" s="3">
        <v>3108</v>
      </c>
      <c r="B3109" s="1" t="s">
        <v>8017</v>
      </c>
      <c r="D3109" s="1" t="s">
        <v>8049</v>
      </c>
      <c r="F3109" s="1" t="s">
        <v>8122</v>
      </c>
      <c r="H3109" s="1" t="s">
        <v>8143</v>
      </c>
      <c r="J3109" s="1" t="s">
        <v>8144</v>
      </c>
      <c r="L3109" s="1" t="s">
        <v>2078</v>
      </c>
      <c r="N3109" s="1" t="s">
        <v>673</v>
      </c>
      <c r="P3109" s="1" t="s">
        <v>2246</v>
      </c>
      <c r="Q3109" s="3">
        <v>0</v>
      </c>
      <c r="R3109" s="22" t="s">
        <v>2724</v>
      </c>
      <c r="S3109" s="42" t="s">
        <v>6909</v>
      </c>
      <c r="T3109" s="3" t="s">
        <v>4868</v>
      </c>
      <c r="U3109" s="45">
        <v>35</v>
      </c>
      <c r="V3109" t="s">
        <v>8125</v>
      </c>
      <c r="W3109" s="1" t="str">
        <f>HYPERLINK("http://ictvonline.org/taxonomy/p/taxonomy-history?taxnode_id=201903530","ICTVonline=201903530")</f>
        <v>ICTVonline=201903530</v>
      </c>
    </row>
    <row r="3110" spans="1:23">
      <c r="A3110" s="3">
        <v>3109</v>
      </c>
      <c r="B3110" s="1" t="s">
        <v>8017</v>
      </c>
      <c r="D3110" s="1" t="s">
        <v>8049</v>
      </c>
      <c r="F3110" s="1" t="s">
        <v>8122</v>
      </c>
      <c r="H3110" s="1" t="s">
        <v>8143</v>
      </c>
      <c r="J3110" s="1" t="s">
        <v>8144</v>
      </c>
      <c r="L3110" s="1" t="s">
        <v>2078</v>
      </c>
      <c r="N3110" s="1" t="s">
        <v>673</v>
      </c>
      <c r="P3110" s="1" t="s">
        <v>6867</v>
      </c>
      <c r="Q3110" s="3">
        <v>0</v>
      </c>
      <c r="R3110" s="22" t="s">
        <v>2724</v>
      </c>
      <c r="S3110" s="42" t="s">
        <v>6909</v>
      </c>
      <c r="T3110" s="3" t="s">
        <v>4868</v>
      </c>
      <c r="U3110" s="45">
        <v>35</v>
      </c>
      <c r="V3110" t="s">
        <v>8125</v>
      </c>
      <c r="W3110" s="1" t="str">
        <f>HYPERLINK("http://ictvonline.org/taxonomy/p/taxonomy-history?taxnode_id=201906686","ICTVonline=201906686")</f>
        <v>ICTVonline=201906686</v>
      </c>
    </row>
    <row r="3111" spans="1:23">
      <c r="A3111" s="3">
        <v>3110</v>
      </c>
      <c r="B3111" s="1" t="s">
        <v>8017</v>
      </c>
      <c r="D3111" s="1" t="s">
        <v>8049</v>
      </c>
      <c r="F3111" s="1" t="s">
        <v>8122</v>
      </c>
      <c r="H3111" s="1" t="s">
        <v>8143</v>
      </c>
      <c r="J3111" s="1" t="s">
        <v>8144</v>
      </c>
      <c r="L3111" s="1" t="s">
        <v>2078</v>
      </c>
      <c r="N3111" s="1" t="s">
        <v>673</v>
      </c>
      <c r="P3111" s="1" t="s">
        <v>6868</v>
      </c>
      <c r="Q3111" s="3">
        <v>0</v>
      </c>
      <c r="R3111" s="22" t="s">
        <v>2724</v>
      </c>
      <c r="S3111" s="42" t="s">
        <v>6909</v>
      </c>
      <c r="T3111" s="3" t="s">
        <v>4868</v>
      </c>
      <c r="U3111" s="45">
        <v>35</v>
      </c>
      <c r="V3111" t="s">
        <v>8125</v>
      </c>
      <c r="W3111" s="1" t="str">
        <f>HYPERLINK("http://ictvonline.org/taxonomy/p/taxonomy-history?taxnode_id=201906687","ICTVonline=201906687")</f>
        <v>ICTVonline=201906687</v>
      </c>
    </row>
    <row r="3112" spans="1:23">
      <c r="A3112" s="3">
        <v>3111</v>
      </c>
      <c r="B3112" s="1" t="s">
        <v>8017</v>
      </c>
      <c r="D3112" s="1" t="s">
        <v>8049</v>
      </c>
      <c r="F3112" s="1" t="s">
        <v>8122</v>
      </c>
      <c r="H3112" s="1" t="s">
        <v>8143</v>
      </c>
      <c r="J3112" s="1" t="s">
        <v>8144</v>
      </c>
      <c r="L3112" s="1" t="s">
        <v>2078</v>
      </c>
      <c r="N3112" s="1" t="s">
        <v>673</v>
      </c>
      <c r="P3112" s="1" t="s">
        <v>2247</v>
      </c>
      <c r="Q3112" s="3">
        <v>0</v>
      </c>
      <c r="R3112" s="22" t="s">
        <v>2724</v>
      </c>
      <c r="S3112" s="42" t="s">
        <v>6909</v>
      </c>
      <c r="T3112" s="3" t="s">
        <v>4868</v>
      </c>
      <c r="U3112" s="45">
        <v>35</v>
      </c>
      <c r="V3112" t="s">
        <v>8125</v>
      </c>
      <c r="W3112" s="1" t="str">
        <f>HYPERLINK("http://ictvonline.org/taxonomy/p/taxonomy-history?taxnode_id=201903531","ICTVonline=201903531")</f>
        <v>ICTVonline=201903531</v>
      </c>
    </row>
    <row r="3113" spans="1:23">
      <c r="A3113" s="3">
        <v>3112</v>
      </c>
      <c r="B3113" s="1" t="s">
        <v>8017</v>
      </c>
      <c r="D3113" s="1" t="s">
        <v>8049</v>
      </c>
      <c r="F3113" s="1" t="s">
        <v>8122</v>
      </c>
      <c r="H3113" s="1" t="s">
        <v>8143</v>
      </c>
      <c r="J3113" s="1" t="s">
        <v>8144</v>
      </c>
      <c r="L3113" s="1" t="s">
        <v>2078</v>
      </c>
      <c r="N3113" s="1" t="s">
        <v>673</v>
      </c>
      <c r="P3113" s="1" t="s">
        <v>5407</v>
      </c>
      <c r="Q3113" s="3">
        <v>0</v>
      </c>
      <c r="R3113" s="22" t="s">
        <v>2724</v>
      </c>
      <c r="S3113" s="42" t="s">
        <v>6909</v>
      </c>
      <c r="T3113" s="3" t="s">
        <v>4868</v>
      </c>
      <c r="U3113" s="45">
        <v>35</v>
      </c>
      <c r="V3113" t="s">
        <v>8125</v>
      </c>
      <c r="W3113" s="1" t="str">
        <f>HYPERLINK("http://ictvonline.org/taxonomy/p/taxonomy-history?taxnode_id=201903532","ICTVonline=201903532")</f>
        <v>ICTVonline=201903532</v>
      </c>
    </row>
    <row r="3114" spans="1:23">
      <c r="A3114" s="3">
        <v>3113</v>
      </c>
      <c r="B3114" s="1" t="s">
        <v>8017</v>
      </c>
      <c r="D3114" s="1" t="s">
        <v>8049</v>
      </c>
      <c r="F3114" s="1" t="s">
        <v>8122</v>
      </c>
      <c r="H3114" s="1" t="s">
        <v>8143</v>
      </c>
      <c r="J3114" s="1" t="s">
        <v>8144</v>
      </c>
      <c r="L3114" s="1" t="s">
        <v>2078</v>
      </c>
      <c r="N3114" s="1" t="s">
        <v>673</v>
      </c>
      <c r="P3114" s="1" t="s">
        <v>5408</v>
      </c>
      <c r="Q3114" s="3">
        <v>0</v>
      </c>
      <c r="R3114" s="22" t="s">
        <v>2724</v>
      </c>
      <c r="S3114" s="42" t="s">
        <v>6909</v>
      </c>
      <c r="T3114" s="3" t="s">
        <v>4868</v>
      </c>
      <c r="U3114" s="45">
        <v>35</v>
      </c>
      <c r="V3114" t="s">
        <v>8125</v>
      </c>
      <c r="W3114" s="1" t="str">
        <f>HYPERLINK("http://ictvonline.org/taxonomy/p/taxonomy-history?taxnode_id=201903533","ICTVonline=201903533")</f>
        <v>ICTVonline=201903533</v>
      </c>
    </row>
    <row r="3115" spans="1:23">
      <c r="A3115" s="3">
        <v>3114</v>
      </c>
      <c r="B3115" s="1" t="s">
        <v>8017</v>
      </c>
      <c r="D3115" s="1" t="s">
        <v>8049</v>
      </c>
      <c r="F3115" s="1" t="s">
        <v>8122</v>
      </c>
      <c r="H3115" s="1" t="s">
        <v>8143</v>
      </c>
      <c r="J3115" s="1" t="s">
        <v>8144</v>
      </c>
      <c r="L3115" s="1" t="s">
        <v>2078</v>
      </c>
      <c r="N3115" s="1" t="s">
        <v>673</v>
      </c>
      <c r="P3115" s="1" t="s">
        <v>5409</v>
      </c>
      <c r="Q3115" s="3">
        <v>0</v>
      </c>
      <c r="R3115" s="22" t="s">
        <v>2724</v>
      </c>
      <c r="S3115" s="42" t="s">
        <v>6909</v>
      </c>
      <c r="T3115" s="3" t="s">
        <v>4868</v>
      </c>
      <c r="U3115" s="45">
        <v>35</v>
      </c>
      <c r="V3115" t="s">
        <v>8125</v>
      </c>
      <c r="W3115" s="1" t="str">
        <f>HYPERLINK("http://ictvonline.org/taxonomy/p/taxonomy-history?taxnode_id=201905855","ICTVonline=201905855")</f>
        <v>ICTVonline=201905855</v>
      </c>
    </row>
    <row r="3116" spans="1:23">
      <c r="A3116" s="3">
        <v>3115</v>
      </c>
      <c r="B3116" s="1" t="s">
        <v>8017</v>
      </c>
      <c r="D3116" s="1" t="s">
        <v>8049</v>
      </c>
      <c r="F3116" s="1" t="s">
        <v>8122</v>
      </c>
      <c r="H3116" s="1" t="s">
        <v>8143</v>
      </c>
      <c r="J3116" s="1" t="s">
        <v>8144</v>
      </c>
      <c r="L3116" s="1" t="s">
        <v>2078</v>
      </c>
      <c r="N3116" s="1" t="s">
        <v>673</v>
      </c>
      <c r="P3116" s="1" t="s">
        <v>371</v>
      </c>
      <c r="Q3116" s="3">
        <v>0</v>
      </c>
      <c r="R3116" s="22" t="s">
        <v>2724</v>
      </c>
      <c r="S3116" s="42" t="s">
        <v>6909</v>
      </c>
      <c r="T3116" s="3" t="s">
        <v>4868</v>
      </c>
      <c r="U3116" s="45">
        <v>35</v>
      </c>
      <c r="V3116" t="s">
        <v>8125</v>
      </c>
      <c r="W3116" s="1" t="str">
        <f>HYPERLINK("http://ictvonline.org/taxonomy/p/taxonomy-history?taxnode_id=201903534","ICTVonline=201903534")</f>
        <v>ICTVonline=201903534</v>
      </c>
    </row>
    <row r="3117" spans="1:23">
      <c r="A3117" s="3">
        <v>3116</v>
      </c>
      <c r="B3117" s="1" t="s">
        <v>8017</v>
      </c>
      <c r="D3117" s="1" t="s">
        <v>8049</v>
      </c>
      <c r="F3117" s="1" t="s">
        <v>8122</v>
      </c>
      <c r="H3117" s="1" t="s">
        <v>8143</v>
      </c>
      <c r="J3117" s="1" t="s">
        <v>8144</v>
      </c>
      <c r="L3117" s="1" t="s">
        <v>2078</v>
      </c>
      <c r="N3117" s="1" t="s">
        <v>673</v>
      </c>
      <c r="P3117" s="1" t="s">
        <v>372</v>
      </c>
      <c r="Q3117" s="3">
        <v>0</v>
      </c>
      <c r="R3117" s="22" t="s">
        <v>2724</v>
      </c>
      <c r="S3117" s="42" t="s">
        <v>6909</v>
      </c>
      <c r="T3117" s="3" t="s">
        <v>4868</v>
      </c>
      <c r="U3117" s="45">
        <v>35</v>
      </c>
      <c r="V3117" t="s">
        <v>8125</v>
      </c>
      <c r="W3117" s="1" t="str">
        <f>HYPERLINK("http://ictvonline.org/taxonomy/p/taxonomy-history?taxnode_id=201903535","ICTVonline=201903535")</f>
        <v>ICTVonline=201903535</v>
      </c>
    </row>
    <row r="3118" spans="1:23">
      <c r="A3118" s="3">
        <v>3117</v>
      </c>
      <c r="B3118" s="1" t="s">
        <v>8017</v>
      </c>
      <c r="D3118" s="1" t="s">
        <v>8049</v>
      </c>
      <c r="F3118" s="1" t="s">
        <v>8122</v>
      </c>
      <c r="H3118" s="1" t="s">
        <v>8143</v>
      </c>
      <c r="J3118" s="1" t="s">
        <v>8144</v>
      </c>
      <c r="L3118" s="1" t="s">
        <v>2078</v>
      </c>
      <c r="N3118" s="1" t="s">
        <v>673</v>
      </c>
      <c r="P3118" s="1" t="s">
        <v>373</v>
      </c>
      <c r="Q3118" s="3">
        <v>0</v>
      </c>
      <c r="R3118" s="22" t="s">
        <v>2724</v>
      </c>
      <c r="S3118" s="42" t="s">
        <v>6909</v>
      </c>
      <c r="T3118" s="3" t="s">
        <v>4868</v>
      </c>
      <c r="U3118" s="45">
        <v>35</v>
      </c>
      <c r="V3118" t="s">
        <v>8125</v>
      </c>
      <c r="W3118" s="1" t="str">
        <f>HYPERLINK("http://ictvonline.org/taxonomy/p/taxonomy-history?taxnode_id=201903536","ICTVonline=201903536")</f>
        <v>ICTVonline=201903536</v>
      </c>
    </row>
    <row r="3119" spans="1:23">
      <c r="A3119" s="3">
        <v>3118</v>
      </c>
      <c r="B3119" s="1" t="s">
        <v>8017</v>
      </c>
      <c r="D3119" s="1" t="s">
        <v>8049</v>
      </c>
      <c r="F3119" s="1" t="s">
        <v>8122</v>
      </c>
      <c r="H3119" s="1" t="s">
        <v>8143</v>
      </c>
      <c r="J3119" s="1" t="s">
        <v>8144</v>
      </c>
      <c r="L3119" s="1" t="s">
        <v>2078</v>
      </c>
      <c r="N3119" s="1" t="s">
        <v>673</v>
      </c>
      <c r="P3119" s="1" t="s">
        <v>5410</v>
      </c>
      <c r="Q3119" s="3">
        <v>0</v>
      </c>
      <c r="R3119" s="22" t="s">
        <v>2724</v>
      </c>
      <c r="S3119" s="42" t="s">
        <v>6909</v>
      </c>
      <c r="T3119" s="3" t="s">
        <v>4868</v>
      </c>
      <c r="U3119" s="45">
        <v>35</v>
      </c>
      <c r="V3119" t="s">
        <v>8125</v>
      </c>
      <c r="W3119" s="1" t="str">
        <f>HYPERLINK("http://ictvonline.org/taxonomy/p/taxonomy-history?taxnode_id=201905856","ICTVonline=201905856")</f>
        <v>ICTVonline=201905856</v>
      </c>
    </row>
    <row r="3120" spans="1:23">
      <c r="A3120" s="3">
        <v>3119</v>
      </c>
      <c r="B3120" s="1" t="s">
        <v>8017</v>
      </c>
      <c r="D3120" s="1" t="s">
        <v>8049</v>
      </c>
      <c r="F3120" s="1" t="s">
        <v>8122</v>
      </c>
      <c r="H3120" s="1" t="s">
        <v>8143</v>
      </c>
      <c r="J3120" s="1" t="s">
        <v>8144</v>
      </c>
      <c r="L3120" s="1" t="s">
        <v>2078</v>
      </c>
      <c r="N3120" s="1" t="s">
        <v>673</v>
      </c>
      <c r="P3120" s="1" t="s">
        <v>3778</v>
      </c>
      <c r="Q3120" s="3">
        <v>0</v>
      </c>
      <c r="R3120" s="22" t="s">
        <v>2724</v>
      </c>
      <c r="S3120" s="42" t="s">
        <v>6909</v>
      </c>
      <c r="T3120" s="3" t="s">
        <v>4868</v>
      </c>
      <c r="U3120" s="45">
        <v>35</v>
      </c>
      <c r="V3120" t="s">
        <v>8125</v>
      </c>
      <c r="W3120" s="1" t="str">
        <f>HYPERLINK("http://ictvonline.org/taxonomy/p/taxonomy-history?taxnode_id=201903537","ICTVonline=201903537")</f>
        <v>ICTVonline=201903537</v>
      </c>
    </row>
    <row r="3121" spans="1:23">
      <c r="A3121" s="3">
        <v>3120</v>
      </c>
      <c r="B3121" s="1" t="s">
        <v>8017</v>
      </c>
      <c r="D3121" s="1" t="s">
        <v>8049</v>
      </c>
      <c r="F3121" s="1" t="s">
        <v>8122</v>
      </c>
      <c r="H3121" s="1" t="s">
        <v>8143</v>
      </c>
      <c r="J3121" s="1" t="s">
        <v>8144</v>
      </c>
      <c r="L3121" s="1" t="s">
        <v>2078</v>
      </c>
      <c r="N3121" s="1" t="s">
        <v>673</v>
      </c>
      <c r="P3121" s="1" t="s">
        <v>5411</v>
      </c>
      <c r="Q3121" s="3">
        <v>0</v>
      </c>
      <c r="R3121" s="22" t="s">
        <v>2724</v>
      </c>
      <c r="S3121" s="42" t="s">
        <v>6909</v>
      </c>
      <c r="T3121" s="3" t="s">
        <v>4868</v>
      </c>
      <c r="U3121" s="45">
        <v>35</v>
      </c>
      <c r="V3121" t="s">
        <v>8125</v>
      </c>
      <c r="W3121" s="1" t="str">
        <f>HYPERLINK("http://ictvonline.org/taxonomy/p/taxonomy-history?taxnode_id=201905857","ICTVonline=201905857")</f>
        <v>ICTVonline=201905857</v>
      </c>
    </row>
    <row r="3122" spans="1:23">
      <c r="A3122" s="3">
        <v>3121</v>
      </c>
      <c r="B3122" s="1" t="s">
        <v>8017</v>
      </c>
      <c r="D3122" s="1" t="s">
        <v>8049</v>
      </c>
      <c r="F3122" s="1" t="s">
        <v>8122</v>
      </c>
      <c r="H3122" s="1" t="s">
        <v>8143</v>
      </c>
      <c r="J3122" s="1" t="s">
        <v>8144</v>
      </c>
      <c r="L3122" s="1" t="s">
        <v>2078</v>
      </c>
      <c r="N3122" s="1" t="s">
        <v>673</v>
      </c>
      <c r="P3122" s="1" t="s">
        <v>3779</v>
      </c>
      <c r="Q3122" s="3">
        <v>0</v>
      </c>
      <c r="R3122" s="22" t="s">
        <v>2724</v>
      </c>
      <c r="S3122" s="42" t="s">
        <v>6909</v>
      </c>
      <c r="T3122" s="3" t="s">
        <v>4868</v>
      </c>
      <c r="U3122" s="45">
        <v>35</v>
      </c>
      <c r="V3122" t="s">
        <v>8125</v>
      </c>
      <c r="W3122" s="1" t="str">
        <f>HYPERLINK("http://ictvonline.org/taxonomy/p/taxonomy-history?taxnode_id=201903538","ICTVonline=201903538")</f>
        <v>ICTVonline=201903538</v>
      </c>
    </row>
    <row r="3123" spans="1:23">
      <c r="A3123" s="3">
        <v>3122</v>
      </c>
      <c r="B3123" s="1" t="s">
        <v>8017</v>
      </c>
      <c r="D3123" s="1" t="s">
        <v>8049</v>
      </c>
      <c r="F3123" s="1" t="s">
        <v>8122</v>
      </c>
      <c r="H3123" s="1" t="s">
        <v>8143</v>
      </c>
      <c r="J3123" s="1" t="s">
        <v>8144</v>
      </c>
      <c r="L3123" s="1" t="s">
        <v>2078</v>
      </c>
      <c r="N3123" s="1" t="s">
        <v>673</v>
      </c>
      <c r="P3123" s="1" t="s">
        <v>374</v>
      </c>
      <c r="Q3123" s="3">
        <v>0</v>
      </c>
      <c r="R3123" s="22" t="s">
        <v>2724</v>
      </c>
      <c r="S3123" s="42" t="s">
        <v>6909</v>
      </c>
      <c r="T3123" s="3" t="s">
        <v>4868</v>
      </c>
      <c r="U3123" s="45">
        <v>35</v>
      </c>
      <c r="V3123" t="s">
        <v>8125</v>
      </c>
      <c r="W3123" s="1" t="str">
        <f>HYPERLINK("http://ictvonline.org/taxonomy/p/taxonomy-history?taxnode_id=201903539","ICTVonline=201903539")</f>
        <v>ICTVonline=201903539</v>
      </c>
    </row>
    <row r="3124" spans="1:23">
      <c r="A3124" s="3">
        <v>3123</v>
      </c>
      <c r="B3124" s="1" t="s">
        <v>8017</v>
      </c>
      <c r="D3124" s="1" t="s">
        <v>8049</v>
      </c>
      <c r="F3124" s="1" t="s">
        <v>8122</v>
      </c>
      <c r="H3124" s="1" t="s">
        <v>8143</v>
      </c>
      <c r="J3124" s="1" t="s">
        <v>8144</v>
      </c>
      <c r="L3124" s="1" t="s">
        <v>2078</v>
      </c>
      <c r="N3124" s="1" t="s">
        <v>673</v>
      </c>
      <c r="P3124" s="1" t="s">
        <v>563</v>
      </c>
      <c r="Q3124" s="3">
        <v>0</v>
      </c>
      <c r="R3124" s="22" t="s">
        <v>2724</v>
      </c>
      <c r="S3124" s="42" t="s">
        <v>6909</v>
      </c>
      <c r="T3124" s="3" t="s">
        <v>4868</v>
      </c>
      <c r="U3124" s="45">
        <v>35</v>
      </c>
      <c r="V3124" t="s">
        <v>8125</v>
      </c>
      <c r="W3124" s="1" t="str">
        <f>HYPERLINK("http://ictvonline.org/taxonomy/p/taxonomy-history?taxnode_id=201903540","ICTVonline=201903540")</f>
        <v>ICTVonline=201903540</v>
      </c>
    </row>
    <row r="3125" spans="1:23">
      <c r="A3125" s="3">
        <v>3124</v>
      </c>
      <c r="B3125" s="1" t="s">
        <v>8017</v>
      </c>
      <c r="D3125" s="1" t="s">
        <v>8049</v>
      </c>
      <c r="F3125" s="1" t="s">
        <v>8122</v>
      </c>
      <c r="H3125" s="1" t="s">
        <v>8143</v>
      </c>
      <c r="J3125" s="1" t="s">
        <v>8144</v>
      </c>
      <c r="L3125" s="1" t="s">
        <v>2078</v>
      </c>
      <c r="N3125" s="1" t="s">
        <v>673</v>
      </c>
      <c r="P3125" s="1" t="s">
        <v>2248</v>
      </c>
      <c r="Q3125" s="3">
        <v>0</v>
      </c>
      <c r="R3125" s="22" t="s">
        <v>2724</v>
      </c>
      <c r="S3125" s="42" t="s">
        <v>6909</v>
      </c>
      <c r="T3125" s="3" t="s">
        <v>4868</v>
      </c>
      <c r="U3125" s="45">
        <v>35</v>
      </c>
      <c r="V3125" t="s">
        <v>8125</v>
      </c>
      <c r="W3125" s="1" t="str">
        <f>HYPERLINK("http://ictvonline.org/taxonomy/p/taxonomy-history?taxnode_id=201903541","ICTVonline=201903541")</f>
        <v>ICTVonline=201903541</v>
      </c>
    </row>
    <row r="3126" spans="1:23">
      <c r="A3126" s="3">
        <v>3125</v>
      </c>
      <c r="B3126" s="1" t="s">
        <v>8017</v>
      </c>
      <c r="D3126" s="1" t="s">
        <v>8049</v>
      </c>
      <c r="F3126" s="1" t="s">
        <v>8122</v>
      </c>
      <c r="H3126" s="1" t="s">
        <v>8143</v>
      </c>
      <c r="J3126" s="1" t="s">
        <v>8144</v>
      </c>
      <c r="L3126" s="1" t="s">
        <v>2078</v>
      </c>
      <c r="N3126" s="1" t="s">
        <v>673</v>
      </c>
      <c r="P3126" s="1" t="s">
        <v>375</v>
      </c>
      <c r="Q3126" s="3">
        <v>0</v>
      </c>
      <c r="R3126" s="22" t="s">
        <v>2724</v>
      </c>
      <c r="S3126" s="42" t="s">
        <v>6909</v>
      </c>
      <c r="T3126" s="3" t="s">
        <v>4868</v>
      </c>
      <c r="U3126" s="45">
        <v>35</v>
      </c>
      <c r="V3126" t="s">
        <v>8125</v>
      </c>
      <c r="W3126" s="1" t="str">
        <f>HYPERLINK("http://ictvonline.org/taxonomy/p/taxonomy-history?taxnode_id=201903542","ICTVonline=201903542")</f>
        <v>ICTVonline=201903542</v>
      </c>
    </row>
    <row r="3127" spans="1:23">
      <c r="A3127" s="3">
        <v>3126</v>
      </c>
      <c r="B3127" s="1" t="s">
        <v>8017</v>
      </c>
      <c r="D3127" s="1" t="s">
        <v>8049</v>
      </c>
      <c r="F3127" s="1" t="s">
        <v>8122</v>
      </c>
      <c r="H3127" s="1" t="s">
        <v>8143</v>
      </c>
      <c r="J3127" s="1" t="s">
        <v>8144</v>
      </c>
      <c r="L3127" s="1" t="s">
        <v>2078</v>
      </c>
      <c r="N3127" s="1" t="s">
        <v>376</v>
      </c>
      <c r="P3127" s="1" t="s">
        <v>377</v>
      </c>
      <c r="Q3127" s="3">
        <v>1</v>
      </c>
      <c r="R3127" s="22" t="s">
        <v>2724</v>
      </c>
      <c r="S3127" s="42" t="s">
        <v>6909</v>
      </c>
      <c r="T3127" s="3" t="s">
        <v>4868</v>
      </c>
      <c r="U3127" s="45">
        <v>35</v>
      </c>
      <c r="V3127" t="s">
        <v>8125</v>
      </c>
      <c r="W3127" s="1" t="str">
        <f>HYPERLINK("http://ictvonline.org/taxonomy/p/taxonomy-history?taxnode_id=201903544","ICTVonline=201903544")</f>
        <v>ICTVonline=201903544</v>
      </c>
    </row>
    <row r="3128" spans="1:23">
      <c r="A3128" s="3">
        <v>3127</v>
      </c>
      <c r="B3128" s="1" t="s">
        <v>8017</v>
      </c>
      <c r="D3128" s="1" t="s">
        <v>8049</v>
      </c>
      <c r="F3128" s="1" t="s">
        <v>8122</v>
      </c>
      <c r="H3128" s="1" t="s">
        <v>8143</v>
      </c>
      <c r="J3128" s="1" t="s">
        <v>8144</v>
      </c>
      <c r="L3128" s="1" t="s">
        <v>2078</v>
      </c>
      <c r="N3128" s="1" t="s">
        <v>2249</v>
      </c>
      <c r="P3128" s="1" t="s">
        <v>8164</v>
      </c>
      <c r="Q3128" s="3">
        <v>0</v>
      </c>
      <c r="R3128" s="22" t="s">
        <v>2724</v>
      </c>
      <c r="S3128" s="42" t="s">
        <v>6914</v>
      </c>
      <c r="T3128" s="3" t="s">
        <v>4866</v>
      </c>
      <c r="U3128" s="45">
        <v>35</v>
      </c>
      <c r="V3128" t="s">
        <v>8165</v>
      </c>
      <c r="W3128" s="1" t="str">
        <f>HYPERLINK("http://ictvonline.org/taxonomy/p/taxonomy-history?taxnode_id=201908673","ICTVonline=201908673")</f>
        <v>ICTVonline=201908673</v>
      </c>
    </row>
    <row r="3129" spans="1:23">
      <c r="A3129" s="3">
        <v>3128</v>
      </c>
      <c r="B3129" s="1" t="s">
        <v>8017</v>
      </c>
      <c r="D3129" s="1" t="s">
        <v>8049</v>
      </c>
      <c r="F3129" s="1" t="s">
        <v>8122</v>
      </c>
      <c r="H3129" s="1" t="s">
        <v>8143</v>
      </c>
      <c r="J3129" s="1" t="s">
        <v>8144</v>
      </c>
      <c r="L3129" s="1" t="s">
        <v>2078</v>
      </c>
      <c r="N3129" s="1" t="s">
        <v>2249</v>
      </c>
      <c r="P3129" s="1" t="s">
        <v>2250</v>
      </c>
      <c r="Q3129" s="3">
        <v>1</v>
      </c>
      <c r="R3129" s="22" t="s">
        <v>2724</v>
      </c>
      <c r="S3129" s="42" t="s">
        <v>6909</v>
      </c>
      <c r="T3129" s="3" t="s">
        <v>4868</v>
      </c>
      <c r="U3129" s="45">
        <v>35</v>
      </c>
      <c r="V3129" t="s">
        <v>8125</v>
      </c>
      <c r="W3129" s="1" t="str">
        <f>HYPERLINK("http://ictvonline.org/taxonomy/p/taxonomy-history?taxnode_id=201903546","ICTVonline=201903546")</f>
        <v>ICTVonline=201903546</v>
      </c>
    </row>
    <row r="3130" spans="1:23">
      <c r="A3130" s="3">
        <v>3129</v>
      </c>
      <c r="B3130" s="1" t="s">
        <v>8017</v>
      </c>
      <c r="D3130" s="1" t="s">
        <v>8049</v>
      </c>
      <c r="F3130" s="1" t="s">
        <v>8122</v>
      </c>
      <c r="H3130" s="1" t="s">
        <v>8143</v>
      </c>
      <c r="J3130" s="1" t="s">
        <v>8144</v>
      </c>
      <c r="L3130" s="1" t="s">
        <v>2078</v>
      </c>
      <c r="N3130" s="1" t="s">
        <v>2249</v>
      </c>
      <c r="P3130" s="1" t="s">
        <v>5412</v>
      </c>
      <c r="Q3130" s="3">
        <v>0</v>
      </c>
      <c r="R3130" s="22" t="s">
        <v>2724</v>
      </c>
      <c r="S3130" s="42" t="s">
        <v>6909</v>
      </c>
      <c r="T3130" s="3" t="s">
        <v>4868</v>
      </c>
      <c r="U3130" s="45">
        <v>35</v>
      </c>
      <c r="V3130" t="s">
        <v>8125</v>
      </c>
      <c r="W3130" s="1" t="str">
        <f>HYPERLINK("http://ictvonline.org/taxonomy/p/taxonomy-history?taxnode_id=201905858","ICTVonline=201905858")</f>
        <v>ICTVonline=201905858</v>
      </c>
    </row>
    <row r="3131" spans="1:23">
      <c r="A3131" s="3">
        <v>3130</v>
      </c>
      <c r="B3131" s="1" t="s">
        <v>8017</v>
      </c>
      <c r="D3131" s="1" t="s">
        <v>8049</v>
      </c>
      <c r="F3131" s="1" t="s">
        <v>8122</v>
      </c>
      <c r="H3131" s="1" t="s">
        <v>8143</v>
      </c>
      <c r="J3131" s="1" t="s">
        <v>8144</v>
      </c>
      <c r="L3131" s="1" t="s">
        <v>2078</v>
      </c>
      <c r="P3131" s="1" t="s">
        <v>4653</v>
      </c>
      <c r="Q3131" s="3">
        <v>0</v>
      </c>
      <c r="R3131" s="22" t="s">
        <v>2724</v>
      </c>
      <c r="S3131" s="42" t="s">
        <v>6909</v>
      </c>
      <c r="T3131" s="3" t="s">
        <v>4868</v>
      </c>
      <c r="U3131" s="45">
        <v>35</v>
      </c>
      <c r="V3131" t="s">
        <v>8125</v>
      </c>
      <c r="W3131" s="1" t="str">
        <f>HYPERLINK("http://ictvonline.org/taxonomy/p/taxonomy-history?taxnode_id=201903548","ICTVonline=201903548")</f>
        <v>ICTVonline=201903548</v>
      </c>
    </row>
    <row r="3132" spans="1:23">
      <c r="A3132" s="3">
        <v>3131</v>
      </c>
      <c r="B3132" s="1" t="s">
        <v>8017</v>
      </c>
      <c r="D3132" s="1" t="s">
        <v>8049</v>
      </c>
      <c r="F3132" s="1" t="s">
        <v>8122</v>
      </c>
      <c r="H3132" s="1" t="s">
        <v>8143</v>
      </c>
      <c r="J3132" s="1" t="s">
        <v>8144</v>
      </c>
      <c r="L3132" s="1" t="s">
        <v>2078</v>
      </c>
      <c r="P3132" s="1" t="s">
        <v>4654</v>
      </c>
      <c r="Q3132" s="3">
        <v>0</v>
      </c>
      <c r="R3132" s="22" t="s">
        <v>2724</v>
      </c>
      <c r="S3132" s="42" t="s">
        <v>6909</v>
      </c>
      <c r="T3132" s="3" t="s">
        <v>4868</v>
      </c>
      <c r="U3132" s="45">
        <v>35</v>
      </c>
      <c r="V3132" t="s">
        <v>8125</v>
      </c>
      <c r="W3132" s="1" t="str">
        <f>HYPERLINK("http://ictvonline.org/taxonomy/p/taxonomy-history?taxnode_id=201903549","ICTVonline=201903549")</f>
        <v>ICTVonline=201903549</v>
      </c>
    </row>
    <row r="3133" spans="1:23">
      <c r="A3133" s="3">
        <v>3132</v>
      </c>
      <c r="B3133" s="1" t="s">
        <v>8017</v>
      </c>
      <c r="D3133" s="1" t="s">
        <v>8049</v>
      </c>
      <c r="F3133" s="1" t="s">
        <v>8122</v>
      </c>
      <c r="H3133" s="1" t="s">
        <v>8143</v>
      </c>
      <c r="J3133" s="1" t="s">
        <v>8144</v>
      </c>
      <c r="L3133" s="1" t="s">
        <v>3780</v>
      </c>
      <c r="N3133" s="1" t="s">
        <v>3781</v>
      </c>
      <c r="P3133" s="1" t="s">
        <v>4655</v>
      </c>
      <c r="Q3133" s="3">
        <v>0</v>
      </c>
      <c r="R3133" s="22" t="s">
        <v>2724</v>
      </c>
      <c r="S3133" s="42" t="s">
        <v>6909</v>
      </c>
      <c r="T3133" s="3" t="s">
        <v>4868</v>
      </c>
      <c r="U3133" s="45">
        <v>35</v>
      </c>
      <c r="V3133" t="s">
        <v>8125</v>
      </c>
      <c r="W3133" s="1" t="str">
        <f>HYPERLINK("http://ictvonline.org/taxonomy/p/taxonomy-history?taxnode_id=201903553","ICTVonline=201903553")</f>
        <v>ICTVonline=201903553</v>
      </c>
    </row>
    <row r="3134" spans="1:23">
      <c r="A3134" s="3">
        <v>3133</v>
      </c>
      <c r="B3134" s="1" t="s">
        <v>8017</v>
      </c>
      <c r="D3134" s="1" t="s">
        <v>8049</v>
      </c>
      <c r="F3134" s="1" t="s">
        <v>8122</v>
      </c>
      <c r="H3134" s="1" t="s">
        <v>8143</v>
      </c>
      <c r="J3134" s="1" t="s">
        <v>8144</v>
      </c>
      <c r="L3134" s="1" t="s">
        <v>3780</v>
      </c>
      <c r="N3134" s="1" t="s">
        <v>3781</v>
      </c>
      <c r="P3134" s="1" t="s">
        <v>4656</v>
      </c>
      <c r="Q3134" s="3">
        <v>0</v>
      </c>
      <c r="R3134" s="22" t="s">
        <v>2724</v>
      </c>
      <c r="S3134" s="42" t="s">
        <v>6909</v>
      </c>
      <c r="T3134" s="3" t="s">
        <v>4868</v>
      </c>
      <c r="U3134" s="45">
        <v>35</v>
      </c>
      <c r="V3134" t="s">
        <v>8125</v>
      </c>
      <c r="W3134" s="1" t="str">
        <f>HYPERLINK("http://ictvonline.org/taxonomy/p/taxonomy-history?taxnode_id=201903554","ICTVonline=201903554")</f>
        <v>ICTVonline=201903554</v>
      </c>
    </row>
    <row r="3135" spans="1:23">
      <c r="A3135" s="3">
        <v>3134</v>
      </c>
      <c r="B3135" s="1" t="s">
        <v>8017</v>
      </c>
      <c r="D3135" s="1" t="s">
        <v>8049</v>
      </c>
      <c r="F3135" s="1" t="s">
        <v>8122</v>
      </c>
      <c r="H3135" s="1" t="s">
        <v>8143</v>
      </c>
      <c r="J3135" s="1" t="s">
        <v>8144</v>
      </c>
      <c r="L3135" s="1" t="s">
        <v>3780</v>
      </c>
      <c r="N3135" s="1" t="s">
        <v>3781</v>
      </c>
      <c r="P3135" s="1" t="s">
        <v>4657</v>
      </c>
      <c r="Q3135" s="3">
        <v>0</v>
      </c>
      <c r="R3135" s="22" t="s">
        <v>2724</v>
      </c>
      <c r="S3135" s="42" t="s">
        <v>6909</v>
      </c>
      <c r="T3135" s="3" t="s">
        <v>4868</v>
      </c>
      <c r="U3135" s="45">
        <v>35</v>
      </c>
      <c r="V3135" t="s">
        <v>8125</v>
      </c>
      <c r="W3135" s="1" t="str">
        <f>HYPERLINK("http://ictvonline.org/taxonomy/p/taxonomy-history?taxnode_id=201903555","ICTVonline=201903555")</f>
        <v>ICTVonline=201903555</v>
      </c>
    </row>
    <row r="3136" spans="1:23">
      <c r="A3136" s="3">
        <v>3135</v>
      </c>
      <c r="B3136" s="1" t="s">
        <v>8017</v>
      </c>
      <c r="D3136" s="1" t="s">
        <v>8049</v>
      </c>
      <c r="F3136" s="1" t="s">
        <v>8122</v>
      </c>
      <c r="H3136" s="1" t="s">
        <v>8143</v>
      </c>
      <c r="J3136" s="1" t="s">
        <v>8144</v>
      </c>
      <c r="L3136" s="1" t="s">
        <v>3780</v>
      </c>
      <c r="N3136" s="1" t="s">
        <v>3781</v>
      </c>
      <c r="P3136" s="1" t="s">
        <v>4658</v>
      </c>
      <c r="Q3136" s="3">
        <v>0</v>
      </c>
      <c r="R3136" s="22" t="s">
        <v>2724</v>
      </c>
      <c r="S3136" s="42" t="s">
        <v>6909</v>
      </c>
      <c r="T3136" s="3" t="s">
        <v>4868</v>
      </c>
      <c r="U3136" s="45">
        <v>35</v>
      </c>
      <c r="V3136" t="s">
        <v>8125</v>
      </c>
      <c r="W3136" s="1" t="str">
        <f>HYPERLINK("http://ictvonline.org/taxonomy/p/taxonomy-history?taxnode_id=201903556","ICTVonline=201903556")</f>
        <v>ICTVonline=201903556</v>
      </c>
    </row>
    <row r="3137" spans="1:23">
      <c r="A3137" s="3">
        <v>3136</v>
      </c>
      <c r="B3137" s="1" t="s">
        <v>8017</v>
      </c>
      <c r="D3137" s="1" t="s">
        <v>8049</v>
      </c>
      <c r="F3137" s="1" t="s">
        <v>8122</v>
      </c>
      <c r="H3137" s="1" t="s">
        <v>8143</v>
      </c>
      <c r="J3137" s="1" t="s">
        <v>8144</v>
      </c>
      <c r="L3137" s="1" t="s">
        <v>3780</v>
      </c>
      <c r="N3137" s="1" t="s">
        <v>3781</v>
      </c>
      <c r="P3137" s="1" t="s">
        <v>4659</v>
      </c>
      <c r="Q3137" s="3">
        <v>0</v>
      </c>
      <c r="R3137" s="22" t="s">
        <v>2724</v>
      </c>
      <c r="S3137" s="42" t="s">
        <v>6909</v>
      </c>
      <c r="T3137" s="3" t="s">
        <v>4868</v>
      </c>
      <c r="U3137" s="45">
        <v>35</v>
      </c>
      <c r="V3137" t="s">
        <v>8125</v>
      </c>
      <c r="W3137" s="1" t="str">
        <f>HYPERLINK("http://ictvonline.org/taxonomy/p/taxonomy-history?taxnode_id=201903557","ICTVonline=201903557")</f>
        <v>ICTVonline=201903557</v>
      </c>
    </row>
    <row r="3138" spans="1:23">
      <c r="A3138" s="3">
        <v>3137</v>
      </c>
      <c r="B3138" s="1" t="s">
        <v>8017</v>
      </c>
      <c r="D3138" s="1" t="s">
        <v>8049</v>
      </c>
      <c r="F3138" s="1" t="s">
        <v>8122</v>
      </c>
      <c r="H3138" s="1" t="s">
        <v>8143</v>
      </c>
      <c r="J3138" s="1" t="s">
        <v>8144</v>
      </c>
      <c r="L3138" s="1" t="s">
        <v>3780</v>
      </c>
      <c r="N3138" s="1" t="s">
        <v>3781</v>
      </c>
      <c r="P3138" s="1" t="s">
        <v>4660</v>
      </c>
      <c r="Q3138" s="3">
        <v>0</v>
      </c>
      <c r="R3138" s="22" t="s">
        <v>2724</v>
      </c>
      <c r="S3138" s="42" t="s">
        <v>6909</v>
      </c>
      <c r="T3138" s="3" t="s">
        <v>4868</v>
      </c>
      <c r="U3138" s="45">
        <v>35</v>
      </c>
      <c r="V3138" t="s">
        <v>8125</v>
      </c>
      <c r="W3138" s="1" t="str">
        <f>HYPERLINK("http://ictvonline.org/taxonomy/p/taxonomy-history?taxnode_id=201903558","ICTVonline=201903558")</f>
        <v>ICTVonline=201903558</v>
      </c>
    </row>
    <row r="3139" spans="1:23">
      <c r="A3139" s="3">
        <v>3138</v>
      </c>
      <c r="B3139" s="1" t="s">
        <v>8017</v>
      </c>
      <c r="D3139" s="1" t="s">
        <v>8049</v>
      </c>
      <c r="F3139" s="1" t="s">
        <v>8122</v>
      </c>
      <c r="H3139" s="1" t="s">
        <v>8143</v>
      </c>
      <c r="J3139" s="1" t="s">
        <v>8144</v>
      </c>
      <c r="L3139" s="1" t="s">
        <v>3780</v>
      </c>
      <c r="N3139" s="1" t="s">
        <v>3781</v>
      </c>
      <c r="P3139" s="1" t="s">
        <v>4661</v>
      </c>
      <c r="Q3139" s="3">
        <v>0</v>
      </c>
      <c r="R3139" s="22" t="s">
        <v>2724</v>
      </c>
      <c r="S3139" s="42" t="s">
        <v>6909</v>
      </c>
      <c r="T3139" s="3" t="s">
        <v>4868</v>
      </c>
      <c r="U3139" s="45">
        <v>35</v>
      </c>
      <c r="V3139" t="s">
        <v>8125</v>
      </c>
      <c r="W3139" s="1" t="str">
        <f>HYPERLINK("http://ictvonline.org/taxonomy/p/taxonomy-history?taxnode_id=201903559","ICTVonline=201903559")</f>
        <v>ICTVonline=201903559</v>
      </c>
    </row>
    <row r="3140" spans="1:23">
      <c r="A3140" s="3">
        <v>3139</v>
      </c>
      <c r="B3140" s="1" t="s">
        <v>8017</v>
      </c>
      <c r="D3140" s="1" t="s">
        <v>8049</v>
      </c>
      <c r="F3140" s="1" t="s">
        <v>8122</v>
      </c>
      <c r="H3140" s="1" t="s">
        <v>8143</v>
      </c>
      <c r="J3140" s="1" t="s">
        <v>8144</v>
      </c>
      <c r="L3140" s="1" t="s">
        <v>3780</v>
      </c>
      <c r="N3140" s="1" t="s">
        <v>3781</v>
      </c>
      <c r="P3140" s="1" t="s">
        <v>4662</v>
      </c>
      <c r="Q3140" s="3">
        <v>0</v>
      </c>
      <c r="R3140" s="22" t="s">
        <v>2724</v>
      </c>
      <c r="S3140" s="42" t="s">
        <v>6909</v>
      </c>
      <c r="T3140" s="3" t="s">
        <v>4868</v>
      </c>
      <c r="U3140" s="45">
        <v>35</v>
      </c>
      <c r="V3140" t="s">
        <v>8125</v>
      </c>
      <c r="W3140" s="1" t="str">
        <f>HYPERLINK("http://ictvonline.org/taxonomy/p/taxonomy-history?taxnode_id=201903560","ICTVonline=201903560")</f>
        <v>ICTVonline=201903560</v>
      </c>
    </row>
    <row r="3141" spans="1:23">
      <c r="A3141" s="3">
        <v>3140</v>
      </c>
      <c r="B3141" s="1" t="s">
        <v>8017</v>
      </c>
      <c r="D3141" s="1" t="s">
        <v>8049</v>
      </c>
      <c r="F3141" s="1" t="s">
        <v>8122</v>
      </c>
      <c r="H3141" s="1" t="s">
        <v>8143</v>
      </c>
      <c r="J3141" s="1" t="s">
        <v>8144</v>
      </c>
      <c r="L3141" s="1" t="s">
        <v>3780</v>
      </c>
      <c r="N3141" s="1" t="s">
        <v>3781</v>
      </c>
      <c r="P3141" s="1" t="s">
        <v>4663</v>
      </c>
      <c r="Q3141" s="3">
        <v>0</v>
      </c>
      <c r="R3141" s="22" t="s">
        <v>2724</v>
      </c>
      <c r="S3141" s="42" t="s">
        <v>6909</v>
      </c>
      <c r="T3141" s="3" t="s">
        <v>4868</v>
      </c>
      <c r="U3141" s="45">
        <v>35</v>
      </c>
      <c r="V3141" t="s">
        <v>8125</v>
      </c>
      <c r="W3141" s="1" t="str">
        <f>HYPERLINK("http://ictvonline.org/taxonomy/p/taxonomy-history?taxnode_id=201903561","ICTVonline=201903561")</f>
        <v>ICTVonline=201903561</v>
      </c>
    </row>
    <row r="3142" spans="1:23">
      <c r="A3142" s="3">
        <v>3141</v>
      </c>
      <c r="B3142" s="1" t="s">
        <v>8017</v>
      </c>
      <c r="D3142" s="1" t="s">
        <v>8049</v>
      </c>
      <c r="F3142" s="1" t="s">
        <v>8122</v>
      </c>
      <c r="H3142" s="1" t="s">
        <v>8143</v>
      </c>
      <c r="J3142" s="1" t="s">
        <v>8144</v>
      </c>
      <c r="L3142" s="1" t="s">
        <v>3780</v>
      </c>
      <c r="N3142" s="1" t="s">
        <v>3781</v>
      </c>
      <c r="P3142" s="1" t="s">
        <v>4664</v>
      </c>
      <c r="Q3142" s="3">
        <v>0</v>
      </c>
      <c r="R3142" s="22" t="s">
        <v>2724</v>
      </c>
      <c r="S3142" s="42" t="s">
        <v>6909</v>
      </c>
      <c r="T3142" s="3" t="s">
        <v>4868</v>
      </c>
      <c r="U3142" s="45">
        <v>35</v>
      </c>
      <c r="V3142" t="s">
        <v>8125</v>
      </c>
      <c r="W3142" s="1" t="str">
        <f>HYPERLINK("http://ictvonline.org/taxonomy/p/taxonomy-history?taxnode_id=201903562","ICTVonline=201903562")</f>
        <v>ICTVonline=201903562</v>
      </c>
    </row>
    <row r="3143" spans="1:23">
      <c r="A3143" s="3">
        <v>3142</v>
      </c>
      <c r="B3143" s="1" t="s">
        <v>8017</v>
      </c>
      <c r="D3143" s="1" t="s">
        <v>8049</v>
      </c>
      <c r="F3143" s="1" t="s">
        <v>8122</v>
      </c>
      <c r="H3143" s="1" t="s">
        <v>8143</v>
      </c>
      <c r="J3143" s="1" t="s">
        <v>8144</v>
      </c>
      <c r="L3143" s="1" t="s">
        <v>3780</v>
      </c>
      <c r="N3143" s="1" t="s">
        <v>3781</v>
      </c>
      <c r="P3143" s="1" t="s">
        <v>4665</v>
      </c>
      <c r="Q3143" s="3">
        <v>0</v>
      </c>
      <c r="R3143" s="22" t="s">
        <v>2724</v>
      </c>
      <c r="S3143" s="42" t="s">
        <v>6909</v>
      </c>
      <c r="T3143" s="3" t="s">
        <v>4868</v>
      </c>
      <c r="U3143" s="45">
        <v>35</v>
      </c>
      <c r="V3143" t="s">
        <v>8125</v>
      </c>
      <c r="W3143" s="1" t="str">
        <f>HYPERLINK("http://ictvonline.org/taxonomy/p/taxonomy-history?taxnode_id=201903563","ICTVonline=201903563")</f>
        <v>ICTVonline=201903563</v>
      </c>
    </row>
    <row r="3144" spans="1:23">
      <c r="A3144" s="3">
        <v>3143</v>
      </c>
      <c r="B3144" s="1" t="s">
        <v>8017</v>
      </c>
      <c r="D3144" s="1" t="s">
        <v>8049</v>
      </c>
      <c r="F3144" s="1" t="s">
        <v>8122</v>
      </c>
      <c r="H3144" s="1" t="s">
        <v>8143</v>
      </c>
      <c r="J3144" s="1" t="s">
        <v>8144</v>
      </c>
      <c r="L3144" s="1" t="s">
        <v>3780</v>
      </c>
      <c r="N3144" s="1" t="s">
        <v>3781</v>
      </c>
      <c r="P3144" s="1" t="s">
        <v>4666</v>
      </c>
      <c r="Q3144" s="3">
        <v>0</v>
      </c>
      <c r="R3144" s="22" t="s">
        <v>2724</v>
      </c>
      <c r="S3144" s="42" t="s">
        <v>6909</v>
      </c>
      <c r="T3144" s="3" t="s">
        <v>4868</v>
      </c>
      <c r="U3144" s="45">
        <v>35</v>
      </c>
      <c r="V3144" t="s">
        <v>8125</v>
      </c>
      <c r="W3144" s="1" t="str">
        <f>HYPERLINK("http://ictvonline.org/taxonomy/p/taxonomy-history?taxnode_id=201903564","ICTVonline=201903564")</f>
        <v>ICTVonline=201903564</v>
      </c>
    </row>
    <row r="3145" spans="1:23">
      <c r="A3145" s="3">
        <v>3144</v>
      </c>
      <c r="B3145" s="1" t="s">
        <v>8017</v>
      </c>
      <c r="D3145" s="1" t="s">
        <v>8049</v>
      </c>
      <c r="F3145" s="1" t="s">
        <v>8122</v>
      </c>
      <c r="H3145" s="1" t="s">
        <v>8143</v>
      </c>
      <c r="J3145" s="1" t="s">
        <v>8144</v>
      </c>
      <c r="L3145" s="1" t="s">
        <v>3780</v>
      </c>
      <c r="N3145" s="1" t="s">
        <v>3781</v>
      </c>
      <c r="P3145" s="1" t="s">
        <v>4667</v>
      </c>
      <c r="Q3145" s="3">
        <v>0</v>
      </c>
      <c r="R3145" s="22" t="s">
        <v>2724</v>
      </c>
      <c r="S3145" s="42" t="s">
        <v>6909</v>
      </c>
      <c r="T3145" s="3" t="s">
        <v>4868</v>
      </c>
      <c r="U3145" s="45">
        <v>35</v>
      </c>
      <c r="V3145" t="s">
        <v>8125</v>
      </c>
      <c r="W3145" s="1" t="str">
        <f>HYPERLINK("http://ictvonline.org/taxonomy/p/taxonomy-history?taxnode_id=201903565","ICTVonline=201903565")</f>
        <v>ICTVonline=201903565</v>
      </c>
    </row>
    <row r="3146" spans="1:23">
      <c r="A3146" s="3">
        <v>3145</v>
      </c>
      <c r="B3146" s="1" t="s">
        <v>8017</v>
      </c>
      <c r="D3146" s="1" t="s">
        <v>8049</v>
      </c>
      <c r="F3146" s="1" t="s">
        <v>8122</v>
      </c>
      <c r="H3146" s="1" t="s">
        <v>8143</v>
      </c>
      <c r="J3146" s="1" t="s">
        <v>8144</v>
      </c>
      <c r="L3146" s="1" t="s">
        <v>3780</v>
      </c>
      <c r="N3146" s="1" t="s">
        <v>3781</v>
      </c>
      <c r="P3146" s="1" t="s">
        <v>4668</v>
      </c>
      <c r="Q3146" s="3">
        <v>0</v>
      </c>
      <c r="R3146" s="22" t="s">
        <v>2724</v>
      </c>
      <c r="S3146" s="42" t="s">
        <v>6909</v>
      </c>
      <c r="T3146" s="3" t="s">
        <v>4868</v>
      </c>
      <c r="U3146" s="45">
        <v>35</v>
      </c>
      <c r="V3146" t="s">
        <v>8125</v>
      </c>
      <c r="W3146" s="1" t="str">
        <f>HYPERLINK("http://ictvonline.org/taxonomy/p/taxonomy-history?taxnode_id=201903566","ICTVonline=201903566")</f>
        <v>ICTVonline=201903566</v>
      </c>
    </row>
    <row r="3147" spans="1:23">
      <c r="A3147" s="3">
        <v>3146</v>
      </c>
      <c r="B3147" s="1" t="s">
        <v>8017</v>
      </c>
      <c r="D3147" s="1" t="s">
        <v>8049</v>
      </c>
      <c r="F3147" s="1" t="s">
        <v>8122</v>
      </c>
      <c r="H3147" s="1" t="s">
        <v>8143</v>
      </c>
      <c r="J3147" s="1" t="s">
        <v>8144</v>
      </c>
      <c r="L3147" s="1" t="s">
        <v>3780</v>
      </c>
      <c r="N3147" s="1" t="s">
        <v>3781</v>
      </c>
      <c r="P3147" s="1" t="s">
        <v>4669</v>
      </c>
      <c r="Q3147" s="3">
        <v>0</v>
      </c>
      <c r="R3147" s="22" t="s">
        <v>2724</v>
      </c>
      <c r="S3147" s="42" t="s">
        <v>6909</v>
      </c>
      <c r="T3147" s="3" t="s">
        <v>4868</v>
      </c>
      <c r="U3147" s="45">
        <v>35</v>
      </c>
      <c r="V3147" t="s">
        <v>8125</v>
      </c>
      <c r="W3147" s="1" t="str">
        <f>HYPERLINK("http://ictvonline.org/taxonomy/p/taxonomy-history?taxnode_id=201903567","ICTVonline=201903567")</f>
        <v>ICTVonline=201903567</v>
      </c>
    </row>
    <row r="3148" spans="1:23">
      <c r="A3148" s="3">
        <v>3147</v>
      </c>
      <c r="B3148" s="1" t="s">
        <v>8017</v>
      </c>
      <c r="D3148" s="1" t="s">
        <v>8049</v>
      </c>
      <c r="F3148" s="1" t="s">
        <v>8122</v>
      </c>
      <c r="H3148" s="1" t="s">
        <v>8143</v>
      </c>
      <c r="J3148" s="1" t="s">
        <v>8144</v>
      </c>
      <c r="L3148" s="1" t="s">
        <v>3780</v>
      </c>
      <c r="N3148" s="1" t="s">
        <v>3781</v>
      </c>
      <c r="P3148" s="1" t="s">
        <v>4670</v>
      </c>
      <c r="Q3148" s="3">
        <v>0</v>
      </c>
      <c r="R3148" s="22" t="s">
        <v>2724</v>
      </c>
      <c r="S3148" s="42" t="s">
        <v>6909</v>
      </c>
      <c r="T3148" s="3" t="s">
        <v>4868</v>
      </c>
      <c r="U3148" s="45">
        <v>35</v>
      </c>
      <c r="V3148" t="s">
        <v>8125</v>
      </c>
      <c r="W3148" s="1" t="str">
        <f>HYPERLINK("http://ictvonline.org/taxonomy/p/taxonomy-history?taxnode_id=201903568","ICTVonline=201903568")</f>
        <v>ICTVonline=201903568</v>
      </c>
    </row>
    <row r="3149" spans="1:23">
      <c r="A3149" s="3">
        <v>3148</v>
      </c>
      <c r="B3149" s="1" t="s">
        <v>8017</v>
      </c>
      <c r="D3149" s="1" t="s">
        <v>8049</v>
      </c>
      <c r="F3149" s="1" t="s">
        <v>8122</v>
      </c>
      <c r="H3149" s="1" t="s">
        <v>8143</v>
      </c>
      <c r="J3149" s="1" t="s">
        <v>8144</v>
      </c>
      <c r="L3149" s="1" t="s">
        <v>3780</v>
      </c>
      <c r="N3149" s="1" t="s">
        <v>3781</v>
      </c>
      <c r="P3149" s="1" t="s">
        <v>4671</v>
      </c>
      <c r="Q3149" s="3">
        <v>0</v>
      </c>
      <c r="R3149" s="22" t="s">
        <v>2724</v>
      </c>
      <c r="S3149" s="42" t="s">
        <v>6909</v>
      </c>
      <c r="T3149" s="3" t="s">
        <v>4868</v>
      </c>
      <c r="U3149" s="45">
        <v>35</v>
      </c>
      <c r="V3149" t="s">
        <v>8125</v>
      </c>
      <c r="W3149" s="1" t="str">
        <f>HYPERLINK("http://ictvonline.org/taxonomy/p/taxonomy-history?taxnode_id=201903569","ICTVonline=201903569")</f>
        <v>ICTVonline=201903569</v>
      </c>
    </row>
    <row r="3150" spans="1:23">
      <c r="A3150" s="3">
        <v>3149</v>
      </c>
      <c r="B3150" s="1" t="s">
        <v>8017</v>
      </c>
      <c r="D3150" s="1" t="s">
        <v>8049</v>
      </c>
      <c r="F3150" s="1" t="s">
        <v>8122</v>
      </c>
      <c r="H3150" s="1" t="s">
        <v>8143</v>
      </c>
      <c r="J3150" s="1" t="s">
        <v>8144</v>
      </c>
      <c r="L3150" s="1" t="s">
        <v>3780</v>
      </c>
      <c r="N3150" s="1" t="s">
        <v>3781</v>
      </c>
      <c r="P3150" s="1" t="s">
        <v>4672</v>
      </c>
      <c r="Q3150" s="3">
        <v>0</v>
      </c>
      <c r="R3150" s="22" t="s">
        <v>2724</v>
      </c>
      <c r="S3150" s="42" t="s">
        <v>6909</v>
      </c>
      <c r="T3150" s="3" t="s">
        <v>4868</v>
      </c>
      <c r="U3150" s="45">
        <v>35</v>
      </c>
      <c r="V3150" t="s">
        <v>8125</v>
      </c>
      <c r="W3150" s="1" t="str">
        <f>HYPERLINK("http://ictvonline.org/taxonomy/p/taxonomy-history?taxnode_id=201903570","ICTVonline=201903570")</f>
        <v>ICTVonline=201903570</v>
      </c>
    </row>
    <row r="3151" spans="1:23">
      <c r="A3151" s="3">
        <v>3150</v>
      </c>
      <c r="B3151" s="1" t="s">
        <v>8017</v>
      </c>
      <c r="D3151" s="1" t="s">
        <v>8049</v>
      </c>
      <c r="F3151" s="1" t="s">
        <v>8122</v>
      </c>
      <c r="H3151" s="1" t="s">
        <v>8143</v>
      </c>
      <c r="J3151" s="1" t="s">
        <v>8144</v>
      </c>
      <c r="L3151" s="1" t="s">
        <v>3780</v>
      </c>
      <c r="N3151" s="1" t="s">
        <v>3781</v>
      </c>
      <c r="P3151" s="1" t="s">
        <v>4673</v>
      </c>
      <c r="Q3151" s="3">
        <v>0</v>
      </c>
      <c r="R3151" s="22" t="s">
        <v>2724</v>
      </c>
      <c r="S3151" s="42" t="s">
        <v>6909</v>
      </c>
      <c r="T3151" s="3" t="s">
        <v>4868</v>
      </c>
      <c r="U3151" s="45">
        <v>35</v>
      </c>
      <c r="V3151" t="s">
        <v>8125</v>
      </c>
      <c r="W3151" s="1" t="str">
        <f>HYPERLINK("http://ictvonline.org/taxonomy/p/taxonomy-history?taxnode_id=201903571","ICTVonline=201903571")</f>
        <v>ICTVonline=201903571</v>
      </c>
    </row>
    <row r="3152" spans="1:23">
      <c r="A3152" s="3">
        <v>3151</v>
      </c>
      <c r="B3152" s="1" t="s">
        <v>8017</v>
      </c>
      <c r="D3152" s="1" t="s">
        <v>8049</v>
      </c>
      <c r="F3152" s="1" t="s">
        <v>8122</v>
      </c>
      <c r="H3152" s="1" t="s">
        <v>8143</v>
      </c>
      <c r="J3152" s="1" t="s">
        <v>8144</v>
      </c>
      <c r="L3152" s="1" t="s">
        <v>3780</v>
      </c>
      <c r="N3152" s="1" t="s">
        <v>3781</v>
      </c>
      <c r="P3152" s="1" t="s">
        <v>4674</v>
      </c>
      <c r="Q3152" s="3">
        <v>0</v>
      </c>
      <c r="R3152" s="22" t="s">
        <v>2724</v>
      </c>
      <c r="S3152" s="42" t="s">
        <v>6909</v>
      </c>
      <c r="T3152" s="3" t="s">
        <v>4868</v>
      </c>
      <c r="U3152" s="45">
        <v>35</v>
      </c>
      <c r="V3152" t="s">
        <v>8125</v>
      </c>
      <c r="W3152" s="1" t="str">
        <f>HYPERLINK("http://ictvonline.org/taxonomy/p/taxonomy-history?taxnode_id=201903572","ICTVonline=201903572")</f>
        <v>ICTVonline=201903572</v>
      </c>
    </row>
    <row r="3153" spans="1:23">
      <c r="A3153" s="3">
        <v>3152</v>
      </c>
      <c r="B3153" s="1" t="s">
        <v>8017</v>
      </c>
      <c r="D3153" s="1" t="s">
        <v>8049</v>
      </c>
      <c r="F3153" s="1" t="s">
        <v>8122</v>
      </c>
      <c r="H3153" s="1" t="s">
        <v>8143</v>
      </c>
      <c r="J3153" s="1" t="s">
        <v>8144</v>
      </c>
      <c r="L3153" s="1" t="s">
        <v>3780</v>
      </c>
      <c r="N3153" s="1" t="s">
        <v>3781</v>
      </c>
      <c r="P3153" s="1" t="s">
        <v>4675</v>
      </c>
      <c r="Q3153" s="3">
        <v>0</v>
      </c>
      <c r="R3153" s="22" t="s">
        <v>2724</v>
      </c>
      <c r="S3153" s="42" t="s">
        <v>6909</v>
      </c>
      <c r="T3153" s="3" t="s">
        <v>4868</v>
      </c>
      <c r="U3153" s="45">
        <v>35</v>
      </c>
      <c r="V3153" t="s">
        <v>8125</v>
      </c>
      <c r="W3153" s="1" t="str">
        <f>HYPERLINK("http://ictvonline.org/taxonomy/p/taxonomy-history?taxnode_id=201903573","ICTVonline=201903573")</f>
        <v>ICTVonline=201903573</v>
      </c>
    </row>
    <row r="3154" spans="1:23">
      <c r="A3154" s="3">
        <v>3153</v>
      </c>
      <c r="B3154" s="1" t="s">
        <v>8017</v>
      </c>
      <c r="D3154" s="1" t="s">
        <v>8049</v>
      </c>
      <c r="F3154" s="1" t="s">
        <v>8122</v>
      </c>
      <c r="H3154" s="1" t="s">
        <v>8143</v>
      </c>
      <c r="J3154" s="1" t="s">
        <v>8144</v>
      </c>
      <c r="L3154" s="1" t="s">
        <v>3780</v>
      </c>
      <c r="N3154" s="1" t="s">
        <v>3781</v>
      </c>
      <c r="P3154" s="1" t="s">
        <v>4676</v>
      </c>
      <c r="Q3154" s="3">
        <v>0</v>
      </c>
      <c r="R3154" s="22" t="s">
        <v>2724</v>
      </c>
      <c r="S3154" s="42" t="s">
        <v>6909</v>
      </c>
      <c r="T3154" s="3" t="s">
        <v>4868</v>
      </c>
      <c r="U3154" s="45">
        <v>35</v>
      </c>
      <c r="V3154" t="s">
        <v>8125</v>
      </c>
      <c r="W3154" s="1" t="str">
        <f>HYPERLINK("http://ictvonline.org/taxonomy/p/taxonomy-history?taxnode_id=201903574","ICTVonline=201903574")</f>
        <v>ICTVonline=201903574</v>
      </c>
    </row>
    <row r="3155" spans="1:23">
      <c r="A3155" s="3">
        <v>3154</v>
      </c>
      <c r="B3155" s="1" t="s">
        <v>8017</v>
      </c>
      <c r="D3155" s="1" t="s">
        <v>8049</v>
      </c>
      <c r="F3155" s="1" t="s">
        <v>8122</v>
      </c>
      <c r="H3155" s="1" t="s">
        <v>8143</v>
      </c>
      <c r="J3155" s="1" t="s">
        <v>8144</v>
      </c>
      <c r="L3155" s="1" t="s">
        <v>3780</v>
      </c>
      <c r="N3155" s="1" t="s">
        <v>3781</v>
      </c>
      <c r="P3155" s="1" t="s">
        <v>4677</v>
      </c>
      <c r="Q3155" s="3">
        <v>0</v>
      </c>
      <c r="R3155" s="22" t="s">
        <v>2724</v>
      </c>
      <c r="S3155" s="42" t="s">
        <v>6909</v>
      </c>
      <c r="T3155" s="3" t="s">
        <v>4868</v>
      </c>
      <c r="U3155" s="45">
        <v>35</v>
      </c>
      <c r="V3155" t="s">
        <v>8125</v>
      </c>
      <c r="W3155" s="1" t="str">
        <f>HYPERLINK("http://ictvonline.org/taxonomy/p/taxonomy-history?taxnode_id=201903575","ICTVonline=201903575")</f>
        <v>ICTVonline=201903575</v>
      </c>
    </row>
    <row r="3156" spans="1:23">
      <c r="A3156" s="3">
        <v>3155</v>
      </c>
      <c r="B3156" s="1" t="s">
        <v>8017</v>
      </c>
      <c r="D3156" s="1" t="s">
        <v>8049</v>
      </c>
      <c r="F3156" s="1" t="s">
        <v>8122</v>
      </c>
      <c r="H3156" s="1" t="s">
        <v>8143</v>
      </c>
      <c r="J3156" s="1" t="s">
        <v>8144</v>
      </c>
      <c r="L3156" s="1" t="s">
        <v>3780</v>
      </c>
      <c r="N3156" s="1" t="s">
        <v>3781</v>
      </c>
      <c r="P3156" s="1" t="s">
        <v>4678</v>
      </c>
      <c r="Q3156" s="3">
        <v>0</v>
      </c>
      <c r="R3156" s="22" t="s">
        <v>2724</v>
      </c>
      <c r="S3156" s="42" t="s">
        <v>6909</v>
      </c>
      <c r="T3156" s="3" t="s">
        <v>4868</v>
      </c>
      <c r="U3156" s="45">
        <v>35</v>
      </c>
      <c r="V3156" t="s">
        <v>8125</v>
      </c>
      <c r="W3156" s="1" t="str">
        <f>HYPERLINK("http://ictvonline.org/taxonomy/p/taxonomy-history?taxnode_id=201903576","ICTVonline=201903576")</f>
        <v>ICTVonline=201903576</v>
      </c>
    </row>
    <row r="3157" spans="1:23">
      <c r="A3157" s="3">
        <v>3156</v>
      </c>
      <c r="B3157" s="1" t="s">
        <v>8017</v>
      </c>
      <c r="D3157" s="1" t="s">
        <v>8049</v>
      </c>
      <c r="F3157" s="1" t="s">
        <v>8122</v>
      </c>
      <c r="H3157" s="1" t="s">
        <v>8143</v>
      </c>
      <c r="J3157" s="1" t="s">
        <v>8144</v>
      </c>
      <c r="L3157" s="1" t="s">
        <v>3780</v>
      </c>
      <c r="N3157" s="1" t="s">
        <v>3781</v>
      </c>
      <c r="P3157" s="1" t="s">
        <v>4679</v>
      </c>
      <c r="Q3157" s="3">
        <v>0</v>
      </c>
      <c r="R3157" s="22" t="s">
        <v>2724</v>
      </c>
      <c r="S3157" s="42" t="s">
        <v>6909</v>
      </c>
      <c r="T3157" s="3" t="s">
        <v>4868</v>
      </c>
      <c r="U3157" s="45">
        <v>35</v>
      </c>
      <c r="V3157" t="s">
        <v>8125</v>
      </c>
      <c r="W3157" s="1" t="str">
        <f>HYPERLINK("http://ictvonline.org/taxonomy/p/taxonomy-history?taxnode_id=201903577","ICTVonline=201903577")</f>
        <v>ICTVonline=201903577</v>
      </c>
    </row>
    <row r="3158" spans="1:23">
      <c r="A3158" s="3">
        <v>3157</v>
      </c>
      <c r="B3158" s="1" t="s">
        <v>8017</v>
      </c>
      <c r="D3158" s="1" t="s">
        <v>8049</v>
      </c>
      <c r="F3158" s="1" t="s">
        <v>8122</v>
      </c>
      <c r="H3158" s="1" t="s">
        <v>8143</v>
      </c>
      <c r="J3158" s="1" t="s">
        <v>8144</v>
      </c>
      <c r="L3158" s="1" t="s">
        <v>3780</v>
      </c>
      <c r="N3158" s="1" t="s">
        <v>3781</v>
      </c>
      <c r="P3158" s="1" t="s">
        <v>4680</v>
      </c>
      <c r="Q3158" s="3">
        <v>0</v>
      </c>
      <c r="R3158" s="22" t="s">
        <v>2724</v>
      </c>
      <c r="S3158" s="42" t="s">
        <v>6909</v>
      </c>
      <c r="T3158" s="3" t="s">
        <v>4868</v>
      </c>
      <c r="U3158" s="45">
        <v>35</v>
      </c>
      <c r="V3158" t="s">
        <v>8125</v>
      </c>
      <c r="W3158" s="1" t="str">
        <f>HYPERLINK("http://ictvonline.org/taxonomy/p/taxonomy-history?taxnode_id=201903578","ICTVonline=201903578")</f>
        <v>ICTVonline=201903578</v>
      </c>
    </row>
    <row r="3159" spans="1:23">
      <c r="A3159" s="3">
        <v>3158</v>
      </c>
      <c r="B3159" s="1" t="s">
        <v>8017</v>
      </c>
      <c r="D3159" s="1" t="s">
        <v>8049</v>
      </c>
      <c r="F3159" s="1" t="s">
        <v>8122</v>
      </c>
      <c r="H3159" s="1" t="s">
        <v>8143</v>
      </c>
      <c r="J3159" s="1" t="s">
        <v>8144</v>
      </c>
      <c r="L3159" s="1" t="s">
        <v>3780</v>
      </c>
      <c r="N3159" s="1" t="s">
        <v>3781</v>
      </c>
      <c r="P3159" s="1" t="s">
        <v>4681</v>
      </c>
      <c r="Q3159" s="3">
        <v>0</v>
      </c>
      <c r="R3159" s="22" t="s">
        <v>2724</v>
      </c>
      <c r="S3159" s="42" t="s">
        <v>6909</v>
      </c>
      <c r="T3159" s="3" t="s">
        <v>4868</v>
      </c>
      <c r="U3159" s="45">
        <v>35</v>
      </c>
      <c r="V3159" t="s">
        <v>8125</v>
      </c>
      <c r="W3159" s="1" t="str">
        <f>HYPERLINK("http://ictvonline.org/taxonomy/p/taxonomy-history?taxnode_id=201903579","ICTVonline=201903579")</f>
        <v>ICTVonline=201903579</v>
      </c>
    </row>
    <row r="3160" spans="1:23">
      <c r="A3160" s="3">
        <v>3159</v>
      </c>
      <c r="B3160" s="1" t="s">
        <v>8017</v>
      </c>
      <c r="D3160" s="1" t="s">
        <v>8049</v>
      </c>
      <c r="F3160" s="1" t="s">
        <v>8122</v>
      </c>
      <c r="H3160" s="1" t="s">
        <v>8143</v>
      </c>
      <c r="J3160" s="1" t="s">
        <v>8144</v>
      </c>
      <c r="L3160" s="1" t="s">
        <v>3780</v>
      </c>
      <c r="N3160" s="1" t="s">
        <v>3781</v>
      </c>
      <c r="P3160" s="1" t="s">
        <v>4682</v>
      </c>
      <c r="Q3160" s="3">
        <v>0</v>
      </c>
      <c r="R3160" s="22" t="s">
        <v>2724</v>
      </c>
      <c r="S3160" s="42" t="s">
        <v>6909</v>
      </c>
      <c r="T3160" s="3" t="s">
        <v>4868</v>
      </c>
      <c r="U3160" s="45">
        <v>35</v>
      </c>
      <c r="V3160" t="s">
        <v>8125</v>
      </c>
      <c r="W3160" s="1" t="str">
        <f>HYPERLINK("http://ictvonline.org/taxonomy/p/taxonomy-history?taxnode_id=201903580","ICTVonline=201903580")</f>
        <v>ICTVonline=201903580</v>
      </c>
    </row>
    <row r="3161" spans="1:23">
      <c r="A3161" s="3">
        <v>3160</v>
      </c>
      <c r="B3161" s="1" t="s">
        <v>8017</v>
      </c>
      <c r="D3161" s="1" t="s">
        <v>8049</v>
      </c>
      <c r="F3161" s="1" t="s">
        <v>8122</v>
      </c>
      <c r="H3161" s="1" t="s">
        <v>8143</v>
      </c>
      <c r="J3161" s="1" t="s">
        <v>8144</v>
      </c>
      <c r="L3161" s="1" t="s">
        <v>3780</v>
      </c>
      <c r="N3161" s="1" t="s">
        <v>3781</v>
      </c>
      <c r="P3161" s="1" t="s">
        <v>4683</v>
      </c>
      <c r="Q3161" s="3">
        <v>0</v>
      </c>
      <c r="R3161" s="22" t="s">
        <v>2724</v>
      </c>
      <c r="S3161" s="42" t="s">
        <v>6909</v>
      </c>
      <c r="T3161" s="3" t="s">
        <v>4868</v>
      </c>
      <c r="U3161" s="45">
        <v>35</v>
      </c>
      <c r="V3161" t="s">
        <v>8125</v>
      </c>
      <c r="W3161" s="1" t="str">
        <f>HYPERLINK("http://ictvonline.org/taxonomy/p/taxonomy-history?taxnode_id=201903581","ICTVonline=201903581")</f>
        <v>ICTVonline=201903581</v>
      </c>
    </row>
    <row r="3162" spans="1:23">
      <c r="A3162" s="3">
        <v>3161</v>
      </c>
      <c r="B3162" s="1" t="s">
        <v>8017</v>
      </c>
      <c r="D3162" s="1" t="s">
        <v>8049</v>
      </c>
      <c r="F3162" s="1" t="s">
        <v>8122</v>
      </c>
      <c r="H3162" s="1" t="s">
        <v>8143</v>
      </c>
      <c r="J3162" s="1" t="s">
        <v>8144</v>
      </c>
      <c r="L3162" s="1" t="s">
        <v>3780</v>
      </c>
      <c r="N3162" s="1" t="s">
        <v>3781</v>
      </c>
      <c r="P3162" s="1" t="s">
        <v>4684</v>
      </c>
      <c r="Q3162" s="3">
        <v>0</v>
      </c>
      <c r="R3162" s="22" t="s">
        <v>2724</v>
      </c>
      <c r="S3162" s="42" t="s">
        <v>6909</v>
      </c>
      <c r="T3162" s="3" t="s">
        <v>4868</v>
      </c>
      <c r="U3162" s="45">
        <v>35</v>
      </c>
      <c r="V3162" t="s">
        <v>8125</v>
      </c>
      <c r="W3162" s="1" t="str">
        <f>HYPERLINK("http://ictvonline.org/taxonomy/p/taxonomy-history?taxnode_id=201903582","ICTVonline=201903582")</f>
        <v>ICTVonline=201903582</v>
      </c>
    </row>
    <row r="3163" spans="1:23">
      <c r="A3163" s="3">
        <v>3162</v>
      </c>
      <c r="B3163" s="1" t="s">
        <v>8017</v>
      </c>
      <c r="D3163" s="1" t="s">
        <v>8049</v>
      </c>
      <c r="F3163" s="1" t="s">
        <v>8122</v>
      </c>
      <c r="H3163" s="1" t="s">
        <v>8143</v>
      </c>
      <c r="J3163" s="1" t="s">
        <v>8144</v>
      </c>
      <c r="L3163" s="1" t="s">
        <v>3780</v>
      </c>
      <c r="N3163" s="1" t="s">
        <v>3781</v>
      </c>
      <c r="P3163" s="1" t="s">
        <v>4685</v>
      </c>
      <c r="Q3163" s="3">
        <v>0</v>
      </c>
      <c r="R3163" s="22" t="s">
        <v>2724</v>
      </c>
      <c r="S3163" s="42" t="s">
        <v>6909</v>
      </c>
      <c r="T3163" s="3" t="s">
        <v>4868</v>
      </c>
      <c r="U3163" s="45">
        <v>35</v>
      </c>
      <c r="V3163" t="s">
        <v>8125</v>
      </c>
      <c r="W3163" s="1" t="str">
        <f>HYPERLINK("http://ictvonline.org/taxonomy/p/taxonomy-history?taxnode_id=201903583","ICTVonline=201903583")</f>
        <v>ICTVonline=201903583</v>
      </c>
    </row>
    <row r="3164" spans="1:23">
      <c r="A3164" s="3">
        <v>3163</v>
      </c>
      <c r="B3164" s="1" t="s">
        <v>8017</v>
      </c>
      <c r="D3164" s="1" t="s">
        <v>8049</v>
      </c>
      <c r="F3164" s="1" t="s">
        <v>8122</v>
      </c>
      <c r="H3164" s="1" t="s">
        <v>8143</v>
      </c>
      <c r="J3164" s="1" t="s">
        <v>8144</v>
      </c>
      <c r="L3164" s="1" t="s">
        <v>3780</v>
      </c>
      <c r="N3164" s="1" t="s">
        <v>3781</v>
      </c>
      <c r="P3164" s="1" t="s">
        <v>4686</v>
      </c>
      <c r="Q3164" s="3">
        <v>0</v>
      </c>
      <c r="R3164" s="22" t="s">
        <v>2724</v>
      </c>
      <c r="S3164" s="42" t="s">
        <v>6909</v>
      </c>
      <c r="T3164" s="3" t="s">
        <v>4868</v>
      </c>
      <c r="U3164" s="45">
        <v>35</v>
      </c>
      <c r="V3164" t="s">
        <v>8125</v>
      </c>
      <c r="W3164" s="1" t="str">
        <f>HYPERLINK("http://ictvonline.org/taxonomy/p/taxonomy-history?taxnode_id=201903584","ICTVonline=201903584")</f>
        <v>ICTVonline=201903584</v>
      </c>
    </row>
    <row r="3165" spans="1:23">
      <c r="A3165" s="3">
        <v>3164</v>
      </c>
      <c r="B3165" s="1" t="s">
        <v>8017</v>
      </c>
      <c r="D3165" s="1" t="s">
        <v>8049</v>
      </c>
      <c r="F3165" s="1" t="s">
        <v>8122</v>
      </c>
      <c r="H3165" s="1" t="s">
        <v>8143</v>
      </c>
      <c r="J3165" s="1" t="s">
        <v>8144</v>
      </c>
      <c r="L3165" s="1" t="s">
        <v>3780</v>
      </c>
      <c r="N3165" s="1" t="s">
        <v>3781</v>
      </c>
      <c r="P3165" s="1" t="s">
        <v>4687</v>
      </c>
      <c r="Q3165" s="3">
        <v>0</v>
      </c>
      <c r="R3165" s="22" t="s">
        <v>2724</v>
      </c>
      <c r="S3165" s="42" t="s">
        <v>6909</v>
      </c>
      <c r="T3165" s="3" t="s">
        <v>4868</v>
      </c>
      <c r="U3165" s="45">
        <v>35</v>
      </c>
      <c r="V3165" t="s">
        <v>8125</v>
      </c>
      <c r="W3165" s="1" t="str">
        <f>HYPERLINK("http://ictvonline.org/taxonomy/p/taxonomy-history?taxnode_id=201903585","ICTVonline=201903585")</f>
        <v>ICTVonline=201903585</v>
      </c>
    </row>
    <row r="3166" spans="1:23">
      <c r="A3166" s="3">
        <v>3165</v>
      </c>
      <c r="B3166" s="1" t="s">
        <v>8017</v>
      </c>
      <c r="D3166" s="1" t="s">
        <v>8049</v>
      </c>
      <c r="F3166" s="1" t="s">
        <v>8122</v>
      </c>
      <c r="H3166" s="1" t="s">
        <v>8143</v>
      </c>
      <c r="J3166" s="1" t="s">
        <v>8144</v>
      </c>
      <c r="L3166" s="1" t="s">
        <v>3780</v>
      </c>
      <c r="N3166" s="1" t="s">
        <v>3781</v>
      </c>
      <c r="P3166" s="1" t="s">
        <v>4688</v>
      </c>
      <c r="Q3166" s="3">
        <v>0</v>
      </c>
      <c r="R3166" s="22" t="s">
        <v>2724</v>
      </c>
      <c r="S3166" s="42" t="s">
        <v>6909</v>
      </c>
      <c r="T3166" s="3" t="s">
        <v>4868</v>
      </c>
      <c r="U3166" s="45">
        <v>35</v>
      </c>
      <c r="V3166" t="s">
        <v>8125</v>
      </c>
      <c r="W3166" s="1" t="str">
        <f>HYPERLINK("http://ictvonline.org/taxonomy/p/taxonomy-history?taxnode_id=201903586","ICTVonline=201903586")</f>
        <v>ICTVonline=201903586</v>
      </c>
    </row>
    <row r="3167" spans="1:23">
      <c r="A3167" s="3">
        <v>3166</v>
      </c>
      <c r="B3167" s="1" t="s">
        <v>8017</v>
      </c>
      <c r="D3167" s="1" t="s">
        <v>8049</v>
      </c>
      <c r="F3167" s="1" t="s">
        <v>8122</v>
      </c>
      <c r="H3167" s="1" t="s">
        <v>8143</v>
      </c>
      <c r="J3167" s="1" t="s">
        <v>8144</v>
      </c>
      <c r="L3167" s="1" t="s">
        <v>3780</v>
      </c>
      <c r="N3167" s="1" t="s">
        <v>3781</v>
      </c>
      <c r="P3167" s="1" t="s">
        <v>4689</v>
      </c>
      <c r="Q3167" s="3">
        <v>0</v>
      </c>
      <c r="R3167" s="22" t="s">
        <v>2724</v>
      </c>
      <c r="S3167" s="42" t="s">
        <v>6909</v>
      </c>
      <c r="T3167" s="3" t="s">
        <v>4868</v>
      </c>
      <c r="U3167" s="45">
        <v>35</v>
      </c>
      <c r="V3167" t="s">
        <v>8125</v>
      </c>
      <c r="W3167" s="1" t="str">
        <f>HYPERLINK("http://ictvonline.org/taxonomy/p/taxonomy-history?taxnode_id=201903587","ICTVonline=201903587")</f>
        <v>ICTVonline=201903587</v>
      </c>
    </row>
    <row r="3168" spans="1:23">
      <c r="A3168" s="3">
        <v>3167</v>
      </c>
      <c r="B3168" s="1" t="s">
        <v>8017</v>
      </c>
      <c r="D3168" s="1" t="s">
        <v>8049</v>
      </c>
      <c r="F3168" s="1" t="s">
        <v>8122</v>
      </c>
      <c r="H3168" s="1" t="s">
        <v>8143</v>
      </c>
      <c r="J3168" s="1" t="s">
        <v>8144</v>
      </c>
      <c r="L3168" s="1" t="s">
        <v>3780</v>
      </c>
      <c r="N3168" s="1" t="s">
        <v>3781</v>
      </c>
      <c r="P3168" s="1" t="s">
        <v>3782</v>
      </c>
      <c r="Q3168" s="3">
        <v>1</v>
      </c>
      <c r="R3168" s="22" t="s">
        <v>2724</v>
      </c>
      <c r="S3168" s="42" t="s">
        <v>6909</v>
      </c>
      <c r="T3168" s="3" t="s">
        <v>4868</v>
      </c>
      <c r="U3168" s="45">
        <v>35</v>
      </c>
      <c r="V3168" t="s">
        <v>8125</v>
      </c>
      <c r="W3168" s="1" t="str">
        <f>HYPERLINK("http://ictvonline.org/taxonomy/p/taxonomy-history?taxnode_id=201903588","ICTVonline=201903588")</f>
        <v>ICTVonline=201903588</v>
      </c>
    </row>
    <row r="3169" spans="1:23">
      <c r="A3169" s="3">
        <v>3168</v>
      </c>
      <c r="B3169" s="1" t="s">
        <v>8017</v>
      </c>
      <c r="D3169" s="1" t="s">
        <v>8049</v>
      </c>
      <c r="F3169" s="1" t="s">
        <v>8122</v>
      </c>
      <c r="H3169" s="1" t="s">
        <v>8143</v>
      </c>
      <c r="J3169" s="1" t="s">
        <v>8144</v>
      </c>
      <c r="L3169" s="1" t="s">
        <v>3780</v>
      </c>
      <c r="N3169" s="1" t="s">
        <v>3781</v>
      </c>
      <c r="P3169" s="1" t="s">
        <v>4690</v>
      </c>
      <c r="Q3169" s="3">
        <v>0</v>
      </c>
      <c r="R3169" s="22" t="s">
        <v>2724</v>
      </c>
      <c r="S3169" s="42" t="s">
        <v>6909</v>
      </c>
      <c r="T3169" s="3" t="s">
        <v>4868</v>
      </c>
      <c r="U3169" s="45">
        <v>35</v>
      </c>
      <c r="V3169" t="s">
        <v>8125</v>
      </c>
      <c r="W3169" s="1" t="str">
        <f>HYPERLINK("http://ictvonline.org/taxonomy/p/taxonomy-history?taxnode_id=201903589","ICTVonline=201903589")</f>
        <v>ICTVonline=201903589</v>
      </c>
    </row>
    <row r="3170" spans="1:23">
      <c r="A3170" s="3">
        <v>3169</v>
      </c>
      <c r="B3170" s="1" t="s">
        <v>8017</v>
      </c>
      <c r="D3170" s="1" t="s">
        <v>8049</v>
      </c>
      <c r="F3170" s="1" t="s">
        <v>8122</v>
      </c>
      <c r="H3170" s="1" t="s">
        <v>8143</v>
      </c>
      <c r="J3170" s="1" t="s">
        <v>8144</v>
      </c>
      <c r="L3170" s="1" t="s">
        <v>3780</v>
      </c>
      <c r="N3170" s="1" t="s">
        <v>3781</v>
      </c>
      <c r="P3170" s="1" t="s">
        <v>4691</v>
      </c>
      <c r="Q3170" s="3">
        <v>0</v>
      </c>
      <c r="R3170" s="22" t="s">
        <v>2724</v>
      </c>
      <c r="S3170" s="42" t="s">
        <v>6909</v>
      </c>
      <c r="T3170" s="3" t="s">
        <v>4868</v>
      </c>
      <c r="U3170" s="45">
        <v>35</v>
      </c>
      <c r="V3170" t="s">
        <v>8125</v>
      </c>
      <c r="W3170" s="1" t="str">
        <f>HYPERLINK("http://ictvonline.org/taxonomy/p/taxonomy-history?taxnode_id=201903590","ICTVonline=201903590")</f>
        <v>ICTVonline=201903590</v>
      </c>
    </row>
    <row r="3171" spans="1:23">
      <c r="A3171" s="3">
        <v>3170</v>
      </c>
      <c r="B3171" s="1" t="s">
        <v>8017</v>
      </c>
      <c r="D3171" s="1" t="s">
        <v>8049</v>
      </c>
      <c r="F3171" s="1" t="s">
        <v>8122</v>
      </c>
      <c r="H3171" s="1" t="s">
        <v>8143</v>
      </c>
      <c r="J3171" s="1" t="s">
        <v>8144</v>
      </c>
      <c r="L3171" s="1" t="s">
        <v>3780</v>
      </c>
      <c r="N3171" s="1" t="s">
        <v>3781</v>
      </c>
      <c r="P3171" s="1" t="s">
        <v>4692</v>
      </c>
      <c r="Q3171" s="3">
        <v>0</v>
      </c>
      <c r="R3171" s="22" t="s">
        <v>2724</v>
      </c>
      <c r="S3171" s="42" t="s">
        <v>6909</v>
      </c>
      <c r="T3171" s="3" t="s">
        <v>4868</v>
      </c>
      <c r="U3171" s="45">
        <v>35</v>
      </c>
      <c r="V3171" t="s">
        <v>8125</v>
      </c>
      <c r="W3171" s="1" t="str">
        <f>HYPERLINK("http://ictvonline.org/taxonomy/p/taxonomy-history?taxnode_id=201903591","ICTVonline=201903591")</f>
        <v>ICTVonline=201903591</v>
      </c>
    </row>
    <row r="3172" spans="1:23">
      <c r="A3172" s="3">
        <v>3171</v>
      </c>
      <c r="B3172" s="1" t="s">
        <v>8017</v>
      </c>
      <c r="D3172" s="1" t="s">
        <v>8049</v>
      </c>
      <c r="F3172" s="1" t="s">
        <v>8122</v>
      </c>
      <c r="H3172" s="1" t="s">
        <v>8143</v>
      </c>
      <c r="J3172" s="1" t="s">
        <v>8144</v>
      </c>
      <c r="L3172" s="1" t="s">
        <v>3780</v>
      </c>
      <c r="N3172" s="1" t="s">
        <v>3781</v>
      </c>
      <c r="P3172" s="1" t="s">
        <v>4693</v>
      </c>
      <c r="Q3172" s="3">
        <v>0</v>
      </c>
      <c r="R3172" s="22" t="s">
        <v>2724</v>
      </c>
      <c r="S3172" s="42" t="s">
        <v>6909</v>
      </c>
      <c r="T3172" s="3" t="s">
        <v>4868</v>
      </c>
      <c r="U3172" s="45">
        <v>35</v>
      </c>
      <c r="V3172" t="s">
        <v>8125</v>
      </c>
      <c r="W3172" s="1" t="str">
        <f>HYPERLINK("http://ictvonline.org/taxonomy/p/taxonomy-history?taxnode_id=201903592","ICTVonline=201903592")</f>
        <v>ICTVonline=201903592</v>
      </c>
    </row>
    <row r="3173" spans="1:23">
      <c r="A3173" s="3">
        <v>3172</v>
      </c>
      <c r="B3173" s="1" t="s">
        <v>8017</v>
      </c>
      <c r="D3173" s="1" t="s">
        <v>8049</v>
      </c>
      <c r="F3173" s="1" t="s">
        <v>8122</v>
      </c>
      <c r="H3173" s="1" t="s">
        <v>8143</v>
      </c>
      <c r="J3173" s="1" t="s">
        <v>8144</v>
      </c>
      <c r="L3173" s="1" t="s">
        <v>3780</v>
      </c>
      <c r="N3173" s="1" t="s">
        <v>3781</v>
      </c>
      <c r="P3173" s="1" t="s">
        <v>4694</v>
      </c>
      <c r="Q3173" s="3">
        <v>0</v>
      </c>
      <c r="R3173" s="22" t="s">
        <v>2724</v>
      </c>
      <c r="S3173" s="42" t="s">
        <v>6909</v>
      </c>
      <c r="T3173" s="3" t="s">
        <v>4868</v>
      </c>
      <c r="U3173" s="45">
        <v>35</v>
      </c>
      <c r="V3173" t="s">
        <v>8125</v>
      </c>
      <c r="W3173" s="1" t="str">
        <f>HYPERLINK("http://ictvonline.org/taxonomy/p/taxonomy-history?taxnode_id=201903593","ICTVonline=201903593")</f>
        <v>ICTVonline=201903593</v>
      </c>
    </row>
    <row r="3174" spans="1:23">
      <c r="A3174" s="3">
        <v>3173</v>
      </c>
      <c r="B3174" s="1" t="s">
        <v>8017</v>
      </c>
      <c r="D3174" s="1" t="s">
        <v>8049</v>
      </c>
      <c r="F3174" s="1" t="s">
        <v>8122</v>
      </c>
      <c r="H3174" s="1" t="s">
        <v>8143</v>
      </c>
      <c r="J3174" s="1" t="s">
        <v>8144</v>
      </c>
      <c r="L3174" s="1" t="s">
        <v>3780</v>
      </c>
      <c r="N3174" s="1" t="s">
        <v>3781</v>
      </c>
      <c r="P3174" s="1" t="s">
        <v>4695</v>
      </c>
      <c r="Q3174" s="3">
        <v>0</v>
      </c>
      <c r="R3174" s="22" t="s">
        <v>2724</v>
      </c>
      <c r="S3174" s="42" t="s">
        <v>6909</v>
      </c>
      <c r="T3174" s="3" t="s">
        <v>4868</v>
      </c>
      <c r="U3174" s="45">
        <v>35</v>
      </c>
      <c r="V3174" t="s">
        <v>8125</v>
      </c>
      <c r="W3174" s="1" t="str">
        <f>HYPERLINK("http://ictvonline.org/taxonomy/p/taxonomy-history?taxnode_id=201903594","ICTVonline=201903594")</f>
        <v>ICTVonline=201903594</v>
      </c>
    </row>
    <row r="3175" spans="1:23">
      <c r="A3175" s="3">
        <v>3174</v>
      </c>
      <c r="B3175" s="1" t="s">
        <v>8017</v>
      </c>
      <c r="D3175" s="1" t="s">
        <v>8049</v>
      </c>
      <c r="F3175" s="1" t="s">
        <v>8122</v>
      </c>
      <c r="H3175" s="1" t="s">
        <v>8143</v>
      </c>
      <c r="J3175" s="1" t="s">
        <v>8144</v>
      </c>
      <c r="L3175" s="1" t="s">
        <v>3780</v>
      </c>
      <c r="N3175" s="1" t="s">
        <v>3781</v>
      </c>
      <c r="P3175" s="1" t="s">
        <v>4696</v>
      </c>
      <c r="Q3175" s="3">
        <v>0</v>
      </c>
      <c r="R3175" s="22" t="s">
        <v>2724</v>
      </c>
      <c r="S3175" s="42" t="s">
        <v>6909</v>
      </c>
      <c r="T3175" s="3" t="s">
        <v>4868</v>
      </c>
      <c r="U3175" s="45">
        <v>35</v>
      </c>
      <c r="V3175" t="s">
        <v>8125</v>
      </c>
      <c r="W3175" s="1" t="str">
        <f>HYPERLINK("http://ictvonline.org/taxonomy/p/taxonomy-history?taxnode_id=201903595","ICTVonline=201903595")</f>
        <v>ICTVonline=201903595</v>
      </c>
    </row>
    <row r="3176" spans="1:23">
      <c r="A3176" s="3">
        <v>3175</v>
      </c>
      <c r="B3176" s="1" t="s">
        <v>8017</v>
      </c>
      <c r="D3176" s="1" t="s">
        <v>8049</v>
      </c>
      <c r="F3176" s="1" t="s">
        <v>8122</v>
      </c>
      <c r="H3176" s="1" t="s">
        <v>8143</v>
      </c>
      <c r="J3176" s="1" t="s">
        <v>8144</v>
      </c>
      <c r="L3176" s="1" t="s">
        <v>3780</v>
      </c>
      <c r="N3176" s="1" t="s">
        <v>4697</v>
      </c>
      <c r="P3176" s="1" t="s">
        <v>4698</v>
      </c>
      <c r="Q3176" s="3">
        <v>1</v>
      </c>
      <c r="R3176" s="22" t="s">
        <v>2724</v>
      </c>
      <c r="S3176" s="42" t="s">
        <v>6909</v>
      </c>
      <c r="T3176" s="3" t="s">
        <v>4868</v>
      </c>
      <c r="U3176" s="45">
        <v>35</v>
      </c>
      <c r="V3176" t="s">
        <v>8125</v>
      </c>
      <c r="W3176" s="1" t="str">
        <f>HYPERLINK("http://ictvonline.org/taxonomy/p/taxonomy-history?taxnode_id=201903597","ICTVonline=201903597")</f>
        <v>ICTVonline=201903597</v>
      </c>
    </row>
    <row r="3177" spans="1:23">
      <c r="A3177" s="3">
        <v>3176</v>
      </c>
      <c r="B3177" s="1" t="s">
        <v>8017</v>
      </c>
      <c r="D3177" s="1" t="s">
        <v>8049</v>
      </c>
      <c r="F3177" s="1" t="s">
        <v>8122</v>
      </c>
      <c r="H3177" s="1" t="s">
        <v>8143</v>
      </c>
      <c r="J3177" s="1" t="s">
        <v>8144</v>
      </c>
      <c r="L3177" s="1" t="s">
        <v>3780</v>
      </c>
      <c r="N3177" s="1" t="s">
        <v>4699</v>
      </c>
      <c r="P3177" s="1" t="s">
        <v>4700</v>
      </c>
      <c r="Q3177" s="3">
        <v>0</v>
      </c>
      <c r="R3177" s="22" t="s">
        <v>2724</v>
      </c>
      <c r="S3177" s="42" t="s">
        <v>6909</v>
      </c>
      <c r="T3177" s="3" t="s">
        <v>4868</v>
      </c>
      <c r="U3177" s="45">
        <v>35</v>
      </c>
      <c r="V3177" t="s">
        <v>8125</v>
      </c>
      <c r="W3177" s="1" t="str">
        <f>HYPERLINK("http://ictvonline.org/taxonomy/p/taxonomy-history?taxnode_id=201903599","ICTVonline=201903599")</f>
        <v>ICTVonline=201903599</v>
      </c>
    </row>
    <row r="3178" spans="1:23">
      <c r="A3178" s="3">
        <v>3177</v>
      </c>
      <c r="B3178" s="1" t="s">
        <v>8017</v>
      </c>
      <c r="D3178" s="1" t="s">
        <v>8049</v>
      </c>
      <c r="F3178" s="1" t="s">
        <v>8122</v>
      </c>
      <c r="H3178" s="1" t="s">
        <v>8143</v>
      </c>
      <c r="J3178" s="1" t="s">
        <v>8144</v>
      </c>
      <c r="L3178" s="1" t="s">
        <v>3780</v>
      </c>
      <c r="N3178" s="1" t="s">
        <v>4699</v>
      </c>
      <c r="P3178" s="1" t="s">
        <v>4701</v>
      </c>
      <c r="Q3178" s="3">
        <v>0</v>
      </c>
      <c r="R3178" s="22" t="s">
        <v>2724</v>
      </c>
      <c r="S3178" s="42" t="s">
        <v>6909</v>
      </c>
      <c r="T3178" s="3" t="s">
        <v>4868</v>
      </c>
      <c r="U3178" s="45">
        <v>35</v>
      </c>
      <c r="V3178" t="s">
        <v>8125</v>
      </c>
      <c r="W3178" s="1" t="str">
        <f>HYPERLINK("http://ictvonline.org/taxonomy/p/taxonomy-history?taxnode_id=201903600","ICTVonline=201903600")</f>
        <v>ICTVonline=201903600</v>
      </c>
    </row>
    <row r="3179" spans="1:23">
      <c r="A3179" s="3">
        <v>3178</v>
      </c>
      <c r="B3179" s="1" t="s">
        <v>8017</v>
      </c>
      <c r="D3179" s="1" t="s">
        <v>8049</v>
      </c>
      <c r="F3179" s="1" t="s">
        <v>8122</v>
      </c>
      <c r="H3179" s="1" t="s">
        <v>8143</v>
      </c>
      <c r="J3179" s="1" t="s">
        <v>8144</v>
      </c>
      <c r="L3179" s="1" t="s">
        <v>3780</v>
      </c>
      <c r="N3179" s="1" t="s">
        <v>4699</v>
      </c>
      <c r="P3179" s="1" t="s">
        <v>4702</v>
      </c>
      <c r="Q3179" s="3">
        <v>0</v>
      </c>
      <c r="R3179" s="22" t="s">
        <v>2724</v>
      </c>
      <c r="S3179" s="42" t="s">
        <v>6909</v>
      </c>
      <c r="T3179" s="3" t="s">
        <v>4868</v>
      </c>
      <c r="U3179" s="45">
        <v>35</v>
      </c>
      <c r="V3179" t="s">
        <v>8125</v>
      </c>
      <c r="W3179" s="1" t="str">
        <f>HYPERLINK("http://ictvonline.org/taxonomy/p/taxonomy-history?taxnode_id=201903601","ICTVonline=201903601")</f>
        <v>ICTVonline=201903601</v>
      </c>
    </row>
    <row r="3180" spans="1:23">
      <c r="A3180" s="3">
        <v>3179</v>
      </c>
      <c r="B3180" s="1" t="s">
        <v>8017</v>
      </c>
      <c r="D3180" s="1" t="s">
        <v>8049</v>
      </c>
      <c r="F3180" s="1" t="s">
        <v>8122</v>
      </c>
      <c r="H3180" s="1" t="s">
        <v>8143</v>
      </c>
      <c r="J3180" s="1" t="s">
        <v>8144</v>
      </c>
      <c r="L3180" s="1" t="s">
        <v>3780</v>
      </c>
      <c r="N3180" s="1" t="s">
        <v>4699</v>
      </c>
      <c r="P3180" s="1" t="s">
        <v>4703</v>
      </c>
      <c r="Q3180" s="3">
        <v>0</v>
      </c>
      <c r="R3180" s="22" t="s">
        <v>2724</v>
      </c>
      <c r="S3180" s="42" t="s">
        <v>6909</v>
      </c>
      <c r="T3180" s="3" t="s">
        <v>4868</v>
      </c>
      <c r="U3180" s="45">
        <v>35</v>
      </c>
      <c r="V3180" t="s">
        <v>8125</v>
      </c>
      <c r="W3180" s="1" t="str">
        <f>HYPERLINK("http://ictvonline.org/taxonomy/p/taxonomy-history?taxnode_id=201903602","ICTVonline=201903602")</f>
        <v>ICTVonline=201903602</v>
      </c>
    </row>
    <row r="3181" spans="1:23">
      <c r="A3181" s="3">
        <v>3180</v>
      </c>
      <c r="B3181" s="1" t="s">
        <v>8017</v>
      </c>
      <c r="D3181" s="1" t="s">
        <v>8049</v>
      </c>
      <c r="F3181" s="1" t="s">
        <v>8122</v>
      </c>
      <c r="H3181" s="1" t="s">
        <v>8143</v>
      </c>
      <c r="J3181" s="1" t="s">
        <v>8144</v>
      </c>
      <c r="L3181" s="1" t="s">
        <v>3780</v>
      </c>
      <c r="N3181" s="1" t="s">
        <v>4699</v>
      </c>
      <c r="P3181" s="1" t="s">
        <v>4704</v>
      </c>
      <c r="Q3181" s="3">
        <v>1</v>
      </c>
      <c r="R3181" s="22" t="s">
        <v>2724</v>
      </c>
      <c r="S3181" s="42" t="s">
        <v>6909</v>
      </c>
      <c r="T3181" s="3" t="s">
        <v>4868</v>
      </c>
      <c r="U3181" s="45">
        <v>35</v>
      </c>
      <c r="V3181" t="s">
        <v>8125</v>
      </c>
      <c r="W3181" s="1" t="str">
        <f>HYPERLINK("http://ictvonline.org/taxonomy/p/taxonomy-history?taxnode_id=201903603","ICTVonline=201903603")</f>
        <v>ICTVonline=201903603</v>
      </c>
    </row>
    <row r="3182" spans="1:23">
      <c r="A3182" s="3">
        <v>3181</v>
      </c>
      <c r="B3182" s="1" t="s">
        <v>8017</v>
      </c>
      <c r="D3182" s="1" t="s">
        <v>8049</v>
      </c>
      <c r="F3182" s="1" t="s">
        <v>8122</v>
      </c>
      <c r="H3182" s="1" t="s">
        <v>8143</v>
      </c>
      <c r="J3182" s="1" t="s">
        <v>8144</v>
      </c>
      <c r="L3182" s="1" t="s">
        <v>3780</v>
      </c>
      <c r="N3182" s="1" t="s">
        <v>4705</v>
      </c>
      <c r="P3182" s="1" t="s">
        <v>4706</v>
      </c>
      <c r="Q3182" s="3">
        <v>0</v>
      </c>
      <c r="R3182" s="22" t="s">
        <v>2724</v>
      </c>
      <c r="S3182" s="42" t="s">
        <v>6909</v>
      </c>
      <c r="T3182" s="3" t="s">
        <v>4868</v>
      </c>
      <c r="U3182" s="45">
        <v>35</v>
      </c>
      <c r="V3182" t="s">
        <v>8125</v>
      </c>
      <c r="W3182" s="1" t="str">
        <f>HYPERLINK("http://ictvonline.org/taxonomy/p/taxonomy-history?taxnode_id=201903605","ICTVonline=201903605")</f>
        <v>ICTVonline=201903605</v>
      </c>
    </row>
    <row r="3183" spans="1:23">
      <c r="A3183" s="3">
        <v>3182</v>
      </c>
      <c r="B3183" s="1" t="s">
        <v>8017</v>
      </c>
      <c r="D3183" s="1" t="s">
        <v>8049</v>
      </c>
      <c r="F3183" s="1" t="s">
        <v>8122</v>
      </c>
      <c r="H3183" s="1" t="s">
        <v>8143</v>
      </c>
      <c r="J3183" s="1" t="s">
        <v>8144</v>
      </c>
      <c r="L3183" s="1" t="s">
        <v>3780</v>
      </c>
      <c r="N3183" s="1" t="s">
        <v>4705</v>
      </c>
      <c r="P3183" s="1" t="s">
        <v>4707</v>
      </c>
      <c r="Q3183" s="3">
        <v>0</v>
      </c>
      <c r="R3183" s="22" t="s">
        <v>2724</v>
      </c>
      <c r="S3183" s="42" t="s">
        <v>6909</v>
      </c>
      <c r="T3183" s="3" t="s">
        <v>4868</v>
      </c>
      <c r="U3183" s="45">
        <v>35</v>
      </c>
      <c r="V3183" t="s">
        <v>8125</v>
      </c>
      <c r="W3183" s="1" t="str">
        <f>HYPERLINK("http://ictvonline.org/taxonomy/p/taxonomy-history?taxnode_id=201903606","ICTVonline=201903606")</f>
        <v>ICTVonline=201903606</v>
      </c>
    </row>
    <row r="3184" spans="1:23">
      <c r="A3184" s="3">
        <v>3183</v>
      </c>
      <c r="B3184" s="1" t="s">
        <v>8017</v>
      </c>
      <c r="D3184" s="1" t="s">
        <v>8049</v>
      </c>
      <c r="F3184" s="1" t="s">
        <v>8122</v>
      </c>
      <c r="H3184" s="1" t="s">
        <v>8143</v>
      </c>
      <c r="J3184" s="1" t="s">
        <v>8144</v>
      </c>
      <c r="L3184" s="1" t="s">
        <v>3780</v>
      </c>
      <c r="N3184" s="1" t="s">
        <v>4705</v>
      </c>
      <c r="P3184" s="1" t="s">
        <v>4708</v>
      </c>
      <c r="Q3184" s="3">
        <v>0</v>
      </c>
      <c r="R3184" s="22" t="s">
        <v>2724</v>
      </c>
      <c r="S3184" s="42" t="s">
        <v>6909</v>
      </c>
      <c r="T3184" s="3" t="s">
        <v>4868</v>
      </c>
      <c r="U3184" s="45">
        <v>35</v>
      </c>
      <c r="V3184" t="s">
        <v>8125</v>
      </c>
      <c r="W3184" s="1" t="str">
        <f>HYPERLINK("http://ictvonline.org/taxonomy/p/taxonomy-history?taxnode_id=201903607","ICTVonline=201903607")</f>
        <v>ICTVonline=201903607</v>
      </c>
    </row>
    <row r="3185" spans="1:23">
      <c r="A3185" s="3">
        <v>3184</v>
      </c>
      <c r="B3185" s="1" t="s">
        <v>8017</v>
      </c>
      <c r="D3185" s="1" t="s">
        <v>8049</v>
      </c>
      <c r="F3185" s="1" t="s">
        <v>8122</v>
      </c>
      <c r="H3185" s="1" t="s">
        <v>8143</v>
      </c>
      <c r="J3185" s="1" t="s">
        <v>8144</v>
      </c>
      <c r="L3185" s="1" t="s">
        <v>3780</v>
      </c>
      <c r="N3185" s="1" t="s">
        <v>4705</v>
      </c>
      <c r="P3185" s="1" t="s">
        <v>4709</v>
      </c>
      <c r="Q3185" s="3">
        <v>0</v>
      </c>
      <c r="R3185" s="22" t="s">
        <v>2724</v>
      </c>
      <c r="S3185" s="42" t="s">
        <v>6909</v>
      </c>
      <c r="T3185" s="3" t="s">
        <v>4868</v>
      </c>
      <c r="U3185" s="45">
        <v>35</v>
      </c>
      <c r="V3185" t="s">
        <v>8125</v>
      </c>
      <c r="W3185" s="1" t="str">
        <f>HYPERLINK("http://ictvonline.org/taxonomy/p/taxonomy-history?taxnode_id=201903608","ICTVonline=201903608")</f>
        <v>ICTVonline=201903608</v>
      </c>
    </row>
    <row r="3186" spans="1:23">
      <c r="A3186" s="3">
        <v>3185</v>
      </c>
      <c r="B3186" s="1" t="s">
        <v>8017</v>
      </c>
      <c r="D3186" s="1" t="s">
        <v>8049</v>
      </c>
      <c r="F3186" s="1" t="s">
        <v>8122</v>
      </c>
      <c r="H3186" s="1" t="s">
        <v>8143</v>
      </c>
      <c r="J3186" s="1" t="s">
        <v>8144</v>
      </c>
      <c r="L3186" s="1" t="s">
        <v>3780</v>
      </c>
      <c r="N3186" s="1" t="s">
        <v>4705</v>
      </c>
      <c r="P3186" s="1" t="s">
        <v>4710</v>
      </c>
      <c r="Q3186" s="3">
        <v>1</v>
      </c>
      <c r="R3186" s="22" t="s">
        <v>2724</v>
      </c>
      <c r="S3186" s="42" t="s">
        <v>6909</v>
      </c>
      <c r="T3186" s="3" t="s">
        <v>4868</v>
      </c>
      <c r="U3186" s="45">
        <v>35</v>
      </c>
      <c r="V3186" t="s">
        <v>8125</v>
      </c>
      <c r="W3186" s="1" t="str">
        <f>HYPERLINK("http://ictvonline.org/taxonomy/p/taxonomy-history?taxnode_id=201903609","ICTVonline=201903609")</f>
        <v>ICTVonline=201903609</v>
      </c>
    </row>
    <row r="3187" spans="1:23">
      <c r="A3187" s="3">
        <v>3186</v>
      </c>
      <c r="B3187" s="1" t="s">
        <v>8017</v>
      </c>
      <c r="D3187" s="1" t="s">
        <v>8049</v>
      </c>
      <c r="F3187" s="1" t="s">
        <v>8122</v>
      </c>
      <c r="H3187" s="1" t="s">
        <v>8143</v>
      </c>
      <c r="J3187" s="1" t="s">
        <v>8144</v>
      </c>
      <c r="L3187" s="1" t="s">
        <v>3780</v>
      </c>
      <c r="N3187" s="1" t="s">
        <v>4705</v>
      </c>
      <c r="P3187" s="1" t="s">
        <v>4711</v>
      </c>
      <c r="Q3187" s="3">
        <v>0</v>
      </c>
      <c r="R3187" s="22" t="s">
        <v>2724</v>
      </c>
      <c r="S3187" s="42" t="s">
        <v>6909</v>
      </c>
      <c r="T3187" s="3" t="s">
        <v>4868</v>
      </c>
      <c r="U3187" s="45">
        <v>35</v>
      </c>
      <c r="V3187" t="s">
        <v>8125</v>
      </c>
      <c r="W3187" s="1" t="str">
        <f>HYPERLINK("http://ictvonline.org/taxonomy/p/taxonomy-history?taxnode_id=201903610","ICTVonline=201903610")</f>
        <v>ICTVonline=201903610</v>
      </c>
    </row>
    <row r="3188" spans="1:23">
      <c r="A3188" s="3">
        <v>3187</v>
      </c>
      <c r="B3188" s="1" t="s">
        <v>8017</v>
      </c>
      <c r="D3188" s="1" t="s">
        <v>8049</v>
      </c>
      <c r="F3188" s="1" t="s">
        <v>8122</v>
      </c>
      <c r="H3188" s="1" t="s">
        <v>8143</v>
      </c>
      <c r="J3188" s="1" t="s">
        <v>8144</v>
      </c>
      <c r="L3188" s="1" t="s">
        <v>3780</v>
      </c>
      <c r="N3188" s="1" t="s">
        <v>4705</v>
      </c>
      <c r="P3188" s="1" t="s">
        <v>4712</v>
      </c>
      <c r="Q3188" s="3">
        <v>0</v>
      </c>
      <c r="R3188" s="22" t="s">
        <v>2724</v>
      </c>
      <c r="S3188" s="42" t="s">
        <v>6909</v>
      </c>
      <c r="T3188" s="3" t="s">
        <v>4868</v>
      </c>
      <c r="U3188" s="45">
        <v>35</v>
      </c>
      <c r="V3188" t="s">
        <v>8125</v>
      </c>
      <c r="W3188" s="1" t="str">
        <f>HYPERLINK("http://ictvonline.org/taxonomy/p/taxonomy-history?taxnode_id=201903611","ICTVonline=201903611")</f>
        <v>ICTVonline=201903611</v>
      </c>
    </row>
    <row r="3189" spans="1:23">
      <c r="A3189" s="3">
        <v>3188</v>
      </c>
      <c r="B3189" s="1" t="s">
        <v>8017</v>
      </c>
      <c r="D3189" s="1" t="s">
        <v>8049</v>
      </c>
      <c r="F3189" s="1" t="s">
        <v>8122</v>
      </c>
      <c r="H3189" s="1" t="s">
        <v>8143</v>
      </c>
      <c r="J3189" s="1" t="s">
        <v>8144</v>
      </c>
      <c r="L3189" s="1" t="s">
        <v>3780</v>
      </c>
      <c r="N3189" s="1" t="s">
        <v>4705</v>
      </c>
      <c r="P3189" s="1" t="s">
        <v>4713</v>
      </c>
      <c r="Q3189" s="3">
        <v>0</v>
      </c>
      <c r="R3189" s="22" t="s">
        <v>2724</v>
      </c>
      <c r="S3189" s="42" t="s">
        <v>6909</v>
      </c>
      <c r="T3189" s="3" t="s">
        <v>4868</v>
      </c>
      <c r="U3189" s="45">
        <v>35</v>
      </c>
      <c r="V3189" t="s">
        <v>8125</v>
      </c>
      <c r="W3189" s="1" t="str">
        <f>HYPERLINK("http://ictvonline.org/taxonomy/p/taxonomy-history?taxnode_id=201903612","ICTVonline=201903612")</f>
        <v>ICTVonline=201903612</v>
      </c>
    </row>
    <row r="3190" spans="1:23">
      <c r="A3190" s="3">
        <v>3189</v>
      </c>
      <c r="B3190" s="1" t="s">
        <v>8017</v>
      </c>
      <c r="D3190" s="1" t="s">
        <v>8049</v>
      </c>
      <c r="F3190" s="1" t="s">
        <v>8122</v>
      </c>
      <c r="H3190" s="1" t="s">
        <v>8143</v>
      </c>
      <c r="J3190" s="1" t="s">
        <v>8144</v>
      </c>
      <c r="L3190" s="1" t="s">
        <v>3780</v>
      </c>
      <c r="N3190" s="1" t="s">
        <v>4705</v>
      </c>
      <c r="P3190" s="1" t="s">
        <v>4714</v>
      </c>
      <c r="Q3190" s="3">
        <v>0</v>
      </c>
      <c r="R3190" s="22" t="s">
        <v>2724</v>
      </c>
      <c r="S3190" s="42" t="s">
        <v>6909</v>
      </c>
      <c r="T3190" s="3" t="s">
        <v>4868</v>
      </c>
      <c r="U3190" s="45">
        <v>35</v>
      </c>
      <c r="V3190" t="s">
        <v>8125</v>
      </c>
      <c r="W3190" s="1" t="str">
        <f>HYPERLINK("http://ictvonline.org/taxonomy/p/taxonomy-history?taxnode_id=201903613","ICTVonline=201903613")</f>
        <v>ICTVonline=201903613</v>
      </c>
    </row>
    <row r="3191" spans="1:23">
      <c r="A3191" s="3">
        <v>3190</v>
      </c>
      <c r="B3191" s="1" t="s">
        <v>8017</v>
      </c>
      <c r="D3191" s="1" t="s">
        <v>8049</v>
      </c>
      <c r="F3191" s="1" t="s">
        <v>8122</v>
      </c>
      <c r="H3191" s="1" t="s">
        <v>8143</v>
      </c>
      <c r="J3191" s="1" t="s">
        <v>8144</v>
      </c>
      <c r="L3191" s="1" t="s">
        <v>3780</v>
      </c>
      <c r="N3191" s="1" t="s">
        <v>4705</v>
      </c>
      <c r="P3191" s="1" t="s">
        <v>4715</v>
      </c>
      <c r="Q3191" s="3">
        <v>0</v>
      </c>
      <c r="R3191" s="22" t="s">
        <v>2724</v>
      </c>
      <c r="S3191" s="42" t="s">
        <v>6909</v>
      </c>
      <c r="T3191" s="3" t="s">
        <v>4868</v>
      </c>
      <c r="U3191" s="45">
        <v>35</v>
      </c>
      <c r="V3191" t="s">
        <v>8125</v>
      </c>
      <c r="W3191" s="1" t="str">
        <f>HYPERLINK("http://ictvonline.org/taxonomy/p/taxonomy-history?taxnode_id=201903614","ICTVonline=201903614")</f>
        <v>ICTVonline=201903614</v>
      </c>
    </row>
    <row r="3192" spans="1:23">
      <c r="A3192" s="3">
        <v>3191</v>
      </c>
      <c r="B3192" s="1" t="s">
        <v>8017</v>
      </c>
      <c r="D3192" s="1" t="s">
        <v>8049</v>
      </c>
      <c r="F3192" s="1" t="s">
        <v>8122</v>
      </c>
      <c r="H3192" s="1" t="s">
        <v>8143</v>
      </c>
      <c r="J3192" s="1" t="s">
        <v>8144</v>
      </c>
      <c r="L3192" s="1" t="s">
        <v>3780</v>
      </c>
      <c r="N3192" s="1" t="s">
        <v>4705</v>
      </c>
      <c r="P3192" s="1" t="s">
        <v>4716</v>
      </c>
      <c r="Q3192" s="3">
        <v>0</v>
      </c>
      <c r="R3192" s="22" t="s">
        <v>2724</v>
      </c>
      <c r="S3192" s="42" t="s">
        <v>6909</v>
      </c>
      <c r="T3192" s="3" t="s">
        <v>4868</v>
      </c>
      <c r="U3192" s="45">
        <v>35</v>
      </c>
      <c r="V3192" t="s">
        <v>8125</v>
      </c>
      <c r="W3192" s="1" t="str">
        <f>HYPERLINK("http://ictvonline.org/taxonomy/p/taxonomy-history?taxnode_id=201903615","ICTVonline=201903615")</f>
        <v>ICTVonline=201903615</v>
      </c>
    </row>
    <row r="3193" spans="1:23">
      <c r="A3193" s="3">
        <v>3192</v>
      </c>
      <c r="B3193" s="1" t="s">
        <v>8017</v>
      </c>
      <c r="D3193" s="1" t="s">
        <v>8049</v>
      </c>
      <c r="F3193" s="1" t="s">
        <v>8122</v>
      </c>
      <c r="H3193" s="1" t="s">
        <v>8143</v>
      </c>
      <c r="J3193" s="1" t="s">
        <v>8144</v>
      </c>
      <c r="L3193" s="1" t="s">
        <v>3780</v>
      </c>
      <c r="N3193" s="1" t="s">
        <v>4705</v>
      </c>
      <c r="P3193" s="1" t="s">
        <v>4717</v>
      </c>
      <c r="Q3193" s="3">
        <v>0</v>
      </c>
      <c r="R3193" s="22" t="s">
        <v>2724</v>
      </c>
      <c r="S3193" s="42" t="s">
        <v>6909</v>
      </c>
      <c r="T3193" s="3" t="s">
        <v>4868</v>
      </c>
      <c r="U3193" s="45">
        <v>35</v>
      </c>
      <c r="V3193" t="s">
        <v>8125</v>
      </c>
      <c r="W3193" s="1" t="str">
        <f>HYPERLINK("http://ictvonline.org/taxonomy/p/taxonomy-history?taxnode_id=201903616","ICTVonline=201903616")</f>
        <v>ICTVonline=201903616</v>
      </c>
    </row>
    <row r="3194" spans="1:23">
      <c r="A3194" s="3">
        <v>3193</v>
      </c>
      <c r="B3194" s="1" t="s">
        <v>8017</v>
      </c>
      <c r="D3194" s="1" t="s">
        <v>8049</v>
      </c>
      <c r="F3194" s="1" t="s">
        <v>8122</v>
      </c>
      <c r="H3194" s="1" t="s">
        <v>8143</v>
      </c>
      <c r="J3194" s="1" t="s">
        <v>8144</v>
      </c>
      <c r="L3194" s="1" t="s">
        <v>3780</v>
      </c>
      <c r="N3194" s="1" t="s">
        <v>4705</v>
      </c>
      <c r="P3194" s="1" t="s">
        <v>4718</v>
      </c>
      <c r="Q3194" s="3">
        <v>0</v>
      </c>
      <c r="R3194" s="22" t="s">
        <v>2724</v>
      </c>
      <c r="S3194" s="42" t="s">
        <v>6909</v>
      </c>
      <c r="T3194" s="3" t="s">
        <v>4868</v>
      </c>
      <c r="U3194" s="45">
        <v>35</v>
      </c>
      <c r="V3194" t="s">
        <v>8125</v>
      </c>
      <c r="W3194" s="1" t="str">
        <f>HYPERLINK("http://ictvonline.org/taxonomy/p/taxonomy-history?taxnode_id=201903617","ICTVonline=201903617")</f>
        <v>ICTVonline=201903617</v>
      </c>
    </row>
    <row r="3195" spans="1:23">
      <c r="A3195" s="3">
        <v>3194</v>
      </c>
      <c r="B3195" s="1" t="s">
        <v>8017</v>
      </c>
      <c r="D3195" s="1" t="s">
        <v>8049</v>
      </c>
      <c r="F3195" s="1" t="s">
        <v>8122</v>
      </c>
      <c r="H3195" s="1" t="s">
        <v>8143</v>
      </c>
      <c r="J3195" s="1" t="s">
        <v>8144</v>
      </c>
      <c r="L3195" s="1" t="s">
        <v>3780</v>
      </c>
      <c r="N3195" s="1" t="s">
        <v>4705</v>
      </c>
      <c r="P3195" s="1" t="s">
        <v>4719</v>
      </c>
      <c r="Q3195" s="3">
        <v>0</v>
      </c>
      <c r="R3195" s="22" t="s">
        <v>2724</v>
      </c>
      <c r="S3195" s="42" t="s">
        <v>6909</v>
      </c>
      <c r="T3195" s="3" t="s">
        <v>4868</v>
      </c>
      <c r="U3195" s="45">
        <v>35</v>
      </c>
      <c r="V3195" t="s">
        <v>8125</v>
      </c>
      <c r="W3195" s="1" t="str">
        <f>HYPERLINK("http://ictvonline.org/taxonomy/p/taxonomy-history?taxnode_id=201903618","ICTVonline=201903618")</f>
        <v>ICTVonline=201903618</v>
      </c>
    </row>
    <row r="3196" spans="1:23">
      <c r="A3196" s="3">
        <v>3195</v>
      </c>
      <c r="B3196" s="1" t="s">
        <v>8017</v>
      </c>
      <c r="D3196" s="1" t="s">
        <v>8049</v>
      </c>
      <c r="F3196" s="1" t="s">
        <v>8122</v>
      </c>
      <c r="H3196" s="1" t="s">
        <v>8143</v>
      </c>
      <c r="J3196" s="1" t="s">
        <v>8144</v>
      </c>
      <c r="L3196" s="1" t="s">
        <v>3780</v>
      </c>
      <c r="N3196" s="1" t="s">
        <v>4705</v>
      </c>
      <c r="P3196" s="1" t="s">
        <v>4720</v>
      </c>
      <c r="Q3196" s="3">
        <v>0</v>
      </c>
      <c r="R3196" s="22" t="s">
        <v>2724</v>
      </c>
      <c r="S3196" s="42" t="s">
        <v>6909</v>
      </c>
      <c r="T3196" s="3" t="s">
        <v>4868</v>
      </c>
      <c r="U3196" s="45">
        <v>35</v>
      </c>
      <c r="V3196" t="s">
        <v>8125</v>
      </c>
      <c r="W3196" s="1" t="str">
        <f>HYPERLINK("http://ictvonline.org/taxonomy/p/taxonomy-history?taxnode_id=201903619","ICTVonline=201903619")</f>
        <v>ICTVonline=201903619</v>
      </c>
    </row>
    <row r="3197" spans="1:23">
      <c r="A3197" s="3">
        <v>3196</v>
      </c>
      <c r="B3197" s="1" t="s">
        <v>8017</v>
      </c>
      <c r="D3197" s="1" t="s">
        <v>8049</v>
      </c>
      <c r="F3197" s="1" t="s">
        <v>8122</v>
      </c>
      <c r="H3197" s="1" t="s">
        <v>8143</v>
      </c>
      <c r="J3197" s="1" t="s">
        <v>8144</v>
      </c>
      <c r="L3197" s="1" t="s">
        <v>3780</v>
      </c>
      <c r="N3197" s="1" t="s">
        <v>4705</v>
      </c>
      <c r="P3197" s="1" t="s">
        <v>4721</v>
      </c>
      <c r="Q3197" s="3">
        <v>0</v>
      </c>
      <c r="R3197" s="22" t="s">
        <v>2724</v>
      </c>
      <c r="S3197" s="42" t="s">
        <v>6909</v>
      </c>
      <c r="T3197" s="3" t="s">
        <v>4868</v>
      </c>
      <c r="U3197" s="45">
        <v>35</v>
      </c>
      <c r="V3197" t="s">
        <v>8125</v>
      </c>
      <c r="W3197" s="1" t="str">
        <f>HYPERLINK("http://ictvonline.org/taxonomy/p/taxonomy-history?taxnode_id=201903620","ICTVonline=201903620")</f>
        <v>ICTVonline=201903620</v>
      </c>
    </row>
    <row r="3198" spans="1:23">
      <c r="A3198" s="3">
        <v>3197</v>
      </c>
      <c r="B3198" s="1" t="s">
        <v>8017</v>
      </c>
      <c r="D3198" s="1" t="s">
        <v>8049</v>
      </c>
      <c r="F3198" s="1" t="s">
        <v>8122</v>
      </c>
      <c r="H3198" s="1" t="s">
        <v>8143</v>
      </c>
      <c r="J3198" s="1" t="s">
        <v>8144</v>
      </c>
      <c r="L3198" s="1" t="s">
        <v>3780</v>
      </c>
      <c r="N3198" s="1" t="s">
        <v>4722</v>
      </c>
      <c r="P3198" s="1" t="s">
        <v>4723</v>
      </c>
      <c r="Q3198" s="3">
        <v>1</v>
      </c>
      <c r="R3198" s="22" t="s">
        <v>2724</v>
      </c>
      <c r="S3198" s="42" t="s">
        <v>6909</v>
      </c>
      <c r="T3198" s="3" t="s">
        <v>4868</v>
      </c>
      <c r="U3198" s="45">
        <v>35</v>
      </c>
      <c r="V3198" t="s">
        <v>8125</v>
      </c>
      <c r="W3198" s="1" t="str">
        <f>HYPERLINK("http://ictvonline.org/taxonomy/p/taxonomy-history?taxnode_id=201903622","ICTVonline=201903622")</f>
        <v>ICTVonline=201903622</v>
      </c>
    </row>
    <row r="3199" spans="1:23">
      <c r="A3199" s="3">
        <v>3198</v>
      </c>
      <c r="B3199" s="1" t="s">
        <v>8017</v>
      </c>
      <c r="D3199" s="1" t="s">
        <v>8049</v>
      </c>
      <c r="F3199" s="1" t="s">
        <v>8122</v>
      </c>
      <c r="H3199" s="1" t="s">
        <v>8143</v>
      </c>
      <c r="J3199" s="1" t="s">
        <v>8144</v>
      </c>
      <c r="L3199" s="1" t="s">
        <v>3780</v>
      </c>
      <c r="N3199" s="1" t="s">
        <v>4722</v>
      </c>
      <c r="P3199" s="1" t="s">
        <v>4724</v>
      </c>
      <c r="Q3199" s="3">
        <v>0</v>
      </c>
      <c r="R3199" s="22" t="s">
        <v>2724</v>
      </c>
      <c r="S3199" s="42" t="s">
        <v>6909</v>
      </c>
      <c r="T3199" s="3" t="s">
        <v>4868</v>
      </c>
      <c r="U3199" s="45">
        <v>35</v>
      </c>
      <c r="V3199" t="s">
        <v>8125</v>
      </c>
      <c r="W3199" s="1" t="str">
        <f>HYPERLINK("http://ictvonline.org/taxonomy/p/taxonomy-history?taxnode_id=201903623","ICTVonline=201903623")</f>
        <v>ICTVonline=201903623</v>
      </c>
    </row>
    <row r="3200" spans="1:23">
      <c r="A3200" s="3">
        <v>3199</v>
      </c>
      <c r="B3200" s="1" t="s">
        <v>8017</v>
      </c>
      <c r="D3200" s="1" t="s">
        <v>8049</v>
      </c>
      <c r="F3200" s="1" t="s">
        <v>8122</v>
      </c>
      <c r="H3200" s="1" t="s">
        <v>8143</v>
      </c>
      <c r="J3200" s="1" t="s">
        <v>8144</v>
      </c>
      <c r="L3200" s="1" t="s">
        <v>3780</v>
      </c>
      <c r="N3200" s="1" t="s">
        <v>4725</v>
      </c>
      <c r="P3200" s="1" t="s">
        <v>4726</v>
      </c>
      <c r="Q3200" s="3">
        <v>1</v>
      </c>
      <c r="R3200" s="22" t="s">
        <v>2724</v>
      </c>
      <c r="S3200" s="42" t="s">
        <v>6909</v>
      </c>
      <c r="T3200" s="3" t="s">
        <v>4868</v>
      </c>
      <c r="U3200" s="45">
        <v>35</v>
      </c>
      <c r="V3200" t="s">
        <v>8125</v>
      </c>
      <c r="W3200" s="1" t="str">
        <f>HYPERLINK("http://ictvonline.org/taxonomy/p/taxonomy-history?taxnode_id=201903625","ICTVonline=201903625")</f>
        <v>ICTVonline=201903625</v>
      </c>
    </row>
    <row r="3201" spans="1:23">
      <c r="A3201" s="3">
        <v>3200</v>
      </c>
      <c r="B3201" s="1" t="s">
        <v>8017</v>
      </c>
      <c r="D3201" s="1" t="s">
        <v>8049</v>
      </c>
      <c r="F3201" s="1" t="s">
        <v>8122</v>
      </c>
      <c r="H3201" s="1" t="s">
        <v>8143</v>
      </c>
      <c r="J3201" s="1" t="s">
        <v>8144</v>
      </c>
      <c r="L3201" s="1" t="s">
        <v>3780</v>
      </c>
      <c r="N3201" s="1" t="s">
        <v>4725</v>
      </c>
      <c r="P3201" s="1" t="s">
        <v>4727</v>
      </c>
      <c r="Q3201" s="3">
        <v>0</v>
      </c>
      <c r="R3201" s="22" t="s">
        <v>2724</v>
      </c>
      <c r="S3201" s="42" t="s">
        <v>6909</v>
      </c>
      <c r="T3201" s="3" t="s">
        <v>4868</v>
      </c>
      <c r="U3201" s="45">
        <v>35</v>
      </c>
      <c r="V3201" t="s">
        <v>8125</v>
      </c>
      <c r="W3201" s="1" t="str">
        <f>HYPERLINK("http://ictvonline.org/taxonomy/p/taxonomy-history?taxnode_id=201903626","ICTVonline=201903626")</f>
        <v>ICTVonline=201903626</v>
      </c>
    </row>
    <row r="3202" spans="1:23">
      <c r="A3202" s="3">
        <v>3201</v>
      </c>
      <c r="B3202" s="1" t="s">
        <v>8017</v>
      </c>
      <c r="D3202" s="1" t="s">
        <v>8049</v>
      </c>
      <c r="F3202" s="1" t="s">
        <v>8122</v>
      </c>
      <c r="H3202" s="1" t="s">
        <v>8143</v>
      </c>
      <c r="J3202" s="1" t="s">
        <v>8144</v>
      </c>
      <c r="L3202" s="1" t="s">
        <v>3780</v>
      </c>
      <c r="N3202" s="1" t="s">
        <v>4725</v>
      </c>
      <c r="P3202" s="1" t="s">
        <v>4728</v>
      </c>
      <c r="Q3202" s="3">
        <v>0</v>
      </c>
      <c r="R3202" s="22" t="s">
        <v>2724</v>
      </c>
      <c r="S3202" s="42" t="s">
        <v>6909</v>
      </c>
      <c r="T3202" s="3" t="s">
        <v>4868</v>
      </c>
      <c r="U3202" s="45">
        <v>35</v>
      </c>
      <c r="V3202" t="s">
        <v>8125</v>
      </c>
      <c r="W3202" s="1" t="str">
        <f>HYPERLINK("http://ictvonline.org/taxonomy/p/taxonomy-history?taxnode_id=201903627","ICTVonline=201903627")</f>
        <v>ICTVonline=201903627</v>
      </c>
    </row>
    <row r="3203" spans="1:23">
      <c r="A3203" s="3">
        <v>3202</v>
      </c>
      <c r="B3203" s="1" t="s">
        <v>8017</v>
      </c>
      <c r="D3203" s="1" t="s">
        <v>8049</v>
      </c>
      <c r="F3203" s="1" t="s">
        <v>8122</v>
      </c>
      <c r="H3203" s="1" t="s">
        <v>8143</v>
      </c>
      <c r="J3203" s="1" t="s">
        <v>8144</v>
      </c>
      <c r="L3203" s="1" t="s">
        <v>3780</v>
      </c>
      <c r="N3203" s="1" t="s">
        <v>4729</v>
      </c>
      <c r="P3203" s="1" t="s">
        <v>4730</v>
      </c>
      <c r="Q3203" s="3">
        <v>1</v>
      </c>
      <c r="R3203" s="22" t="s">
        <v>2724</v>
      </c>
      <c r="S3203" s="42" t="s">
        <v>6909</v>
      </c>
      <c r="T3203" s="3" t="s">
        <v>4868</v>
      </c>
      <c r="U3203" s="45">
        <v>35</v>
      </c>
      <c r="V3203" t="s">
        <v>8125</v>
      </c>
      <c r="W3203" s="1" t="str">
        <f>HYPERLINK("http://ictvonline.org/taxonomy/p/taxonomy-history?taxnode_id=201903629","ICTVonline=201903629")</f>
        <v>ICTVonline=201903629</v>
      </c>
    </row>
    <row r="3204" spans="1:23">
      <c r="A3204" s="3">
        <v>3203</v>
      </c>
      <c r="B3204" s="1" t="s">
        <v>8017</v>
      </c>
      <c r="D3204" s="1" t="s">
        <v>8049</v>
      </c>
      <c r="F3204" s="1" t="s">
        <v>8122</v>
      </c>
      <c r="H3204" s="1" t="s">
        <v>8143</v>
      </c>
      <c r="J3204" s="1" t="s">
        <v>8144</v>
      </c>
      <c r="L3204" s="1" t="s">
        <v>3780</v>
      </c>
      <c r="N3204" s="1" t="s">
        <v>4731</v>
      </c>
      <c r="P3204" s="1" t="s">
        <v>4732</v>
      </c>
      <c r="Q3204" s="3">
        <v>1</v>
      </c>
      <c r="R3204" s="22" t="s">
        <v>2724</v>
      </c>
      <c r="S3204" s="42" t="s">
        <v>6909</v>
      </c>
      <c r="T3204" s="3" t="s">
        <v>4868</v>
      </c>
      <c r="U3204" s="45">
        <v>35</v>
      </c>
      <c r="V3204" t="s">
        <v>8125</v>
      </c>
      <c r="W3204" s="1" t="str">
        <f>HYPERLINK("http://ictvonline.org/taxonomy/p/taxonomy-history?taxnode_id=201903631","ICTVonline=201903631")</f>
        <v>ICTVonline=201903631</v>
      </c>
    </row>
    <row r="3205" spans="1:23">
      <c r="A3205" s="3">
        <v>3204</v>
      </c>
      <c r="B3205" s="1" t="s">
        <v>8017</v>
      </c>
      <c r="D3205" s="1" t="s">
        <v>8049</v>
      </c>
      <c r="F3205" s="1" t="s">
        <v>8122</v>
      </c>
      <c r="H3205" s="1" t="s">
        <v>8143</v>
      </c>
      <c r="J3205" s="1" t="s">
        <v>8144</v>
      </c>
      <c r="L3205" s="1" t="s">
        <v>3780</v>
      </c>
      <c r="N3205" s="1" t="s">
        <v>4733</v>
      </c>
      <c r="P3205" s="1" t="s">
        <v>4734</v>
      </c>
      <c r="Q3205" s="3">
        <v>1</v>
      </c>
      <c r="R3205" s="22" t="s">
        <v>2724</v>
      </c>
      <c r="S3205" s="42" t="s">
        <v>6909</v>
      </c>
      <c r="T3205" s="3" t="s">
        <v>4868</v>
      </c>
      <c r="U3205" s="45">
        <v>35</v>
      </c>
      <c r="V3205" t="s">
        <v>8125</v>
      </c>
      <c r="W3205" s="1" t="str">
        <f>HYPERLINK("http://ictvonline.org/taxonomy/p/taxonomy-history?taxnode_id=201903633","ICTVonline=201903633")</f>
        <v>ICTVonline=201903633</v>
      </c>
    </row>
    <row r="3206" spans="1:23">
      <c r="A3206" s="3">
        <v>3205</v>
      </c>
      <c r="B3206" s="1" t="s">
        <v>8017</v>
      </c>
      <c r="D3206" s="1" t="s">
        <v>8166</v>
      </c>
      <c r="F3206" s="1" t="s">
        <v>8167</v>
      </c>
      <c r="H3206" s="1" t="s">
        <v>8168</v>
      </c>
      <c r="J3206" s="1" t="s">
        <v>8169</v>
      </c>
      <c r="L3206" s="1" t="s">
        <v>3869</v>
      </c>
      <c r="N3206" s="1" t="s">
        <v>3870</v>
      </c>
      <c r="P3206" s="1" t="s">
        <v>8170</v>
      </c>
      <c r="Q3206" s="3">
        <v>0</v>
      </c>
      <c r="R3206" s="22" t="s">
        <v>8813</v>
      </c>
      <c r="S3206" s="42" t="s">
        <v>6914</v>
      </c>
      <c r="T3206" s="3" t="s">
        <v>4867</v>
      </c>
      <c r="U3206" s="45">
        <v>35</v>
      </c>
      <c r="V3206" t="s">
        <v>8171</v>
      </c>
      <c r="W3206" s="1" t="str">
        <f>HYPERLINK("http://ictvonline.org/taxonomy/p/taxonomy-history?taxnode_id=201904342","ICTVonline=201904342")</f>
        <v>ICTVonline=201904342</v>
      </c>
    </row>
    <row r="3207" spans="1:23">
      <c r="A3207" s="3">
        <v>3206</v>
      </c>
      <c r="B3207" s="1" t="s">
        <v>8017</v>
      </c>
      <c r="D3207" s="1" t="s">
        <v>8166</v>
      </c>
      <c r="F3207" s="1" t="s">
        <v>8167</v>
      </c>
      <c r="H3207" s="1" t="s">
        <v>8168</v>
      </c>
      <c r="J3207" s="1" t="s">
        <v>8169</v>
      </c>
      <c r="L3207" s="1" t="s">
        <v>3869</v>
      </c>
      <c r="N3207" s="1" t="s">
        <v>3870</v>
      </c>
      <c r="P3207" s="1" t="s">
        <v>8172</v>
      </c>
      <c r="Q3207" s="3">
        <v>0</v>
      </c>
      <c r="R3207" s="22" t="s">
        <v>8813</v>
      </c>
      <c r="S3207" s="42" t="s">
        <v>6914</v>
      </c>
      <c r="T3207" s="3" t="s">
        <v>4867</v>
      </c>
      <c r="U3207" s="45">
        <v>35</v>
      </c>
      <c r="V3207" t="s">
        <v>8171</v>
      </c>
      <c r="W3207" s="1" t="str">
        <f>HYPERLINK("http://ictvonline.org/taxonomy/p/taxonomy-history?taxnode_id=201904343","ICTVonline=201904343")</f>
        <v>ICTVonline=201904343</v>
      </c>
    </row>
    <row r="3208" spans="1:23">
      <c r="A3208" s="3">
        <v>3207</v>
      </c>
      <c r="B3208" s="1" t="s">
        <v>8017</v>
      </c>
      <c r="D3208" s="1" t="s">
        <v>8166</v>
      </c>
      <c r="F3208" s="1" t="s">
        <v>8167</v>
      </c>
      <c r="H3208" s="1" t="s">
        <v>8168</v>
      </c>
      <c r="J3208" s="1" t="s">
        <v>8169</v>
      </c>
      <c r="L3208" s="1" t="s">
        <v>3869</v>
      </c>
      <c r="N3208" s="1" t="s">
        <v>3870</v>
      </c>
      <c r="P3208" s="1" t="s">
        <v>8173</v>
      </c>
      <c r="Q3208" s="3">
        <v>1</v>
      </c>
      <c r="R3208" s="22" t="s">
        <v>8813</v>
      </c>
      <c r="S3208" s="42" t="s">
        <v>6914</v>
      </c>
      <c r="T3208" s="3" t="s">
        <v>4867</v>
      </c>
      <c r="U3208" s="45">
        <v>35</v>
      </c>
      <c r="V3208" t="s">
        <v>8171</v>
      </c>
      <c r="W3208" s="1" t="str">
        <f>HYPERLINK("http://ictvonline.org/taxonomy/p/taxonomy-history?taxnode_id=201904344","ICTVonline=201904344")</f>
        <v>ICTVonline=201904344</v>
      </c>
    </row>
    <row r="3209" spans="1:23">
      <c r="A3209" s="3">
        <v>3208</v>
      </c>
      <c r="B3209" s="1" t="s">
        <v>8017</v>
      </c>
      <c r="D3209" s="1" t="s">
        <v>8166</v>
      </c>
      <c r="F3209" s="1" t="s">
        <v>8167</v>
      </c>
      <c r="H3209" s="1" t="s">
        <v>8168</v>
      </c>
      <c r="J3209" s="1" t="s">
        <v>8169</v>
      </c>
      <c r="L3209" s="1" t="s">
        <v>3869</v>
      </c>
      <c r="N3209" s="1" t="s">
        <v>3870</v>
      </c>
      <c r="P3209" s="1" t="s">
        <v>8174</v>
      </c>
      <c r="Q3209" s="3">
        <v>0</v>
      </c>
      <c r="R3209" s="22" t="s">
        <v>8813</v>
      </c>
      <c r="S3209" s="42" t="s">
        <v>6914</v>
      </c>
      <c r="T3209" s="3" t="s">
        <v>4867</v>
      </c>
      <c r="U3209" s="45">
        <v>35</v>
      </c>
      <c r="V3209" t="s">
        <v>8171</v>
      </c>
      <c r="W3209" s="1" t="str">
        <f>HYPERLINK("http://ictvonline.org/taxonomy/p/taxonomy-history?taxnode_id=201904345","ICTVonline=201904345")</f>
        <v>ICTVonline=201904345</v>
      </c>
    </row>
    <row r="3210" spans="1:23">
      <c r="A3210" s="3">
        <v>3209</v>
      </c>
      <c r="B3210" s="1" t="s">
        <v>8017</v>
      </c>
      <c r="D3210" s="1" t="s">
        <v>8166</v>
      </c>
      <c r="F3210" s="1" t="s">
        <v>8167</v>
      </c>
      <c r="H3210" s="1" t="s">
        <v>8168</v>
      </c>
      <c r="J3210" s="1" t="s">
        <v>8169</v>
      </c>
      <c r="L3210" s="1" t="s">
        <v>3869</v>
      </c>
      <c r="N3210" s="1" t="s">
        <v>3870</v>
      </c>
      <c r="P3210" s="1" t="s">
        <v>8175</v>
      </c>
      <c r="Q3210" s="3">
        <v>0</v>
      </c>
      <c r="R3210" s="22" t="s">
        <v>8813</v>
      </c>
      <c r="S3210" s="42" t="s">
        <v>6914</v>
      </c>
      <c r="T3210" s="3" t="s">
        <v>4867</v>
      </c>
      <c r="U3210" s="45">
        <v>35</v>
      </c>
      <c r="V3210" t="s">
        <v>8171</v>
      </c>
      <c r="W3210" s="1" t="str">
        <f>HYPERLINK("http://ictvonline.org/taxonomy/p/taxonomy-history?taxnode_id=201904346","ICTVonline=201904346")</f>
        <v>ICTVonline=201904346</v>
      </c>
    </row>
    <row r="3211" spans="1:23">
      <c r="A3211" s="3">
        <v>3210</v>
      </c>
      <c r="B3211" s="1" t="s">
        <v>8017</v>
      </c>
      <c r="D3211" s="1" t="s">
        <v>8166</v>
      </c>
      <c r="F3211" s="1" t="s">
        <v>8167</v>
      </c>
      <c r="H3211" s="1" t="s">
        <v>8168</v>
      </c>
      <c r="J3211" s="1" t="s">
        <v>8169</v>
      </c>
      <c r="L3211" s="1" t="s">
        <v>3869</v>
      </c>
      <c r="N3211" s="1" t="s">
        <v>3871</v>
      </c>
      <c r="P3211" s="1" t="s">
        <v>8176</v>
      </c>
      <c r="Q3211" s="3">
        <v>0</v>
      </c>
      <c r="R3211" s="22" t="s">
        <v>8813</v>
      </c>
      <c r="S3211" s="42" t="s">
        <v>6914</v>
      </c>
      <c r="T3211" s="3" t="s">
        <v>4867</v>
      </c>
      <c r="U3211" s="45">
        <v>35</v>
      </c>
      <c r="V3211" t="s">
        <v>8171</v>
      </c>
      <c r="W3211" s="1" t="str">
        <f>HYPERLINK("http://ictvonline.org/taxonomy/p/taxonomy-history?taxnode_id=201904348","ICTVonline=201904348")</f>
        <v>ICTVonline=201904348</v>
      </c>
    </row>
    <row r="3212" spans="1:23">
      <c r="A3212" s="3">
        <v>3211</v>
      </c>
      <c r="B3212" s="1" t="s">
        <v>8017</v>
      </c>
      <c r="D3212" s="1" t="s">
        <v>8166</v>
      </c>
      <c r="F3212" s="1" t="s">
        <v>8167</v>
      </c>
      <c r="H3212" s="1" t="s">
        <v>8168</v>
      </c>
      <c r="J3212" s="1" t="s">
        <v>8169</v>
      </c>
      <c r="L3212" s="1" t="s">
        <v>3869</v>
      </c>
      <c r="N3212" s="1" t="s">
        <v>3871</v>
      </c>
      <c r="P3212" s="1" t="s">
        <v>8177</v>
      </c>
      <c r="Q3212" s="3">
        <v>0</v>
      </c>
      <c r="R3212" s="22" t="s">
        <v>8813</v>
      </c>
      <c r="S3212" s="42" t="s">
        <v>6914</v>
      </c>
      <c r="T3212" s="3" t="s">
        <v>4866</v>
      </c>
      <c r="U3212" s="45">
        <v>35</v>
      </c>
      <c r="V3212" t="s">
        <v>8178</v>
      </c>
      <c r="W3212" s="1" t="str">
        <f>HYPERLINK("http://ictvonline.org/taxonomy/p/taxonomy-history?taxnode_id=201908635","ICTVonline=201908635")</f>
        <v>ICTVonline=201908635</v>
      </c>
    </row>
    <row r="3213" spans="1:23">
      <c r="A3213" s="3">
        <v>3212</v>
      </c>
      <c r="B3213" s="1" t="s">
        <v>8017</v>
      </c>
      <c r="D3213" s="1" t="s">
        <v>8166</v>
      </c>
      <c r="F3213" s="1" t="s">
        <v>8167</v>
      </c>
      <c r="H3213" s="1" t="s">
        <v>8168</v>
      </c>
      <c r="J3213" s="1" t="s">
        <v>8169</v>
      </c>
      <c r="L3213" s="1" t="s">
        <v>3869</v>
      </c>
      <c r="N3213" s="1" t="s">
        <v>3871</v>
      </c>
      <c r="P3213" s="1" t="s">
        <v>8179</v>
      </c>
      <c r="Q3213" s="3">
        <v>0</v>
      </c>
      <c r="R3213" s="22" t="s">
        <v>8813</v>
      </c>
      <c r="S3213" s="42" t="s">
        <v>6914</v>
      </c>
      <c r="T3213" s="3" t="s">
        <v>4866</v>
      </c>
      <c r="U3213" s="45">
        <v>35</v>
      </c>
      <c r="V3213" t="s">
        <v>8178</v>
      </c>
      <c r="W3213" s="1" t="str">
        <f>HYPERLINK("http://ictvonline.org/taxonomy/p/taxonomy-history?taxnode_id=201908636","ICTVonline=201908636")</f>
        <v>ICTVonline=201908636</v>
      </c>
    </row>
    <row r="3214" spans="1:23">
      <c r="A3214" s="3">
        <v>3213</v>
      </c>
      <c r="B3214" s="1" t="s">
        <v>8017</v>
      </c>
      <c r="D3214" s="1" t="s">
        <v>8166</v>
      </c>
      <c r="F3214" s="1" t="s">
        <v>8167</v>
      </c>
      <c r="H3214" s="1" t="s">
        <v>8168</v>
      </c>
      <c r="J3214" s="1" t="s">
        <v>8169</v>
      </c>
      <c r="L3214" s="1" t="s">
        <v>3869</v>
      </c>
      <c r="N3214" s="1" t="s">
        <v>3871</v>
      </c>
      <c r="P3214" s="1" t="s">
        <v>8180</v>
      </c>
      <c r="Q3214" s="3">
        <v>1</v>
      </c>
      <c r="R3214" s="22" t="s">
        <v>8813</v>
      </c>
      <c r="S3214" s="42" t="s">
        <v>6914</v>
      </c>
      <c r="T3214" s="3" t="s">
        <v>4867</v>
      </c>
      <c r="U3214" s="45">
        <v>35</v>
      </c>
      <c r="V3214" t="s">
        <v>8171</v>
      </c>
      <c r="W3214" s="1" t="str">
        <f>HYPERLINK("http://ictvonline.org/taxonomy/p/taxonomy-history?taxnode_id=201904349","ICTVonline=201904349")</f>
        <v>ICTVonline=201904349</v>
      </c>
    </row>
    <row r="3215" spans="1:23">
      <c r="A3215" s="3">
        <v>3214</v>
      </c>
      <c r="B3215" s="1" t="s">
        <v>8017</v>
      </c>
      <c r="D3215" s="1" t="s">
        <v>8166</v>
      </c>
      <c r="F3215" s="1" t="s">
        <v>8167</v>
      </c>
      <c r="H3215" s="1" t="s">
        <v>8168</v>
      </c>
      <c r="J3215" s="1" t="s">
        <v>8169</v>
      </c>
      <c r="L3215" s="1" t="s">
        <v>3869</v>
      </c>
      <c r="N3215" s="1" t="s">
        <v>3871</v>
      </c>
      <c r="P3215" s="1" t="s">
        <v>8181</v>
      </c>
      <c r="Q3215" s="3">
        <v>0</v>
      </c>
      <c r="R3215" s="22" t="s">
        <v>8813</v>
      </c>
      <c r="S3215" s="42" t="s">
        <v>6914</v>
      </c>
      <c r="T3215" s="3" t="s">
        <v>4866</v>
      </c>
      <c r="U3215" s="45">
        <v>35</v>
      </c>
      <c r="V3215" t="s">
        <v>8178</v>
      </c>
      <c r="W3215" s="1" t="str">
        <f>HYPERLINK("http://ictvonline.org/taxonomy/p/taxonomy-history?taxnode_id=201908637","ICTVonline=201908637")</f>
        <v>ICTVonline=201908637</v>
      </c>
    </row>
    <row r="3216" spans="1:23">
      <c r="A3216" s="3">
        <v>3215</v>
      </c>
      <c r="B3216" s="1" t="s">
        <v>8017</v>
      </c>
      <c r="D3216" s="1" t="s">
        <v>8166</v>
      </c>
      <c r="F3216" s="1" t="s">
        <v>8167</v>
      </c>
      <c r="H3216" s="1" t="s">
        <v>8168</v>
      </c>
      <c r="J3216" s="1" t="s">
        <v>8169</v>
      </c>
      <c r="L3216" s="1" t="s">
        <v>3869</v>
      </c>
      <c r="N3216" s="1" t="s">
        <v>3871</v>
      </c>
      <c r="P3216" s="1" t="s">
        <v>8182</v>
      </c>
      <c r="Q3216" s="3">
        <v>0</v>
      </c>
      <c r="R3216" s="22" t="s">
        <v>8813</v>
      </c>
      <c r="S3216" s="42" t="s">
        <v>6914</v>
      </c>
      <c r="T3216" s="3" t="s">
        <v>4866</v>
      </c>
      <c r="U3216" s="45">
        <v>35</v>
      </c>
      <c r="V3216" t="s">
        <v>8178</v>
      </c>
      <c r="W3216" s="1" t="str">
        <f>HYPERLINK("http://ictvonline.org/taxonomy/p/taxonomy-history?taxnode_id=201908638","ICTVonline=201908638")</f>
        <v>ICTVonline=201908638</v>
      </c>
    </row>
    <row r="3217" spans="1:23">
      <c r="A3217" s="3">
        <v>3216</v>
      </c>
      <c r="B3217" s="1" t="s">
        <v>8017</v>
      </c>
      <c r="D3217" s="1" t="s">
        <v>8166</v>
      </c>
      <c r="F3217" s="1" t="s">
        <v>8167</v>
      </c>
      <c r="H3217" s="1" t="s">
        <v>8168</v>
      </c>
      <c r="J3217" s="1" t="s">
        <v>8169</v>
      </c>
      <c r="L3217" s="1" t="s">
        <v>3869</v>
      </c>
      <c r="N3217" s="1" t="s">
        <v>3871</v>
      </c>
      <c r="P3217" s="1" t="s">
        <v>8183</v>
      </c>
      <c r="Q3217" s="3">
        <v>0</v>
      </c>
      <c r="R3217" s="22" t="s">
        <v>8813</v>
      </c>
      <c r="S3217" s="42" t="s">
        <v>6914</v>
      </c>
      <c r="T3217" s="3" t="s">
        <v>4866</v>
      </c>
      <c r="U3217" s="45">
        <v>35</v>
      </c>
      <c r="V3217" t="s">
        <v>8178</v>
      </c>
      <c r="W3217" s="1" t="str">
        <f>HYPERLINK("http://ictvonline.org/taxonomy/p/taxonomy-history?taxnode_id=201908639","ICTVonline=201908639")</f>
        <v>ICTVonline=201908639</v>
      </c>
    </row>
    <row r="3218" spans="1:23">
      <c r="A3218" s="3">
        <v>3217</v>
      </c>
      <c r="B3218" s="1" t="s">
        <v>8017</v>
      </c>
      <c r="D3218" s="1" t="s">
        <v>8166</v>
      </c>
      <c r="F3218" s="1" t="s">
        <v>8167</v>
      </c>
      <c r="H3218" s="1" t="s">
        <v>8168</v>
      </c>
      <c r="J3218" s="1" t="s">
        <v>8169</v>
      </c>
      <c r="L3218" s="1" t="s">
        <v>3869</v>
      </c>
      <c r="N3218" s="1" t="s">
        <v>3871</v>
      </c>
      <c r="P3218" s="1" t="s">
        <v>8184</v>
      </c>
      <c r="Q3218" s="3">
        <v>0</v>
      </c>
      <c r="R3218" s="22" t="s">
        <v>8813</v>
      </c>
      <c r="S3218" s="42" t="s">
        <v>6914</v>
      </c>
      <c r="T3218" s="3" t="s">
        <v>4866</v>
      </c>
      <c r="U3218" s="45">
        <v>35</v>
      </c>
      <c r="V3218" t="s">
        <v>8178</v>
      </c>
      <c r="W3218" s="1" t="str">
        <f>HYPERLINK("http://ictvonline.org/taxonomy/p/taxonomy-history?taxnode_id=201908640","ICTVonline=201908640")</f>
        <v>ICTVonline=201908640</v>
      </c>
    </row>
    <row r="3219" spans="1:23">
      <c r="A3219" s="3">
        <v>3218</v>
      </c>
      <c r="B3219" s="1" t="s">
        <v>8017</v>
      </c>
      <c r="D3219" s="1" t="s">
        <v>8166</v>
      </c>
      <c r="F3219" s="1" t="s">
        <v>8167</v>
      </c>
      <c r="H3219" s="1" t="s">
        <v>8168</v>
      </c>
      <c r="J3219" s="1" t="s">
        <v>8169</v>
      </c>
      <c r="L3219" s="1" t="s">
        <v>3869</v>
      </c>
      <c r="N3219" s="1" t="s">
        <v>3871</v>
      </c>
      <c r="P3219" s="1" t="s">
        <v>8185</v>
      </c>
      <c r="Q3219" s="3">
        <v>0</v>
      </c>
      <c r="R3219" s="22" t="s">
        <v>8813</v>
      </c>
      <c r="S3219" s="42" t="s">
        <v>6914</v>
      </c>
      <c r="T3219" s="3" t="s">
        <v>4866</v>
      </c>
      <c r="U3219" s="45">
        <v>35</v>
      </c>
      <c r="V3219" t="s">
        <v>8178</v>
      </c>
      <c r="W3219" s="1" t="str">
        <f>HYPERLINK("http://ictvonline.org/taxonomy/p/taxonomy-history?taxnode_id=201908641","ICTVonline=201908641")</f>
        <v>ICTVonline=201908641</v>
      </c>
    </row>
    <row r="3220" spans="1:23">
      <c r="A3220" s="3">
        <v>3219</v>
      </c>
      <c r="B3220" s="1" t="s">
        <v>8017</v>
      </c>
      <c r="D3220" s="1" t="s">
        <v>8166</v>
      </c>
      <c r="F3220" s="1" t="s">
        <v>8167</v>
      </c>
      <c r="H3220" s="1" t="s">
        <v>8168</v>
      </c>
      <c r="J3220" s="1" t="s">
        <v>8169</v>
      </c>
      <c r="L3220" s="1" t="s">
        <v>3869</v>
      </c>
      <c r="N3220" s="1" t="s">
        <v>3872</v>
      </c>
      <c r="P3220" s="1" t="s">
        <v>8186</v>
      </c>
      <c r="Q3220" s="3">
        <v>1</v>
      </c>
      <c r="R3220" s="22" t="s">
        <v>8813</v>
      </c>
      <c r="S3220" s="42" t="s">
        <v>6914</v>
      </c>
      <c r="T3220" s="3" t="s">
        <v>4867</v>
      </c>
      <c r="U3220" s="45">
        <v>35</v>
      </c>
      <c r="V3220" t="s">
        <v>8171</v>
      </c>
      <c r="W3220" s="1" t="str">
        <f>HYPERLINK("http://ictvonline.org/taxonomy/p/taxonomy-history?taxnode_id=201904351","ICTVonline=201904351")</f>
        <v>ICTVonline=201904351</v>
      </c>
    </row>
    <row r="3221" spans="1:23">
      <c r="A3221" s="3">
        <v>3220</v>
      </c>
      <c r="B3221" s="1" t="s">
        <v>5910</v>
      </c>
      <c r="D3221" s="1" t="s">
        <v>8187</v>
      </c>
      <c r="F3221" s="1" t="s">
        <v>8188</v>
      </c>
      <c r="H3221" s="1" t="s">
        <v>8189</v>
      </c>
      <c r="J3221" s="1" t="s">
        <v>8190</v>
      </c>
      <c r="L3221" s="1" t="s">
        <v>752</v>
      </c>
      <c r="N3221" s="1" t="s">
        <v>6162</v>
      </c>
      <c r="P3221" s="1" t="s">
        <v>2209</v>
      </c>
      <c r="Q3221" s="3">
        <v>0</v>
      </c>
      <c r="R3221" s="22" t="s">
        <v>2725</v>
      </c>
      <c r="S3221" s="42" t="s">
        <v>6912</v>
      </c>
      <c r="T3221" s="3" t="s">
        <v>4868</v>
      </c>
      <c r="U3221" s="45">
        <v>35</v>
      </c>
      <c r="V3221" t="s">
        <v>8191</v>
      </c>
      <c r="W3221" s="1" t="str">
        <f>HYPERLINK("http://ictvonline.org/taxonomy/p/taxonomy-history?taxnode_id=201902891","ICTVonline=201902891")</f>
        <v>ICTVonline=201902891</v>
      </c>
    </row>
    <row r="3222" spans="1:23">
      <c r="A3222" s="3">
        <v>3221</v>
      </c>
      <c r="B3222" s="1" t="s">
        <v>5910</v>
      </c>
      <c r="D3222" s="1" t="s">
        <v>8187</v>
      </c>
      <c r="F3222" s="1" t="s">
        <v>8188</v>
      </c>
      <c r="H3222" s="1" t="s">
        <v>8189</v>
      </c>
      <c r="J3222" s="1" t="s">
        <v>8190</v>
      </c>
      <c r="L3222" s="1" t="s">
        <v>752</v>
      </c>
      <c r="N3222" s="1" t="s">
        <v>6162</v>
      </c>
      <c r="P3222" s="1" t="s">
        <v>6163</v>
      </c>
      <c r="Q3222" s="3">
        <v>0</v>
      </c>
      <c r="R3222" s="22" t="s">
        <v>2725</v>
      </c>
      <c r="S3222" s="42" t="s">
        <v>6912</v>
      </c>
      <c r="T3222" s="3" t="s">
        <v>4868</v>
      </c>
      <c r="U3222" s="45">
        <v>35</v>
      </c>
      <c r="V3222" t="s">
        <v>8191</v>
      </c>
      <c r="W3222" s="1" t="str">
        <f>HYPERLINK("http://ictvonline.org/taxonomy/p/taxonomy-history?taxnode_id=201906297","ICTVonline=201906297")</f>
        <v>ICTVonline=201906297</v>
      </c>
    </row>
    <row r="3223" spans="1:23">
      <c r="A3223" s="3">
        <v>3222</v>
      </c>
      <c r="B3223" s="1" t="s">
        <v>5910</v>
      </c>
      <c r="D3223" s="1" t="s">
        <v>8187</v>
      </c>
      <c r="F3223" s="1" t="s">
        <v>8188</v>
      </c>
      <c r="H3223" s="1" t="s">
        <v>8189</v>
      </c>
      <c r="J3223" s="1" t="s">
        <v>8190</v>
      </c>
      <c r="L3223" s="1" t="s">
        <v>752</v>
      </c>
      <c r="N3223" s="1" t="s">
        <v>6162</v>
      </c>
      <c r="P3223" s="1" t="s">
        <v>2210</v>
      </c>
      <c r="Q3223" s="3">
        <v>0</v>
      </c>
      <c r="R3223" s="22" t="s">
        <v>2725</v>
      </c>
      <c r="S3223" s="42" t="s">
        <v>6912</v>
      </c>
      <c r="T3223" s="3" t="s">
        <v>4868</v>
      </c>
      <c r="U3223" s="45">
        <v>35</v>
      </c>
      <c r="V3223" t="s">
        <v>8191</v>
      </c>
      <c r="W3223" s="1" t="str">
        <f>HYPERLINK("http://ictvonline.org/taxonomy/p/taxonomy-history?taxnode_id=201902892","ICTVonline=201902892")</f>
        <v>ICTVonline=201902892</v>
      </c>
    </row>
    <row r="3224" spans="1:23">
      <c r="A3224" s="3">
        <v>3223</v>
      </c>
      <c r="B3224" s="1" t="s">
        <v>5910</v>
      </c>
      <c r="D3224" s="1" t="s">
        <v>8187</v>
      </c>
      <c r="F3224" s="1" t="s">
        <v>8188</v>
      </c>
      <c r="H3224" s="1" t="s">
        <v>8189</v>
      </c>
      <c r="J3224" s="1" t="s">
        <v>8190</v>
      </c>
      <c r="L3224" s="1" t="s">
        <v>752</v>
      </c>
      <c r="N3224" s="1" t="s">
        <v>6162</v>
      </c>
      <c r="P3224" s="1" t="s">
        <v>6164</v>
      </c>
      <c r="Q3224" s="3">
        <v>0</v>
      </c>
      <c r="R3224" s="22" t="s">
        <v>2725</v>
      </c>
      <c r="S3224" s="42" t="s">
        <v>6912</v>
      </c>
      <c r="T3224" s="3" t="s">
        <v>4868</v>
      </c>
      <c r="U3224" s="45">
        <v>35</v>
      </c>
      <c r="V3224" t="s">
        <v>8191</v>
      </c>
      <c r="W3224" s="1" t="str">
        <f>HYPERLINK("http://ictvonline.org/taxonomy/p/taxonomy-history?taxnode_id=201906298","ICTVonline=201906298")</f>
        <v>ICTVonline=201906298</v>
      </c>
    </row>
    <row r="3225" spans="1:23">
      <c r="A3225" s="3">
        <v>3224</v>
      </c>
      <c r="B3225" s="1" t="s">
        <v>5910</v>
      </c>
      <c r="D3225" s="1" t="s">
        <v>8187</v>
      </c>
      <c r="F3225" s="1" t="s">
        <v>8188</v>
      </c>
      <c r="H3225" s="1" t="s">
        <v>8189</v>
      </c>
      <c r="J3225" s="1" t="s">
        <v>8190</v>
      </c>
      <c r="L3225" s="1" t="s">
        <v>752</v>
      </c>
      <c r="N3225" s="1" t="s">
        <v>6162</v>
      </c>
      <c r="P3225" s="1" t="s">
        <v>6165</v>
      </c>
      <c r="Q3225" s="3">
        <v>0</v>
      </c>
      <c r="R3225" s="22" t="s">
        <v>2725</v>
      </c>
      <c r="S3225" s="42" t="s">
        <v>6912</v>
      </c>
      <c r="T3225" s="3" t="s">
        <v>4868</v>
      </c>
      <c r="U3225" s="45">
        <v>35</v>
      </c>
      <c r="V3225" t="s">
        <v>8191</v>
      </c>
      <c r="W3225" s="1" t="str">
        <f>HYPERLINK("http://ictvonline.org/taxonomy/p/taxonomy-history?taxnode_id=201906299","ICTVonline=201906299")</f>
        <v>ICTVonline=201906299</v>
      </c>
    </row>
    <row r="3226" spans="1:23">
      <c r="A3226" s="3">
        <v>3225</v>
      </c>
      <c r="B3226" s="1" t="s">
        <v>5910</v>
      </c>
      <c r="D3226" s="1" t="s">
        <v>8187</v>
      </c>
      <c r="F3226" s="1" t="s">
        <v>8188</v>
      </c>
      <c r="H3226" s="1" t="s">
        <v>8189</v>
      </c>
      <c r="J3226" s="1" t="s">
        <v>8190</v>
      </c>
      <c r="L3226" s="1" t="s">
        <v>752</v>
      </c>
      <c r="N3226" s="1" t="s">
        <v>6162</v>
      </c>
      <c r="P3226" s="1" t="s">
        <v>2211</v>
      </c>
      <c r="Q3226" s="3">
        <v>0</v>
      </c>
      <c r="R3226" s="22" t="s">
        <v>2725</v>
      </c>
      <c r="S3226" s="42" t="s">
        <v>6912</v>
      </c>
      <c r="T3226" s="3" t="s">
        <v>4868</v>
      </c>
      <c r="U3226" s="45">
        <v>35</v>
      </c>
      <c r="V3226" t="s">
        <v>8191</v>
      </c>
      <c r="W3226" s="1" t="str">
        <f>HYPERLINK("http://ictvonline.org/taxonomy/p/taxonomy-history?taxnode_id=201902893","ICTVonline=201902893")</f>
        <v>ICTVonline=201902893</v>
      </c>
    </row>
    <row r="3227" spans="1:23">
      <c r="A3227" s="3">
        <v>3226</v>
      </c>
      <c r="B3227" s="1" t="s">
        <v>5910</v>
      </c>
      <c r="D3227" s="1" t="s">
        <v>8187</v>
      </c>
      <c r="F3227" s="1" t="s">
        <v>8188</v>
      </c>
      <c r="H3227" s="1" t="s">
        <v>8189</v>
      </c>
      <c r="J3227" s="1" t="s">
        <v>8190</v>
      </c>
      <c r="L3227" s="1" t="s">
        <v>752</v>
      </c>
      <c r="N3227" s="1" t="s">
        <v>6162</v>
      </c>
      <c r="P3227" s="1" t="s">
        <v>2212</v>
      </c>
      <c r="Q3227" s="3">
        <v>0</v>
      </c>
      <c r="R3227" s="22" t="s">
        <v>2725</v>
      </c>
      <c r="S3227" s="42" t="s">
        <v>6912</v>
      </c>
      <c r="T3227" s="3" t="s">
        <v>4868</v>
      </c>
      <c r="U3227" s="45">
        <v>35</v>
      </c>
      <c r="V3227" t="s">
        <v>8191</v>
      </c>
      <c r="W3227" s="1" t="str">
        <f>HYPERLINK("http://ictvonline.org/taxonomy/p/taxonomy-history?taxnode_id=201902894","ICTVonline=201902894")</f>
        <v>ICTVonline=201902894</v>
      </c>
    </row>
    <row r="3228" spans="1:23">
      <c r="A3228" s="3">
        <v>3227</v>
      </c>
      <c r="B3228" s="1" t="s">
        <v>5910</v>
      </c>
      <c r="D3228" s="1" t="s">
        <v>8187</v>
      </c>
      <c r="F3228" s="1" t="s">
        <v>8188</v>
      </c>
      <c r="H3228" s="1" t="s">
        <v>8189</v>
      </c>
      <c r="J3228" s="1" t="s">
        <v>8190</v>
      </c>
      <c r="L3228" s="1" t="s">
        <v>752</v>
      </c>
      <c r="N3228" s="1" t="s">
        <v>6162</v>
      </c>
      <c r="P3228" s="1" t="s">
        <v>6166</v>
      </c>
      <c r="Q3228" s="3">
        <v>0</v>
      </c>
      <c r="R3228" s="22" t="s">
        <v>2725</v>
      </c>
      <c r="S3228" s="42" t="s">
        <v>6912</v>
      </c>
      <c r="T3228" s="3" t="s">
        <v>4868</v>
      </c>
      <c r="U3228" s="45">
        <v>35</v>
      </c>
      <c r="V3228" t="s">
        <v>8191</v>
      </c>
      <c r="W3228" s="1" t="str">
        <f>HYPERLINK("http://ictvonline.org/taxonomy/p/taxonomy-history?taxnode_id=201902895","ICTVonline=201902895")</f>
        <v>ICTVonline=201902895</v>
      </c>
    </row>
    <row r="3229" spans="1:23">
      <c r="A3229" s="3">
        <v>3228</v>
      </c>
      <c r="B3229" s="1" t="s">
        <v>5910</v>
      </c>
      <c r="D3229" s="1" t="s">
        <v>8187</v>
      </c>
      <c r="F3229" s="1" t="s">
        <v>8188</v>
      </c>
      <c r="H3229" s="1" t="s">
        <v>8189</v>
      </c>
      <c r="J3229" s="1" t="s">
        <v>8190</v>
      </c>
      <c r="L3229" s="1" t="s">
        <v>752</v>
      </c>
      <c r="N3229" s="1" t="s">
        <v>6162</v>
      </c>
      <c r="P3229" s="1" t="s">
        <v>6167</v>
      </c>
      <c r="Q3229" s="3">
        <v>0</v>
      </c>
      <c r="R3229" s="22" t="s">
        <v>2725</v>
      </c>
      <c r="S3229" s="42" t="s">
        <v>6912</v>
      </c>
      <c r="T3229" s="3" t="s">
        <v>4868</v>
      </c>
      <c r="U3229" s="45">
        <v>35</v>
      </c>
      <c r="V3229" t="s">
        <v>8191</v>
      </c>
      <c r="W3229" s="1" t="str">
        <f>HYPERLINK("http://ictvonline.org/taxonomy/p/taxonomy-history?taxnode_id=201906300","ICTVonline=201906300")</f>
        <v>ICTVonline=201906300</v>
      </c>
    </row>
    <row r="3230" spans="1:23">
      <c r="A3230" s="3">
        <v>3229</v>
      </c>
      <c r="B3230" s="1" t="s">
        <v>5910</v>
      </c>
      <c r="D3230" s="1" t="s">
        <v>8187</v>
      </c>
      <c r="F3230" s="1" t="s">
        <v>8188</v>
      </c>
      <c r="H3230" s="1" t="s">
        <v>8189</v>
      </c>
      <c r="J3230" s="1" t="s">
        <v>8190</v>
      </c>
      <c r="L3230" s="1" t="s">
        <v>752</v>
      </c>
      <c r="N3230" s="1" t="s">
        <v>6162</v>
      </c>
      <c r="P3230" s="1" t="s">
        <v>6168</v>
      </c>
      <c r="Q3230" s="3">
        <v>0</v>
      </c>
      <c r="R3230" s="22" t="s">
        <v>2725</v>
      </c>
      <c r="S3230" s="42" t="s">
        <v>6912</v>
      </c>
      <c r="T3230" s="3" t="s">
        <v>4868</v>
      </c>
      <c r="U3230" s="45">
        <v>35</v>
      </c>
      <c r="V3230" t="s">
        <v>8191</v>
      </c>
      <c r="W3230" s="1" t="str">
        <f>HYPERLINK("http://ictvonline.org/taxonomy/p/taxonomy-history?taxnode_id=201906301","ICTVonline=201906301")</f>
        <v>ICTVonline=201906301</v>
      </c>
    </row>
    <row r="3231" spans="1:23">
      <c r="A3231" s="3">
        <v>3230</v>
      </c>
      <c r="B3231" s="1" t="s">
        <v>5910</v>
      </c>
      <c r="D3231" s="1" t="s">
        <v>8187</v>
      </c>
      <c r="F3231" s="1" t="s">
        <v>8188</v>
      </c>
      <c r="H3231" s="1" t="s">
        <v>8189</v>
      </c>
      <c r="J3231" s="1" t="s">
        <v>8190</v>
      </c>
      <c r="L3231" s="1" t="s">
        <v>752</v>
      </c>
      <c r="N3231" s="1" t="s">
        <v>6162</v>
      </c>
      <c r="P3231" s="1" t="s">
        <v>753</v>
      </c>
      <c r="Q3231" s="3">
        <v>0</v>
      </c>
      <c r="R3231" s="22" t="s">
        <v>2725</v>
      </c>
      <c r="S3231" s="42" t="s">
        <v>6912</v>
      </c>
      <c r="T3231" s="3" t="s">
        <v>4868</v>
      </c>
      <c r="U3231" s="45">
        <v>35</v>
      </c>
      <c r="V3231" t="s">
        <v>8191</v>
      </c>
      <c r="W3231" s="1" t="str">
        <f>HYPERLINK("http://ictvonline.org/taxonomy/p/taxonomy-history?taxnode_id=201902896","ICTVonline=201902896")</f>
        <v>ICTVonline=201902896</v>
      </c>
    </row>
    <row r="3232" spans="1:23">
      <c r="A3232" s="3">
        <v>3231</v>
      </c>
      <c r="B3232" s="1" t="s">
        <v>5910</v>
      </c>
      <c r="D3232" s="1" t="s">
        <v>8187</v>
      </c>
      <c r="F3232" s="1" t="s">
        <v>8188</v>
      </c>
      <c r="H3232" s="1" t="s">
        <v>8189</v>
      </c>
      <c r="J3232" s="1" t="s">
        <v>8190</v>
      </c>
      <c r="L3232" s="1" t="s">
        <v>752</v>
      </c>
      <c r="N3232" s="1" t="s">
        <v>6162</v>
      </c>
      <c r="P3232" s="1" t="s">
        <v>754</v>
      </c>
      <c r="Q3232" s="3">
        <v>1</v>
      </c>
      <c r="R3232" s="22" t="s">
        <v>2725</v>
      </c>
      <c r="S3232" s="42" t="s">
        <v>6912</v>
      </c>
      <c r="T3232" s="3" t="s">
        <v>4868</v>
      </c>
      <c r="U3232" s="45">
        <v>35</v>
      </c>
      <c r="V3232" t="s">
        <v>8191</v>
      </c>
      <c r="W3232" s="1" t="str">
        <f>HYPERLINK("http://ictvonline.org/taxonomy/p/taxonomy-history?taxnode_id=201902897","ICTVonline=201902897")</f>
        <v>ICTVonline=201902897</v>
      </c>
    </row>
    <row r="3233" spans="1:23">
      <c r="A3233" s="3">
        <v>3232</v>
      </c>
      <c r="B3233" s="1" t="s">
        <v>5910</v>
      </c>
      <c r="D3233" s="1" t="s">
        <v>8187</v>
      </c>
      <c r="F3233" s="1" t="s">
        <v>8188</v>
      </c>
      <c r="H3233" s="1" t="s">
        <v>8189</v>
      </c>
      <c r="J3233" s="1" t="s">
        <v>8190</v>
      </c>
      <c r="L3233" s="1" t="s">
        <v>752</v>
      </c>
      <c r="N3233" s="1" t="s">
        <v>6162</v>
      </c>
      <c r="P3233" s="1" t="s">
        <v>5310</v>
      </c>
      <c r="Q3233" s="3">
        <v>0</v>
      </c>
      <c r="R3233" s="22" t="s">
        <v>2725</v>
      </c>
      <c r="S3233" s="42" t="s">
        <v>6912</v>
      </c>
      <c r="T3233" s="3" t="s">
        <v>4868</v>
      </c>
      <c r="U3233" s="45">
        <v>35</v>
      </c>
      <c r="V3233" t="s">
        <v>8191</v>
      </c>
      <c r="W3233" s="1" t="str">
        <f>HYPERLINK("http://ictvonline.org/taxonomy/p/taxonomy-history?taxnode_id=201902898","ICTVonline=201902898")</f>
        <v>ICTVonline=201902898</v>
      </c>
    </row>
    <row r="3234" spans="1:23">
      <c r="A3234" s="3">
        <v>3233</v>
      </c>
      <c r="B3234" s="1" t="s">
        <v>5910</v>
      </c>
      <c r="D3234" s="1" t="s">
        <v>8187</v>
      </c>
      <c r="F3234" s="1" t="s">
        <v>8188</v>
      </c>
      <c r="H3234" s="1" t="s">
        <v>8189</v>
      </c>
      <c r="J3234" s="1" t="s">
        <v>8190</v>
      </c>
      <c r="L3234" s="1" t="s">
        <v>752</v>
      </c>
      <c r="N3234" s="1" t="s">
        <v>6162</v>
      </c>
      <c r="P3234" s="1" t="s">
        <v>6169</v>
      </c>
      <c r="Q3234" s="3">
        <v>0</v>
      </c>
      <c r="R3234" s="22" t="s">
        <v>2725</v>
      </c>
      <c r="S3234" s="42" t="s">
        <v>6912</v>
      </c>
      <c r="T3234" s="3" t="s">
        <v>4868</v>
      </c>
      <c r="U3234" s="45">
        <v>35</v>
      </c>
      <c r="V3234" t="s">
        <v>8191</v>
      </c>
      <c r="W3234" s="1" t="str">
        <f>HYPERLINK("http://ictvonline.org/taxonomy/p/taxonomy-history?taxnode_id=201906302","ICTVonline=201906302")</f>
        <v>ICTVonline=201906302</v>
      </c>
    </row>
    <row r="3235" spans="1:23">
      <c r="A3235" s="3">
        <v>3234</v>
      </c>
      <c r="B3235" s="1" t="s">
        <v>5910</v>
      </c>
      <c r="D3235" s="1" t="s">
        <v>8187</v>
      </c>
      <c r="F3235" s="1" t="s">
        <v>8188</v>
      </c>
      <c r="H3235" s="1" t="s">
        <v>8189</v>
      </c>
      <c r="J3235" s="1" t="s">
        <v>8190</v>
      </c>
      <c r="L3235" s="1" t="s">
        <v>752</v>
      </c>
      <c r="N3235" s="1" t="s">
        <v>6162</v>
      </c>
      <c r="P3235" s="1" t="s">
        <v>6170</v>
      </c>
      <c r="Q3235" s="3">
        <v>0</v>
      </c>
      <c r="R3235" s="22" t="s">
        <v>2725</v>
      </c>
      <c r="S3235" s="42" t="s">
        <v>6912</v>
      </c>
      <c r="T3235" s="3" t="s">
        <v>4868</v>
      </c>
      <c r="U3235" s="45">
        <v>35</v>
      </c>
      <c r="V3235" t="s">
        <v>8191</v>
      </c>
      <c r="W3235" s="1" t="str">
        <f>HYPERLINK("http://ictvonline.org/taxonomy/p/taxonomy-history?taxnode_id=201906303","ICTVonline=201906303")</f>
        <v>ICTVonline=201906303</v>
      </c>
    </row>
    <row r="3236" spans="1:23">
      <c r="A3236" s="3">
        <v>3235</v>
      </c>
      <c r="B3236" s="1" t="s">
        <v>5910</v>
      </c>
      <c r="D3236" s="1" t="s">
        <v>8187</v>
      </c>
      <c r="F3236" s="1" t="s">
        <v>8188</v>
      </c>
      <c r="H3236" s="1" t="s">
        <v>8189</v>
      </c>
      <c r="J3236" s="1" t="s">
        <v>8190</v>
      </c>
      <c r="L3236" s="1" t="s">
        <v>752</v>
      </c>
      <c r="N3236" s="1" t="s">
        <v>6162</v>
      </c>
      <c r="P3236" s="1" t="s">
        <v>6171</v>
      </c>
      <c r="Q3236" s="3">
        <v>0</v>
      </c>
      <c r="R3236" s="22" t="s">
        <v>2725</v>
      </c>
      <c r="S3236" s="42" t="s">
        <v>6912</v>
      </c>
      <c r="T3236" s="3" t="s">
        <v>4868</v>
      </c>
      <c r="U3236" s="45">
        <v>35</v>
      </c>
      <c r="V3236" t="s">
        <v>8191</v>
      </c>
      <c r="W3236" s="1" t="str">
        <f>HYPERLINK("http://ictvonline.org/taxonomy/p/taxonomy-history?taxnode_id=201906304","ICTVonline=201906304")</f>
        <v>ICTVonline=201906304</v>
      </c>
    </row>
    <row r="3237" spans="1:23">
      <c r="A3237" s="3">
        <v>3236</v>
      </c>
      <c r="B3237" s="1" t="s">
        <v>5910</v>
      </c>
      <c r="D3237" s="1" t="s">
        <v>8187</v>
      </c>
      <c r="F3237" s="1" t="s">
        <v>8188</v>
      </c>
      <c r="H3237" s="1" t="s">
        <v>8189</v>
      </c>
      <c r="J3237" s="1" t="s">
        <v>8190</v>
      </c>
      <c r="L3237" s="1" t="s">
        <v>752</v>
      </c>
      <c r="N3237" s="1" t="s">
        <v>6162</v>
      </c>
      <c r="P3237" s="1" t="s">
        <v>2213</v>
      </c>
      <c r="Q3237" s="3">
        <v>0</v>
      </c>
      <c r="R3237" s="22" t="s">
        <v>2725</v>
      </c>
      <c r="S3237" s="42" t="s">
        <v>6912</v>
      </c>
      <c r="T3237" s="3" t="s">
        <v>4868</v>
      </c>
      <c r="U3237" s="45">
        <v>35</v>
      </c>
      <c r="V3237" t="s">
        <v>8191</v>
      </c>
      <c r="W3237" s="1" t="str">
        <f>HYPERLINK("http://ictvonline.org/taxonomy/p/taxonomy-history?taxnode_id=201902899","ICTVonline=201902899")</f>
        <v>ICTVonline=201902899</v>
      </c>
    </row>
    <row r="3238" spans="1:23">
      <c r="A3238" s="3">
        <v>3237</v>
      </c>
      <c r="B3238" s="1" t="s">
        <v>5910</v>
      </c>
      <c r="D3238" s="1" t="s">
        <v>8187</v>
      </c>
      <c r="F3238" s="1" t="s">
        <v>8188</v>
      </c>
      <c r="H3238" s="1" t="s">
        <v>8189</v>
      </c>
      <c r="J3238" s="1" t="s">
        <v>8190</v>
      </c>
      <c r="L3238" s="1" t="s">
        <v>752</v>
      </c>
      <c r="N3238" s="1" t="s">
        <v>6172</v>
      </c>
      <c r="P3238" s="1" t="s">
        <v>6173</v>
      </c>
      <c r="Q3238" s="3">
        <v>0</v>
      </c>
      <c r="R3238" s="22" t="s">
        <v>2725</v>
      </c>
      <c r="S3238" s="42" t="s">
        <v>6912</v>
      </c>
      <c r="T3238" s="3" t="s">
        <v>4868</v>
      </c>
      <c r="U3238" s="45">
        <v>35</v>
      </c>
      <c r="V3238" t="s">
        <v>8191</v>
      </c>
      <c r="W3238" s="1" t="str">
        <f>HYPERLINK("http://ictvonline.org/taxonomy/p/taxonomy-history?taxnode_id=201906305","ICTVonline=201906305")</f>
        <v>ICTVonline=201906305</v>
      </c>
    </row>
    <row r="3239" spans="1:23">
      <c r="A3239" s="3">
        <v>3238</v>
      </c>
      <c r="B3239" s="1" t="s">
        <v>5910</v>
      </c>
      <c r="D3239" s="1" t="s">
        <v>8187</v>
      </c>
      <c r="F3239" s="1" t="s">
        <v>8188</v>
      </c>
      <c r="H3239" s="1" t="s">
        <v>8189</v>
      </c>
      <c r="J3239" s="1" t="s">
        <v>8190</v>
      </c>
      <c r="L3239" s="1" t="s">
        <v>752</v>
      </c>
      <c r="N3239" s="1" t="s">
        <v>6172</v>
      </c>
      <c r="P3239" s="1" t="s">
        <v>6174</v>
      </c>
      <c r="Q3239" s="3">
        <v>1</v>
      </c>
      <c r="R3239" s="22" t="s">
        <v>2725</v>
      </c>
      <c r="S3239" s="42" t="s">
        <v>6912</v>
      </c>
      <c r="T3239" s="3" t="s">
        <v>4868</v>
      </c>
      <c r="U3239" s="45">
        <v>35</v>
      </c>
      <c r="V3239" t="s">
        <v>8191</v>
      </c>
      <c r="W3239" s="1" t="str">
        <f>HYPERLINK("http://ictvonline.org/taxonomy/p/taxonomy-history?taxnode_id=201906306","ICTVonline=201906306")</f>
        <v>ICTVonline=201906306</v>
      </c>
    </row>
    <row r="3240" spans="1:23">
      <c r="A3240" s="3">
        <v>3239</v>
      </c>
      <c r="B3240" s="1" t="s">
        <v>5910</v>
      </c>
      <c r="D3240" s="1" t="s">
        <v>8187</v>
      </c>
      <c r="F3240" s="1" t="s">
        <v>8188</v>
      </c>
      <c r="H3240" s="1" t="s">
        <v>8189</v>
      </c>
      <c r="J3240" s="1" t="s">
        <v>8190</v>
      </c>
      <c r="L3240" s="1" t="s">
        <v>752</v>
      </c>
      <c r="N3240" s="1" t="s">
        <v>6172</v>
      </c>
      <c r="P3240" s="1" t="s">
        <v>6175</v>
      </c>
      <c r="Q3240" s="3">
        <v>0</v>
      </c>
      <c r="R3240" s="22" t="s">
        <v>2725</v>
      </c>
      <c r="S3240" s="42" t="s">
        <v>6912</v>
      </c>
      <c r="T3240" s="3" t="s">
        <v>4868</v>
      </c>
      <c r="U3240" s="45">
        <v>35</v>
      </c>
      <c r="V3240" t="s">
        <v>8191</v>
      </c>
      <c r="W3240" s="1" t="str">
        <f>HYPERLINK("http://ictvonline.org/taxonomy/p/taxonomy-history?taxnode_id=201906307","ICTVonline=201906307")</f>
        <v>ICTVonline=201906307</v>
      </c>
    </row>
    <row r="3241" spans="1:23">
      <c r="A3241" s="3">
        <v>3240</v>
      </c>
      <c r="B3241" s="1" t="s">
        <v>5910</v>
      </c>
      <c r="D3241" s="1" t="s">
        <v>8187</v>
      </c>
      <c r="F3241" s="1" t="s">
        <v>8188</v>
      </c>
      <c r="H3241" s="1" t="s">
        <v>8189</v>
      </c>
      <c r="J3241" s="1" t="s">
        <v>8190</v>
      </c>
      <c r="L3241" s="1" t="s">
        <v>752</v>
      </c>
      <c r="N3241" s="1" t="s">
        <v>6172</v>
      </c>
      <c r="P3241" s="1" t="s">
        <v>6176</v>
      </c>
      <c r="Q3241" s="3">
        <v>0</v>
      </c>
      <c r="R3241" s="22" t="s">
        <v>2725</v>
      </c>
      <c r="S3241" s="42" t="s">
        <v>6912</v>
      </c>
      <c r="T3241" s="3" t="s">
        <v>4868</v>
      </c>
      <c r="U3241" s="45">
        <v>35</v>
      </c>
      <c r="V3241" t="s">
        <v>8191</v>
      </c>
      <c r="W3241" s="1" t="str">
        <f>HYPERLINK("http://ictvonline.org/taxonomy/p/taxonomy-history?taxnode_id=201906308","ICTVonline=201906308")</f>
        <v>ICTVonline=201906308</v>
      </c>
    </row>
    <row r="3242" spans="1:23">
      <c r="A3242" s="3">
        <v>3241</v>
      </c>
      <c r="B3242" s="1" t="s">
        <v>5910</v>
      </c>
      <c r="D3242" s="1" t="s">
        <v>8187</v>
      </c>
      <c r="F3242" s="1" t="s">
        <v>8188</v>
      </c>
      <c r="H3242" s="1" t="s">
        <v>8189</v>
      </c>
      <c r="J3242" s="1" t="s">
        <v>8190</v>
      </c>
      <c r="L3242" s="1" t="s">
        <v>752</v>
      </c>
      <c r="N3242" s="1" t="s">
        <v>6172</v>
      </c>
      <c r="P3242" s="1" t="s">
        <v>6177</v>
      </c>
      <c r="Q3242" s="3">
        <v>0</v>
      </c>
      <c r="R3242" s="22" t="s">
        <v>2725</v>
      </c>
      <c r="S3242" s="42" t="s">
        <v>6912</v>
      </c>
      <c r="T3242" s="3" t="s">
        <v>4868</v>
      </c>
      <c r="U3242" s="45">
        <v>35</v>
      </c>
      <c r="V3242" t="s">
        <v>8191</v>
      </c>
      <c r="W3242" s="1" t="str">
        <f>HYPERLINK("http://ictvonline.org/taxonomy/p/taxonomy-history?taxnode_id=201906309","ICTVonline=201906309")</f>
        <v>ICTVonline=201906309</v>
      </c>
    </row>
    <row r="3243" spans="1:23">
      <c r="A3243" s="3">
        <v>3242</v>
      </c>
      <c r="B3243" s="1" t="s">
        <v>5910</v>
      </c>
      <c r="D3243" s="1" t="s">
        <v>8187</v>
      </c>
      <c r="F3243" s="1" t="s">
        <v>8188</v>
      </c>
      <c r="H3243" s="1" t="s">
        <v>8189</v>
      </c>
      <c r="J3243" s="1" t="s">
        <v>8190</v>
      </c>
      <c r="L3243" s="1" t="s">
        <v>752</v>
      </c>
      <c r="N3243" s="1" t="s">
        <v>6172</v>
      </c>
      <c r="P3243" s="1" t="s">
        <v>6178</v>
      </c>
      <c r="Q3243" s="3">
        <v>0</v>
      </c>
      <c r="R3243" s="22" t="s">
        <v>2725</v>
      </c>
      <c r="S3243" s="42" t="s">
        <v>6912</v>
      </c>
      <c r="T3243" s="3" t="s">
        <v>4868</v>
      </c>
      <c r="U3243" s="45">
        <v>35</v>
      </c>
      <c r="V3243" t="s">
        <v>8191</v>
      </c>
      <c r="W3243" s="1" t="str">
        <f>HYPERLINK("http://ictvonline.org/taxonomy/p/taxonomy-history?taxnode_id=201906310","ICTVonline=201906310")</f>
        <v>ICTVonline=201906310</v>
      </c>
    </row>
    <row r="3244" spans="1:23">
      <c r="A3244" s="3">
        <v>3243</v>
      </c>
      <c r="B3244" s="1" t="s">
        <v>5910</v>
      </c>
      <c r="D3244" s="1" t="s">
        <v>8187</v>
      </c>
      <c r="F3244" s="1" t="s">
        <v>8188</v>
      </c>
      <c r="H3244" s="1" t="s">
        <v>8189</v>
      </c>
      <c r="J3244" s="1" t="s">
        <v>8190</v>
      </c>
      <c r="L3244" s="1" t="s">
        <v>752</v>
      </c>
      <c r="N3244" s="1" t="s">
        <v>6172</v>
      </c>
      <c r="P3244" s="1" t="s">
        <v>6179</v>
      </c>
      <c r="Q3244" s="3">
        <v>0</v>
      </c>
      <c r="R3244" s="22" t="s">
        <v>2725</v>
      </c>
      <c r="S3244" s="42" t="s">
        <v>6912</v>
      </c>
      <c r="T3244" s="3" t="s">
        <v>4868</v>
      </c>
      <c r="U3244" s="45">
        <v>35</v>
      </c>
      <c r="V3244" t="s">
        <v>8191</v>
      </c>
      <c r="W3244" s="1" t="str">
        <f>HYPERLINK("http://ictvonline.org/taxonomy/p/taxonomy-history?taxnode_id=201906311","ICTVonline=201906311")</f>
        <v>ICTVonline=201906311</v>
      </c>
    </row>
    <row r="3245" spans="1:23">
      <c r="A3245" s="3">
        <v>3244</v>
      </c>
      <c r="B3245" s="1" t="s">
        <v>5910</v>
      </c>
      <c r="D3245" s="1" t="s">
        <v>8187</v>
      </c>
      <c r="F3245" s="1" t="s">
        <v>8188</v>
      </c>
      <c r="H3245" s="1" t="s">
        <v>8189</v>
      </c>
      <c r="J3245" s="1" t="s">
        <v>8190</v>
      </c>
      <c r="L3245" s="1" t="s">
        <v>752</v>
      </c>
      <c r="N3245" s="1" t="s">
        <v>6172</v>
      </c>
      <c r="P3245" s="1" t="s">
        <v>6180</v>
      </c>
      <c r="Q3245" s="3">
        <v>0</v>
      </c>
      <c r="R3245" s="22" t="s">
        <v>2725</v>
      </c>
      <c r="S3245" s="42" t="s">
        <v>6912</v>
      </c>
      <c r="T3245" s="3" t="s">
        <v>4868</v>
      </c>
      <c r="U3245" s="45">
        <v>35</v>
      </c>
      <c r="V3245" t="s">
        <v>8191</v>
      </c>
      <c r="W3245" s="1" t="str">
        <f>HYPERLINK("http://ictvonline.org/taxonomy/p/taxonomy-history?taxnode_id=201906312","ICTVonline=201906312")</f>
        <v>ICTVonline=201906312</v>
      </c>
    </row>
    <row r="3246" spans="1:23">
      <c r="A3246" s="3">
        <v>3245</v>
      </c>
      <c r="B3246" s="1" t="s">
        <v>5910</v>
      </c>
      <c r="D3246" s="1" t="s">
        <v>8187</v>
      </c>
      <c r="F3246" s="1" t="s">
        <v>8188</v>
      </c>
      <c r="H3246" s="1" t="s">
        <v>8189</v>
      </c>
      <c r="J3246" s="1" t="s">
        <v>8190</v>
      </c>
      <c r="L3246" s="1" t="s">
        <v>99</v>
      </c>
      <c r="N3246" s="1" t="s">
        <v>100</v>
      </c>
      <c r="P3246" s="1" t="s">
        <v>101</v>
      </c>
      <c r="Q3246" s="3">
        <v>1</v>
      </c>
      <c r="R3246" s="22" t="s">
        <v>2725</v>
      </c>
      <c r="S3246" s="42" t="s">
        <v>6912</v>
      </c>
      <c r="T3246" s="3" t="s">
        <v>4868</v>
      </c>
      <c r="U3246" s="45">
        <v>35</v>
      </c>
      <c r="V3246" t="s">
        <v>8191</v>
      </c>
      <c r="W3246" s="1" t="str">
        <f>HYPERLINK("http://ictvonline.org/taxonomy/p/taxonomy-history?taxnode_id=201903810","ICTVonline=201903810")</f>
        <v>ICTVonline=201903810</v>
      </c>
    </row>
    <row r="3247" spans="1:23">
      <c r="A3247" s="3">
        <v>3246</v>
      </c>
      <c r="B3247" s="1" t="s">
        <v>5910</v>
      </c>
      <c r="D3247" s="1" t="s">
        <v>8187</v>
      </c>
      <c r="F3247" s="1" t="s">
        <v>8188</v>
      </c>
      <c r="H3247" s="1" t="s">
        <v>8189</v>
      </c>
      <c r="J3247" s="1" t="s">
        <v>8190</v>
      </c>
      <c r="L3247" s="1" t="s">
        <v>2258</v>
      </c>
      <c r="N3247" s="1" t="s">
        <v>2259</v>
      </c>
      <c r="P3247" s="1" t="s">
        <v>2260</v>
      </c>
      <c r="Q3247" s="3">
        <v>1</v>
      </c>
      <c r="R3247" s="22" t="s">
        <v>2725</v>
      </c>
      <c r="S3247" s="42" t="s">
        <v>6912</v>
      </c>
      <c r="T3247" s="3" t="s">
        <v>4868</v>
      </c>
      <c r="U3247" s="45">
        <v>35</v>
      </c>
      <c r="V3247" t="s">
        <v>8191</v>
      </c>
      <c r="W3247" s="1" t="str">
        <f>HYPERLINK("http://ictvonline.org/taxonomy/p/taxonomy-history?taxnode_id=201904870","ICTVonline=201904870")</f>
        <v>ICTVonline=201904870</v>
      </c>
    </row>
    <row r="3248" spans="1:23">
      <c r="A3248" s="3">
        <v>3247</v>
      </c>
      <c r="B3248" s="1" t="s">
        <v>5910</v>
      </c>
      <c r="D3248" s="1" t="s">
        <v>8187</v>
      </c>
      <c r="F3248" s="1" t="s">
        <v>8188</v>
      </c>
      <c r="H3248" s="1" t="s">
        <v>8189</v>
      </c>
      <c r="J3248" s="1" t="s">
        <v>8190</v>
      </c>
      <c r="L3248" s="1" t="s">
        <v>1898</v>
      </c>
      <c r="N3248" s="1" t="s">
        <v>1899</v>
      </c>
      <c r="P3248" s="1" t="s">
        <v>1590</v>
      </c>
      <c r="Q3248" s="3">
        <v>1</v>
      </c>
      <c r="R3248" s="22" t="s">
        <v>2725</v>
      </c>
      <c r="S3248" s="42" t="s">
        <v>6912</v>
      </c>
      <c r="T3248" s="3" t="s">
        <v>4868</v>
      </c>
      <c r="U3248" s="45">
        <v>35</v>
      </c>
      <c r="V3248" t="s">
        <v>8191</v>
      </c>
      <c r="W3248" s="1" t="str">
        <f>HYPERLINK("http://ictvonline.org/taxonomy/p/taxonomy-history?taxnode_id=201905288","ICTVonline=201905288")</f>
        <v>ICTVonline=201905288</v>
      </c>
    </row>
    <row r="3249" spans="1:23">
      <c r="A3249" s="3">
        <v>3248</v>
      </c>
      <c r="B3249" s="1" t="s">
        <v>5910</v>
      </c>
      <c r="D3249" s="1" t="s">
        <v>8187</v>
      </c>
      <c r="F3249" s="1" t="s">
        <v>8188</v>
      </c>
      <c r="H3249" s="1" t="s">
        <v>8189</v>
      </c>
      <c r="J3249" s="1" t="s">
        <v>8190</v>
      </c>
      <c r="L3249" s="1" t="s">
        <v>1898</v>
      </c>
      <c r="N3249" s="1" t="s">
        <v>1591</v>
      </c>
      <c r="P3249" s="1" t="s">
        <v>2581</v>
      </c>
      <c r="Q3249" s="3">
        <v>1</v>
      </c>
      <c r="R3249" s="22" t="s">
        <v>2725</v>
      </c>
      <c r="S3249" s="42" t="s">
        <v>6912</v>
      </c>
      <c r="T3249" s="3" t="s">
        <v>4868</v>
      </c>
      <c r="U3249" s="45">
        <v>35</v>
      </c>
      <c r="V3249" t="s">
        <v>8191</v>
      </c>
      <c r="W3249" s="1" t="str">
        <f>HYPERLINK("http://ictvonline.org/taxonomy/p/taxonomy-history?taxnode_id=201905290","ICTVonline=201905290")</f>
        <v>ICTVonline=201905290</v>
      </c>
    </row>
    <row r="3250" spans="1:23">
      <c r="A3250" s="3">
        <v>3249</v>
      </c>
      <c r="B3250" s="1" t="s">
        <v>5910</v>
      </c>
      <c r="D3250" s="1" t="s">
        <v>8187</v>
      </c>
      <c r="F3250" s="1" t="s">
        <v>8188</v>
      </c>
      <c r="H3250" s="1" t="s">
        <v>8189</v>
      </c>
      <c r="J3250" s="1" t="s">
        <v>8190</v>
      </c>
      <c r="L3250" s="1" t="s">
        <v>1898</v>
      </c>
      <c r="N3250" s="1" t="s">
        <v>1591</v>
      </c>
      <c r="P3250" s="1" t="s">
        <v>2582</v>
      </c>
      <c r="Q3250" s="3">
        <v>0</v>
      </c>
      <c r="R3250" s="22" t="s">
        <v>2725</v>
      </c>
      <c r="S3250" s="42" t="s">
        <v>6912</v>
      </c>
      <c r="T3250" s="3" t="s">
        <v>4868</v>
      </c>
      <c r="U3250" s="45">
        <v>35</v>
      </c>
      <c r="V3250" t="s">
        <v>8191</v>
      </c>
      <c r="W3250" s="1" t="str">
        <f>HYPERLINK("http://ictvonline.org/taxonomy/p/taxonomy-history?taxnode_id=201905291","ICTVonline=201905291")</f>
        <v>ICTVonline=201905291</v>
      </c>
    </row>
    <row r="3251" spans="1:23">
      <c r="A3251" s="3">
        <v>3250</v>
      </c>
      <c r="B3251" s="1" t="s">
        <v>5910</v>
      </c>
      <c r="D3251" s="1" t="s">
        <v>8187</v>
      </c>
      <c r="F3251" s="1" t="s">
        <v>8188</v>
      </c>
      <c r="H3251" s="1" t="s">
        <v>8189</v>
      </c>
      <c r="J3251" s="1" t="s">
        <v>8190</v>
      </c>
      <c r="L3251" s="1" t="s">
        <v>1898</v>
      </c>
      <c r="N3251" s="1" t="s">
        <v>1326</v>
      </c>
      <c r="P3251" s="1" t="s">
        <v>1327</v>
      </c>
      <c r="Q3251" s="3">
        <v>1</v>
      </c>
      <c r="R3251" s="22" t="s">
        <v>2725</v>
      </c>
      <c r="S3251" s="42" t="s">
        <v>6912</v>
      </c>
      <c r="T3251" s="3" t="s">
        <v>4868</v>
      </c>
      <c r="U3251" s="45">
        <v>35</v>
      </c>
      <c r="V3251" t="s">
        <v>8191</v>
      </c>
      <c r="W3251" s="1" t="str">
        <f>HYPERLINK("http://ictvonline.org/taxonomy/p/taxonomy-history?taxnode_id=201905293","ICTVonline=201905293")</f>
        <v>ICTVonline=201905293</v>
      </c>
    </row>
    <row r="3252" spans="1:23">
      <c r="A3252" s="3">
        <v>3251</v>
      </c>
      <c r="B3252" s="1" t="s">
        <v>5910</v>
      </c>
      <c r="D3252" s="1" t="s">
        <v>8187</v>
      </c>
      <c r="F3252" s="1" t="s">
        <v>8188</v>
      </c>
      <c r="H3252" s="1" t="s">
        <v>8189</v>
      </c>
      <c r="J3252" s="1" t="s">
        <v>8190</v>
      </c>
      <c r="L3252" s="1" t="s">
        <v>1898</v>
      </c>
      <c r="N3252" s="1" t="s">
        <v>1326</v>
      </c>
      <c r="P3252" s="1" t="s">
        <v>5573</v>
      </c>
      <c r="Q3252" s="3">
        <v>0</v>
      </c>
      <c r="R3252" s="22" t="s">
        <v>2725</v>
      </c>
      <c r="S3252" s="42" t="s">
        <v>6912</v>
      </c>
      <c r="T3252" s="3" t="s">
        <v>4868</v>
      </c>
      <c r="U3252" s="45">
        <v>35</v>
      </c>
      <c r="V3252" t="s">
        <v>8191</v>
      </c>
      <c r="W3252" s="1" t="str">
        <f>HYPERLINK("http://ictvonline.org/taxonomy/p/taxonomy-history?taxnode_id=201905294","ICTVonline=201905294")</f>
        <v>ICTVonline=201905294</v>
      </c>
    </row>
    <row r="3253" spans="1:23">
      <c r="A3253" s="3">
        <v>3252</v>
      </c>
      <c r="B3253" s="1" t="s">
        <v>5910</v>
      </c>
      <c r="D3253" s="1" t="s">
        <v>8187</v>
      </c>
      <c r="F3253" s="1" t="s">
        <v>8188</v>
      </c>
      <c r="H3253" s="1" t="s">
        <v>8189</v>
      </c>
      <c r="J3253" s="1" t="s">
        <v>8190</v>
      </c>
      <c r="L3253" s="1" t="s">
        <v>1898</v>
      </c>
      <c r="N3253" s="1" t="s">
        <v>1326</v>
      </c>
      <c r="P3253" s="1" t="s">
        <v>2583</v>
      </c>
      <c r="Q3253" s="3">
        <v>0</v>
      </c>
      <c r="R3253" s="22" t="s">
        <v>2725</v>
      </c>
      <c r="S3253" s="42" t="s">
        <v>6912</v>
      </c>
      <c r="T3253" s="3" t="s">
        <v>4868</v>
      </c>
      <c r="U3253" s="45">
        <v>35</v>
      </c>
      <c r="V3253" t="s">
        <v>8191</v>
      </c>
      <c r="W3253" s="1" t="str">
        <f>HYPERLINK("http://ictvonline.org/taxonomy/p/taxonomy-history?taxnode_id=201905295","ICTVonline=201905295")</f>
        <v>ICTVonline=201905295</v>
      </c>
    </row>
    <row r="3254" spans="1:23">
      <c r="A3254" s="3">
        <v>3253</v>
      </c>
      <c r="B3254" s="1" t="s">
        <v>5910</v>
      </c>
      <c r="D3254" s="1" t="s">
        <v>8187</v>
      </c>
      <c r="F3254" s="1" t="s">
        <v>8188</v>
      </c>
      <c r="H3254" s="1" t="s">
        <v>8189</v>
      </c>
      <c r="J3254" s="1" t="s">
        <v>8190</v>
      </c>
      <c r="L3254" s="1" t="s">
        <v>1898</v>
      </c>
      <c r="N3254" s="1" t="s">
        <v>1326</v>
      </c>
      <c r="P3254" s="1" t="s">
        <v>2584</v>
      </c>
      <c r="Q3254" s="3">
        <v>0</v>
      </c>
      <c r="R3254" s="22" t="s">
        <v>2725</v>
      </c>
      <c r="S3254" s="42" t="s">
        <v>6912</v>
      </c>
      <c r="T3254" s="3" t="s">
        <v>4868</v>
      </c>
      <c r="U3254" s="45">
        <v>35</v>
      </c>
      <c r="V3254" t="s">
        <v>8191</v>
      </c>
      <c r="W3254" s="1" t="str">
        <f>HYPERLINK("http://ictvonline.org/taxonomy/p/taxonomy-history?taxnode_id=201905296","ICTVonline=201905296")</f>
        <v>ICTVonline=201905296</v>
      </c>
    </row>
    <row r="3255" spans="1:23">
      <c r="A3255" s="3">
        <v>3254</v>
      </c>
      <c r="B3255" s="1" t="s">
        <v>5910</v>
      </c>
      <c r="D3255" s="1" t="s">
        <v>8187</v>
      </c>
      <c r="F3255" s="1" t="s">
        <v>8188</v>
      </c>
      <c r="H3255" s="1" t="s">
        <v>8189</v>
      </c>
      <c r="J3255" s="1" t="s">
        <v>8190</v>
      </c>
      <c r="L3255" s="1" t="s">
        <v>1898</v>
      </c>
      <c r="N3255" s="1" t="s">
        <v>1326</v>
      </c>
      <c r="P3255" s="1" t="s">
        <v>1328</v>
      </c>
      <c r="Q3255" s="3">
        <v>0</v>
      </c>
      <c r="R3255" s="22" t="s">
        <v>2725</v>
      </c>
      <c r="S3255" s="42" t="s">
        <v>6912</v>
      </c>
      <c r="T3255" s="3" t="s">
        <v>4868</v>
      </c>
      <c r="U3255" s="45">
        <v>35</v>
      </c>
      <c r="V3255" t="s">
        <v>8191</v>
      </c>
      <c r="W3255" s="1" t="str">
        <f>HYPERLINK("http://ictvonline.org/taxonomy/p/taxonomy-history?taxnode_id=201905297","ICTVonline=201905297")</f>
        <v>ICTVonline=201905297</v>
      </c>
    </row>
    <row r="3256" spans="1:23">
      <c r="A3256" s="3">
        <v>3255</v>
      </c>
      <c r="B3256" s="1" t="s">
        <v>5910</v>
      </c>
      <c r="D3256" s="1" t="s">
        <v>8187</v>
      </c>
      <c r="F3256" s="1" t="s">
        <v>8188</v>
      </c>
      <c r="H3256" s="1" t="s">
        <v>8189</v>
      </c>
      <c r="J3256" s="1" t="s">
        <v>8190</v>
      </c>
      <c r="L3256" s="1" t="s">
        <v>1898</v>
      </c>
      <c r="N3256" s="1" t="s">
        <v>1326</v>
      </c>
      <c r="P3256" s="1" t="s">
        <v>2585</v>
      </c>
      <c r="Q3256" s="3">
        <v>0</v>
      </c>
      <c r="R3256" s="22" t="s">
        <v>2725</v>
      </c>
      <c r="S3256" s="42" t="s">
        <v>6912</v>
      </c>
      <c r="T3256" s="3" t="s">
        <v>4868</v>
      </c>
      <c r="U3256" s="45">
        <v>35</v>
      </c>
      <c r="V3256" t="s">
        <v>8191</v>
      </c>
      <c r="W3256" s="1" t="str">
        <f>HYPERLINK("http://ictvonline.org/taxonomy/p/taxonomy-history?taxnode_id=201905298","ICTVonline=201905298")</f>
        <v>ICTVonline=201905298</v>
      </c>
    </row>
    <row r="3257" spans="1:23">
      <c r="A3257" s="3">
        <v>3256</v>
      </c>
      <c r="B3257" s="1" t="s">
        <v>5910</v>
      </c>
      <c r="D3257" s="1" t="s">
        <v>8187</v>
      </c>
      <c r="F3257" s="1" t="s">
        <v>8188</v>
      </c>
      <c r="H3257" s="1" t="s">
        <v>8189</v>
      </c>
      <c r="J3257" s="1" t="s">
        <v>8190</v>
      </c>
      <c r="L3257" s="1" t="s">
        <v>1898</v>
      </c>
      <c r="N3257" s="1" t="s">
        <v>1326</v>
      </c>
      <c r="P3257" s="1" t="s">
        <v>2586</v>
      </c>
      <c r="Q3257" s="3">
        <v>0</v>
      </c>
      <c r="R3257" s="22" t="s">
        <v>2725</v>
      </c>
      <c r="S3257" s="42" t="s">
        <v>6912</v>
      </c>
      <c r="T3257" s="3" t="s">
        <v>4868</v>
      </c>
      <c r="U3257" s="45">
        <v>35</v>
      </c>
      <c r="V3257" t="s">
        <v>8191</v>
      </c>
      <c r="W3257" s="1" t="str">
        <f>HYPERLINK("http://ictvonline.org/taxonomy/p/taxonomy-history?taxnode_id=201905299","ICTVonline=201905299")</f>
        <v>ICTVonline=201905299</v>
      </c>
    </row>
    <row r="3258" spans="1:23">
      <c r="A3258" s="3">
        <v>3257</v>
      </c>
      <c r="B3258" s="1" t="s">
        <v>5910</v>
      </c>
      <c r="D3258" s="1" t="s">
        <v>8187</v>
      </c>
      <c r="F3258" s="1" t="s">
        <v>8188</v>
      </c>
      <c r="H3258" s="1" t="s">
        <v>8189</v>
      </c>
      <c r="J3258" s="1" t="s">
        <v>8190</v>
      </c>
      <c r="L3258" s="1" t="s">
        <v>1898</v>
      </c>
      <c r="N3258" s="1" t="s">
        <v>207</v>
      </c>
      <c r="P3258" s="1" t="s">
        <v>208</v>
      </c>
      <c r="Q3258" s="3">
        <v>1</v>
      </c>
      <c r="R3258" s="22" t="s">
        <v>2725</v>
      </c>
      <c r="S3258" s="42" t="s">
        <v>6912</v>
      </c>
      <c r="T3258" s="3" t="s">
        <v>4868</v>
      </c>
      <c r="U3258" s="45">
        <v>35</v>
      </c>
      <c r="V3258" t="s">
        <v>8191</v>
      </c>
      <c r="W3258" s="1" t="str">
        <f>HYPERLINK("http://ictvonline.org/taxonomy/p/taxonomy-history?taxnode_id=201905301","ICTVonline=201905301")</f>
        <v>ICTVonline=201905301</v>
      </c>
    </row>
    <row r="3259" spans="1:23">
      <c r="A3259" s="3">
        <v>3258</v>
      </c>
      <c r="B3259" s="1" t="s">
        <v>5910</v>
      </c>
      <c r="D3259" s="1" t="s">
        <v>8187</v>
      </c>
      <c r="F3259" s="1" t="s">
        <v>8188</v>
      </c>
      <c r="H3259" s="1" t="s">
        <v>8189</v>
      </c>
      <c r="J3259" s="1" t="s">
        <v>8190</v>
      </c>
      <c r="L3259" s="1" t="s">
        <v>1898</v>
      </c>
      <c r="N3259" s="1" t="s">
        <v>207</v>
      </c>
      <c r="P3259" s="1" t="s">
        <v>209</v>
      </c>
      <c r="Q3259" s="3">
        <v>0</v>
      </c>
      <c r="R3259" s="22" t="s">
        <v>2725</v>
      </c>
      <c r="S3259" s="42" t="s">
        <v>6912</v>
      </c>
      <c r="T3259" s="3" t="s">
        <v>4868</v>
      </c>
      <c r="U3259" s="45">
        <v>35</v>
      </c>
      <c r="V3259" t="s">
        <v>8191</v>
      </c>
      <c r="W3259" s="1" t="str">
        <f>HYPERLINK("http://ictvonline.org/taxonomy/p/taxonomy-history?taxnode_id=201905302","ICTVonline=201905302")</f>
        <v>ICTVonline=201905302</v>
      </c>
    </row>
    <row r="3260" spans="1:23">
      <c r="A3260" s="3">
        <v>3259</v>
      </c>
      <c r="B3260" s="1" t="s">
        <v>5910</v>
      </c>
      <c r="D3260" s="1" t="s">
        <v>8187</v>
      </c>
      <c r="F3260" s="1" t="s">
        <v>8188</v>
      </c>
      <c r="H3260" s="1" t="s">
        <v>8189</v>
      </c>
      <c r="J3260" s="1" t="s">
        <v>8190</v>
      </c>
      <c r="L3260" s="1" t="s">
        <v>1898</v>
      </c>
      <c r="N3260" s="1" t="s">
        <v>207</v>
      </c>
      <c r="P3260" s="1" t="s">
        <v>210</v>
      </c>
      <c r="Q3260" s="3">
        <v>0</v>
      </c>
      <c r="R3260" s="22" t="s">
        <v>2725</v>
      </c>
      <c r="S3260" s="42" t="s">
        <v>6912</v>
      </c>
      <c r="T3260" s="3" t="s">
        <v>4868</v>
      </c>
      <c r="U3260" s="45">
        <v>35</v>
      </c>
      <c r="V3260" t="s">
        <v>8191</v>
      </c>
      <c r="W3260" s="1" t="str">
        <f>HYPERLINK("http://ictvonline.org/taxonomy/p/taxonomy-history?taxnode_id=201905303","ICTVonline=201905303")</f>
        <v>ICTVonline=201905303</v>
      </c>
    </row>
    <row r="3261" spans="1:23">
      <c r="A3261" s="3">
        <v>3260</v>
      </c>
      <c r="B3261" s="1" t="s">
        <v>5910</v>
      </c>
      <c r="D3261" s="1" t="s">
        <v>8187</v>
      </c>
      <c r="F3261" s="1" t="s">
        <v>8188</v>
      </c>
      <c r="H3261" s="1" t="s">
        <v>8189</v>
      </c>
      <c r="J3261" s="1" t="s">
        <v>8190</v>
      </c>
      <c r="L3261" s="1" t="s">
        <v>1898</v>
      </c>
      <c r="N3261" s="1" t="s">
        <v>207</v>
      </c>
      <c r="P3261" s="1" t="s">
        <v>2587</v>
      </c>
      <c r="Q3261" s="3">
        <v>0</v>
      </c>
      <c r="R3261" s="22" t="s">
        <v>2725</v>
      </c>
      <c r="S3261" s="42" t="s">
        <v>6912</v>
      </c>
      <c r="T3261" s="3" t="s">
        <v>4868</v>
      </c>
      <c r="U3261" s="45">
        <v>35</v>
      </c>
      <c r="V3261" t="s">
        <v>8191</v>
      </c>
      <c r="W3261" s="1" t="str">
        <f>HYPERLINK("http://ictvonline.org/taxonomy/p/taxonomy-history?taxnode_id=201905304","ICTVonline=201905304")</f>
        <v>ICTVonline=201905304</v>
      </c>
    </row>
    <row r="3262" spans="1:23">
      <c r="A3262" s="3">
        <v>3261</v>
      </c>
      <c r="B3262" s="1" t="s">
        <v>5910</v>
      </c>
      <c r="D3262" s="1" t="s">
        <v>8187</v>
      </c>
      <c r="F3262" s="1" t="s">
        <v>8188</v>
      </c>
      <c r="H3262" s="1" t="s">
        <v>8189</v>
      </c>
      <c r="J3262" s="1" t="s">
        <v>8190</v>
      </c>
      <c r="L3262" s="1" t="s">
        <v>1898</v>
      </c>
      <c r="N3262" s="1" t="s">
        <v>768</v>
      </c>
      <c r="P3262" s="1" t="s">
        <v>2588</v>
      </c>
      <c r="Q3262" s="3">
        <v>0</v>
      </c>
      <c r="R3262" s="22" t="s">
        <v>2725</v>
      </c>
      <c r="S3262" s="42" t="s">
        <v>6912</v>
      </c>
      <c r="T3262" s="3" t="s">
        <v>4868</v>
      </c>
      <c r="U3262" s="45">
        <v>35</v>
      </c>
      <c r="V3262" t="s">
        <v>8191</v>
      </c>
      <c r="W3262" s="1" t="str">
        <f>HYPERLINK("http://ictvonline.org/taxonomy/p/taxonomy-history?taxnode_id=201905306","ICTVonline=201905306")</f>
        <v>ICTVonline=201905306</v>
      </c>
    </row>
    <row r="3263" spans="1:23">
      <c r="A3263" s="3">
        <v>3262</v>
      </c>
      <c r="B3263" s="1" t="s">
        <v>5910</v>
      </c>
      <c r="D3263" s="1" t="s">
        <v>8187</v>
      </c>
      <c r="F3263" s="1" t="s">
        <v>8188</v>
      </c>
      <c r="H3263" s="1" t="s">
        <v>8189</v>
      </c>
      <c r="J3263" s="1" t="s">
        <v>8190</v>
      </c>
      <c r="L3263" s="1" t="s">
        <v>1898</v>
      </c>
      <c r="N3263" s="1" t="s">
        <v>768</v>
      </c>
      <c r="P3263" s="1" t="s">
        <v>2589</v>
      </c>
      <c r="Q3263" s="3">
        <v>0</v>
      </c>
      <c r="R3263" s="22" t="s">
        <v>2725</v>
      </c>
      <c r="S3263" s="42" t="s">
        <v>6912</v>
      </c>
      <c r="T3263" s="3" t="s">
        <v>4868</v>
      </c>
      <c r="U3263" s="45">
        <v>35</v>
      </c>
      <c r="V3263" t="s">
        <v>8191</v>
      </c>
      <c r="W3263" s="1" t="str">
        <f>HYPERLINK("http://ictvonline.org/taxonomy/p/taxonomy-history?taxnode_id=201905307","ICTVonline=201905307")</f>
        <v>ICTVonline=201905307</v>
      </c>
    </row>
    <row r="3264" spans="1:23">
      <c r="A3264" s="3">
        <v>3263</v>
      </c>
      <c r="B3264" s="1" t="s">
        <v>5910</v>
      </c>
      <c r="D3264" s="1" t="s">
        <v>8187</v>
      </c>
      <c r="F3264" s="1" t="s">
        <v>8188</v>
      </c>
      <c r="H3264" s="1" t="s">
        <v>8189</v>
      </c>
      <c r="J3264" s="1" t="s">
        <v>8190</v>
      </c>
      <c r="L3264" s="1" t="s">
        <v>1898</v>
      </c>
      <c r="N3264" s="1" t="s">
        <v>768</v>
      </c>
      <c r="P3264" s="1" t="s">
        <v>1229</v>
      </c>
      <c r="Q3264" s="3">
        <v>0</v>
      </c>
      <c r="R3264" s="22" t="s">
        <v>2725</v>
      </c>
      <c r="S3264" s="42" t="s">
        <v>6912</v>
      </c>
      <c r="T3264" s="3" t="s">
        <v>4868</v>
      </c>
      <c r="U3264" s="45">
        <v>35</v>
      </c>
      <c r="V3264" t="s">
        <v>8191</v>
      </c>
      <c r="W3264" s="1" t="str">
        <f>HYPERLINK("http://ictvonline.org/taxonomy/p/taxonomy-history?taxnode_id=201905308","ICTVonline=201905308")</f>
        <v>ICTVonline=201905308</v>
      </c>
    </row>
    <row r="3265" spans="1:23">
      <c r="A3265" s="3">
        <v>3264</v>
      </c>
      <c r="B3265" s="1" t="s">
        <v>5910</v>
      </c>
      <c r="D3265" s="1" t="s">
        <v>8187</v>
      </c>
      <c r="F3265" s="1" t="s">
        <v>8188</v>
      </c>
      <c r="H3265" s="1" t="s">
        <v>8189</v>
      </c>
      <c r="J3265" s="1" t="s">
        <v>8190</v>
      </c>
      <c r="L3265" s="1" t="s">
        <v>1898</v>
      </c>
      <c r="N3265" s="1" t="s">
        <v>768</v>
      </c>
      <c r="P3265" s="1" t="s">
        <v>1230</v>
      </c>
      <c r="Q3265" s="3">
        <v>0</v>
      </c>
      <c r="R3265" s="22" t="s">
        <v>2725</v>
      </c>
      <c r="S3265" s="42" t="s">
        <v>6912</v>
      </c>
      <c r="T3265" s="3" t="s">
        <v>4868</v>
      </c>
      <c r="U3265" s="45">
        <v>35</v>
      </c>
      <c r="V3265" t="s">
        <v>8191</v>
      </c>
      <c r="W3265" s="1" t="str">
        <f>HYPERLINK("http://ictvonline.org/taxonomy/p/taxonomy-history?taxnode_id=201905309","ICTVonline=201905309")</f>
        <v>ICTVonline=201905309</v>
      </c>
    </row>
    <row r="3266" spans="1:23">
      <c r="A3266" s="3">
        <v>3265</v>
      </c>
      <c r="B3266" s="1" t="s">
        <v>5910</v>
      </c>
      <c r="D3266" s="1" t="s">
        <v>8187</v>
      </c>
      <c r="F3266" s="1" t="s">
        <v>8188</v>
      </c>
      <c r="H3266" s="1" t="s">
        <v>8189</v>
      </c>
      <c r="J3266" s="1" t="s">
        <v>8190</v>
      </c>
      <c r="L3266" s="1" t="s">
        <v>1898</v>
      </c>
      <c r="N3266" s="1" t="s">
        <v>768</v>
      </c>
      <c r="P3266" s="1" t="s">
        <v>1231</v>
      </c>
      <c r="Q3266" s="3">
        <v>0</v>
      </c>
      <c r="R3266" s="22" t="s">
        <v>2725</v>
      </c>
      <c r="S3266" s="42" t="s">
        <v>6912</v>
      </c>
      <c r="T3266" s="3" t="s">
        <v>4868</v>
      </c>
      <c r="U3266" s="45">
        <v>35</v>
      </c>
      <c r="V3266" t="s">
        <v>8191</v>
      </c>
      <c r="W3266" s="1" t="str">
        <f>HYPERLINK("http://ictvonline.org/taxonomy/p/taxonomy-history?taxnode_id=201905310","ICTVonline=201905310")</f>
        <v>ICTVonline=201905310</v>
      </c>
    </row>
    <row r="3267" spans="1:23">
      <c r="A3267" s="3">
        <v>3266</v>
      </c>
      <c r="B3267" s="1" t="s">
        <v>5910</v>
      </c>
      <c r="D3267" s="1" t="s">
        <v>8187</v>
      </c>
      <c r="F3267" s="1" t="s">
        <v>8188</v>
      </c>
      <c r="H3267" s="1" t="s">
        <v>8189</v>
      </c>
      <c r="J3267" s="1" t="s">
        <v>8190</v>
      </c>
      <c r="L3267" s="1" t="s">
        <v>1898</v>
      </c>
      <c r="N3267" s="1" t="s">
        <v>768</v>
      </c>
      <c r="P3267" s="1" t="s">
        <v>1232</v>
      </c>
      <c r="Q3267" s="3">
        <v>0</v>
      </c>
      <c r="R3267" s="22" t="s">
        <v>2725</v>
      </c>
      <c r="S3267" s="42" t="s">
        <v>6912</v>
      </c>
      <c r="T3267" s="3" t="s">
        <v>4868</v>
      </c>
      <c r="U3267" s="45">
        <v>35</v>
      </c>
      <c r="V3267" t="s">
        <v>8191</v>
      </c>
      <c r="W3267" s="1" t="str">
        <f>HYPERLINK("http://ictvonline.org/taxonomy/p/taxonomy-history?taxnode_id=201905311","ICTVonline=201905311")</f>
        <v>ICTVonline=201905311</v>
      </c>
    </row>
    <row r="3268" spans="1:23">
      <c r="A3268" s="3">
        <v>3267</v>
      </c>
      <c r="B3268" s="1" t="s">
        <v>5910</v>
      </c>
      <c r="D3268" s="1" t="s">
        <v>8187</v>
      </c>
      <c r="F3268" s="1" t="s">
        <v>8188</v>
      </c>
      <c r="H3268" s="1" t="s">
        <v>8189</v>
      </c>
      <c r="J3268" s="1" t="s">
        <v>8190</v>
      </c>
      <c r="L3268" s="1" t="s">
        <v>1898</v>
      </c>
      <c r="N3268" s="1" t="s">
        <v>768</v>
      </c>
      <c r="P3268" s="1" t="s">
        <v>772</v>
      </c>
      <c r="Q3268" s="3">
        <v>0</v>
      </c>
      <c r="R3268" s="22" t="s">
        <v>2725</v>
      </c>
      <c r="S3268" s="42" t="s">
        <v>6912</v>
      </c>
      <c r="T3268" s="3" t="s">
        <v>4868</v>
      </c>
      <c r="U3268" s="45">
        <v>35</v>
      </c>
      <c r="V3268" t="s">
        <v>8191</v>
      </c>
      <c r="W3268" s="1" t="str">
        <f>HYPERLINK("http://ictvonline.org/taxonomy/p/taxonomy-history?taxnode_id=201905312","ICTVonline=201905312")</f>
        <v>ICTVonline=201905312</v>
      </c>
    </row>
    <row r="3269" spans="1:23">
      <c r="A3269" s="3">
        <v>3268</v>
      </c>
      <c r="B3269" s="1" t="s">
        <v>5910</v>
      </c>
      <c r="D3269" s="1" t="s">
        <v>8187</v>
      </c>
      <c r="F3269" s="1" t="s">
        <v>8188</v>
      </c>
      <c r="H3269" s="1" t="s">
        <v>8189</v>
      </c>
      <c r="J3269" s="1" t="s">
        <v>8190</v>
      </c>
      <c r="L3269" s="1" t="s">
        <v>1898</v>
      </c>
      <c r="N3269" s="1" t="s">
        <v>768</v>
      </c>
      <c r="P3269" s="1" t="s">
        <v>1505</v>
      </c>
      <c r="Q3269" s="3">
        <v>1</v>
      </c>
      <c r="R3269" s="22" t="s">
        <v>2725</v>
      </c>
      <c r="S3269" s="42" t="s">
        <v>6912</v>
      </c>
      <c r="T3269" s="3" t="s">
        <v>4868</v>
      </c>
      <c r="U3269" s="45">
        <v>35</v>
      </c>
      <c r="V3269" t="s">
        <v>8191</v>
      </c>
      <c r="W3269" s="1" t="str">
        <f>HYPERLINK("http://ictvonline.org/taxonomy/p/taxonomy-history?taxnode_id=201905313","ICTVonline=201905313")</f>
        <v>ICTVonline=201905313</v>
      </c>
    </row>
    <row r="3270" spans="1:23">
      <c r="A3270" s="3">
        <v>3269</v>
      </c>
      <c r="B3270" s="1" t="s">
        <v>5910</v>
      </c>
      <c r="D3270" s="1" t="s">
        <v>8187</v>
      </c>
      <c r="F3270" s="1" t="s">
        <v>8188</v>
      </c>
      <c r="H3270" s="1" t="s">
        <v>8189</v>
      </c>
      <c r="J3270" s="1" t="s">
        <v>8190</v>
      </c>
      <c r="L3270" s="1" t="s">
        <v>1898</v>
      </c>
      <c r="N3270" s="1" t="s">
        <v>768</v>
      </c>
      <c r="P3270" s="1" t="s">
        <v>773</v>
      </c>
      <c r="Q3270" s="3">
        <v>0</v>
      </c>
      <c r="R3270" s="22" t="s">
        <v>2725</v>
      </c>
      <c r="S3270" s="42" t="s">
        <v>6912</v>
      </c>
      <c r="T3270" s="3" t="s">
        <v>4868</v>
      </c>
      <c r="U3270" s="45">
        <v>35</v>
      </c>
      <c r="V3270" t="s">
        <v>8191</v>
      </c>
      <c r="W3270" s="1" t="str">
        <f>HYPERLINK("http://ictvonline.org/taxonomy/p/taxonomy-history?taxnode_id=201905314","ICTVonline=201905314")</f>
        <v>ICTVonline=201905314</v>
      </c>
    </row>
    <row r="3271" spans="1:23">
      <c r="A3271" s="3">
        <v>3270</v>
      </c>
      <c r="B3271" s="1" t="s">
        <v>5910</v>
      </c>
      <c r="D3271" s="1" t="s">
        <v>8187</v>
      </c>
      <c r="F3271" s="1" t="s">
        <v>8188</v>
      </c>
      <c r="H3271" s="1" t="s">
        <v>8189</v>
      </c>
      <c r="J3271" s="1" t="s">
        <v>8190</v>
      </c>
      <c r="L3271" s="1" t="s">
        <v>1898</v>
      </c>
      <c r="N3271" s="1" t="s">
        <v>768</v>
      </c>
      <c r="P3271" s="1" t="s">
        <v>2590</v>
      </c>
      <c r="Q3271" s="3">
        <v>0</v>
      </c>
      <c r="R3271" s="22" t="s">
        <v>2725</v>
      </c>
      <c r="S3271" s="42" t="s">
        <v>6912</v>
      </c>
      <c r="T3271" s="3" t="s">
        <v>4868</v>
      </c>
      <c r="U3271" s="45">
        <v>35</v>
      </c>
      <c r="V3271" t="s">
        <v>8191</v>
      </c>
      <c r="W3271" s="1" t="str">
        <f>HYPERLINK("http://ictvonline.org/taxonomy/p/taxonomy-history?taxnode_id=201905315","ICTVonline=201905315")</f>
        <v>ICTVonline=201905315</v>
      </c>
    </row>
    <row r="3272" spans="1:23">
      <c r="A3272" s="3">
        <v>3271</v>
      </c>
      <c r="B3272" s="1" t="s">
        <v>5910</v>
      </c>
      <c r="D3272" s="1" t="s">
        <v>8187</v>
      </c>
      <c r="F3272" s="1" t="s">
        <v>8188</v>
      </c>
      <c r="H3272" s="1" t="s">
        <v>8189</v>
      </c>
      <c r="J3272" s="1" t="s">
        <v>8190</v>
      </c>
      <c r="L3272" s="1" t="s">
        <v>1898</v>
      </c>
      <c r="N3272" s="1" t="s">
        <v>768</v>
      </c>
      <c r="P3272" s="1" t="s">
        <v>2591</v>
      </c>
      <c r="Q3272" s="3">
        <v>0</v>
      </c>
      <c r="R3272" s="22" t="s">
        <v>2725</v>
      </c>
      <c r="S3272" s="42" t="s">
        <v>6912</v>
      </c>
      <c r="T3272" s="3" t="s">
        <v>4868</v>
      </c>
      <c r="U3272" s="45">
        <v>35</v>
      </c>
      <c r="V3272" t="s">
        <v>8191</v>
      </c>
      <c r="W3272" s="1" t="str">
        <f>HYPERLINK("http://ictvonline.org/taxonomy/p/taxonomy-history?taxnode_id=201905316","ICTVonline=201905316")</f>
        <v>ICTVonline=201905316</v>
      </c>
    </row>
    <row r="3273" spans="1:23">
      <c r="A3273" s="3">
        <v>3272</v>
      </c>
      <c r="B3273" s="1" t="s">
        <v>5910</v>
      </c>
      <c r="D3273" s="1" t="s">
        <v>8187</v>
      </c>
      <c r="F3273" s="1" t="s">
        <v>8188</v>
      </c>
      <c r="H3273" s="1" t="s">
        <v>8189</v>
      </c>
      <c r="J3273" s="1" t="s">
        <v>8190</v>
      </c>
      <c r="L3273" s="1" t="s">
        <v>1898</v>
      </c>
      <c r="N3273" s="1" t="s">
        <v>768</v>
      </c>
      <c r="P3273" s="1" t="s">
        <v>774</v>
      </c>
      <c r="Q3273" s="3">
        <v>0</v>
      </c>
      <c r="R3273" s="22" t="s">
        <v>2725</v>
      </c>
      <c r="S3273" s="42" t="s">
        <v>6912</v>
      </c>
      <c r="T3273" s="3" t="s">
        <v>4868</v>
      </c>
      <c r="U3273" s="45">
        <v>35</v>
      </c>
      <c r="V3273" t="s">
        <v>8191</v>
      </c>
      <c r="W3273" s="1" t="str">
        <f>HYPERLINK("http://ictvonline.org/taxonomy/p/taxonomy-history?taxnode_id=201905317","ICTVonline=201905317")</f>
        <v>ICTVonline=201905317</v>
      </c>
    </row>
    <row r="3274" spans="1:23">
      <c r="A3274" s="3">
        <v>3273</v>
      </c>
      <c r="B3274" s="1" t="s">
        <v>5910</v>
      </c>
      <c r="D3274" s="1" t="s">
        <v>8187</v>
      </c>
      <c r="F3274" s="1" t="s">
        <v>8188</v>
      </c>
      <c r="H3274" s="1" t="s">
        <v>8189</v>
      </c>
      <c r="J3274" s="1" t="s">
        <v>8190</v>
      </c>
      <c r="L3274" s="1" t="s">
        <v>1898</v>
      </c>
      <c r="N3274" s="1" t="s">
        <v>768</v>
      </c>
      <c r="P3274" s="1" t="s">
        <v>775</v>
      </c>
      <c r="Q3274" s="3">
        <v>0</v>
      </c>
      <c r="R3274" s="22" t="s">
        <v>2725</v>
      </c>
      <c r="S3274" s="42" t="s">
        <v>6912</v>
      </c>
      <c r="T3274" s="3" t="s">
        <v>4868</v>
      </c>
      <c r="U3274" s="45">
        <v>35</v>
      </c>
      <c r="V3274" t="s">
        <v>8191</v>
      </c>
      <c r="W3274" s="1" t="str">
        <f>HYPERLINK("http://ictvonline.org/taxonomy/p/taxonomy-history?taxnode_id=201905318","ICTVonline=201905318")</f>
        <v>ICTVonline=201905318</v>
      </c>
    </row>
    <row r="3275" spans="1:23">
      <c r="A3275" s="3">
        <v>3274</v>
      </c>
      <c r="B3275" s="1" t="s">
        <v>5910</v>
      </c>
      <c r="D3275" s="1" t="s">
        <v>8187</v>
      </c>
      <c r="F3275" s="1" t="s">
        <v>8188</v>
      </c>
      <c r="H3275" s="1" t="s">
        <v>8189</v>
      </c>
      <c r="J3275" s="1" t="s">
        <v>8190</v>
      </c>
      <c r="L3275" s="1" t="s">
        <v>1898</v>
      </c>
      <c r="N3275" s="1" t="s">
        <v>768</v>
      </c>
      <c r="P3275" s="1" t="s">
        <v>2592</v>
      </c>
      <c r="Q3275" s="3">
        <v>0</v>
      </c>
      <c r="R3275" s="22" t="s">
        <v>2725</v>
      </c>
      <c r="S3275" s="42" t="s">
        <v>6912</v>
      </c>
      <c r="T3275" s="3" t="s">
        <v>4868</v>
      </c>
      <c r="U3275" s="45">
        <v>35</v>
      </c>
      <c r="V3275" t="s">
        <v>8191</v>
      </c>
      <c r="W3275" s="1" t="str">
        <f>HYPERLINK("http://ictvonline.org/taxonomy/p/taxonomy-history?taxnode_id=201905319","ICTVonline=201905319")</f>
        <v>ICTVonline=201905319</v>
      </c>
    </row>
    <row r="3276" spans="1:23">
      <c r="A3276" s="3">
        <v>3275</v>
      </c>
      <c r="B3276" s="1" t="s">
        <v>5910</v>
      </c>
      <c r="D3276" s="1" t="s">
        <v>8187</v>
      </c>
      <c r="F3276" s="1" t="s">
        <v>8188</v>
      </c>
      <c r="H3276" s="1" t="s">
        <v>8192</v>
      </c>
      <c r="J3276" s="1" t="s">
        <v>8193</v>
      </c>
      <c r="L3276" s="1" t="s">
        <v>1752</v>
      </c>
      <c r="M3276" s="1" t="s">
        <v>1154</v>
      </c>
      <c r="N3276" s="1" t="s">
        <v>731</v>
      </c>
      <c r="P3276" s="1" t="s">
        <v>732</v>
      </c>
      <c r="Q3276" s="3">
        <v>1</v>
      </c>
      <c r="R3276" s="22" t="s">
        <v>2725</v>
      </c>
      <c r="S3276" s="42" t="s">
        <v>6912</v>
      </c>
      <c r="T3276" s="3" t="s">
        <v>4868</v>
      </c>
      <c r="U3276" s="45">
        <v>35</v>
      </c>
      <c r="V3276" t="s">
        <v>8191</v>
      </c>
      <c r="W3276" s="1" t="str">
        <f>HYPERLINK("http://ictvonline.org/taxonomy/p/taxonomy-history?taxnode_id=201904874","ICTVonline=201904874")</f>
        <v>ICTVonline=201904874</v>
      </c>
    </row>
    <row r="3277" spans="1:23">
      <c r="A3277" s="3">
        <v>3276</v>
      </c>
      <c r="B3277" s="1" t="s">
        <v>5910</v>
      </c>
      <c r="D3277" s="1" t="s">
        <v>8187</v>
      </c>
      <c r="F3277" s="1" t="s">
        <v>8188</v>
      </c>
      <c r="H3277" s="1" t="s">
        <v>8192</v>
      </c>
      <c r="J3277" s="1" t="s">
        <v>8193</v>
      </c>
      <c r="L3277" s="1" t="s">
        <v>1752</v>
      </c>
      <c r="M3277" s="1" t="s">
        <v>1154</v>
      </c>
      <c r="N3277" s="1" t="s">
        <v>1908</v>
      </c>
      <c r="P3277" s="1" t="s">
        <v>1909</v>
      </c>
      <c r="Q3277" s="3">
        <v>1</v>
      </c>
      <c r="R3277" s="22" t="s">
        <v>2725</v>
      </c>
      <c r="S3277" s="42" t="s">
        <v>6912</v>
      </c>
      <c r="T3277" s="3" t="s">
        <v>4868</v>
      </c>
      <c r="U3277" s="45">
        <v>35</v>
      </c>
      <c r="V3277" t="s">
        <v>8191</v>
      </c>
      <c r="W3277" s="1" t="str">
        <f>HYPERLINK("http://ictvonline.org/taxonomy/p/taxonomy-history?taxnode_id=201904876","ICTVonline=201904876")</f>
        <v>ICTVonline=201904876</v>
      </c>
    </row>
    <row r="3278" spans="1:23">
      <c r="A3278" s="3">
        <v>3277</v>
      </c>
      <c r="B3278" s="1" t="s">
        <v>5910</v>
      </c>
      <c r="D3278" s="1" t="s">
        <v>8187</v>
      </c>
      <c r="F3278" s="1" t="s">
        <v>8188</v>
      </c>
      <c r="H3278" s="1" t="s">
        <v>8192</v>
      </c>
      <c r="J3278" s="1" t="s">
        <v>8193</v>
      </c>
      <c r="L3278" s="1" t="s">
        <v>1752</v>
      </c>
      <c r="M3278" s="1" t="s">
        <v>1154</v>
      </c>
      <c r="N3278" s="1" t="s">
        <v>1914</v>
      </c>
      <c r="P3278" s="1" t="s">
        <v>1363</v>
      </c>
      <c r="Q3278" s="3">
        <v>0</v>
      </c>
      <c r="R3278" s="22" t="s">
        <v>2725</v>
      </c>
      <c r="S3278" s="42" t="s">
        <v>6912</v>
      </c>
      <c r="T3278" s="3" t="s">
        <v>4868</v>
      </c>
      <c r="U3278" s="45">
        <v>35</v>
      </c>
      <c r="V3278" t="s">
        <v>8191</v>
      </c>
      <c r="W3278" s="1" t="str">
        <f>HYPERLINK("http://ictvonline.org/taxonomy/p/taxonomy-history?taxnode_id=201904878","ICTVonline=201904878")</f>
        <v>ICTVonline=201904878</v>
      </c>
    </row>
    <row r="3279" spans="1:23">
      <c r="A3279" s="3">
        <v>3278</v>
      </c>
      <c r="B3279" s="1" t="s">
        <v>5910</v>
      </c>
      <c r="D3279" s="1" t="s">
        <v>8187</v>
      </c>
      <c r="F3279" s="1" t="s">
        <v>8188</v>
      </c>
      <c r="H3279" s="1" t="s">
        <v>8192</v>
      </c>
      <c r="J3279" s="1" t="s">
        <v>8193</v>
      </c>
      <c r="L3279" s="1" t="s">
        <v>1752</v>
      </c>
      <c r="M3279" s="1" t="s">
        <v>1154</v>
      </c>
      <c r="N3279" s="1" t="s">
        <v>1914</v>
      </c>
      <c r="P3279" s="1" t="s">
        <v>1364</v>
      </c>
      <c r="Q3279" s="3">
        <v>1</v>
      </c>
      <c r="R3279" s="22" t="s">
        <v>2725</v>
      </c>
      <c r="S3279" s="42" t="s">
        <v>6912</v>
      </c>
      <c r="T3279" s="3" t="s">
        <v>4868</v>
      </c>
      <c r="U3279" s="45">
        <v>35</v>
      </c>
      <c r="V3279" t="s">
        <v>8191</v>
      </c>
      <c r="W3279" s="1" t="str">
        <f>HYPERLINK("http://ictvonline.org/taxonomy/p/taxonomy-history?taxnode_id=201904879","ICTVonline=201904879")</f>
        <v>ICTVonline=201904879</v>
      </c>
    </row>
    <row r="3280" spans="1:23">
      <c r="A3280" s="3">
        <v>3279</v>
      </c>
      <c r="B3280" s="1" t="s">
        <v>5910</v>
      </c>
      <c r="D3280" s="1" t="s">
        <v>8187</v>
      </c>
      <c r="F3280" s="1" t="s">
        <v>8188</v>
      </c>
      <c r="H3280" s="1" t="s">
        <v>8192</v>
      </c>
      <c r="J3280" s="1" t="s">
        <v>8193</v>
      </c>
      <c r="L3280" s="1" t="s">
        <v>1752</v>
      </c>
      <c r="M3280" s="1" t="s">
        <v>1154</v>
      </c>
      <c r="N3280" s="1" t="s">
        <v>1914</v>
      </c>
      <c r="P3280" s="1" t="s">
        <v>1365</v>
      </c>
      <c r="Q3280" s="3">
        <v>0</v>
      </c>
      <c r="R3280" s="22" t="s">
        <v>2725</v>
      </c>
      <c r="S3280" s="42" t="s">
        <v>6912</v>
      </c>
      <c r="T3280" s="3" t="s">
        <v>4868</v>
      </c>
      <c r="U3280" s="45">
        <v>35</v>
      </c>
      <c r="V3280" t="s">
        <v>8191</v>
      </c>
      <c r="W3280" s="1" t="str">
        <f>HYPERLINK("http://ictvonline.org/taxonomy/p/taxonomy-history?taxnode_id=201904880","ICTVonline=201904880")</f>
        <v>ICTVonline=201904880</v>
      </c>
    </row>
    <row r="3281" spans="1:23">
      <c r="A3281" s="3">
        <v>3280</v>
      </c>
      <c r="B3281" s="1" t="s">
        <v>5910</v>
      </c>
      <c r="D3281" s="1" t="s">
        <v>8187</v>
      </c>
      <c r="F3281" s="1" t="s">
        <v>8188</v>
      </c>
      <c r="H3281" s="1" t="s">
        <v>8192</v>
      </c>
      <c r="J3281" s="1" t="s">
        <v>8193</v>
      </c>
      <c r="L3281" s="1" t="s">
        <v>1752</v>
      </c>
      <c r="M3281" s="1" t="s">
        <v>1154</v>
      </c>
      <c r="N3281" s="1" t="s">
        <v>1914</v>
      </c>
      <c r="P3281" s="1" t="s">
        <v>1366</v>
      </c>
      <c r="Q3281" s="3">
        <v>0</v>
      </c>
      <c r="R3281" s="22" t="s">
        <v>2725</v>
      </c>
      <c r="S3281" s="42" t="s">
        <v>6912</v>
      </c>
      <c r="T3281" s="3" t="s">
        <v>4868</v>
      </c>
      <c r="U3281" s="45">
        <v>35</v>
      </c>
      <c r="V3281" t="s">
        <v>8191</v>
      </c>
      <c r="W3281" s="1" t="str">
        <f>HYPERLINK("http://ictvonline.org/taxonomy/p/taxonomy-history?taxnode_id=201904881","ICTVonline=201904881")</f>
        <v>ICTVonline=201904881</v>
      </c>
    </row>
    <row r="3282" spans="1:23">
      <c r="A3282" s="3">
        <v>3281</v>
      </c>
      <c r="B3282" s="1" t="s">
        <v>5910</v>
      </c>
      <c r="D3282" s="1" t="s">
        <v>8187</v>
      </c>
      <c r="F3282" s="1" t="s">
        <v>8188</v>
      </c>
      <c r="H3282" s="1" t="s">
        <v>8192</v>
      </c>
      <c r="J3282" s="1" t="s">
        <v>8193</v>
      </c>
      <c r="L3282" s="1" t="s">
        <v>1752</v>
      </c>
      <c r="M3282" s="1" t="s">
        <v>1154</v>
      </c>
      <c r="N3282" s="1" t="s">
        <v>1914</v>
      </c>
      <c r="P3282" s="1" t="s">
        <v>1367</v>
      </c>
      <c r="Q3282" s="3">
        <v>0</v>
      </c>
      <c r="R3282" s="22" t="s">
        <v>2725</v>
      </c>
      <c r="S3282" s="42" t="s">
        <v>6912</v>
      </c>
      <c r="T3282" s="3" t="s">
        <v>4868</v>
      </c>
      <c r="U3282" s="45">
        <v>35</v>
      </c>
      <c r="V3282" t="s">
        <v>8191</v>
      </c>
      <c r="W3282" s="1" t="str">
        <f>HYPERLINK("http://ictvonline.org/taxonomy/p/taxonomy-history?taxnode_id=201904882","ICTVonline=201904882")</f>
        <v>ICTVonline=201904882</v>
      </c>
    </row>
    <row r="3283" spans="1:23">
      <c r="A3283" s="3">
        <v>3282</v>
      </c>
      <c r="B3283" s="1" t="s">
        <v>5910</v>
      </c>
      <c r="D3283" s="1" t="s">
        <v>8187</v>
      </c>
      <c r="F3283" s="1" t="s">
        <v>8188</v>
      </c>
      <c r="H3283" s="1" t="s">
        <v>8192</v>
      </c>
      <c r="J3283" s="1" t="s">
        <v>8193</v>
      </c>
      <c r="L3283" s="1" t="s">
        <v>1752</v>
      </c>
      <c r="M3283" s="1" t="s">
        <v>1154</v>
      </c>
      <c r="N3283" s="1" t="s">
        <v>1914</v>
      </c>
      <c r="P3283" s="1" t="s">
        <v>1368</v>
      </c>
      <c r="Q3283" s="3">
        <v>0</v>
      </c>
      <c r="R3283" s="22" t="s">
        <v>2725</v>
      </c>
      <c r="S3283" s="42" t="s">
        <v>6912</v>
      </c>
      <c r="T3283" s="3" t="s">
        <v>4868</v>
      </c>
      <c r="U3283" s="45">
        <v>35</v>
      </c>
      <c r="V3283" t="s">
        <v>8191</v>
      </c>
      <c r="W3283" s="1" t="str">
        <f>HYPERLINK("http://ictvonline.org/taxonomy/p/taxonomy-history?taxnode_id=201904883","ICTVonline=201904883")</f>
        <v>ICTVonline=201904883</v>
      </c>
    </row>
    <row r="3284" spans="1:23">
      <c r="A3284" s="3">
        <v>3283</v>
      </c>
      <c r="B3284" s="1" t="s">
        <v>5910</v>
      </c>
      <c r="D3284" s="1" t="s">
        <v>8187</v>
      </c>
      <c r="F3284" s="1" t="s">
        <v>8188</v>
      </c>
      <c r="H3284" s="1" t="s">
        <v>8192</v>
      </c>
      <c r="J3284" s="1" t="s">
        <v>8193</v>
      </c>
      <c r="L3284" s="1" t="s">
        <v>1752</v>
      </c>
      <c r="M3284" s="1" t="s">
        <v>1154</v>
      </c>
      <c r="N3284" s="1" t="s">
        <v>1914</v>
      </c>
      <c r="P3284" s="1" t="s">
        <v>1380</v>
      </c>
      <c r="Q3284" s="3">
        <v>0</v>
      </c>
      <c r="R3284" s="22" t="s">
        <v>2725</v>
      </c>
      <c r="S3284" s="42" t="s">
        <v>6912</v>
      </c>
      <c r="T3284" s="3" t="s">
        <v>4868</v>
      </c>
      <c r="U3284" s="45">
        <v>35</v>
      </c>
      <c r="V3284" t="s">
        <v>8191</v>
      </c>
      <c r="W3284" s="1" t="str">
        <f>HYPERLINK("http://ictvonline.org/taxonomy/p/taxonomy-history?taxnode_id=201904884","ICTVonline=201904884")</f>
        <v>ICTVonline=201904884</v>
      </c>
    </row>
    <row r="3285" spans="1:23">
      <c r="A3285" s="3">
        <v>3284</v>
      </c>
      <c r="B3285" s="1" t="s">
        <v>5910</v>
      </c>
      <c r="D3285" s="1" t="s">
        <v>8187</v>
      </c>
      <c r="F3285" s="1" t="s">
        <v>8188</v>
      </c>
      <c r="H3285" s="1" t="s">
        <v>8192</v>
      </c>
      <c r="J3285" s="1" t="s">
        <v>8193</v>
      </c>
      <c r="L3285" s="1" t="s">
        <v>1752</v>
      </c>
      <c r="M3285" s="1" t="s">
        <v>1154</v>
      </c>
      <c r="N3285" s="1" t="s">
        <v>1914</v>
      </c>
      <c r="P3285" s="1" t="s">
        <v>1381</v>
      </c>
      <c r="Q3285" s="3">
        <v>0</v>
      </c>
      <c r="R3285" s="22" t="s">
        <v>2725</v>
      </c>
      <c r="S3285" s="42" t="s">
        <v>6912</v>
      </c>
      <c r="T3285" s="3" t="s">
        <v>4868</v>
      </c>
      <c r="U3285" s="45">
        <v>35</v>
      </c>
      <c r="V3285" t="s">
        <v>8191</v>
      </c>
      <c r="W3285" s="1" t="str">
        <f>HYPERLINK("http://ictvonline.org/taxonomy/p/taxonomy-history?taxnode_id=201904885","ICTVonline=201904885")</f>
        <v>ICTVonline=201904885</v>
      </c>
    </row>
    <row r="3286" spans="1:23">
      <c r="A3286" s="3">
        <v>3285</v>
      </c>
      <c r="B3286" s="1" t="s">
        <v>5910</v>
      </c>
      <c r="D3286" s="1" t="s">
        <v>8187</v>
      </c>
      <c r="F3286" s="1" t="s">
        <v>8188</v>
      </c>
      <c r="H3286" s="1" t="s">
        <v>8192</v>
      </c>
      <c r="J3286" s="1" t="s">
        <v>8193</v>
      </c>
      <c r="L3286" s="1" t="s">
        <v>1752</v>
      </c>
      <c r="M3286" s="1" t="s">
        <v>1154</v>
      </c>
      <c r="N3286" s="1" t="s">
        <v>1914</v>
      </c>
      <c r="P3286" s="1" t="s">
        <v>1382</v>
      </c>
      <c r="Q3286" s="3">
        <v>0</v>
      </c>
      <c r="R3286" s="22" t="s">
        <v>2725</v>
      </c>
      <c r="S3286" s="42" t="s">
        <v>6912</v>
      </c>
      <c r="T3286" s="3" t="s">
        <v>4868</v>
      </c>
      <c r="U3286" s="45">
        <v>35</v>
      </c>
      <c r="V3286" t="s">
        <v>8191</v>
      </c>
      <c r="W3286" s="1" t="str">
        <f>HYPERLINK("http://ictvonline.org/taxonomy/p/taxonomy-history?taxnode_id=201904886","ICTVonline=201904886")</f>
        <v>ICTVonline=201904886</v>
      </c>
    </row>
    <row r="3287" spans="1:23">
      <c r="A3287" s="3">
        <v>3286</v>
      </c>
      <c r="B3287" s="1" t="s">
        <v>5910</v>
      </c>
      <c r="D3287" s="1" t="s">
        <v>8187</v>
      </c>
      <c r="F3287" s="1" t="s">
        <v>8188</v>
      </c>
      <c r="H3287" s="1" t="s">
        <v>8192</v>
      </c>
      <c r="J3287" s="1" t="s">
        <v>8193</v>
      </c>
      <c r="L3287" s="1" t="s">
        <v>1752</v>
      </c>
      <c r="M3287" s="1" t="s">
        <v>1154</v>
      </c>
      <c r="N3287" s="1" t="s">
        <v>1914</v>
      </c>
      <c r="P3287" s="1" t="s">
        <v>1383</v>
      </c>
      <c r="Q3287" s="3">
        <v>0</v>
      </c>
      <c r="R3287" s="22" t="s">
        <v>2725</v>
      </c>
      <c r="S3287" s="42" t="s">
        <v>6912</v>
      </c>
      <c r="T3287" s="3" t="s">
        <v>4868</v>
      </c>
      <c r="U3287" s="45">
        <v>35</v>
      </c>
      <c r="V3287" t="s">
        <v>8191</v>
      </c>
      <c r="W3287" s="1" t="str">
        <f>HYPERLINK("http://ictvonline.org/taxonomy/p/taxonomy-history?taxnode_id=201904887","ICTVonline=201904887")</f>
        <v>ICTVonline=201904887</v>
      </c>
    </row>
    <row r="3288" spans="1:23">
      <c r="A3288" s="3">
        <v>3287</v>
      </c>
      <c r="B3288" s="1" t="s">
        <v>5910</v>
      </c>
      <c r="D3288" s="1" t="s">
        <v>8187</v>
      </c>
      <c r="F3288" s="1" t="s">
        <v>8188</v>
      </c>
      <c r="H3288" s="1" t="s">
        <v>8192</v>
      </c>
      <c r="J3288" s="1" t="s">
        <v>8193</v>
      </c>
      <c r="L3288" s="1" t="s">
        <v>1752</v>
      </c>
      <c r="M3288" s="1" t="s">
        <v>1154</v>
      </c>
      <c r="N3288" s="1" t="s">
        <v>1914</v>
      </c>
      <c r="P3288" s="1" t="s">
        <v>1384</v>
      </c>
      <c r="Q3288" s="3">
        <v>0</v>
      </c>
      <c r="R3288" s="22" t="s">
        <v>2725</v>
      </c>
      <c r="S3288" s="42" t="s">
        <v>6912</v>
      </c>
      <c r="T3288" s="3" t="s">
        <v>4868</v>
      </c>
      <c r="U3288" s="45">
        <v>35</v>
      </c>
      <c r="V3288" t="s">
        <v>8191</v>
      </c>
      <c r="W3288" s="1" t="str">
        <f>HYPERLINK("http://ictvonline.org/taxonomy/p/taxonomy-history?taxnode_id=201904888","ICTVonline=201904888")</f>
        <v>ICTVonline=201904888</v>
      </c>
    </row>
    <row r="3289" spans="1:23">
      <c r="A3289" s="3">
        <v>3288</v>
      </c>
      <c r="B3289" s="1" t="s">
        <v>5910</v>
      </c>
      <c r="D3289" s="1" t="s">
        <v>8187</v>
      </c>
      <c r="F3289" s="1" t="s">
        <v>8188</v>
      </c>
      <c r="H3289" s="1" t="s">
        <v>8192</v>
      </c>
      <c r="J3289" s="1" t="s">
        <v>8193</v>
      </c>
      <c r="L3289" s="1" t="s">
        <v>1752</v>
      </c>
      <c r="M3289" s="1" t="s">
        <v>1154</v>
      </c>
      <c r="N3289" s="1" t="s">
        <v>1914</v>
      </c>
      <c r="P3289" s="1" t="s">
        <v>1385</v>
      </c>
      <c r="Q3289" s="3">
        <v>0</v>
      </c>
      <c r="R3289" s="22" t="s">
        <v>2725</v>
      </c>
      <c r="S3289" s="42" t="s">
        <v>6912</v>
      </c>
      <c r="T3289" s="3" t="s">
        <v>4868</v>
      </c>
      <c r="U3289" s="45">
        <v>35</v>
      </c>
      <c r="V3289" t="s">
        <v>8191</v>
      </c>
      <c r="W3289" s="1" t="str">
        <f>HYPERLINK("http://ictvonline.org/taxonomy/p/taxonomy-history?taxnode_id=201904889","ICTVonline=201904889")</f>
        <v>ICTVonline=201904889</v>
      </c>
    </row>
    <row r="3290" spans="1:23">
      <c r="A3290" s="3">
        <v>3289</v>
      </c>
      <c r="B3290" s="1" t="s">
        <v>5910</v>
      </c>
      <c r="D3290" s="1" t="s">
        <v>8187</v>
      </c>
      <c r="F3290" s="1" t="s">
        <v>8188</v>
      </c>
      <c r="H3290" s="1" t="s">
        <v>8192</v>
      </c>
      <c r="J3290" s="1" t="s">
        <v>8193</v>
      </c>
      <c r="L3290" s="1" t="s">
        <v>1752</v>
      </c>
      <c r="M3290" s="1" t="s">
        <v>1154</v>
      </c>
      <c r="N3290" s="1" t="s">
        <v>1914</v>
      </c>
      <c r="P3290" s="1" t="s">
        <v>1390</v>
      </c>
      <c r="Q3290" s="3">
        <v>0</v>
      </c>
      <c r="R3290" s="22" t="s">
        <v>2725</v>
      </c>
      <c r="S3290" s="42" t="s">
        <v>6912</v>
      </c>
      <c r="T3290" s="3" t="s">
        <v>4868</v>
      </c>
      <c r="U3290" s="45">
        <v>35</v>
      </c>
      <c r="V3290" t="s">
        <v>8191</v>
      </c>
      <c r="W3290" s="1" t="str">
        <f>HYPERLINK("http://ictvonline.org/taxonomy/p/taxonomy-history?taxnode_id=201904890","ICTVonline=201904890")</f>
        <v>ICTVonline=201904890</v>
      </c>
    </row>
    <row r="3291" spans="1:23">
      <c r="A3291" s="3">
        <v>3290</v>
      </c>
      <c r="B3291" s="1" t="s">
        <v>5910</v>
      </c>
      <c r="D3291" s="1" t="s">
        <v>8187</v>
      </c>
      <c r="F3291" s="1" t="s">
        <v>8188</v>
      </c>
      <c r="H3291" s="1" t="s">
        <v>8192</v>
      </c>
      <c r="J3291" s="1" t="s">
        <v>8193</v>
      </c>
      <c r="L3291" s="1" t="s">
        <v>1752</v>
      </c>
      <c r="M3291" s="1" t="s">
        <v>1154</v>
      </c>
      <c r="N3291" s="1" t="s">
        <v>1914</v>
      </c>
      <c r="P3291" s="1" t="s">
        <v>1391</v>
      </c>
      <c r="Q3291" s="3">
        <v>0</v>
      </c>
      <c r="R3291" s="22" t="s">
        <v>2725</v>
      </c>
      <c r="S3291" s="42" t="s">
        <v>6912</v>
      </c>
      <c r="T3291" s="3" t="s">
        <v>4868</v>
      </c>
      <c r="U3291" s="45">
        <v>35</v>
      </c>
      <c r="V3291" t="s">
        <v>8191</v>
      </c>
      <c r="W3291" s="1" t="str">
        <f>HYPERLINK("http://ictvonline.org/taxonomy/p/taxonomy-history?taxnode_id=201904891","ICTVonline=201904891")</f>
        <v>ICTVonline=201904891</v>
      </c>
    </row>
    <row r="3292" spans="1:23">
      <c r="A3292" s="3">
        <v>3291</v>
      </c>
      <c r="B3292" s="1" t="s">
        <v>5910</v>
      </c>
      <c r="D3292" s="1" t="s">
        <v>8187</v>
      </c>
      <c r="F3292" s="1" t="s">
        <v>8188</v>
      </c>
      <c r="H3292" s="1" t="s">
        <v>8192</v>
      </c>
      <c r="J3292" s="1" t="s">
        <v>8193</v>
      </c>
      <c r="L3292" s="1" t="s">
        <v>1752</v>
      </c>
      <c r="M3292" s="1" t="s">
        <v>1154</v>
      </c>
      <c r="N3292" s="1" t="s">
        <v>1914</v>
      </c>
      <c r="P3292" s="1" t="s">
        <v>1392</v>
      </c>
      <c r="Q3292" s="3">
        <v>0</v>
      </c>
      <c r="R3292" s="22" t="s">
        <v>2725</v>
      </c>
      <c r="S3292" s="42" t="s">
        <v>6912</v>
      </c>
      <c r="T3292" s="3" t="s">
        <v>4868</v>
      </c>
      <c r="U3292" s="45">
        <v>35</v>
      </c>
      <c r="V3292" t="s">
        <v>8191</v>
      </c>
      <c r="W3292" s="1" t="str">
        <f>HYPERLINK("http://ictvonline.org/taxonomy/p/taxonomy-history?taxnode_id=201904892","ICTVonline=201904892")</f>
        <v>ICTVonline=201904892</v>
      </c>
    </row>
    <row r="3293" spans="1:23">
      <c r="A3293" s="3">
        <v>3292</v>
      </c>
      <c r="B3293" s="1" t="s">
        <v>5910</v>
      </c>
      <c r="D3293" s="1" t="s">
        <v>8187</v>
      </c>
      <c r="F3293" s="1" t="s">
        <v>8188</v>
      </c>
      <c r="H3293" s="1" t="s">
        <v>8192</v>
      </c>
      <c r="J3293" s="1" t="s">
        <v>8193</v>
      </c>
      <c r="L3293" s="1" t="s">
        <v>1752</v>
      </c>
      <c r="M3293" s="1" t="s">
        <v>1154</v>
      </c>
      <c r="N3293" s="1" t="s">
        <v>1914</v>
      </c>
      <c r="P3293" s="1" t="s">
        <v>1294</v>
      </c>
      <c r="Q3293" s="3">
        <v>0</v>
      </c>
      <c r="R3293" s="22" t="s">
        <v>2725</v>
      </c>
      <c r="S3293" s="42" t="s">
        <v>6912</v>
      </c>
      <c r="T3293" s="3" t="s">
        <v>4868</v>
      </c>
      <c r="U3293" s="45">
        <v>35</v>
      </c>
      <c r="V3293" t="s">
        <v>8191</v>
      </c>
      <c r="W3293" s="1" t="str">
        <f>HYPERLINK("http://ictvonline.org/taxonomy/p/taxonomy-history?taxnode_id=201904893","ICTVonline=201904893")</f>
        <v>ICTVonline=201904893</v>
      </c>
    </row>
    <row r="3294" spans="1:23">
      <c r="A3294" s="3">
        <v>3293</v>
      </c>
      <c r="B3294" s="1" t="s">
        <v>5910</v>
      </c>
      <c r="D3294" s="1" t="s">
        <v>8187</v>
      </c>
      <c r="F3294" s="1" t="s">
        <v>8188</v>
      </c>
      <c r="H3294" s="1" t="s">
        <v>8192</v>
      </c>
      <c r="J3294" s="1" t="s">
        <v>8193</v>
      </c>
      <c r="L3294" s="1" t="s">
        <v>1752</v>
      </c>
      <c r="M3294" s="1" t="s">
        <v>1154</v>
      </c>
      <c r="N3294" s="1" t="s">
        <v>1914</v>
      </c>
      <c r="P3294" s="1" t="s">
        <v>1295</v>
      </c>
      <c r="Q3294" s="3">
        <v>0</v>
      </c>
      <c r="R3294" s="22" t="s">
        <v>2725</v>
      </c>
      <c r="S3294" s="42" t="s">
        <v>6912</v>
      </c>
      <c r="T3294" s="3" t="s">
        <v>4868</v>
      </c>
      <c r="U3294" s="45">
        <v>35</v>
      </c>
      <c r="V3294" t="s">
        <v>8191</v>
      </c>
      <c r="W3294" s="1" t="str">
        <f>HYPERLINK("http://ictvonline.org/taxonomy/p/taxonomy-history?taxnode_id=201904894","ICTVonline=201904894")</f>
        <v>ICTVonline=201904894</v>
      </c>
    </row>
    <row r="3295" spans="1:23">
      <c r="A3295" s="3">
        <v>3294</v>
      </c>
      <c r="B3295" s="1" t="s">
        <v>5910</v>
      </c>
      <c r="D3295" s="1" t="s">
        <v>8187</v>
      </c>
      <c r="F3295" s="1" t="s">
        <v>8188</v>
      </c>
      <c r="H3295" s="1" t="s">
        <v>8192</v>
      </c>
      <c r="J3295" s="1" t="s">
        <v>8193</v>
      </c>
      <c r="L3295" s="1" t="s">
        <v>1752</v>
      </c>
      <c r="M3295" s="1" t="s">
        <v>1154</v>
      </c>
      <c r="N3295" s="1" t="s">
        <v>1914</v>
      </c>
      <c r="P3295" s="1" t="s">
        <v>1296</v>
      </c>
      <c r="Q3295" s="3">
        <v>0</v>
      </c>
      <c r="R3295" s="22" t="s">
        <v>2725</v>
      </c>
      <c r="S3295" s="42" t="s">
        <v>6912</v>
      </c>
      <c r="T3295" s="3" t="s">
        <v>4868</v>
      </c>
      <c r="U3295" s="45">
        <v>35</v>
      </c>
      <c r="V3295" t="s">
        <v>8191</v>
      </c>
      <c r="W3295" s="1" t="str">
        <f>HYPERLINK("http://ictvonline.org/taxonomy/p/taxonomy-history?taxnode_id=201904895","ICTVonline=201904895")</f>
        <v>ICTVonline=201904895</v>
      </c>
    </row>
    <row r="3296" spans="1:23">
      <c r="A3296" s="3">
        <v>3295</v>
      </c>
      <c r="B3296" s="1" t="s">
        <v>5910</v>
      </c>
      <c r="D3296" s="1" t="s">
        <v>8187</v>
      </c>
      <c r="F3296" s="1" t="s">
        <v>8188</v>
      </c>
      <c r="H3296" s="1" t="s">
        <v>8192</v>
      </c>
      <c r="J3296" s="1" t="s">
        <v>8193</v>
      </c>
      <c r="L3296" s="1" t="s">
        <v>1752</v>
      </c>
      <c r="M3296" s="1" t="s">
        <v>1154</v>
      </c>
      <c r="N3296" s="1" t="s">
        <v>1914</v>
      </c>
      <c r="P3296" s="1" t="s">
        <v>1297</v>
      </c>
      <c r="Q3296" s="3">
        <v>0</v>
      </c>
      <c r="R3296" s="22" t="s">
        <v>2725</v>
      </c>
      <c r="S3296" s="42" t="s">
        <v>6912</v>
      </c>
      <c r="T3296" s="3" t="s">
        <v>4868</v>
      </c>
      <c r="U3296" s="45">
        <v>35</v>
      </c>
      <c r="V3296" t="s">
        <v>8191</v>
      </c>
      <c r="W3296" s="1" t="str">
        <f>HYPERLINK("http://ictvonline.org/taxonomy/p/taxonomy-history?taxnode_id=201904896","ICTVonline=201904896")</f>
        <v>ICTVonline=201904896</v>
      </c>
    </row>
    <row r="3297" spans="1:23">
      <c r="A3297" s="3">
        <v>3296</v>
      </c>
      <c r="B3297" s="1" t="s">
        <v>5910</v>
      </c>
      <c r="D3297" s="1" t="s">
        <v>8187</v>
      </c>
      <c r="F3297" s="1" t="s">
        <v>8188</v>
      </c>
      <c r="H3297" s="1" t="s">
        <v>8192</v>
      </c>
      <c r="J3297" s="1" t="s">
        <v>8193</v>
      </c>
      <c r="L3297" s="1" t="s">
        <v>1752</v>
      </c>
      <c r="M3297" s="1" t="s">
        <v>1154</v>
      </c>
      <c r="N3297" s="1" t="s">
        <v>1914</v>
      </c>
      <c r="P3297" s="1" t="s">
        <v>1298</v>
      </c>
      <c r="Q3297" s="3">
        <v>0</v>
      </c>
      <c r="R3297" s="22" t="s">
        <v>2725</v>
      </c>
      <c r="S3297" s="42" t="s">
        <v>6912</v>
      </c>
      <c r="T3297" s="3" t="s">
        <v>4868</v>
      </c>
      <c r="U3297" s="45">
        <v>35</v>
      </c>
      <c r="V3297" t="s">
        <v>8191</v>
      </c>
      <c r="W3297" s="1" t="str">
        <f>HYPERLINK("http://ictvonline.org/taxonomy/p/taxonomy-history?taxnode_id=201904897","ICTVonline=201904897")</f>
        <v>ICTVonline=201904897</v>
      </c>
    </row>
    <row r="3298" spans="1:23">
      <c r="A3298" s="3">
        <v>3297</v>
      </c>
      <c r="B3298" s="1" t="s">
        <v>5910</v>
      </c>
      <c r="D3298" s="1" t="s">
        <v>8187</v>
      </c>
      <c r="F3298" s="1" t="s">
        <v>8188</v>
      </c>
      <c r="H3298" s="1" t="s">
        <v>8192</v>
      </c>
      <c r="J3298" s="1" t="s">
        <v>8193</v>
      </c>
      <c r="L3298" s="1" t="s">
        <v>1752</v>
      </c>
      <c r="M3298" s="1" t="s">
        <v>1154</v>
      </c>
      <c r="N3298" s="1" t="s">
        <v>1914</v>
      </c>
      <c r="P3298" s="1" t="s">
        <v>1299</v>
      </c>
      <c r="Q3298" s="3">
        <v>0</v>
      </c>
      <c r="R3298" s="22" t="s">
        <v>2725</v>
      </c>
      <c r="S3298" s="42" t="s">
        <v>6912</v>
      </c>
      <c r="T3298" s="3" t="s">
        <v>4868</v>
      </c>
      <c r="U3298" s="45">
        <v>35</v>
      </c>
      <c r="V3298" t="s">
        <v>8191</v>
      </c>
      <c r="W3298" s="1" t="str">
        <f>HYPERLINK("http://ictvonline.org/taxonomy/p/taxonomy-history?taxnode_id=201904898","ICTVonline=201904898")</f>
        <v>ICTVonline=201904898</v>
      </c>
    </row>
    <row r="3299" spans="1:23">
      <c r="A3299" s="3">
        <v>3298</v>
      </c>
      <c r="B3299" s="1" t="s">
        <v>5910</v>
      </c>
      <c r="D3299" s="1" t="s">
        <v>8187</v>
      </c>
      <c r="F3299" s="1" t="s">
        <v>8188</v>
      </c>
      <c r="H3299" s="1" t="s">
        <v>8192</v>
      </c>
      <c r="J3299" s="1" t="s">
        <v>8193</v>
      </c>
      <c r="L3299" s="1" t="s">
        <v>1752</v>
      </c>
      <c r="M3299" s="1" t="s">
        <v>1154</v>
      </c>
      <c r="N3299" s="1" t="s">
        <v>1914</v>
      </c>
      <c r="P3299" s="1" t="s">
        <v>1300</v>
      </c>
      <c r="Q3299" s="3">
        <v>0</v>
      </c>
      <c r="R3299" s="22" t="s">
        <v>2725</v>
      </c>
      <c r="S3299" s="42" t="s">
        <v>6912</v>
      </c>
      <c r="T3299" s="3" t="s">
        <v>4868</v>
      </c>
      <c r="U3299" s="45">
        <v>35</v>
      </c>
      <c r="V3299" t="s">
        <v>8191</v>
      </c>
      <c r="W3299" s="1" t="str">
        <f>HYPERLINK("http://ictvonline.org/taxonomy/p/taxonomy-history?taxnode_id=201904899","ICTVonline=201904899")</f>
        <v>ICTVonline=201904899</v>
      </c>
    </row>
    <row r="3300" spans="1:23">
      <c r="A3300" s="3">
        <v>3299</v>
      </c>
      <c r="B3300" s="1" t="s">
        <v>5910</v>
      </c>
      <c r="D3300" s="1" t="s">
        <v>8187</v>
      </c>
      <c r="F3300" s="1" t="s">
        <v>8188</v>
      </c>
      <c r="H3300" s="1" t="s">
        <v>8192</v>
      </c>
      <c r="J3300" s="1" t="s">
        <v>8193</v>
      </c>
      <c r="L3300" s="1" t="s">
        <v>1752</v>
      </c>
      <c r="M3300" s="1" t="s">
        <v>1154</v>
      </c>
      <c r="N3300" s="1" t="s">
        <v>238</v>
      </c>
      <c r="P3300" s="1" t="s">
        <v>345</v>
      </c>
      <c r="Q3300" s="3">
        <v>0</v>
      </c>
      <c r="R3300" s="22" t="s">
        <v>2725</v>
      </c>
      <c r="S3300" s="42" t="s">
        <v>6912</v>
      </c>
      <c r="T3300" s="3" t="s">
        <v>4868</v>
      </c>
      <c r="U3300" s="45">
        <v>35</v>
      </c>
      <c r="V3300" t="s">
        <v>8191</v>
      </c>
      <c r="W3300" s="1" t="str">
        <f>HYPERLINK("http://ictvonline.org/taxonomy/p/taxonomy-history?taxnode_id=201904901","ICTVonline=201904901")</f>
        <v>ICTVonline=201904901</v>
      </c>
    </row>
    <row r="3301" spans="1:23">
      <c r="A3301" s="3">
        <v>3300</v>
      </c>
      <c r="B3301" s="1" t="s">
        <v>5910</v>
      </c>
      <c r="D3301" s="1" t="s">
        <v>8187</v>
      </c>
      <c r="F3301" s="1" t="s">
        <v>8188</v>
      </c>
      <c r="H3301" s="1" t="s">
        <v>8192</v>
      </c>
      <c r="J3301" s="1" t="s">
        <v>8193</v>
      </c>
      <c r="L3301" s="1" t="s">
        <v>1752</v>
      </c>
      <c r="M3301" s="1" t="s">
        <v>1154</v>
      </c>
      <c r="N3301" s="1" t="s">
        <v>238</v>
      </c>
      <c r="P3301" s="1" t="s">
        <v>346</v>
      </c>
      <c r="Q3301" s="3">
        <v>0</v>
      </c>
      <c r="R3301" s="22" t="s">
        <v>2725</v>
      </c>
      <c r="S3301" s="42" t="s">
        <v>6912</v>
      </c>
      <c r="T3301" s="3" t="s">
        <v>4868</v>
      </c>
      <c r="U3301" s="45">
        <v>35</v>
      </c>
      <c r="V3301" t="s">
        <v>8191</v>
      </c>
      <c r="W3301" s="1" t="str">
        <f>HYPERLINK("http://ictvonline.org/taxonomy/p/taxonomy-history?taxnode_id=201904902","ICTVonline=201904902")</f>
        <v>ICTVonline=201904902</v>
      </c>
    </row>
    <row r="3302" spans="1:23">
      <c r="A3302" s="3">
        <v>3301</v>
      </c>
      <c r="B3302" s="1" t="s">
        <v>5910</v>
      </c>
      <c r="D3302" s="1" t="s">
        <v>8187</v>
      </c>
      <c r="F3302" s="1" t="s">
        <v>8188</v>
      </c>
      <c r="H3302" s="1" t="s">
        <v>8192</v>
      </c>
      <c r="J3302" s="1" t="s">
        <v>8193</v>
      </c>
      <c r="L3302" s="1" t="s">
        <v>1752</v>
      </c>
      <c r="M3302" s="1" t="s">
        <v>1154</v>
      </c>
      <c r="N3302" s="1" t="s">
        <v>238</v>
      </c>
      <c r="P3302" s="1" t="s">
        <v>347</v>
      </c>
      <c r="Q3302" s="3">
        <v>1</v>
      </c>
      <c r="R3302" s="22" t="s">
        <v>2725</v>
      </c>
      <c r="S3302" s="42" t="s">
        <v>6912</v>
      </c>
      <c r="T3302" s="3" t="s">
        <v>4868</v>
      </c>
      <c r="U3302" s="45">
        <v>35</v>
      </c>
      <c r="V3302" t="s">
        <v>8191</v>
      </c>
      <c r="W3302" s="1" t="str">
        <f>HYPERLINK("http://ictvonline.org/taxonomy/p/taxonomy-history?taxnode_id=201904903","ICTVonline=201904903")</f>
        <v>ICTVonline=201904903</v>
      </c>
    </row>
    <row r="3303" spans="1:23">
      <c r="A3303" s="3">
        <v>3302</v>
      </c>
      <c r="B3303" s="1" t="s">
        <v>5910</v>
      </c>
      <c r="D3303" s="1" t="s">
        <v>8187</v>
      </c>
      <c r="F3303" s="1" t="s">
        <v>8188</v>
      </c>
      <c r="H3303" s="1" t="s">
        <v>8192</v>
      </c>
      <c r="J3303" s="1" t="s">
        <v>8193</v>
      </c>
      <c r="L3303" s="1" t="s">
        <v>1752</v>
      </c>
      <c r="M3303" s="1" t="s">
        <v>1154</v>
      </c>
      <c r="N3303" s="1" t="s">
        <v>226</v>
      </c>
      <c r="P3303" s="1" t="s">
        <v>349</v>
      </c>
      <c r="Q3303" s="3">
        <v>1</v>
      </c>
      <c r="R3303" s="22" t="s">
        <v>2725</v>
      </c>
      <c r="S3303" s="42" t="s">
        <v>6912</v>
      </c>
      <c r="T3303" s="3" t="s">
        <v>4868</v>
      </c>
      <c r="U3303" s="45">
        <v>35</v>
      </c>
      <c r="V3303" t="s">
        <v>8191</v>
      </c>
      <c r="W3303" s="1" t="str">
        <f>HYPERLINK("http://ictvonline.org/taxonomy/p/taxonomy-history?taxnode_id=201904905","ICTVonline=201904905")</f>
        <v>ICTVonline=201904905</v>
      </c>
    </row>
    <row r="3304" spans="1:23">
      <c r="A3304" s="3">
        <v>3303</v>
      </c>
      <c r="B3304" s="1" t="s">
        <v>5910</v>
      </c>
      <c r="D3304" s="1" t="s">
        <v>8187</v>
      </c>
      <c r="F3304" s="1" t="s">
        <v>8188</v>
      </c>
      <c r="H3304" s="1" t="s">
        <v>8192</v>
      </c>
      <c r="J3304" s="1" t="s">
        <v>8193</v>
      </c>
      <c r="L3304" s="1" t="s">
        <v>1752</v>
      </c>
      <c r="M3304" s="1" t="s">
        <v>1154</v>
      </c>
      <c r="N3304" s="1" t="s">
        <v>226</v>
      </c>
      <c r="P3304" s="1" t="s">
        <v>350</v>
      </c>
      <c r="Q3304" s="3">
        <v>0</v>
      </c>
      <c r="R3304" s="22" t="s">
        <v>2725</v>
      </c>
      <c r="S3304" s="42" t="s">
        <v>6912</v>
      </c>
      <c r="T3304" s="3" t="s">
        <v>4868</v>
      </c>
      <c r="U3304" s="45">
        <v>35</v>
      </c>
      <c r="V3304" t="s">
        <v>8191</v>
      </c>
      <c r="W3304" s="1" t="str">
        <f>HYPERLINK("http://ictvonline.org/taxonomy/p/taxonomy-history?taxnode_id=201904906","ICTVonline=201904906")</f>
        <v>ICTVonline=201904906</v>
      </c>
    </row>
    <row r="3305" spans="1:23">
      <c r="A3305" s="3">
        <v>3304</v>
      </c>
      <c r="B3305" s="1" t="s">
        <v>5910</v>
      </c>
      <c r="D3305" s="1" t="s">
        <v>8187</v>
      </c>
      <c r="F3305" s="1" t="s">
        <v>8188</v>
      </c>
      <c r="H3305" s="1" t="s">
        <v>8192</v>
      </c>
      <c r="J3305" s="1" t="s">
        <v>8193</v>
      </c>
      <c r="L3305" s="1" t="s">
        <v>1752</v>
      </c>
      <c r="M3305" s="1" t="s">
        <v>1154</v>
      </c>
      <c r="N3305" s="1" t="s">
        <v>226</v>
      </c>
      <c r="P3305" s="1" t="s">
        <v>351</v>
      </c>
      <c r="Q3305" s="3">
        <v>0</v>
      </c>
      <c r="R3305" s="22" t="s">
        <v>2725</v>
      </c>
      <c r="S3305" s="42" t="s">
        <v>6912</v>
      </c>
      <c r="T3305" s="3" t="s">
        <v>4868</v>
      </c>
      <c r="U3305" s="45">
        <v>35</v>
      </c>
      <c r="V3305" t="s">
        <v>8191</v>
      </c>
      <c r="W3305" s="1" t="str">
        <f>HYPERLINK("http://ictvonline.org/taxonomy/p/taxonomy-history?taxnode_id=201904907","ICTVonline=201904907")</f>
        <v>ICTVonline=201904907</v>
      </c>
    </row>
    <row r="3306" spans="1:23">
      <c r="A3306" s="3">
        <v>3305</v>
      </c>
      <c r="B3306" s="1" t="s">
        <v>5910</v>
      </c>
      <c r="D3306" s="1" t="s">
        <v>8187</v>
      </c>
      <c r="F3306" s="1" t="s">
        <v>8188</v>
      </c>
      <c r="H3306" s="1" t="s">
        <v>8192</v>
      </c>
      <c r="J3306" s="1" t="s">
        <v>8193</v>
      </c>
      <c r="L3306" s="1" t="s">
        <v>1752</v>
      </c>
      <c r="M3306" s="1" t="s">
        <v>1154</v>
      </c>
      <c r="N3306" s="1" t="s">
        <v>226</v>
      </c>
      <c r="P3306" s="1" t="s">
        <v>352</v>
      </c>
      <c r="Q3306" s="3">
        <v>0</v>
      </c>
      <c r="R3306" s="22" t="s">
        <v>2725</v>
      </c>
      <c r="S3306" s="42" t="s">
        <v>6912</v>
      </c>
      <c r="T3306" s="3" t="s">
        <v>4868</v>
      </c>
      <c r="U3306" s="45">
        <v>35</v>
      </c>
      <c r="V3306" t="s">
        <v>8191</v>
      </c>
      <c r="W3306" s="1" t="str">
        <f>HYPERLINK("http://ictvonline.org/taxonomy/p/taxonomy-history?taxnode_id=201904908","ICTVonline=201904908")</f>
        <v>ICTVonline=201904908</v>
      </c>
    </row>
    <row r="3307" spans="1:23">
      <c r="A3307" s="3">
        <v>3306</v>
      </c>
      <c r="B3307" s="1" t="s">
        <v>5910</v>
      </c>
      <c r="D3307" s="1" t="s">
        <v>8187</v>
      </c>
      <c r="F3307" s="1" t="s">
        <v>8188</v>
      </c>
      <c r="H3307" s="1" t="s">
        <v>8192</v>
      </c>
      <c r="J3307" s="1" t="s">
        <v>8193</v>
      </c>
      <c r="L3307" s="1" t="s">
        <v>1752</v>
      </c>
      <c r="M3307" s="1" t="s">
        <v>1154</v>
      </c>
      <c r="N3307" s="1" t="s">
        <v>226</v>
      </c>
      <c r="P3307" s="1" t="s">
        <v>2702</v>
      </c>
      <c r="Q3307" s="3">
        <v>0</v>
      </c>
      <c r="R3307" s="22" t="s">
        <v>2725</v>
      </c>
      <c r="S3307" s="42" t="s">
        <v>6912</v>
      </c>
      <c r="T3307" s="3" t="s">
        <v>4868</v>
      </c>
      <c r="U3307" s="45">
        <v>35</v>
      </c>
      <c r="V3307" t="s">
        <v>8191</v>
      </c>
      <c r="W3307" s="1" t="str">
        <f>HYPERLINK("http://ictvonline.org/taxonomy/p/taxonomy-history?taxnode_id=201904910","ICTVonline=201904910")</f>
        <v>ICTVonline=201904910</v>
      </c>
    </row>
    <row r="3308" spans="1:23">
      <c r="A3308" s="3">
        <v>3307</v>
      </c>
      <c r="B3308" s="1" t="s">
        <v>5910</v>
      </c>
      <c r="D3308" s="1" t="s">
        <v>8187</v>
      </c>
      <c r="F3308" s="1" t="s">
        <v>8188</v>
      </c>
      <c r="H3308" s="1" t="s">
        <v>8192</v>
      </c>
      <c r="J3308" s="1" t="s">
        <v>8193</v>
      </c>
      <c r="L3308" s="1" t="s">
        <v>1752</v>
      </c>
      <c r="M3308" s="1" t="s">
        <v>1154</v>
      </c>
      <c r="N3308" s="1" t="s">
        <v>226</v>
      </c>
      <c r="P3308" s="1" t="s">
        <v>2703</v>
      </c>
      <c r="Q3308" s="3">
        <v>0</v>
      </c>
      <c r="R3308" s="22" t="s">
        <v>2725</v>
      </c>
      <c r="S3308" s="42" t="s">
        <v>6912</v>
      </c>
      <c r="T3308" s="3" t="s">
        <v>4868</v>
      </c>
      <c r="U3308" s="45">
        <v>35</v>
      </c>
      <c r="V3308" t="s">
        <v>8191</v>
      </c>
      <c r="W3308" s="1" t="str">
        <f>HYPERLINK("http://ictvonline.org/taxonomy/p/taxonomy-history?taxnode_id=201904911","ICTVonline=201904911")</f>
        <v>ICTVonline=201904911</v>
      </c>
    </row>
    <row r="3309" spans="1:23">
      <c r="A3309" s="3">
        <v>3308</v>
      </c>
      <c r="B3309" s="1" t="s">
        <v>5910</v>
      </c>
      <c r="D3309" s="1" t="s">
        <v>8187</v>
      </c>
      <c r="F3309" s="1" t="s">
        <v>8188</v>
      </c>
      <c r="H3309" s="1" t="s">
        <v>8192</v>
      </c>
      <c r="J3309" s="1" t="s">
        <v>8193</v>
      </c>
      <c r="L3309" s="1" t="s">
        <v>1752</v>
      </c>
      <c r="M3309" s="1" t="s">
        <v>1154</v>
      </c>
      <c r="N3309" s="1" t="s">
        <v>226</v>
      </c>
      <c r="P3309" s="1" t="s">
        <v>2704</v>
      </c>
      <c r="Q3309" s="3">
        <v>0</v>
      </c>
      <c r="R3309" s="22" t="s">
        <v>2725</v>
      </c>
      <c r="S3309" s="42" t="s">
        <v>6912</v>
      </c>
      <c r="T3309" s="3" t="s">
        <v>4868</v>
      </c>
      <c r="U3309" s="45">
        <v>35</v>
      </c>
      <c r="V3309" t="s">
        <v>8191</v>
      </c>
      <c r="W3309" s="1" t="str">
        <f>HYPERLINK("http://ictvonline.org/taxonomy/p/taxonomy-history?taxnode_id=201904912","ICTVonline=201904912")</f>
        <v>ICTVonline=201904912</v>
      </c>
    </row>
    <row r="3310" spans="1:23">
      <c r="A3310" s="3">
        <v>3309</v>
      </c>
      <c r="B3310" s="1" t="s">
        <v>5910</v>
      </c>
      <c r="D3310" s="1" t="s">
        <v>8187</v>
      </c>
      <c r="F3310" s="1" t="s">
        <v>8188</v>
      </c>
      <c r="H3310" s="1" t="s">
        <v>8192</v>
      </c>
      <c r="J3310" s="1" t="s">
        <v>8193</v>
      </c>
      <c r="L3310" s="1" t="s">
        <v>1752</v>
      </c>
      <c r="M3310" s="1" t="s">
        <v>1154</v>
      </c>
      <c r="N3310" s="1" t="s">
        <v>226</v>
      </c>
      <c r="P3310" s="1" t="s">
        <v>4771</v>
      </c>
      <c r="Q3310" s="3">
        <v>0</v>
      </c>
      <c r="R3310" s="22" t="s">
        <v>2725</v>
      </c>
      <c r="S3310" s="42" t="s">
        <v>6912</v>
      </c>
      <c r="T3310" s="3" t="s">
        <v>4868</v>
      </c>
      <c r="U3310" s="45">
        <v>35</v>
      </c>
      <c r="V3310" t="s">
        <v>8191</v>
      </c>
      <c r="W3310" s="1" t="str">
        <f>HYPERLINK("http://ictvonline.org/taxonomy/p/taxonomy-history?taxnode_id=201904913","ICTVonline=201904913")</f>
        <v>ICTVonline=201904913</v>
      </c>
    </row>
    <row r="3311" spans="1:23">
      <c r="A3311" s="3">
        <v>3310</v>
      </c>
      <c r="B3311" s="1" t="s">
        <v>5910</v>
      </c>
      <c r="D3311" s="1" t="s">
        <v>8187</v>
      </c>
      <c r="F3311" s="1" t="s">
        <v>8188</v>
      </c>
      <c r="H3311" s="1" t="s">
        <v>8192</v>
      </c>
      <c r="J3311" s="1" t="s">
        <v>8193</v>
      </c>
      <c r="L3311" s="1" t="s">
        <v>1752</v>
      </c>
      <c r="M3311" s="1" t="s">
        <v>1154</v>
      </c>
      <c r="N3311" s="1" t="s">
        <v>226</v>
      </c>
      <c r="P3311" s="1" t="s">
        <v>8194</v>
      </c>
      <c r="Q3311" s="3">
        <v>0</v>
      </c>
      <c r="R3311" s="22" t="s">
        <v>2725</v>
      </c>
      <c r="S3311" s="42" t="s">
        <v>6914</v>
      </c>
      <c r="T3311" s="3" t="s">
        <v>4866</v>
      </c>
      <c r="U3311" s="45">
        <v>35</v>
      </c>
      <c r="V3311" t="s">
        <v>8195</v>
      </c>
      <c r="W3311" s="1" t="str">
        <f>HYPERLINK("http://ictvonline.org/taxonomy/p/taxonomy-history?taxnode_id=201907663","ICTVonline=201907663")</f>
        <v>ICTVonline=201907663</v>
      </c>
    </row>
    <row r="3312" spans="1:23">
      <c r="A3312" s="3">
        <v>3311</v>
      </c>
      <c r="B3312" s="1" t="s">
        <v>5910</v>
      </c>
      <c r="D3312" s="1" t="s">
        <v>8187</v>
      </c>
      <c r="F3312" s="1" t="s">
        <v>8188</v>
      </c>
      <c r="H3312" s="1" t="s">
        <v>8192</v>
      </c>
      <c r="J3312" s="1" t="s">
        <v>8193</v>
      </c>
      <c r="L3312" s="1" t="s">
        <v>1752</v>
      </c>
      <c r="M3312" s="1" t="s">
        <v>1154</v>
      </c>
      <c r="N3312" s="1" t="s">
        <v>353</v>
      </c>
      <c r="P3312" s="1" t="s">
        <v>354</v>
      </c>
      <c r="Q3312" s="3">
        <v>1</v>
      </c>
      <c r="R3312" s="22" t="s">
        <v>2725</v>
      </c>
      <c r="S3312" s="42" t="s">
        <v>6912</v>
      </c>
      <c r="T3312" s="3" t="s">
        <v>4868</v>
      </c>
      <c r="U3312" s="45">
        <v>35</v>
      </c>
      <c r="V3312" t="s">
        <v>8191</v>
      </c>
      <c r="W3312" s="1" t="str">
        <f>HYPERLINK("http://ictvonline.org/taxonomy/p/taxonomy-history?taxnode_id=201904915","ICTVonline=201904915")</f>
        <v>ICTVonline=201904915</v>
      </c>
    </row>
    <row r="3313" spans="1:23">
      <c r="A3313" s="3">
        <v>3312</v>
      </c>
      <c r="B3313" s="1" t="s">
        <v>5910</v>
      </c>
      <c r="D3313" s="1" t="s">
        <v>8187</v>
      </c>
      <c r="F3313" s="1" t="s">
        <v>8188</v>
      </c>
      <c r="H3313" s="1" t="s">
        <v>8192</v>
      </c>
      <c r="J3313" s="1" t="s">
        <v>8193</v>
      </c>
      <c r="L3313" s="1" t="s">
        <v>1752</v>
      </c>
      <c r="M3313" s="1" t="s">
        <v>1154</v>
      </c>
      <c r="N3313" s="1" t="s">
        <v>353</v>
      </c>
      <c r="P3313" s="1" t="s">
        <v>355</v>
      </c>
      <c r="Q3313" s="3">
        <v>0</v>
      </c>
      <c r="R3313" s="22" t="s">
        <v>2725</v>
      </c>
      <c r="S3313" s="42" t="s">
        <v>6912</v>
      </c>
      <c r="T3313" s="3" t="s">
        <v>4868</v>
      </c>
      <c r="U3313" s="45">
        <v>35</v>
      </c>
      <c r="V3313" t="s">
        <v>8191</v>
      </c>
      <c r="W3313" s="1" t="str">
        <f>HYPERLINK("http://ictvonline.org/taxonomy/p/taxonomy-history?taxnode_id=201904916","ICTVonline=201904916")</f>
        <v>ICTVonline=201904916</v>
      </c>
    </row>
    <row r="3314" spans="1:23">
      <c r="A3314" s="3">
        <v>3313</v>
      </c>
      <c r="B3314" s="1" t="s">
        <v>5910</v>
      </c>
      <c r="D3314" s="1" t="s">
        <v>8187</v>
      </c>
      <c r="F3314" s="1" t="s">
        <v>8188</v>
      </c>
      <c r="H3314" s="1" t="s">
        <v>8192</v>
      </c>
      <c r="J3314" s="1" t="s">
        <v>8193</v>
      </c>
      <c r="L3314" s="1" t="s">
        <v>1752</v>
      </c>
      <c r="M3314" s="1" t="s">
        <v>1154</v>
      </c>
      <c r="N3314" s="1" t="s">
        <v>353</v>
      </c>
      <c r="P3314" s="1" t="s">
        <v>356</v>
      </c>
      <c r="Q3314" s="3">
        <v>0</v>
      </c>
      <c r="R3314" s="22" t="s">
        <v>2725</v>
      </c>
      <c r="S3314" s="42" t="s">
        <v>6912</v>
      </c>
      <c r="T3314" s="3" t="s">
        <v>4868</v>
      </c>
      <c r="U3314" s="45">
        <v>35</v>
      </c>
      <c r="V3314" t="s">
        <v>8191</v>
      </c>
      <c r="W3314" s="1" t="str">
        <f>HYPERLINK("http://ictvonline.org/taxonomy/p/taxonomy-history?taxnode_id=201904917","ICTVonline=201904917")</f>
        <v>ICTVonline=201904917</v>
      </c>
    </row>
    <row r="3315" spans="1:23">
      <c r="A3315" s="3">
        <v>3314</v>
      </c>
      <c r="B3315" s="1" t="s">
        <v>5910</v>
      </c>
      <c r="D3315" s="1" t="s">
        <v>8187</v>
      </c>
      <c r="F3315" s="1" t="s">
        <v>8188</v>
      </c>
      <c r="H3315" s="1" t="s">
        <v>8192</v>
      </c>
      <c r="J3315" s="1" t="s">
        <v>8193</v>
      </c>
      <c r="L3315" s="1" t="s">
        <v>1752</v>
      </c>
      <c r="M3315" s="1" t="s">
        <v>1153</v>
      </c>
      <c r="N3315" s="1" t="s">
        <v>723</v>
      </c>
      <c r="P3315" s="1" t="s">
        <v>724</v>
      </c>
      <c r="Q3315" s="3">
        <v>1</v>
      </c>
      <c r="R3315" s="22" t="s">
        <v>2725</v>
      </c>
      <c r="S3315" s="42" t="s">
        <v>6912</v>
      </c>
      <c r="T3315" s="3" t="s">
        <v>4868</v>
      </c>
      <c r="U3315" s="45">
        <v>35</v>
      </c>
      <c r="V3315" t="s">
        <v>8191</v>
      </c>
      <c r="W3315" s="1" t="str">
        <f>HYPERLINK("http://ictvonline.org/taxonomy/p/taxonomy-history?taxnode_id=201904920","ICTVonline=201904920")</f>
        <v>ICTVonline=201904920</v>
      </c>
    </row>
    <row r="3316" spans="1:23">
      <c r="A3316" s="3">
        <v>3315</v>
      </c>
      <c r="B3316" s="1" t="s">
        <v>5910</v>
      </c>
      <c r="D3316" s="1" t="s">
        <v>8187</v>
      </c>
      <c r="F3316" s="1" t="s">
        <v>8188</v>
      </c>
      <c r="H3316" s="1" t="s">
        <v>8192</v>
      </c>
      <c r="J3316" s="1" t="s">
        <v>8193</v>
      </c>
      <c r="L3316" s="1" t="s">
        <v>1752</v>
      </c>
      <c r="M3316" s="1" t="s">
        <v>1153</v>
      </c>
      <c r="N3316" s="1" t="s">
        <v>723</v>
      </c>
      <c r="P3316" s="1" t="s">
        <v>725</v>
      </c>
      <c r="Q3316" s="3">
        <v>0</v>
      </c>
      <c r="R3316" s="22" t="s">
        <v>2725</v>
      </c>
      <c r="S3316" s="42" t="s">
        <v>6912</v>
      </c>
      <c r="T3316" s="3" t="s">
        <v>4868</v>
      </c>
      <c r="U3316" s="45">
        <v>35</v>
      </c>
      <c r="V3316" t="s">
        <v>8191</v>
      </c>
      <c r="W3316" s="1" t="str">
        <f>HYPERLINK("http://ictvonline.org/taxonomy/p/taxonomy-history?taxnode_id=201904921","ICTVonline=201904921")</f>
        <v>ICTVonline=201904921</v>
      </c>
    </row>
    <row r="3317" spans="1:23">
      <c r="A3317" s="3">
        <v>3316</v>
      </c>
      <c r="B3317" s="1" t="s">
        <v>5910</v>
      </c>
      <c r="D3317" s="1" t="s">
        <v>8187</v>
      </c>
      <c r="F3317" s="1" t="s">
        <v>8188</v>
      </c>
      <c r="H3317" s="1" t="s">
        <v>8192</v>
      </c>
      <c r="J3317" s="1" t="s">
        <v>8193</v>
      </c>
      <c r="L3317" s="1" t="s">
        <v>1752</v>
      </c>
      <c r="M3317" s="1" t="s">
        <v>1153</v>
      </c>
      <c r="N3317" s="1" t="s">
        <v>723</v>
      </c>
      <c r="P3317" s="1" t="s">
        <v>726</v>
      </c>
      <c r="Q3317" s="3">
        <v>0</v>
      </c>
      <c r="R3317" s="22" t="s">
        <v>2725</v>
      </c>
      <c r="S3317" s="42" t="s">
        <v>6912</v>
      </c>
      <c r="T3317" s="3" t="s">
        <v>4868</v>
      </c>
      <c r="U3317" s="45">
        <v>35</v>
      </c>
      <c r="V3317" t="s">
        <v>8191</v>
      </c>
      <c r="W3317" s="1" t="str">
        <f>HYPERLINK("http://ictvonline.org/taxonomy/p/taxonomy-history?taxnode_id=201904922","ICTVonline=201904922")</f>
        <v>ICTVonline=201904922</v>
      </c>
    </row>
    <row r="3318" spans="1:23">
      <c r="A3318" s="3">
        <v>3317</v>
      </c>
      <c r="B3318" s="1" t="s">
        <v>5910</v>
      </c>
      <c r="D3318" s="1" t="s">
        <v>8187</v>
      </c>
      <c r="F3318" s="1" t="s">
        <v>8188</v>
      </c>
      <c r="H3318" s="1" t="s">
        <v>8192</v>
      </c>
      <c r="J3318" s="1" t="s">
        <v>8193</v>
      </c>
      <c r="L3318" s="1" t="s">
        <v>1752</v>
      </c>
      <c r="M3318" s="1" t="s">
        <v>1153</v>
      </c>
      <c r="N3318" s="1" t="s">
        <v>723</v>
      </c>
      <c r="P3318" s="1" t="s">
        <v>727</v>
      </c>
      <c r="Q3318" s="3">
        <v>0</v>
      </c>
      <c r="R3318" s="22" t="s">
        <v>2725</v>
      </c>
      <c r="S3318" s="42" t="s">
        <v>6912</v>
      </c>
      <c r="T3318" s="3" t="s">
        <v>4868</v>
      </c>
      <c r="U3318" s="45">
        <v>35</v>
      </c>
      <c r="V3318" t="s">
        <v>8191</v>
      </c>
      <c r="W3318" s="1" t="str">
        <f>HYPERLINK("http://ictvonline.org/taxonomy/p/taxonomy-history?taxnode_id=201904923","ICTVonline=201904923")</f>
        <v>ICTVonline=201904923</v>
      </c>
    </row>
    <row r="3319" spans="1:23">
      <c r="A3319" s="3">
        <v>3318</v>
      </c>
      <c r="B3319" s="1" t="s">
        <v>5910</v>
      </c>
      <c r="D3319" s="1" t="s">
        <v>8187</v>
      </c>
      <c r="F3319" s="1" t="s">
        <v>8188</v>
      </c>
      <c r="H3319" s="1" t="s">
        <v>8192</v>
      </c>
      <c r="J3319" s="1" t="s">
        <v>8193</v>
      </c>
      <c r="L3319" s="1" t="s">
        <v>1752</v>
      </c>
      <c r="M3319" s="1" t="s">
        <v>1153</v>
      </c>
      <c r="N3319" s="1" t="s">
        <v>723</v>
      </c>
      <c r="P3319" s="1" t="s">
        <v>728</v>
      </c>
      <c r="Q3319" s="3">
        <v>0</v>
      </c>
      <c r="R3319" s="22" t="s">
        <v>2725</v>
      </c>
      <c r="S3319" s="42" t="s">
        <v>6912</v>
      </c>
      <c r="T3319" s="3" t="s">
        <v>4868</v>
      </c>
      <c r="U3319" s="45">
        <v>35</v>
      </c>
      <c r="V3319" t="s">
        <v>8191</v>
      </c>
      <c r="W3319" s="1" t="str">
        <f>HYPERLINK("http://ictvonline.org/taxonomy/p/taxonomy-history?taxnode_id=201904924","ICTVonline=201904924")</f>
        <v>ICTVonline=201904924</v>
      </c>
    </row>
    <row r="3320" spans="1:23">
      <c r="A3320" s="3">
        <v>3319</v>
      </c>
      <c r="B3320" s="1" t="s">
        <v>5910</v>
      </c>
      <c r="D3320" s="1" t="s">
        <v>8187</v>
      </c>
      <c r="F3320" s="1" t="s">
        <v>8188</v>
      </c>
      <c r="H3320" s="1" t="s">
        <v>8192</v>
      </c>
      <c r="J3320" s="1" t="s">
        <v>8193</v>
      </c>
      <c r="L3320" s="1" t="s">
        <v>1752</v>
      </c>
      <c r="M3320" s="1" t="s">
        <v>1153</v>
      </c>
      <c r="N3320" s="1" t="s">
        <v>723</v>
      </c>
      <c r="P3320" s="1" t="s">
        <v>729</v>
      </c>
      <c r="Q3320" s="3">
        <v>0</v>
      </c>
      <c r="R3320" s="22" t="s">
        <v>2725</v>
      </c>
      <c r="S3320" s="42" t="s">
        <v>6912</v>
      </c>
      <c r="T3320" s="3" t="s">
        <v>4868</v>
      </c>
      <c r="U3320" s="45">
        <v>35</v>
      </c>
      <c r="V3320" t="s">
        <v>8191</v>
      </c>
      <c r="W3320" s="1" t="str">
        <f>HYPERLINK("http://ictvonline.org/taxonomy/p/taxonomy-history?taxnode_id=201904925","ICTVonline=201904925")</f>
        <v>ICTVonline=201904925</v>
      </c>
    </row>
    <row r="3321" spans="1:23">
      <c r="A3321" s="3">
        <v>3320</v>
      </c>
      <c r="B3321" s="1" t="s">
        <v>5910</v>
      </c>
      <c r="D3321" s="1" t="s">
        <v>8187</v>
      </c>
      <c r="F3321" s="1" t="s">
        <v>8188</v>
      </c>
      <c r="H3321" s="1" t="s">
        <v>8192</v>
      </c>
      <c r="J3321" s="1" t="s">
        <v>8193</v>
      </c>
      <c r="L3321" s="1" t="s">
        <v>1752</v>
      </c>
      <c r="M3321" s="1" t="s">
        <v>1153</v>
      </c>
      <c r="N3321" s="1" t="s">
        <v>723</v>
      </c>
      <c r="P3321" s="1" t="s">
        <v>730</v>
      </c>
      <c r="Q3321" s="3">
        <v>0</v>
      </c>
      <c r="R3321" s="22" t="s">
        <v>2725</v>
      </c>
      <c r="S3321" s="42" t="s">
        <v>6912</v>
      </c>
      <c r="T3321" s="3" t="s">
        <v>4868</v>
      </c>
      <c r="U3321" s="45">
        <v>35</v>
      </c>
      <c r="V3321" t="s">
        <v>8191</v>
      </c>
      <c r="W3321" s="1" t="str">
        <f>HYPERLINK("http://ictvonline.org/taxonomy/p/taxonomy-history?taxnode_id=201904926","ICTVonline=201904926")</f>
        <v>ICTVonline=201904926</v>
      </c>
    </row>
    <row r="3322" spans="1:23">
      <c r="A3322" s="3">
        <v>3321</v>
      </c>
      <c r="B3322" s="1" t="s">
        <v>5910</v>
      </c>
      <c r="D3322" s="1" t="s">
        <v>8187</v>
      </c>
      <c r="F3322" s="1" t="s">
        <v>8188</v>
      </c>
      <c r="H3322" s="1" t="s">
        <v>8192</v>
      </c>
      <c r="J3322" s="1" t="s">
        <v>8193</v>
      </c>
      <c r="L3322" s="1" t="s">
        <v>1752</v>
      </c>
      <c r="M3322" s="1" t="s">
        <v>1153</v>
      </c>
      <c r="N3322" s="1" t="s">
        <v>733</v>
      </c>
      <c r="P3322" s="1" t="s">
        <v>8196</v>
      </c>
      <c r="Q3322" s="3">
        <v>1</v>
      </c>
      <c r="R3322" s="22" t="s">
        <v>2725</v>
      </c>
      <c r="S3322" s="42" t="s">
        <v>6914</v>
      </c>
      <c r="T3322" s="3" t="s">
        <v>4867</v>
      </c>
      <c r="U3322" s="45">
        <v>35</v>
      </c>
      <c r="V3322" t="s">
        <v>8197</v>
      </c>
      <c r="W3322" s="1" t="str">
        <f>HYPERLINK("http://ictvonline.org/taxonomy/p/taxonomy-history?taxnode_id=201904928","ICTVonline=201904928")</f>
        <v>ICTVonline=201904928</v>
      </c>
    </row>
    <row r="3323" spans="1:23">
      <c r="A3323" s="3">
        <v>3322</v>
      </c>
      <c r="B3323" s="1" t="s">
        <v>5910</v>
      </c>
      <c r="D3323" s="1" t="s">
        <v>8187</v>
      </c>
      <c r="F3323" s="1" t="s">
        <v>8188</v>
      </c>
      <c r="H3323" s="1" t="s">
        <v>8192</v>
      </c>
      <c r="J3323" s="1" t="s">
        <v>8193</v>
      </c>
      <c r="L3323" s="1" t="s">
        <v>1752</v>
      </c>
      <c r="M3323" s="1" t="s">
        <v>1153</v>
      </c>
      <c r="N3323" s="1" t="s">
        <v>733</v>
      </c>
      <c r="P3323" s="1" t="s">
        <v>8198</v>
      </c>
      <c r="Q3323" s="3">
        <v>0</v>
      </c>
      <c r="R3323" s="22" t="s">
        <v>2725</v>
      </c>
      <c r="S3323" s="42" t="s">
        <v>6914</v>
      </c>
      <c r="T3323" s="3" t="s">
        <v>4867</v>
      </c>
      <c r="U3323" s="45">
        <v>35</v>
      </c>
      <c r="V3323" t="s">
        <v>8197</v>
      </c>
      <c r="W3323" s="1" t="str">
        <f>HYPERLINK("http://ictvonline.org/taxonomy/p/taxonomy-history?taxnode_id=201904929","ICTVonline=201904929")</f>
        <v>ICTVonline=201904929</v>
      </c>
    </row>
    <row r="3324" spans="1:23">
      <c r="A3324" s="3">
        <v>3323</v>
      </c>
      <c r="B3324" s="1" t="s">
        <v>5910</v>
      </c>
      <c r="D3324" s="1" t="s">
        <v>8187</v>
      </c>
      <c r="F3324" s="1" t="s">
        <v>8188</v>
      </c>
      <c r="H3324" s="1" t="s">
        <v>8192</v>
      </c>
      <c r="J3324" s="1" t="s">
        <v>8193</v>
      </c>
      <c r="L3324" s="1" t="s">
        <v>1752</v>
      </c>
      <c r="M3324" s="1" t="s">
        <v>1153</v>
      </c>
      <c r="N3324" s="1" t="s">
        <v>733</v>
      </c>
      <c r="P3324" s="1" t="s">
        <v>8199</v>
      </c>
      <c r="Q3324" s="3">
        <v>0</v>
      </c>
      <c r="R3324" s="22" t="s">
        <v>2725</v>
      </c>
      <c r="S3324" s="42" t="s">
        <v>6914</v>
      </c>
      <c r="T3324" s="3" t="s">
        <v>4866</v>
      </c>
      <c r="U3324" s="45">
        <v>35</v>
      </c>
      <c r="V3324" t="s">
        <v>8197</v>
      </c>
      <c r="W3324" s="1" t="str">
        <f>HYPERLINK("http://ictvonline.org/taxonomy/p/taxonomy-history?taxnode_id=201907654","ICTVonline=201907654")</f>
        <v>ICTVonline=201907654</v>
      </c>
    </row>
    <row r="3325" spans="1:23">
      <c r="A3325" s="3">
        <v>3324</v>
      </c>
      <c r="B3325" s="1" t="s">
        <v>5910</v>
      </c>
      <c r="D3325" s="1" t="s">
        <v>8187</v>
      </c>
      <c r="F3325" s="1" t="s">
        <v>8188</v>
      </c>
      <c r="H3325" s="1" t="s">
        <v>8192</v>
      </c>
      <c r="J3325" s="1" t="s">
        <v>8193</v>
      </c>
      <c r="L3325" s="1" t="s">
        <v>1752</v>
      </c>
      <c r="M3325" s="1" t="s">
        <v>1153</v>
      </c>
      <c r="N3325" s="1" t="s">
        <v>733</v>
      </c>
      <c r="P3325" s="1" t="s">
        <v>8200</v>
      </c>
      <c r="Q3325" s="3">
        <v>0</v>
      </c>
      <c r="R3325" s="22" t="s">
        <v>2725</v>
      </c>
      <c r="S3325" s="42" t="s">
        <v>6914</v>
      </c>
      <c r="T3325" s="3" t="s">
        <v>4866</v>
      </c>
      <c r="U3325" s="45">
        <v>35</v>
      </c>
      <c r="V3325" t="s">
        <v>8197</v>
      </c>
      <c r="W3325" s="1" t="str">
        <f>HYPERLINK("http://ictvonline.org/taxonomy/p/taxonomy-history?taxnode_id=201907655","ICTVonline=201907655")</f>
        <v>ICTVonline=201907655</v>
      </c>
    </row>
    <row r="3326" spans="1:23">
      <c r="A3326" s="3">
        <v>3325</v>
      </c>
      <c r="B3326" s="1" t="s">
        <v>5910</v>
      </c>
      <c r="D3326" s="1" t="s">
        <v>8187</v>
      </c>
      <c r="F3326" s="1" t="s">
        <v>8188</v>
      </c>
      <c r="H3326" s="1" t="s">
        <v>8192</v>
      </c>
      <c r="J3326" s="1" t="s">
        <v>8193</v>
      </c>
      <c r="L3326" s="1" t="s">
        <v>1752</v>
      </c>
      <c r="M3326" s="1" t="s">
        <v>1153</v>
      </c>
      <c r="N3326" s="1" t="s">
        <v>733</v>
      </c>
      <c r="P3326" s="1" t="s">
        <v>8201</v>
      </c>
      <c r="Q3326" s="3">
        <v>0</v>
      </c>
      <c r="R3326" s="22" t="s">
        <v>2725</v>
      </c>
      <c r="S3326" s="42" t="s">
        <v>6914</v>
      </c>
      <c r="T3326" s="3" t="s">
        <v>4866</v>
      </c>
      <c r="U3326" s="45">
        <v>35</v>
      </c>
      <c r="V3326" t="s">
        <v>8197</v>
      </c>
      <c r="W3326" s="1" t="str">
        <f>HYPERLINK("http://ictvonline.org/taxonomy/p/taxonomy-history?taxnode_id=201907656","ICTVonline=201907656")</f>
        <v>ICTVonline=201907656</v>
      </c>
    </row>
    <row r="3327" spans="1:23">
      <c r="A3327" s="3">
        <v>3326</v>
      </c>
      <c r="B3327" s="1" t="s">
        <v>5910</v>
      </c>
      <c r="D3327" s="1" t="s">
        <v>8187</v>
      </c>
      <c r="F3327" s="1" t="s">
        <v>8188</v>
      </c>
      <c r="H3327" s="1" t="s">
        <v>8192</v>
      </c>
      <c r="J3327" s="1" t="s">
        <v>8193</v>
      </c>
      <c r="L3327" s="1" t="s">
        <v>1752</v>
      </c>
      <c r="M3327" s="1" t="s">
        <v>1153</v>
      </c>
      <c r="N3327" s="1" t="s">
        <v>734</v>
      </c>
      <c r="P3327" s="1" t="s">
        <v>1586</v>
      </c>
      <c r="Q3327" s="3">
        <v>1</v>
      </c>
      <c r="R3327" s="22" t="s">
        <v>2725</v>
      </c>
      <c r="S3327" s="42" t="s">
        <v>6912</v>
      </c>
      <c r="T3327" s="3" t="s">
        <v>4868</v>
      </c>
      <c r="U3327" s="45">
        <v>35</v>
      </c>
      <c r="V3327" t="s">
        <v>8191</v>
      </c>
      <c r="W3327" s="1" t="str">
        <f>HYPERLINK("http://ictvonline.org/taxonomy/p/taxonomy-history?taxnode_id=201904931","ICTVonline=201904931")</f>
        <v>ICTVonline=201904931</v>
      </c>
    </row>
    <row r="3328" spans="1:23">
      <c r="A3328" s="3">
        <v>3327</v>
      </c>
      <c r="B3328" s="1" t="s">
        <v>5910</v>
      </c>
      <c r="D3328" s="1" t="s">
        <v>8187</v>
      </c>
      <c r="F3328" s="1" t="s">
        <v>8188</v>
      </c>
      <c r="H3328" s="1" t="s">
        <v>8192</v>
      </c>
      <c r="J3328" s="1" t="s">
        <v>8193</v>
      </c>
      <c r="L3328" s="1" t="s">
        <v>1752</v>
      </c>
      <c r="M3328" s="1" t="s">
        <v>1153</v>
      </c>
      <c r="N3328" s="1" t="s">
        <v>734</v>
      </c>
      <c r="P3328" s="1" t="s">
        <v>1583</v>
      </c>
      <c r="Q3328" s="3">
        <v>0</v>
      </c>
      <c r="R3328" s="22" t="s">
        <v>2725</v>
      </c>
      <c r="S3328" s="42" t="s">
        <v>6912</v>
      </c>
      <c r="T3328" s="3" t="s">
        <v>4868</v>
      </c>
      <c r="U3328" s="45">
        <v>35</v>
      </c>
      <c r="V3328" t="s">
        <v>8191</v>
      </c>
      <c r="W3328" s="1" t="str">
        <f>HYPERLINK("http://ictvonline.org/taxonomy/p/taxonomy-history?taxnode_id=201904932","ICTVonline=201904932")</f>
        <v>ICTVonline=201904932</v>
      </c>
    </row>
    <row r="3329" spans="1:23">
      <c r="A3329" s="3">
        <v>3328</v>
      </c>
      <c r="B3329" s="1" t="s">
        <v>5910</v>
      </c>
      <c r="D3329" s="1" t="s">
        <v>8187</v>
      </c>
      <c r="F3329" s="1" t="s">
        <v>8188</v>
      </c>
      <c r="H3329" s="1" t="s">
        <v>8192</v>
      </c>
      <c r="J3329" s="1" t="s">
        <v>8193</v>
      </c>
      <c r="L3329" s="1" t="s">
        <v>1752</v>
      </c>
      <c r="M3329" s="1" t="s">
        <v>1153</v>
      </c>
      <c r="N3329" s="1" t="s">
        <v>734</v>
      </c>
      <c r="P3329" s="1" t="s">
        <v>1892</v>
      </c>
      <c r="Q3329" s="3">
        <v>0</v>
      </c>
      <c r="R3329" s="22" t="s">
        <v>2725</v>
      </c>
      <c r="S3329" s="42" t="s">
        <v>6912</v>
      </c>
      <c r="T3329" s="3" t="s">
        <v>4868</v>
      </c>
      <c r="U3329" s="45">
        <v>35</v>
      </c>
      <c r="V3329" t="s">
        <v>8191</v>
      </c>
      <c r="W3329" s="1" t="str">
        <f>HYPERLINK("http://ictvonline.org/taxonomy/p/taxonomy-history?taxnode_id=201904933","ICTVonline=201904933")</f>
        <v>ICTVonline=201904933</v>
      </c>
    </row>
    <row r="3330" spans="1:23">
      <c r="A3330" s="3">
        <v>3329</v>
      </c>
      <c r="B3330" s="1" t="s">
        <v>5910</v>
      </c>
      <c r="D3330" s="1" t="s">
        <v>8187</v>
      </c>
      <c r="F3330" s="1" t="s">
        <v>8188</v>
      </c>
      <c r="H3330" s="1" t="s">
        <v>8192</v>
      </c>
      <c r="J3330" s="1" t="s">
        <v>8193</v>
      </c>
      <c r="L3330" s="1" t="s">
        <v>1752</v>
      </c>
      <c r="M3330" s="1" t="s">
        <v>1153</v>
      </c>
      <c r="N3330" s="1" t="s">
        <v>734</v>
      </c>
      <c r="P3330" s="1" t="s">
        <v>1893</v>
      </c>
      <c r="Q3330" s="3">
        <v>0</v>
      </c>
      <c r="R3330" s="22" t="s">
        <v>2725</v>
      </c>
      <c r="S3330" s="42" t="s">
        <v>6912</v>
      </c>
      <c r="T3330" s="3" t="s">
        <v>4868</v>
      </c>
      <c r="U3330" s="45">
        <v>35</v>
      </c>
      <c r="V3330" t="s">
        <v>8191</v>
      </c>
      <c r="W3330" s="1" t="str">
        <f>HYPERLINK("http://ictvonline.org/taxonomy/p/taxonomy-history?taxnode_id=201904934","ICTVonline=201904934")</f>
        <v>ICTVonline=201904934</v>
      </c>
    </row>
    <row r="3331" spans="1:23">
      <c r="A3331" s="3">
        <v>3330</v>
      </c>
      <c r="B3331" s="1" t="s">
        <v>5910</v>
      </c>
      <c r="D3331" s="1" t="s">
        <v>8187</v>
      </c>
      <c r="F3331" s="1" t="s">
        <v>8188</v>
      </c>
      <c r="H3331" s="1" t="s">
        <v>8192</v>
      </c>
      <c r="J3331" s="1" t="s">
        <v>8193</v>
      </c>
      <c r="L3331" s="1" t="s">
        <v>1752</v>
      </c>
      <c r="M3331" s="1" t="s">
        <v>1153</v>
      </c>
      <c r="N3331" s="1" t="s">
        <v>734</v>
      </c>
      <c r="P3331" s="1" t="s">
        <v>1894</v>
      </c>
      <c r="Q3331" s="3">
        <v>0</v>
      </c>
      <c r="R3331" s="22" t="s">
        <v>2725</v>
      </c>
      <c r="S3331" s="42" t="s">
        <v>6912</v>
      </c>
      <c r="T3331" s="3" t="s">
        <v>4868</v>
      </c>
      <c r="U3331" s="45">
        <v>35</v>
      </c>
      <c r="V3331" t="s">
        <v>8191</v>
      </c>
      <c r="W3331" s="1" t="str">
        <f>HYPERLINK("http://ictvonline.org/taxonomy/p/taxonomy-history?taxnode_id=201904935","ICTVonline=201904935")</f>
        <v>ICTVonline=201904935</v>
      </c>
    </row>
    <row r="3332" spans="1:23">
      <c r="A3332" s="3">
        <v>3331</v>
      </c>
      <c r="B3332" s="1" t="s">
        <v>5910</v>
      </c>
      <c r="D3332" s="1" t="s">
        <v>8187</v>
      </c>
      <c r="F3332" s="1" t="s">
        <v>8188</v>
      </c>
      <c r="H3332" s="1" t="s">
        <v>8192</v>
      </c>
      <c r="J3332" s="1" t="s">
        <v>8193</v>
      </c>
      <c r="L3332" s="1" t="s">
        <v>1752</v>
      </c>
      <c r="M3332" s="1" t="s">
        <v>1153</v>
      </c>
      <c r="N3332" s="1" t="s">
        <v>734</v>
      </c>
      <c r="P3332" s="1" t="s">
        <v>1895</v>
      </c>
      <c r="Q3332" s="3">
        <v>0</v>
      </c>
      <c r="R3332" s="22" t="s">
        <v>2725</v>
      </c>
      <c r="S3332" s="42" t="s">
        <v>6912</v>
      </c>
      <c r="T3332" s="3" t="s">
        <v>4868</v>
      </c>
      <c r="U3332" s="45">
        <v>35</v>
      </c>
      <c r="V3332" t="s">
        <v>8191</v>
      </c>
      <c r="W3332" s="1" t="str">
        <f>HYPERLINK("http://ictvonline.org/taxonomy/p/taxonomy-history?taxnode_id=201904936","ICTVonline=201904936")</f>
        <v>ICTVonline=201904936</v>
      </c>
    </row>
    <row r="3333" spans="1:23">
      <c r="A3333" s="3">
        <v>3332</v>
      </c>
      <c r="B3333" s="1" t="s">
        <v>5910</v>
      </c>
      <c r="D3333" s="1" t="s">
        <v>8187</v>
      </c>
      <c r="F3333" s="1" t="s">
        <v>8188</v>
      </c>
      <c r="H3333" s="1" t="s">
        <v>8192</v>
      </c>
      <c r="J3333" s="1" t="s">
        <v>8193</v>
      </c>
      <c r="L3333" s="1" t="s">
        <v>1752</v>
      </c>
      <c r="M3333" s="1" t="s">
        <v>1153</v>
      </c>
      <c r="N3333" s="1" t="s">
        <v>734</v>
      </c>
      <c r="P3333" s="1" t="s">
        <v>1896</v>
      </c>
      <c r="Q3333" s="3">
        <v>0</v>
      </c>
      <c r="R3333" s="22" t="s">
        <v>2725</v>
      </c>
      <c r="S3333" s="42" t="s">
        <v>6912</v>
      </c>
      <c r="T3333" s="3" t="s">
        <v>4868</v>
      </c>
      <c r="U3333" s="45">
        <v>35</v>
      </c>
      <c r="V3333" t="s">
        <v>8191</v>
      </c>
      <c r="W3333" s="1" t="str">
        <f>HYPERLINK("http://ictvonline.org/taxonomy/p/taxonomy-history?taxnode_id=201904937","ICTVonline=201904937")</f>
        <v>ICTVonline=201904937</v>
      </c>
    </row>
    <row r="3334" spans="1:23">
      <c r="A3334" s="3">
        <v>3333</v>
      </c>
      <c r="B3334" s="1" t="s">
        <v>5910</v>
      </c>
      <c r="D3334" s="1" t="s">
        <v>8187</v>
      </c>
      <c r="F3334" s="1" t="s">
        <v>8188</v>
      </c>
      <c r="H3334" s="1" t="s">
        <v>8192</v>
      </c>
      <c r="J3334" s="1" t="s">
        <v>8193</v>
      </c>
      <c r="L3334" s="1" t="s">
        <v>1752</v>
      </c>
      <c r="M3334" s="1" t="s">
        <v>1153</v>
      </c>
      <c r="N3334" s="1" t="s">
        <v>734</v>
      </c>
      <c r="P3334" s="1" t="s">
        <v>1587</v>
      </c>
      <c r="Q3334" s="3">
        <v>0</v>
      </c>
      <c r="R3334" s="22" t="s">
        <v>2725</v>
      </c>
      <c r="S3334" s="42" t="s">
        <v>6912</v>
      </c>
      <c r="T3334" s="3" t="s">
        <v>4868</v>
      </c>
      <c r="U3334" s="45">
        <v>35</v>
      </c>
      <c r="V3334" t="s">
        <v>8191</v>
      </c>
      <c r="W3334" s="1" t="str">
        <f>HYPERLINK("http://ictvonline.org/taxonomy/p/taxonomy-history?taxnode_id=201904938","ICTVonline=201904938")</f>
        <v>ICTVonline=201904938</v>
      </c>
    </row>
    <row r="3335" spans="1:23">
      <c r="A3335" s="3">
        <v>3334</v>
      </c>
      <c r="B3335" s="1" t="s">
        <v>5910</v>
      </c>
      <c r="D3335" s="1" t="s">
        <v>8187</v>
      </c>
      <c r="F3335" s="1" t="s">
        <v>8188</v>
      </c>
      <c r="H3335" s="1" t="s">
        <v>8192</v>
      </c>
      <c r="J3335" s="1" t="s">
        <v>8193</v>
      </c>
      <c r="L3335" s="1" t="s">
        <v>1752</v>
      </c>
      <c r="M3335" s="1" t="s">
        <v>1153</v>
      </c>
      <c r="N3335" s="1" t="s">
        <v>734</v>
      </c>
      <c r="P3335" s="1" t="s">
        <v>1588</v>
      </c>
      <c r="Q3335" s="3">
        <v>0</v>
      </c>
      <c r="R3335" s="22" t="s">
        <v>2725</v>
      </c>
      <c r="S3335" s="42" t="s">
        <v>6912</v>
      </c>
      <c r="T3335" s="3" t="s">
        <v>4868</v>
      </c>
      <c r="U3335" s="45">
        <v>35</v>
      </c>
      <c r="V3335" t="s">
        <v>8191</v>
      </c>
      <c r="W3335" s="1" t="str">
        <f>HYPERLINK("http://ictvonline.org/taxonomy/p/taxonomy-history?taxnode_id=201904939","ICTVonline=201904939")</f>
        <v>ICTVonline=201904939</v>
      </c>
    </row>
    <row r="3336" spans="1:23">
      <c r="A3336" s="3">
        <v>3335</v>
      </c>
      <c r="B3336" s="1" t="s">
        <v>5910</v>
      </c>
      <c r="D3336" s="1" t="s">
        <v>8187</v>
      </c>
      <c r="F3336" s="1" t="s">
        <v>8188</v>
      </c>
      <c r="H3336" s="1" t="s">
        <v>8192</v>
      </c>
      <c r="J3336" s="1" t="s">
        <v>8193</v>
      </c>
      <c r="L3336" s="1" t="s">
        <v>1752</v>
      </c>
      <c r="M3336" s="1" t="s">
        <v>1153</v>
      </c>
      <c r="N3336" s="1" t="s">
        <v>734</v>
      </c>
      <c r="P3336" s="1" t="s">
        <v>1811</v>
      </c>
      <c r="Q3336" s="3">
        <v>0</v>
      </c>
      <c r="R3336" s="22" t="s">
        <v>2725</v>
      </c>
      <c r="S3336" s="42" t="s">
        <v>6912</v>
      </c>
      <c r="T3336" s="3" t="s">
        <v>4868</v>
      </c>
      <c r="U3336" s="45">
        <v>35</v>
      </c>
      <c r="V3336" t="s">
        <v>8191</v>
      </c>
      <c r="W3336" s="1" t="str">
        <f>HYPERLINK("http://ictvonline.org/taxonomy/p/taxonomy-history?taxnode_id=201904940","ICTVonline=201904940")</f>
        <v>ICTVonline=201904940</v>
      </c>
    </row>
    <row r="3337" spans="1:23">
      <c r="A3337" s="3">
        <v>3336</v>
      </c>
      <c r="B3337" s="1" t="s">
        <v>5910</v>
      </c>
      <c r="D3337" s="1" t="s">
        <v>8187</v>
      </c>
      <c r="F3337" s="1" t="s">
        <v>8188</v>
      </c>
      <c r="H3337" s="1" t="s">
        <v>8192</v>
      </c>
      <c r="J3337" s="1" t="s">
        <v>8193</v>
      </c>
      <c r="L3337" s="1" t="s">
        <v>1752</v>
      </c>
      <c r="M3337" s="1" t="s">
        <v>1153</v>
      </c>
      <c r="N3337" s="1" t="s">
        <v>734</v>
      </c>
      <c r="P3337" s="1" t="s">
        <v>1812</v>
      </c>
      <c r="Q3337" s="3">
        <v>0</v>
      </c>
      <c r="R3337" s="22" t="s">
        <v>2725</v>
      </c>
      <c r="S3337" s="42" t="s">
        <v>6912</v>
      </c>
      <c r="T3337" s="3" t="s">
        <v>4868</v>
      </c>
      <c r="U3337" s="45">
        <v>35</v>
      </c>
      <c r="V3337" t="s">
        <v>8191</v>
      </c>
      <c r="W3337" s="1" t="str">
        <f>HYPERLINK("http://ictvonline.org/taxonomy/p/taxonomy-history?taxnode_id=201904941","ICTVonline=201904941")</f>
        <v>ICTVonline=201904941</v>
      </c>
    </row>
    <row r="3338" spans="1:23">
      <c r="A3338" s="3">
        <v>3337</v>
      </c>
      <c r="B3338" s="1" t="s">
        <v>5910</v>
      </c>
      <c r="D3338" s="1" t="s">
        <v>8187</v>
      </c>
      <c r="F3338" s="1" t="s">
        <v>8188</v>
      </c>
      <c r="H3338" s="1" t="s">
        <v>8192</v>
      </c>
      <c r="J3338" s="1" t="s">
        <v>8193</v>
      </c>
      <c r="L3338" s="1" t="s">
        <v>1752</v>
      </c>
      <c r="M3338" s="1" t="s">
        <v>1153</v>
      </c>
      <c r="N3338" s="1" t="s">
        <v>734</v>
      </c>
      <c r="P3338" s="1" t="s">
        <v>1813</v>
      </c>
      <c r="Q3338" s="3">
        <v>0</v>
      </c>
      <c r="R3338" s="22" t="s">
        <v>2725</v>
      </c>
      <c r="S3338" s="42" t="s">
        <v>6912</v>
      </c>
      <c r="T3338" s="3" t="s">
        <v>4868</v>
      </c>
      <c r="U3338" s="45">
        <v>35</v>
      </c>
      <c r="V3338" t="s">
        <v>8191</v>
      </c>
      <c r="W3338" s="1" t="str">
        <f>HYPERLINK("http://ictvonline.org/taxonomy/p/taxonomy-history?taxnode_id=201904942","ICTVonline=201904942")</f>
        <v>ICTVonline=201904942</v>
      </c>
    </row>
    <row r="3339" spans="1:23">
      <c r="A3339" s="3">
        <v>3338</v>
      </c>
      <c r="B3339" s="1" t="s">
        <v>5910</v>
      </c>
      <c r="D3339" s="1" t="s">
        <v>8187</v>
      </c>
      <c r="F3339" s="1" t="s">
        <v>8188</v>
      </c>
      <c r="H3339" s="1" t="s">
        <v>8192</v>
      </c>
      <c r="J3339" s="1" t="s">
        <v>8193</v>
      </c>
      <c r="L3339" s="1" t="s">
        <v>1752</v>
      </c>
      <c r="M3339" s="1" t="s">
        <v>1153</v>
      </c>
      <c r="N3339" s="1" t="s">
        <v>734</v>
      </c>
      <c r="P3339" s="1" t="s">
        <v>1579</v>
      </c>
      <c r="Q3339" s="3">
        <v>0</v>
      </c>
      <c r="R3339" s="22" t="s">
        <v>2725</v>
      </c>
      <c r="S3339" s="42" t="s">
        <v>6912</v>
      </c>
      <c r="T3339" s="3" t="s">
        <v>4868</v>
      </c>
      <c r="U3339" s="45">
        <v>35</v>
      </c>
      <c r="V3339" t="s">
        <v>8191</v>
      </c>
      <c r="W3339" s="1" t="str">
        <f>HYPERLINK("http://ictvonline.org/taxonomy/p/taxonomy-history?taxnode_id=201904943","ICTVonline=201904943")</f>
        <v>ICTVonline=201904943</v>
      </c>
    </row>
    <row r="3340" spans="1:23">
      <c r="A3340" s="3">
        <v>3339</v>
      </c>
      <c r="B3340" s="1" t="s">
        <v>5910</v>
      </c>
      <c r="D3340" s="1" t="s">
        <v>8187</v>
      </c>
      <c r="F3340" s="1" t="s">
        <v>8188</v>
      </c>
      <c r="H3340" s="1" t="s">
        <v>8192</v>
      </c>
      <c r="J3340" s="1" t="s">
        <v>8193</v>
      </c>
      <c r="L3340" s="1" t="s">
        <v>1752</v>
      </c>
      <c r="M3340" s="1" t="s">
        <v>1153</v>
      </c>
      <c r="N3340" s="1" t="s">
        <v>734</v>
      </c>
      <c r="P3340" s="1" t="s">
        <v>1580</v>
      </c>
      <c r="Q3340" s="3">
        <v>0</v>
      </c>
      <c r="R3340" s="22" t="s">
        <v>2725</v>
      </c>
      <c r="S3340" s="42" t="s">
        <v>6912</v>
      </c>
      <c r="T3340" s="3" t="s">
        <v>4868</v>
      </c>
      <c r="U3340" s="45">
        <v>35</v>
      </c>
      <c r="V3340" t="s">
        <v>8191</v>
      </c>
      <c r="W3340" s="1" t="str">
        <f>HYPERLINK("http://ictvonline.org/taxonomy/p/taxonomy-history?taxnode_id=201904944","ICTVonline=201904944")</f>
        <v>ICTVonline=201904944</v>
      </c>
    </row>
    <row r="3341" spans="1:23">
      <c r="A3341" s="3">
        <v>3340</v>
      </c>
      <c r="B3341" s="1" t="s">
        <v>5910</v>
      </c>
      <c r="D3341" s="1" t="s">
        <v>8187</v>
      </c>
      <c r="F3341" s="1" t="s">
        <v>8188</v>
      </c>
      <c r="H3341" s="1" t="s">
        <v>8192</v>
      </c>
      <c r="J3341" s="1" t="s">
        <v>8193</v>
      </c>
      <c r="L3341" s="1" t="s">
        <v>1752</v>
      </c>
      <c r="M3341" s="1" t="s">
        <v>1153</v>
      </c>
      <c r="N3341" s="1" t="s">
        <v>734</v>
      </c>
      <c r="P3341" s="1" t="s">
        <v>1581</v>
      </c>
      <c r="Q3341" s="3">
        <v>0</v>
      </c>
      <c r="R3341" s="22" t="s">
        <v>2725</v>
      </c>
      <c r="S3341" s="42" t="s">
        <v>6912</v>
      </c>
      <c r="T3341" s="3" t="s">
        <v>4868</v>
      </c>
      <c r="U3341" s="45">
        <v>35</v>
      </c>
      <c r="V3341" t="s">
        <v>8191</v>
      </c>
      <c r="W3341" s="1" t="str">
        <f>HYPERLINK("http://ictvonline.org/taxonomy/p/taxonomy-history?taxnode_id=201904945","ICTVonline=201904945")</f>
        <v>ICTVonline=201904945</v>
      </c>
    </row>
    <row r="3342" spans="1:23">
      <c r="A3342" s="3">
        <v>3341</v>
      </c>
      <c r="B3342" s="1" t="s">
        <v>5910</v>
      </c>
      <c r="D3342" s="1" t="s">
        <v>8187</v>
      </c>
      <c r="F3342" s="1" t="s">
        <v>8188</v>
      </c>
      <c r="H3342" s="1" t="s">
        <v>8192</v>
      </c>
      <c r="J3342" s="1" t="s">
        <v>8193</v>
      </c>
      <c r="L3342" s="1" t="s">
        <v>1752</v>
      </c>
      <c r="M3342" s="1" t="s">
        <v>1153</v>
      </c>
      <c r="N3342" s="1" t="s">
        <v>734</v>
      </c>
      <c r="P3342" s="1" t="s">
        <v>1582</v>
      </c>
      <c r="Q3342" s="3">
        <v>0</v>
      </c>
      <c r="R3342" s="22" t="s">
        <v>2725</v>
      </c>
      <c r="S3342" s="42" t="s">
        <v>6912</v>
      </c>
      <c r="T3342" s="3" t="s">
        <v>4868</v>
      </c>
      <c r="U3342" s="45">
        <v>35</v>
      </c>
      <c r="V3342" t="s">
        <v>8191</v>
      </c>
      <c r="W3342" s="1" t="str">
        <f>HYPERLINK("http://ictvonline.org/taxonomy/p/taxonomy-history?taxnode_id=201904946","ICTVonline=201904946")</f>
        <v>ICTVonline=201904946</v>
      </c>
    </row>
    <row r="3343" spans="1:23">
      <c r="A3343" s="3">
        <v>3342</v>
      </c>
      <c r="B3343" s="1" t="s">
        <v>5910</v>
      </c>
      <c r="D3343" s="1" t="s">
        <v>8187</v>
      </c>
      <c r="F3343" s="1" t="s">
        <v>8188</v>
      </c>
      <c r="H3343" s="1" t="s">
        <v>8192</v>
      </c>
      <c r="J3343" s="1" t="s">
        <v>8193</v>
      </c>
      <c r="L3343" s="1" t="s">
        <v>1752</v>
      </c>
      <c r="M3343" s="1" t="s">
        <v>1153</v>
      </c>
      <c r="N3343" s="1" t="s">
        <v>1589</v>
      </c>
      <c r="P3343" s="1" t="s">
        <v>1815</v>
      </c>
      <c r="Q3343" s="3">
        <v>1</v>
      </c>
      <c r="R3343" s="22" t="s">
        <v>2725</v>
      </c>
      <c r="S3343" s="42" t="s">
        <v>6912</v>
      </c>
      <c r="T3343" s="3" t="s">
        <v>4868</v>
      </c>
      <c r="U3343" s="45">
        <v>35</v>
      </c>
      <c r="V3343" t="s">
        <v>8191</v>
      </c>
      <c r="W3343" s="1" t="str">
        <f>HYPERLINK("http://ictvonline.org/taxonomy/p/taxonomy-history?taxnode_id=201904948","ICTVonline=201904948")</f>
        <v>ICTVonline=201904948</v>
      </c>
    </row>
    <row r="3344" spans="1:23">
      <c r="A3344" s="3">
        <v>3343</v>
      </c>
      <c r="B3344" s="1" t="s">
        <v>5910</v>
      </c>
      <c r="D3344" s="1" t="s">
        <v>8187</v>
      </c>
      <c r="F3344" s="1" t="s">
        <v>8188</v>
      </c>
      <c r="H3344" s="1" t="s">
        <v>8192</v>
      </c>
      <c r="J3344" s="1" t="s">
        <v>8193</v>
      </c>
      <c r="L3344" s="1" t="s">
        <v>1752</v>
      </c>
      <c r="M3344" s="1" t="s">
        <v>1153</v>
      </c>
      <c r="N3344" s="1" t="s">
        <v>1816</v>
      </c>
      <c r="P3344" s="1" t="s">
        <v>1817</v>
      </c>
      <c r="Q3344" s="3">
        <v>1</v>
      </c>
      <c r="R3344" s="22" t="s">
        <v>2725</v>
      </c>
      <c r="S3344" s="42" t="s">
        <v>6912</v>
      </c>
      <c r="T3344" s="3" t="s">
        <v>4868</v>
      </c>
      <c r="U3344" s="45">
        <v>35</v>
      </c>
      <c r="V3344" t="s">
        <v>8191</v>
      </c>
      <c r="W3344" s="1" t="str">
        <f>HYPERLINK("http://ictvonline.org/taxonomy/p/taxonomy-history?taxnode_id=201904950","ICTVonline=201904950")</f>
        <v>ICTVonline=201904950</v>
      </c>
    </row>
    <row r="3345" spans="1:23">
      <c r="A3345" s="3">
        <v>3344</v>
      </c>
      <c r="B3345" s="1" t="s">
        <v>5910</v>
      </c>
      <c r="D3345" s="1" t="s">
        <v>8187</v>
      </c>
      <c r="F3345" s="1" t="s">
        <v>8188</v>
      </c>
      <c r="H3345" s="1" t="s">
        <v>8192</v>
      </c>
      <c r="J3345" s="1" t="s">
        <v>8193</v>
      </c>
      <c r="L3345" s="1" t="s">
        <v>1752</v>
      </c>
      <c r="M3345" s="1" t="s">
        <v>1153</v>
      </c>
      <c r="N3345" s="1" t="s">
        <v>1816</v>
      </c>
      <c r="P3345" s="1" t="s">
        <v>1818</v>
      </c>
      <c r="Q3345" s="3">
        <v>0</v>
      </c>
      <c r="R3345" s="22" t="s">
        <v>2725</v>
      </c>
      <c r="S3345" s="42" t="s">
        <v>6912</v>
      </c>
      <c r="T3345" s="3" t="s">
        <v>4868</v>
      </c>
      <c r="U3345" s="45">
        <v>35</v>
      </c>
      <c r="V3345" t="s">
        <v>8191</v>
      </c>
      <c r="W3345" s="1" t="str">
        <f>HYPERLINK("http://ictvonline.org/taxonomy/p/taxonomy-history?taxnode_id=201904951","ICTVonline=201904951")</f>
        <v>ICTVonline=201904951</v>
      </c>
    </row>
    <row r="3346" spans="1:23">
      <c r="A3346" s="3">
        <v>3345</v>
      </c>
      <c r="B3346" s="1" t="s">
        <v>5910</v>
      </c>
      <c r="D3346" s="1" t="s">
        <v>8187</v>
      </c>
      <c r="F3346" s="1" t="s">
        <v>8188</v>
      </c>
      <c r="H3346" s="1" t="s">
        <v>8192</v>
      </c>
      <c r="J3346" s="1" t="s">
        <v>8193</v>
      </c>
      <c r="L3346" s="1" t="s">
        <v>1752</v>
      </c>
      <c r="M3346" s="1" t="s">
        <v>1153</v>
      </c>
      <c r="N3346" s="1" t="s">
        <v>1816</v>
      </c>
      <c r="P3346" s="1" t="s">
        <v>1594</v>
      </c>
      <c r="Q3346" s="3">
        <v>0</v>
      </c>
      <c r="R3346" s="22" t="s">
        <v>2725</v>
      </c>
      <c r="S3346" s="42" t="s">
        <v>6912</v>
      </c>
      <c r="T3346" s="3" t="s">
        <v>4868</v>
      </c>
      <c r="U3346" s="45">
        <v>35</v>
      </c>
      <c r="V3346" t="s">
        <v>8191</v>
      </c>
      <c r="W3346" s="1" t="str">
        <f>HYPERLINK("http://ictvonline.org/taxonomy/p/taxonomy-history?taxnode_id=201904952","ICTVonline=201904952")</f>
        <v>ICTVonline=201904952</v>
      </c>
    </row>
    <row r="3347" spans="1:23">
      <c r="A3347" s="3">
        <v>3346</v>
      </c>
      <c r="B3347" s="1" t="s">
        <v>5910</v>
      </c>
      <c r="D3347" s="1" t="s">
        <v>8187</v>
      </c>
      <c r="F3347" s="1" t="s">
        <v>8188</v>
      </c>
      <c r="H3347" s="1" t="s">
        <v>8192</v>
      </c>
      <c r="J3347" s="1" t="s">
        <v>8193</v>
      </c>
      <c r="L3347" s="1" t="s">
        <v>1752</v>
      </c>
      <c r="M3347" s="1" t="s">
        <v>1153</v>
      </c>
      <c r="N3347" s="1" t="s">
        <v>1816</v>
      </c>
      <c r="P3347" s="1" t="s">
        <v>1595</v>
      </c>
      <c r="Q3347" s="3">
        <v>0</v>
      </c>
      <c r="R3347" s="22" t="s">
        <v>2725</v>
      </c>
      <c r="S3347" s="42" t="s">
        <v>6912</v>
      </c>
      <c r="T3347" s="3" t="s">
        <v>4868</v>
      </c>
      <c r="U3347" s="45">
        <v>35</v>
      </c>
      <c r="V3347" t="s">
        <v>8191</v>
      </c>
      <c r="W3347" s="1" t="str">
        <f>HYPERLINK("http://ictvonline.org/taxonomy/p/taxonomy-history?taxnode_id=201904953","ICTVonline=201904953")</f>
        <v>ICTVonline=201904953</v>
      </c>
    </row>
    <row r="3348" spans="1:23">
      <c r="A3348" s="3">
        <v>3347</v>
      </c>
      <c r="B3348" s="1" t="s">
        <v>5910</v>
      </c>
      <c r="D3348" s="1" t="s">
        <v>8187</v>
      </c>
      <c r="F3348" s="1" t="s">
        <v>8188</v>
      </c>
      <c r="H3348" s="1" t="s">
        <v>8192</v>
      </c>
      <c r="J3348" s="1" t="s">
        <v>8193</v>
      </c>
      <c r="L3348" s="1" t="s">
        <v>1752</v>
      </c>
      <c r="M3348" s="1" t="s">
        <v>1153</v>
      </c>
      <c r="N3348" s="1" t="s">
        <v>1816</v>
      </c>
      <c r="P3348" s="1" t="s">
        <v>1596</v>
      </c>
      <c r="Q3348" s="3">
        <v>0</v>
      </c>
      <c r="R3348" s="22" t="s">
        <v>2725</v>
      </c>
      <c r="S3348" s="42" t="s">
        <v>6912</v>
      </c>
      <c r="T3348" s="3" t="s">
        <v>4868</v>
      </c>
      <c r="U3348" s="45">
        <v>35</v>
      </c>
      <c r="V3348" t="s">
        <v>8191</v>
      </c>
      <c r="W3348" s="1" t="str">
        <f>HYPERLINK("http://ictvonline.org/taxonomy/p/taxonomy-history?taxnode_id=201904954","ICTVonline=201904954")</f>
        <v>ICTVonline=201904954</v>
      </c>
    </row>
    <row r="3349" spans="1:23">
      <c r="A3349" s="3">
        <v>3348</v>
      </c>
      <c r="B3349" s="1" t="s">
        <v>5910</v>
      </c>
      <c r="D3349" s="1" t="s">
        <v>8187</v>
      </c>
      <c r="F3349" s="1" t="s">
        <v>8188</v>
      </c>
      <c r="H3349" s="1" t="s">
        <v>8192</v>
      </c>
      <c r="J3349" s="1" t="s">
        <v>8193</v>
      </c>
      <c r="L3349" s="1" t="s">
        <v>1752</v>
      </c>
      <c r="M3349" s="1" t="s">
        <v>1153</v>
      </c>
      <c r="N3349" s="1" t="s">
        <v>1816</v>
      </c>
      <c r="P3349" s="1" t="s">
        <v>1508</v>
      </c>
      <c r="Q3349" s="3">
        <v>0</v>
      </c>
      <c r="R3349" s="22" t="s">
        <v>2725</v>
      </c>
      <c r="S3349" s="42" t="s">
        <v>6912</v>
      </c>
      <c r="T3349" s="3" t="s">
        <v>4868</v>
      </c>
      <c r="U3349" s="45">
        <v>35</v>
      </c>
      <c r="V3349" t="s">
        <v>8191</v>
      </c>
      <c r="W3349" s="1" t="str">
        <f>HYPERLINK("http://ictvonline.org/taxonomy/p/taxonomy-history?taxnode_id=201904955","ICTVonline=201904955")</f>
        <v>ICTVonline=201904955</v>
      </c>
    </row>
    <row r="3350" spans="1:23">
      <c r="A3350" s="3">
        <v>3349</v>
      </c>
      <c r="B3350" s="1" t="s">
        <v>5910</v>
      </c>
      <c r="D3350" s="1" t="s">
        <v>8187</v>
      </c>
      <c r="F3350" s="1" t="s">
        <v>8188</v>
      </c>
      <c r="H3350" s="1" t="s">
        <v>8192</v>
      </c>
      <c r="J3350" s="1" t="s">
        <v>8193</v>
      </c>
      <c r="L3350" s="1" t="s">
        <v>1752</v>
      </c>
      <c r="M3350" s="1" t="s">
        <v>1153</v>
      </c>
      <c r="N3350" s="1" t="s">
        <v>1816</v>
      </c>
      <c r="P3350" s="1" t="s">
        <v>1509</v>
      </c>
      <c r="Q3350" s="3">
        <v>0</v>
      </c>
      <c r="R3350" s="22" t="s">
        <v>2725</v>
      </c>
      <c r="S3350" s="42" t="s">
        <v>6912</v>
      </c>
      <c r="T3350" s="3" t="s">
        <v>4868</v>
      </c>
      <c r="U3350" s="45">
        <v>35</v>
      </c>
      <c r="V3350" t="s">
        <v>8191</v>
      </c>
      <c r="W3350" s="1" t="str">
        <f>HYPERLINK("http://ictvonline.org/taxonomy/p/taxonomy-history?taxnode_id=201904956","ICTVonline=201904956")</f>
        <v>ICTVonline=201904956</v>
      </c>
    </row>
    <row r="3351" spans="1:23">
      <c r="A3351" s="3">
        <v>3350</v>
      </c>
      <c r="B3351" s="1" t="s">
        <v>5910</v>
      </c>
      <c r="D3351" s="1" t="s">
        <v>8187</v>
      </c>
      <c r="F3351" s="1" t="s">
        <v>8188</v>
      </c>
      <c r="H3351" s="1" t="s">
        <v>8192</v>
      </c>
      <c r="J3351" s="1" t="s">
        <v>8193</v>
      </c>
      <c r="L3351" s="1" t="s">
        <v>1752</v>
      </c>
      <c r="M3351" s="1" t="s">
        <v>1153</v>
      </c>
      <c r="N3351" s="1" t="s">
        <v>1816</v>
      </c>
      <c r="P3351" s="1" t="s">
        <v>1597</v>
      </c>
      <c r="Q3351" s="3">
        <v>0</v>
      </c>
      <c r="R3351" s="22" t="s">
        <v>2725</v>
      </c>
      <c r="S3351" s="42" t="s">
        <v>6912</v>
      </c>
      <c r="T3351" s="3" t="s">
        <v>4868</v>
      </c>
      <c r="U3351" s="45">
        <v>35</v>
      </c>
      <c r="V3351" t="s">
        <v>8191</v>
      </c>
      <c r="W3351" s="1" t="str">
        <f>HYPERLINK("http://ictvonline.org/taxonomy/p/taxonomy-history?taxnode_id=201904957","ICTVonline=201904957")</f>
        <v>ICTVonline=201904957</v>
      </c>
    </row>
    <row r="3352" spans="1:23">
      <c r="A3352" s="3">
        <v>3351</v>
      </c>
      <c r="B3352" s="1" t="s">
        <v>5910</v>
      </c>
      <c r="D3352" s="1" t="s">
        <v>8187</v>
      </c>
      <c r="F3352" s="1" t="s">
        <v>8188</v>
      </c>
      <c r="H3352" s="1" t="s">
        <v>8192</v>
      </c>
      <c r="J3352" s="1" t="s">
        <v>8193</v>
      </c>
      <c r="L3352" s="1" t="s">
        <v>1752</v>
      </c>
      <c r="M3352" s="1" t="s">
        <v>1153</v>
      </c>
      <c r="N3352" s="1" t="s">
        <v>1816</v>
      </c>
      <c r="P3352" s="1" t="s">
        <v>3958</v>
      </c>
      <c r="Q3352" s="3">
        <v>0</v>
      </c>
      <c r="R3352" s="22" t="s">
        <v>2725</v>
      </c>
      <c r="S3352" s="42" t="s">
        <v>6912</v>
      </c>
      <c r="T3352" s="3" t="s">
        <v>4868</v>
      </c>
      <c r="U3352" s="45">
        <v>35</v>
      </c>
      <c r="V3352" t="s">
        <v>8191</v>
      </c>
      <c r="W3352" s="1" t="str">
        <f>HYPERLINK("http://ictvonline.org/taxonomy/p/taxonomy-history?taxnode_id=201904958","ICTVonline=201904958")</f>
        <v>ICTVonline=201904958</v>
      </c>
    </row>
    <row r="3353" spans="1:23">
      <c r="A3353" s="3">
        <v>3352</v>
      </c>
      <c r="B3353" s="1" t="s">
        <v>5910</v>
      </c>
      <c r="D3353" s="1" t="s">
        <v>8187</v>
      </c>
      <c r="F3353" s="1" t="s">
        <v>8188</v>
      </c>
      <c r="H3353" s="1" t="s">
        <v>8192</v>
      </c>
      <c r="J3353" s="1" t="s">
        <v>8193</v>
      </c>
      <c r="L3353" s="1" t="s">
        <v>1752</v>
      </c>
      <c r="M3353" s="1" t="s">
        <v>1153</v>
      </c>
      <c r="N3353" s="1" t="s">
        <v>1598</v>
      </c>
      <c r="P3353" s="1" t="s">
        <v>1353</v>
      </c>
      <c r="Q3353" s="3">
        <v>1</v>
      </c>
      <c r="R3353" s="22" t="s">
        <v>2725</v>
      </c>
      <c r="S3353" s="42" t="s">
        <v>6912</v>
      </c>
      <c r="T3353" s="3" t="s">
        <v>4868</v>
      </c>
      <c r="U3353" s="45">
        <v>35</v>
      </c>
      <c r="V3353" t="s">
        <v>8191</v>
      </c>
      <c r="W3353" s="1" t="str">
        <f>HYPERLINK("http://ictvonline.org/taxonomy/p/taxonomy-history?taxnode_id=201904960","ICTVonline=201904960")</f>
        <v>ICTVonline=201904960</v>
      </c>
    </row>
    <row r="3354" spans="1:23">
      <c r="A3354" s="3">
        <v>3353</v>
      </c>
      <c r="B3354" s="1" t="s">
        <v>5910</v>
      </c>
      <c r="D3354" s="1" t="s">
        <v>8187</v>
      </c>
      <c r="F3354" s="1" t="s">
        <v>8188</v>
      </c>
      <c r="H3354" s="1" t="s">
        <v>8192</v>
      </c>
      <c r="J3354" s="1" t="s">
        <v>8193</v>
      </c>
      <c r="L3354" s="1" t="s">
        <v>1752</v>
      </c>
      <c r="M3354" s="1" t="s">
        <v>1153</v>
      </c>
      <c r="N3354" s="1" t="s">
        <v>1598</v>
      </c>
      <c r="P3354" s="1" t="s">
        <v>1354</v>
      </c>
      <c r="Q3354" s="3">
        <v>0</v>
      </c>
      <c r="R3354" s="22" t="s">
        <v>2725</v>
      </c>
      <c r="S3354" s="42" t="s">
        <v>6912</v>
      </c>
      <c r="T3354" s="3" t="s">
        <v>4868</v>
      </c>
      <c r="U3354" s="45">
        <v>35</v>
      </c>
      <c r="V3354" t="s">
        <v>8191</v>
      </c>
      <c r="W3354" s="1" t="str">
        <f>HYPERLINK("http://ictvonline.org/taxonomy/p/taxonomy-history?taxnode_id=201904961","ICTVonline=201904961")</f>
        <v>ICTVonline=201904961</v>
      </c>
    </row>
    <row r="3355" spans="1:23">
      <c r="A3355" s="3">
        <v>3354</v>
      </c>
      <c r="B3355" s="1" t="s">
        <v>5910</v>
      </c>
      <c r="D3355" s="1" t="s">
        <v>8187</v>
      </c>
      <c r="F3355" s="1" t="s">
        <v>8188</v>
      </c>
      <c r="H3355" s="1" t="s">
        <v>8192</v>
      </c>
      <c r="J3355" s="1" t="s">
        <v>8193</v>
      </c>
      <c r="L3355" s="1" t="s">
        <v>1752</v>
      </c>
      <c r="M3355" s="1" t="s">
        <v>1153</v>
      </c>
      <c r="N3355" s="1" t="s">
        <v>1598</v>
      </c>
      <c r="P3355" s="1" t="s">
        <v>1355</v>
      </c>
      <c r="Q3355" s="3">
        <v>0</v>
      </c>
      <c r="R3355" s="22" t="s">
        <v>2725</v>
      </c>
      <c r="S3355" s="42" t="s">
        <v>6912</v>
      </c>
      <c r="T3355" s="3" t="s">
        <v>4868</v>
      </c>
      <c r="U3355" s="45">
        <v>35</v>
      </c>
      <c r="V3355" t="s">
        <v>8191</v>
      </c>
      <c r="W3355" s="1" t="str">
        <f>HYPERLINK("http://ictvonline.org/taxonomy/p/taxonomy-history?taxnode_id=201904962","ICTVonline=201904962")</f>
        <v>ICTVonline=201904962</v>
      </c>
    </row>
    <row r="3356" spans="1:23">
      <c r="A3356" s="3">
        <v>3355</v>
      </c>
      <c r="B3356" s="1" t="s">
        <v>5910</v>
      </c>
      <c r="D3356" s="1" t="s">
        <v>8187</v>
      </c>
      <c r="F3356" s="1" t="s">
        <v>8188</v>
      </c>
      <c r="H3356" s="1" t="s">
        <v>8192</v>
      </c>
      <c r="J3356" s="1" t="s">
        <v>8193</v>
      </c>
      <c r="L3356" s="1" t="s">
        <v>1752</v>
      </c>
      <c r="M3356" s="1" t="s">
        <v>1153</v>
      </c>
      <c r="N3356" s="1" t="s">
        <v>1598</v>
      </c>
      <c r="P3356" s="1" t="s">
        <v>1356</v>
      </c>
      <c r="Q3356" s="3">
        <v>0</v>
      </c>
      <c r="R3356" s="22" t="s">
        <v>2725</v>
      </c>
      <c r="S3356" s="42" t="s">
        <v>6912</v>
      </c>
      <c r="T3356" s="3" t="s">
        <v>4868</v>
      </c>
      <c r="U3356" s="45">
        <v>35</v>
      </c>
      <c r="V3356" t="s">
        <v>8191</v>
      </c>
      <c r="W3356" s="1" t="str">
        <f>HYPERLINK("http://ictvonline.org/taxonomy/p/taxonomy-history?taxnode_id=201904963","ICTVonline=201904963")</f>
        <v>ICTVonline=201904963</v>
      </c>
    </row>
    <row r="3357" spans="1:23">
      <c r="A3357" s="3">
        <v>3356</v>
      </c>
      <c r="B3357" s="1" t="s">
        <v>5910</v>
      </c>
      <c r="D3357" s="1" t="s">
        <v>8187</v>
      </c>
      <c r="F3357" s="1" t="s">
        <v>8188</v>
      </c>
      <c r="H3357" s="1" t="s">
        <v>8192</v>
      </c>
      <c r="J3357" s="1" t="s">
        <v>8193</v>
      </c>
      <c r="L3357" s="1" t="s">
        <v>1752</v>
      </c>
      <c r="M3357" s="1" t="s">
        <v>1153</v>
      </c>
      <c r="N3357" s="1" t="s">
        <v>1598</v>
      </c>
      <c r="P3357" s="1" t="s">
        <v>1357</v>
      </c>
      <c r="Q3357" s="3">
        <v>0</v>
      </c>
      <c r="R3357" s="22" t="s">
        <v>2725</v>
      </c>
      <c r="S3357" s="42" t="s">
        <v>6912</v>
      </c>
      <c r="T3357" s="3" t="s">
        <v>4868</v>
      </c>
      <c r="U3357" s="45">
        <v>35</v>
      </c>
      <c r="V3357" t="s">
        <v>8191</v>
      </c>
      <c r="W3357" s="1" t="str">
        <f>HYPERLINK("http://ictvonline.org/taxonomy/p/taxonomy-history?taxnode_id=201904964","ICTVonline=201904964")</f>
        <v>ICTVonline=201904964</v>
      </c>
    </row>
    <row r="3358" spans="1:23">
      <c r="A3358" s="3">
        <v>3357</v>
      </c>
      <c r="B3358" s="1" t="s">
        <v>5910</v>
      </c>
      <c r="D3358" s="1" t="s">
        <v>8187</v>
      </c>
      <c r="F3358" s="1" t="s">
        <v>8188</v>
      </c>
      <c r="H3358" s="1" t="s">
        <v>8192</v>
      </c>
      <c r="J3358" s="1" t="s">
        <v>8193</v>
      </c>
      <c r="L3358" s="1" t="s">
        <v>1752</v>
      </c>
      <c r="M3358" s="1" t="s">
        <v>1153</v>
      </c>
      <c r="N3358" s="1" t="s">
        <v>1910</v>
      </c>
      <c r="P3358" s="1" t="s">
        <v>1911</v>
      </c>
      <c r="Q3358" s="3">
        <v>1</v>
      </c>
      <c r="R3358" s="22" t="s">
        <v>2725</v>
      </c>
      <c r="S3358" s="42" t="s">
        <v>6912</v>
      </c>
      <c r="T3358" s="3" t="s">
        <v>4868</v>
      </c>
      <c r="U3358" s="45">
        <v>35</v>
      </c>
      <c r="V3358" t="s">
        <v>8191</v>
      </c>
      <c r="W3358" s="1" t="str">
        <f>HYPERLINK("http://ictvonline.org/taxonomy/p/taxonomy-history?taxnode_id=201904966","ICTVonline=201904966")</f>
        <v>ICTVonline=201904966</v>
      </c>
    </row>
    <row r="3359" spans="1:23">
      <c r="A3359" s="3">
        <v>3358</v>
      </c>
      <c r="B3359" s="1" t="s">
        <v>5910</v>
      </c>
      <c r="D3359" s="1" t="s">
        <v>8187</v>
      </c>
      <c r="F3359" s="1" t="s">
        <v>8188</v>
      </c>
      <c r="H3359" s="1" t="s">
        <v>8192</v>
      </c>
      <c r="J3359" s="1" t="s">
        <v>8193</v>
      </c>
      <c r="L3359" s="1" t="s">
        <v>1752</v>
      </c>
      <c r="M3359" s="1" t="s">
        <v>1153</v>
      </c>
      <c r="N3359" s="1" t="s">
        <v>1910</v>
      </c>
      <c r="P3359" s="1" t="s">
        <v>1912</v>
      </c>
      <c r="Q3359" s="3">
        <v>0</v>
      </c>
      <c r="R3359" s="22" t="s">
        <v>2725</v>
      </c>
      <c r="S3359" s="42" t="s">
        <v>6912</v>
      </c>
      <c r="T3359" s="3" t="s">
        <v>4868</v>
      </c>
      <c r="U3359" s="45">
        <v>35</v>
      </c>
      <c r="V3359" t="s">
        <v>8191</v>
      </c>
      <c r="W3359" s="1" t="str">
        <f>HYPERLINK("http://ictvonline.org/taxonomy/p/taxonomy-history?taxnode_id=201904967","ICTVonline=201904967")</f>
        <v>ICTVonline=201904967</v>
      </c>
    </row>
    <row r="3360" spans="1:23">
      <c r="A3360" s="3">
        <v>3359</v>
      </c>
      <c r="B3360" s="1" t="s">
        <v>5910</v>
      </c>
      <c r="D3360" s="1" t="s">
        <v>8187</v>
      </c>
      <c r="F3360" s="1" t="s">
        <v>8188</v>
      </c>
      <c r="H3360" s="1" t="s">
        <v>8192</v>
      </c>
      <c r="J3360" s="1" t="s">
        <v>8193</v>
      </c>
      <c r="L3360" s="1" t="s">
        <v>1752</v>
      </c>
      <c r="M3360" s="1" t="s">
        <v>1153</v>
      </c>
      <c r="N3360" s="1" t="s">
        <v>1910</v>
      </c>
      <c r="P3360" s="1" t="s">
        <v>1913</v>
      </c>
      <c r="Q3360" s="3">
        <v>0</v>
      </c>
      <c r="R3360" s="22" t="s">
        <v>2725</v>
      </c>
      <c r="S3360" s="42" t="s">
        <v>6912</v>
      </c>
      <c r="T3360" s="3" t="s">
        <v>4868</v>
      </c>
      <c r="U3360" s="45">
        <v>35</v>
      </c>
      <c r="V3360" t="s">
        <v>8191</v>
      </c>
      <c r="W3360" s="1" t="str">
        <f>HYPERLINK("http://ictvonline.org/taxonomy/p/taxonomy-history?taxnode_id=201904968","ICTVonline=201904968")</f>
        <v>ICTVonline=201904968</v>
      </c>
    </row>
    <row r="3361" spans="1:23">
      <c r="A3361" s="3">
        <v>3360</v>
      </c>
      <c r="B3361" s="1" t="s">
        <v>5910</v>
      </c>
      <c r="D3361" s="1" t="s">
        <v>8187</v>
      </c>
      <c r="F3361" s="1" t="s">
        <v>8188</v>
      </c>
      <c r="H3361" s="1" t="s">
        <v>8192</v>
      </c>
      <c r="J3361" s="1" t="s">
        <v>8193</v>
      </c>
      <c r="L3361" s="1" t="s">
        <v>1752</v>
      </c>
      <c r="M3361" s="1" t="s">
        <v>1153</v>
      </c>
      <c r="N3361" s="1" t="s">
        <v>1301</v>
      </c>
      <c r="P3361" s="1" t="s">
        <v>1302</v>
      </c>
      <c r="Q3361" s="3">
        <v>0</v>
      </c>
      <c r="R3361" s="22" t="s">
        <v>2725</v>
      </c>
      <c r="S3361" s="42" t="s">
        <v>6912</v>
      </c>
      <c r="T3361" s="3" t="s">
        <v>4868</v>
      </c>
      <c r="U3361" s="45">
        <v>35</v>
      </c>
      <c r="V3361" t="s">
        <v>8191</v>
      </c>
      <c r="W3361" s="1" t="str">
        <f>HYPERLINK("http://ictvonline.org/taxonomy/p/taxonomy-history?taxnode_id=201904970","ICTVonline=201904970")</f>
        <v>ICTVonline=201904970</v>
      </c>
    </row>
    <row r="3362" spans="1:23">
      <c r="A3362" s="3">
        <v>3361</v>
      </c>
      <c r="B3362" s="1" t="s">
        <v>5910</v>
      </c>
      <c r="D3362" s="1" t="s">
        <v>8187</v>
      </c>
      <c r="F3362" s="1" t="s">
        <v>8188</v>
      </c>
      <c r="H3362" s="1" t="s">
        <v>8192</v>
      </c>
      <c r="J3362" s="1" t="s">
        <v>8193</v>
      </c>
      <c r="L3362" s="1" t="s">
        <v>1752</v>
      </c>
      <c r="M3362" s="1" t="s">
        <v>1153</v>
      </c>
      <c r="N3362" s="1" t="s">
        <v>1301</v>
      </c>
      <c r="P3362" s="1" t="s">
        <v>1303</v>
      </c>
      <c r="Q3362" s="3">
        <v>0</v>
      </c>
      <c r="R3362" s="22" t="s">
        <v>2725</v>
      </c>
      <c r="S3362" s="42" t="s">
        <v>6912</v>
      </c>
      <c r="T3362" s="3" t="s">
        <v>4868</v>
      </c>
      <c r="U3362" s="45">
        <v>35</v>
      </c>
      <c r="V3362" t="s">
        <v>8191</v>
      </c>
      <c r="W3362" s="1" t="str">
        <f>HYPERLINK("http://ictvonline.org/taxonomy/p/taxonomy-history?taxnode_id=201904971","ICTVonline=201904971")</f>
        <v>ICTVonline=201904971</v>
      </c>
    </row>
    <row r="3363" spans="1:23">
      <c r="A3363" s="3">
        <v>3362</v>
      </c>
      <c r="B3363" s="1" t="s">
        <v>5910</v>
      </c>
      <c r="D3363" s="1" t="s">
        <v>8187</v>
      </c>
      <c r="F3363" s="1" t="s">
        <v>8188</v>
      </c>
      <c r="H3363" s="1" t="s">
        <v>8192</v>
      </c>
      <c r="J3363" s="1" t="s">
        <v>8193</v>
      </c>
      <c r="L3363" s="1" t="s">
        <v>1752</v>
      </c>
      <c r="M3363" s="1" t="s">
        <v>1153</v>
      </c>
      <c r="N3363" s="1" t="s">
        <v>1301</v>
      </c>
      <c r="P3363" s="1" t="s">
        <v>8202</v>
      </c>
      <c r="Q3363" s="3">
        <v>0</v>
      </c>
      <c r="R3363" s="22" t="s">
        <v>2725</v>
      </c>
      <c r="S3363" s="42" t="s">
        <v>6914</v>
      </c>
      <c r="T3363" s="3" t="s">
        <v>4866</v>
      </c>
      <c r="U3363" s="45">
        <v>35</v>
      </c>
      <c r="V3363" t="s">
        <v>8203</v>
      </c>
      <c r="W3363" s="1" t="str">
        <f>HYPERLINK("http://ictvonline.org/taxonomy/p/taxonomy-history?taxnode_id=201907547","ICTVonline=201907547")</f>
        <v>ICTVonline=201907547</v>
      </c>
    </row>
    <row r="3364" spans="1:23">
      <c r="A3364" s="3">
        <v>3363</v>
      </c>
      <c r="B3364" s="1" t="s">
        <v>5910</v>
      </c>
      <c r="D3364" s="1" t="s">
        <v>8187</v>
      </c>
      <c r="F3364" s="1" t="s">
        <v>8188</v>
      </c>
      <c r="H3364" s="1" t="s">
        <v>8192</v>
      </c>
      <c r="J3364" s="1" t="s">
        <v>8193</v>
      </c>
      <c r="L3364" s="1" t="s">
        <v>1752</v>
      </c>
      <c r="M3364" s="1" t="s">
        <v>1153</v>
      </c>
      <c r="N3364" s="1" t="s">
        <v>1301</v>
      </c>
      <c r="P3364" s="1" t="s">
        <v>5512</v>
      </c>
      <c r="Q3364" s="3">
        <v>0</v>
      </c>
      <c r="R3364" s="22" t="s">
        <v>2725</v>
      </c>
      <c r="S3364" s="42" t="s">
        <v>6912</v>
      </c>
      <c r="T3364" s="3" t="s">
        <v>4868</v>
      </c>
      <c r="U3364" s="45">
        <v>35</v>
      </c>
      <c r="V3364" t="s">
        <v>8191</v>
      </c>
      <c r="W3364" s="1" t="str">
        <f>HYPERLINK("http://ictvonline.org/taxonomy/p/taxonomy-history?taxnode_id=201905927","ICTVonline=201905927")</f>
        <v>ICTVonline=201905927</v>
      </c>
    </row>
    <row r="3365" spans="1:23">
      <c r="A3365" s="3">
        <v>3364</v>
      </c>
      <c r="B3365" s="1" t="s">
        <v>5910</v>
      </c>
      <c r="D3365" s="1" t="s">
        <v>8187</v>
      </c>
      <c r="F3365" s="1" t="s">
        <v>8188</v>
      </c>
      <c r="H3365" s="1" t="s">
        <v>8192</v>
      </c>
      <c r="J3365" s="1" t="s">
        <v>8193</v>
      </c>
      <c r="L3365" s="1" t="s">
        <v>1752</v>
      </c>
      <c r="M3365" s="1" t="s">
        <v>1153</v>
      </c>
      <c r="N3365" s="1" t="s">
        <v>1301</v>
      </c>
      <c r="P3365" s="1" t="s">
        <v>1304</v>
      </c>
      <c r="Q3365" s="3">
        <v>1</v>
      </c>
      <c r="R3365" s="22" t="s">
        <v>2725</v>
      </c>
      <c r="S3365" s="42" t="s">
        <v>6912</v>
      </c>
      <c r="T3365" s="3" t="s">
        <v>4868</v>
      </c>
      <c r="U3365" s="45">
        <v>35</v>
      </c>
      <c r="V3365" t="s">
        <v>8191</v>
      </c>
      <c r="W3365" s="1" t="str">
        <f>HYPERLINK("http://ictvonline.org/taxonomy/p/taxonomy-history?taxnode_id=201904972","ICTVonline=201904972")</f>
        <v>ICTVonline=201904972</v>
      </c>
    </row>
    <row r="3366" spans="1:23">
      <c r="A3366" s="3">
        <v>3365</v>
      </c>
      <c r="B3366" s="1" t="s">
        <v>5910</v>
      </c>
      <c r="D3366" s="1" t="s">
        <v>8187</v>
      </c>
      <c r="F3366" s="1" t="s">
        <v>8188</v>
      </c>
      <c r="H3366" s="1" t="s">
        <v>8192</v>
      </c>
      <c r="J3366" s="1" t="s">
        <v>8193</v>
      </c>
      <c r="L3366" s="1" t="s">
        <v>1752</v>
      </c>
      <c r="M3366" s="1" t="s">
        <v>1153</v>
      </c>
      <c r="N3366" s="1" t="s">
        <v>1301</v>
      </c>
      <c r="P3366" s="1" t="s">
        <v>1305</v>
      </c>
      <c r="Q3366" s="3">
        <v>0</v>
      </c>
      <c r="R3366" s="22" t="s">
        <v>2725</v>
      </c>
      <c r="S3366" s="42" t="s">
        <v>6912</v>
      </c>
      <c r="T3366" s="3" t="s">
        <v>4868</v>
      </c>
      <c r="U3366" s="45">
        <v>35</v>
      </c>
      <c r="V3366" t="s">
        <v>8191</v>
      </c>
      <c r="W3366" s="1" t="str">
        <f>HYPERLINK("http://ictvonline.org/taxonomy/p/taxonomy-history?taxnode_id=201904973","ICTVonline=201904973")</f>
        <v>ICTVonline=201904973</v>
      </c>
    </row>
    <row r="3367" spans="1:23">
      <c r="A3367" s="3">
        <v>3366</v>
      </c>
      <c r="B3367" s="1" t="s">
        <v>5910</v>
      </c>
      <c r="D3367" s="1" t="s">
        <v>8187</v>
      </c>
      <c r="F3367" s="1" t="s">
        <v>8188</v>
      </c>
      <c r="H3367" s="1" t="s">
        <v>8192</v>
      </c>
      <c r="J3367" s="1" t="s">
        <v>8193</v>
      </c>
      <c r="L3367" s="1" t="s">
        <v>1752</v>
      </c>
      <c r="M3367" s="1" t="s">
        <v>1153</v>
      </c>
      <c r="N3367" s="1" t="s">
        <v>1301</v>
      </c>
      <c r="P3367" s="1" t="s">
        <v>8204</v>
      </c>
      <c r="Q3367" s="3">
        <v>0</v>
      </c>
      <c r="R3367" s="22" t="s">
        <v>2725</v>
      </c>
      <c r="S3367" s="42" t="s">
        <v>6914</v>
      </c>
      <c r="T3367" s="3" t="s">
        <v>4866</v>
      </c>
      <c r="U3367" s="45">
        <v>35</v>
      </c>
      <c r="V3367" t="s">
        <v>8203</v>
      </c>
      <c r="W3367" s="1" t="str">
        <f>HYPERLINK("http://ictvonline.org/taxonomy/p/taxonomy-history?taxnode_id=201907548","ICTVonline=201907548")</f>
        <v>ICTVonline=201907548</v>
      </c>
    </row>
    <row r="3368" spans="1:23">
      <c r="A3368" s="3">
        <v>3367</v>
      </c>
      <c r="B3368" s="1" t="s">
        <v>5910</v>
      </c>
      <c r="D3368" s="1" t="s">
        <v>8187</v>
      </c>
      <c r="F3368" s="1" t="s">
        <v>8188</v>
      </c>
      <c r="H3368" s="1" t="s">
        <v>8192</v>
      </c>
      <c r="J3368" s="1" t="s">
        <v>8193</v>
      </c>
      <c r="L3368" s="1" t="s">
        <v>1752</v>
      </c>
      <c r="M3368" s="1" t="s">
        <v>1153</v>
      </c>
      <c r="N3368" s="1" t="s">
        <v>1301</v>
      </c>
      <c r="P3368" s="1" t="s">
        <v>3959</v>
      </c>
      <c r="Q3368" s="3">
        <v>0</v>
      </c>
      <c r="R3368" s="22" t="s">
        <v>2725</v>
      </c>
      <c r="S3368" s="42" t="s">
        <v>6912</v>
      </c>
      <c r="T3368" s="3" t="s">
        <v>4868</v>
      </c>
      <c r="U3368" s="45">
        <v>35</v>
      </c>
      <c r="V3368" t="s">
        <v>8191</v>
      </c>
      <c r="W3368" s="1" t="str">
        <f>HYPERLINK("http://ictvonline.org/taxonomy/p/taxonomy-history?taxnode_id=201904974","ICTVonline=201904974")</f>
        <v>ICTVonline=201904974</v>
      </c>
    </row>
    <row r="3369" spans="1:23">
      <c r="A3369" s="3">
        <v>3368</v>
      </c>
      <c r="B3369" s="1" t="s">
        <v>5910</v>
      </c>
      <c r="D3369" s="1" t="s">
        <v>8187</v>
      </c>
      <c r="F3369" s="1" t="s">
        <v>8188</v>
      </c>
      <c r="H3369" s="1" t="s">
        <v>8192</v>
      </c>
      <c r="J3369" s="1" t="s">
        <v>8193</v>
      </c>
      <c r="L3369" s="1" t="s">
        <v>1752</v>
      </c>
      <c r="M3369" s="1" t="s">
        <v>1153</v>
      </c>
      <c r="N3369" s="1" t="s">
        <v>1301</v>
      </c>
      <c r="P3369" s="1" t="s">
        <v>1306</v>
      </c>
      <c r="Q3369" s="3">
        <v>0</v>
      </c>
      <c r="R3369" s="22" t="s">
        <v>2725</v>
      </c>
      <c r="S3369" s="42" t="s">
        <v>6912</v>
      </c>
      <c r="T3369" s="3" t="s">
        <v>4868</v>
      </c>
      <c r="U3369" s="45">
        <v>35</v>
      </c>
      <c r="V3369" t="s">
        <v>8191</v>
      </c>
      <c r="W3369" s="1" t="str">
        <f>HYPERLINK("http://ictvonline.org/taxonomy/p/taxonomy-history?taxnode_id=201904975","ICTVonline=201904975")</f>
        <v>ICTVonline=201904975</v>
      </c>
    </row>
    <row r="3370" spans="1:23">
      <c r="A3370" s="3">
        <v>3369</v>
      </c>
      <c r="B3370" s="1" t="s">
        <v>5910</v>
      </c>
      <c r="D3370" s="1" t="s">
        <v>8187</v>
      </c>
      <c r="F3370" s="1" t="s">
        <v>8188</v>
      </c>
      <c r="H3370" s="1" t="s">
        <v>8192</v>
      </c>
      <c r="J3370" s="1" t="s">
        <v>8193</v>
      </c>
      <c r="L3370" s="1" t="s">
        <v>1752</v>
      </c>
      <c r="M3370" s="1" t="s">
        <v>1153</v>
      </c>
      <c r="N3370" s="1" t="s">
        <v>1301</v>
      </c>
      <c r="P3370" s="1" t="s">
        <v>8205</v>
      </c>
      <c r="Q3370" s="3">
        <v>0</v>
      </c>
      <c r="R3370" s="22" t="s">
        <v>2725</v>
      </c>
      <c r="S3370" s="42" t="s">
        <v>6914</v>
      </c>
      <c r="T3370" s="3" t="s">
        <v>4866</v>
      </c>
      <c r="U3370" s="45">
        <v>35</v>
      </c>
      <c r="V3370" t="s">
        <v>8203</v>
      </c>
      <c r="W3370" s="1" t="str">
        <f>HYPERLINK("http://ictvonline.org/taxonomy/p/taxonomy-history?taxnode_id=201907549","ICTVonline=201907549")</f>
        <v>ICTVonline=201907549</v>
      </c>
    </row>
    <row r="3371" spans="1:23">
      <c r="A3371" s="3">
        <v>3370</v>
      </c>
      <c r="B3371" s="1" t="s">
        <v>5910</v>
      </c>
      <c r="D3371" s="1" t="s">
        <v>8187</v>
      </c>
      <c r="F3371" s="1" t="s">
        <v>8188</v>
      </c>
      <c r="H3371" s="1" t="s">
        <v>8192</v>
      </c>
      <c r="J3371" s="1" t="s">
        <v>8193</v>
      </c>
      <c r="L3371" s="1" t="s">
        <v>1752</v>
      </c>
      <c r="M3371" s="1" t="s">
        <v>1153</v>
      </c>
      <c r="N3371" s="1" t="s">
        <v>1307</v>
      </c>
      <c r="P3371" s="1" t="s">
        <v>1308</v>
      </c>
      <c r="Q3371" s="3">
        <v>0</v>
      </c>
      <c r="R3371" s="22" t="s">
        <v>2725</v>
      </c>
      <c r="S3371" s="42" t="s">
        <v>6912</v>
      </c>
      <c r="T3371" s="3" t="s">
        <v>4868</v>
      </c>
      <c r="U3371" s="45">
        <v>35</v>
      </c>
      <c r="V3371" t="s">
        <v>8191</v>
      </c>
      <c r="W3371" s="1" t="str">
        <f>HYPERLINK("http://ictvonline.org/taxonomy/p/taxonomy-history?taxnode_id=201904977","ICTVonline=201904977")</f>
        <v>ICTVonline=201904977</v>
      </c>
    </row>
    <row r="3372" spans="1:23">
      <c r="A3372" s="3">
        <v>3371</v>
      </c>
      <c r="B3372" s="1" t="s">
        <v>5910</v>
      </c>
      <c r="D3372" s="1" t="s">
        <v>8187</v>
      </c>
      <c r="F3372" s="1" t="s">
        <v>8188</v>
      </c>
      <c r="H3372" s="1" t="s">
        <v>8192</v>
      </c>
      <c r="J3372" s="1" t="s">
        <v>8193</v>
      </c>
      <c r="L3372" s="1" t="s">
        <v>1752</v>
      </c>
      <c r="M3372" s="1" t="s">
        <v>1153</v>
      </c>
      <c r="N3372" s="1" t="s">
        <v>1307</v>
      </c>
      <c r="P3372" s="1" t="s">
        <v>237</v>
      </c>
      <c r="Q3372" s="3">
        <v>1</v>
      </c>
      <c r="R3372" s="22" t="s">
        <v>2725</v>
      </c>
      <c r="S3372" s="42" t="s">
        <v>6912</v>
      </c>
      <c r="T3372" s="3" t="s">
        <v>4868</v>
      </c>
      <c r="U3372" s="45">
        <v>35</v>
      </c>
      <c r="V3372" t="s">
        <v>8191</v>
      </c>
      <c r="W3372" s="1" t="str">
        <f>HYPERLINK("http://ictvonline.org/taxonomy/p/taxonomy-history?taxnode_id=201904978","ICTVonline=201904978")</f>
        <v>ICTVonline=201904978</v>
      </c>
    </row>
    <row r="3373" spans="1:23">
      <c r="A3373" s="3">
        <v>3372</v>
      </c>
      <c r="B3373" s="1" t="s">
        <v>5910</v>
      </c>
      <c r="D3373" s="1" t="s">
        <v>8187</v>
      </c>
      <c r="F3373" s="1" t="s">
        <v>8188</v>
      </c>
      <c r="H3373" s="1" t="s">
        <v>8206</v>
      </c>
      <c r="J3373" s="1" t="s">
        <v>8207</v>
      </c>
      <c r="L3373" s="1" t="s">
        <v>2064</v>
      </c>
      <c r="N3373" s="1" t="s">
        <v>2069</v>
      </c>
      <c r="P3373" s="1" t="s">
        <v>3720</v>
      </c>
      <c r="Q3373" s="3">
        <v>1</v>
      </c>
      <c r="R3373" s="22" t="s">
        <v>2725</v>
      </c>
      <c r="S3373" s="42" t="s">
        <v>6912</v>
      </c>
      <c r="T3373" s="3" t="s">
        <v>4868</v>
      </c>
      <c r="U3373" s="45">
        <v>35</v>
      </c>
      <c r="V3373" t="s">
        <v>8191</v>
      </c>
      <c r="W3373" s="1" t="str">
        <f>HYPERLINK("http://ictvonline.org/taxonomy/p/taxonomy-history?taxnode_id=201903041","ICTVonline=201903041")</f>
        <v>ICTVonline=201903041</v>
      </c>
    </row>
    <row r="3374" spans="1:23">
      <c r="A3374" s="3">
        <v>3373</v>
      </c>
      <c r="B3374" s="1" t="s">
        <v>5910</v>
      </c>
      <c r="D3374" s="1" t="s">
        <v>8187</v>
      </c>
      <c r="F3374" s="1" t="s">
        <v>8188</v>
      </c>
      <c r="H3374" s="1" t="s">
        <v>8206</v>
      </c>
      <c r="J3374" s="1" t="s">
        <v>8207</v>
      </c>
      <c r="L3374" s="1" t="s">
        <v>2064</v>
      </c>
      <c r="N3374" s="1" t="s">
        <v>2069</v>
      </c>
      <c r="P3374" s="1" t="s">
        <v>5317</v>
      </c>
      <c r="Q3374" s="3">
        <v>0</v>
      </c>
      <c r="R3374" s="22" t="s">
        <v>2725</v>
      </c>
      <c r="S3374" s="42" t="s">
        <v>6912</v>
      </c>
      <c r="T3374" s="3" t="s">
        <v>4868</v>
      </c>
      <c r="U3374" s="45">
        <v>35</v>
      </c>
      <c r="V3374" t="s">
        <v>8191</v>
      </c>
      <c r="W3374" s="1" t="str">
        <f>HYPERLINK("http://ictvonline.org/taxonomy/p/taxonomy-history?taxnode_id=201905775","ICTVonline=201905775")</f>
        <v>ICTVonline=201905775</v>
      </c>
    </row>
    <row r="3375" spans="1:23">
      <c r="A3375" s="3">
        <v>3374</v>
      </c>
      <c r="B3375" s="1" t="s">
        <v>5910</v>
      </c>
      <c r="D3375" s="1" t="s">
        <v>8187</v>
      </c>
      <c r="F3375" s="1" t="s">
        <v>8188</v>
      </c>
      <c r="H3375" s="1" t="s">
        <v>8206</v>
      </c>
      <c r="J3375" s="1" t="s">
        <v>8207</v>
      </c>
      <c r="L3375" s="1" t="s">
        <v>2064</v>
      </c>
      <c r="N3375" s="1" t="s">
        <v>2069</v>
      </c>
      <c r="P3375" s="1" t="s">
        <v>5318</v>
      </c>
      <c r="Q3375" s="3">
        <v>0</v>
      </c>
      <c r="R3375" s="22" t="s">
        <v>2725</v>
      </c>
      <c r="S3375" s="42" t="s">
        <v>6912</v>
      </c>
      <c r="T3375" s="3" t="s">
        <v>4868</v>
      </c>
      <c r="U3375" s="45">
        <v>35</v>
      </c>
      <c r="V3375" t="s">
        <v>8191</v>
      </c>
      <c r="W3375" s="1" t="str">
        <f>HYPERLINK("http://ictvonline.org/taxonomy/p/taxonomy-history?taxnode_id=201905772","ICTVonline=201905772")</f>
        <v>ICTVonline=201905772</v>
      </c>
    </row>
    <row r="3376" spans="1:23">
      <c r="A3376" s="3">
        <v>3375</v>
      </c>
      <c r="B3376" s="1" t="s">
        <v>5910</v>
      </c>
      <c r="D3376" s="1" t="s">
        <v>8187</v>
      </c>
      <c r="F3376" s="1" t="s">
        <v>8188</v>
      </c>
      <c r="H3376" s="1" t="s">
        <v>8206</v>
      </c>
      <c r="J3376" s="1" t="s">
        <v>8207</v>
      </c>
      <c r="L3376" s="1" t="s">
        <v>2064</v>
      </c>
      <c r="N3376" s="1" t="s">
        <v>2069</v>
      </c>
      <c r="P3376" s="1" t="s">
        <v>5319</v>
      </c>
      <c r="Q3376" s="3">
        <v>0</v>
      </c>
      <c r="R3376" s="22" t="s">
        <v>2725</v>
      </c>
      <c r="S3376" s="42" t="s">
        <v>6912</v>
      </c>
      <c r="T3376" s="3" t="s">
        <v>4868</v>
      </c>
      <c r="U3376" s="45">
        <v>35</v>
      </c>
      <c r="V3376" t="s">
        <v>8191</v>
      </c>
      <c r="W3376" s="1" t="str">
        <f>HYPERLINK("http://ictvonline.org/taxonomy/p/taxonomy-history?taxnode_id=201905773","ICTVonline=201905773")</f>
        <v>ICTVonline=201905773</v>
      </c>
    </row>
    <row r="3377" spans="1:23">
      <c r="A3377" s="3">
        <v>3376</v>
      </c>
      <c r="B3377" s="1" t="s">
        <v>5910</v>
      </c>
      <c r="D3377" s="1" t="s">
        <v>8187</v>
      </c>
      <c r="F3377" s="1" t="s">
        <v>8188</v>
      </c>
      <c r="H3377" s="1" t="s">
        <v>8206</v>
      </c>
      <c r="J3377" s="1" t="s">
        <v>8207</v>
      </c>
      <c r="L3377" s="1" t="s">
        <v>2064</v>
      </c>
      <c r="N3377" s="1" t="s">
        <v>2069</v>
      </c>
      <c r="P3377" s="1" t="s">
        <v>5320</v>
      </c>
      <c r="Q3377" s="3">
        <v>0</v>
      </c>
      <c r="R3377" s="22" t="s">
        <v>2725</v>
      </c>
      <c r="S3377" s="42" t="s">
        <v>6912</v>
      </c>
      <c r="T3377" s="3" t="s">
        <v>4868</v>
      </c>
      <c r="U3377" s="45">
        <v>35</v>
      </c>
      <c r="V3377" t="s">
        <v>8191</v>
      </c>
      <c r="W3377" s="1" t="str">
        <f>HYPERLINK("http://ictvonline.org/taxonomy/p/taxonomy-history?taxnode_id=201905774","ICTVonline=201905774")</f>
        <v>ICTVonline=201905774</v>
      </c>
    </row>
    <row r="3378" spans="1:23">
      <c r="A3378" s="3">
        <v>3377</v>
      </c>
      <c r="B3378" s="1" t="s">
        <v>5910</v>
      </c>
      <c r="D3378" s="1" t="s">
        <v>8187</v>
      </c>
      <c r="F3378" s="1" t="s">
        <v>8188</v>
      </c>
      <c r="H3378" s="1" t="s">
        <v>8206</v>
      </c>
      <c r="J3378" s="1" t="s">
        <v>8207</v>
      </c>
      <c r="L3378" s="1" t="s">
        <v>2064</v>
      </c>
      <c r="N3378" s="1" t="s">
        <v>2069</v>
      </c>
      <c r="P3378" s="1" t="s">
        <v>5321</v>
      </c>
      <c r="Q3378" s="3">
        <v>0</v>
      </c>
      <c r="R3378" s="22" t="s">
        <v>2725</v>
      </c>
      <c r="S3378" s="42" t="s">
        <v>6912</v>
      </c>
      <c r="T3378" s="3" t="s">
        <v>4868</v>
      </c>
      <c r="U3378" s="45">
        <v>35</v>
      </c>
      <c r="V3378" t="s">
        <v>8191</v>
      </c>
      <c r="W3378" s="1" t="str">
        <f>HYPERLINK("http://ictvonline.org/taxonomy/p/taxonomy-history?taxnode_id=201905776","ICTVonline=201905776")</f>
        <v>ICTVonline=201905776</v>
      </c>
    </row>
    <row r="3379" spans="1:23">
      <c r="A3379" s="3">
        <v>3378</v>
      </c>
      <c r="B3379" s="1" t="s">
        <v>5910</v>
      </c>
      <c r="D3379" s="1" t="s">
        <v>8187</v>
      </c>
      <c r="F3379" s="1" t="s">
        <v>8188</v>
      </c>
      <c r="H3379" s="1" t="s">
        <v>8206</v>
      </c>
      <c r="J3379" s="1" t="s">
        <v>8207</v>
      </c>
      <c r="L3379" s="1" t="s">
        <v>2064</v>
      </c>
      <c r="N3379" s="1" t="s">
        <v>2069</v>
      </c>
      <c r="P3379" s="1" t="s">
        <v>5322</v>
      </c>
      <c r="Q3379" s="3">
        <v>0</v>
      </c>
      <c r="R3379" s="22" t="s">
        <v>2725</v>
      </c>
      <c r="S3379" s="42" t="s">
        <v>6912</v>
      </c>
      <c r="T3379" s="3" t="s">
        <v>4868</v>
      </c>
      <c r="U3379" s="45">
        <v>35</v>
      </c>
      <c r="V3379" t="s">
        <v>8191</v>
      </c>
      <c r="W3379" s="1" t="str">
        <f>HYPERLINK("http://ictvonline.org/taxonomy/p/taxonomy-history?taxnode_id=201905777","ICTVonline=201905777")</f>
        <v>ICTVonline=201905777</v>
      </c>
    </row>
    <row r="3380" spans="1:23">
      <c r="A3380" s="3">
        <v>3379</v>
      </c>
      <c r="B3380" s="1" t="s">
        <v>5910</v>
      </c>
      <c r="D3380" s="1" t="s">
        <v>8187</v>
      </c>
      <c r="F3380" s="1" t="s">
        <v>8208</v>
      </c>
      <c r="H3380" s="1" t="s">
        <v>8209</v>
      </c>
      <c r="J3380" s="1" t="s">
        <v>8210</v>
      </c>
      <c r="L3380" s="1" t="s">
        <v>18</v>
      </c>
      <c r="N3380" s="1" t="s">
        <v>1864</v>
      </c>
      <c r="P3380" s="1" t="s">
        <v>1865</v>
      </c>
      <c r="Q3380" s="3">
        <v>0</v>
      </c>
      <c r="R3380" s="22" t="s">
        <v>2723</v>
      </c>
      <c r="T3380" s="3" t="s">
        <v>4868</v>
      </c>
      <c r="U3380" s="45">
        <v>35</v>
      </c>
      <c r="V3380" t="s">
        <v>8191</v>
      </c>
      <c r="W3380" s="1" t="str">
        <f>HYPERLINK("http://ictvonline.org/taxonomy/p/taxonomy-history?taxnode_id=201902459","ICTVonline=201902459")</f>
        <v>ICTVonline=201902459</v>
      </c>
    </row>
    <row r="3381" spans="1:23">
      <c r="A3381" s="3">
        <v>3380</v>
      </c>
      <c r="B3381" s="1" t="s">
        <v>5910</v>
      </c>
      <c r="D3381" s="1" t="s">
        <v>8187</v>
      </c>
      <c r="F3381" s="1" t="s">
        <v>8208</v>
      </c>
      <c r="H3381" s="1" t="s">
        <v>8209</v>
      </c>
      <c r="J3381" s="1" t="s">
        <v>8210</v>
      </c>
      <c r="L3381" s="1" t="s">
        <v>18</v>
      </c>
      <c r="N3381" s="1" t="s">
        <v>1864</v>
      </c>
      <c r="P3381" s="1" t="s">
        <v>1866</v>
      </c>
      <c r="Q3381" s="3">
        <v>0</v>
      </c>
      <c r="R3381" s="22" t="s">
        <v>2723</v>
      </c>
      <c r="T3381" s="3" t="s">
        <v>4868</v>
      </c>
      <c r="U3381" s="45">
        <v>35</v>
      </c>
      <c r="V3381" t="s">
        <v>8191</v>
      </c>
      <c r="W3381" s="1" t="str">
        <f>HYPERLINK("http://ictvonline.org/taxonomy/p/taxonomy-history?taxnode_id=201902460","ICTVonline=201902460")</f>
        <v>ICTVonline=201902460</v>
      </c>
    </row>
    <row r="3382" spans="1:23">
      <c r="A3382" s="3">
        <v>3381</v>
      </c>
      <c r="B3382" s="1" t="s">
        <v>5910</v>
      </c>
      <c r="D3382" s="1" t="s">
        <v>8187</v>
      </c>
      <c r="F3382" s="1" t="s">
        <v>8208</v>
      </c>
      <c r="H3382" s="1" t="s">
        <v>8209</v>
      </c>
      <c r="J3382" s="1" t="s">
        <v>8210</v>
      </c>
      <c r="L3382" s="1" t="s">
        <v>18</v>
      </c>
      <c r="N3382" s="1" t="s">
        <v>1864</v>
      </c>
      <c r="P3382" s="1" t="s">
        <v>1843</v>
      </c>
      <c r="Q3382" s="3">
        <v>0</v>
      </c>
      <c r="R3382" s="22" t="s">
        <v>2723</v>
      </c>
      <c r="T3382" s="3" t="s">
        <v>4868</v>
      </c>
      <c r="U3382" s="45">
        <v>35</v>
      </c>
      <c r="V3382" t="s">
        <v>8191</v>
      </c>
      <c r="W3382" s="1" t="str">
        <f>HYPERLINK("http://ictvonline.org/taxonomy/p/taxonomy-history?taxnode_id=201902461","ICTVonline=201902461")</f>
        <v>ICTVonline=201902461</v>
      </c>
    </row>
    <row r="3383" spans="1:23">
      <c r="A3383" s="3">
        <v>3382</v>
      </c>
      <c r="B3383" s="1" t="s">
        <v>5910</v>
      </c>
      <c r="D3383" s="1" t="s">
        <v>8187</v>
      </c>
      <c r="F3383" s="1" t="s">
        <v>8208</v>
      </c>
      <c r="H3383" s="1" t="s">
        <v>8209</v>
      </c>
      <c r="J3383" s="1" t="s">
        <v>8210</v>
      </c>
      <c r="L3383" s="1" t="s">
        <v>18</v>
      </c>
      <c r="N3383" s="1" t="s">
        <v>1864</v>
      </c>
      <c r="P3383" s="1" t="s">
        <v>1845</v>
      </c>
      <c r="Q3383" s="3">
        <v>1</v>
      </c>
      <c r="R3383" s="22" t="s">
        <v>2723</v>
      </c>
      <c r="T3383" s="3" t="s">
        <v>4868</v>
      </c>
      <c r="U3383" s="45">
        <v>35</v>
      </c>
      <c r="V3383" t="s">
        <v>8191</v>
      </c>
      <c r="W3383" s="1" t="str">
        <f>HYPERLINK("http://ictvonline.org/taxonomy/p/taxonomy-history?taxnode_id=201902462","ICTVonline=201902462")</f>
        <v>ICTVonline=201902462</v>
      </c>
    </row>
    <row r="3384" spans="1:23">
      <c r="A3384" s="3">
        <v>3383</v>
      </c>
      <c r="B3384" s="1" t="s">
        <v>5910</v>
      </c>
      <c r="D3384" s="1" t="s">
        <v>8187</v>
      </c>
      <c r="F3384" s="1" t="s">
        <v>8208</v>
      </c>
      <c r="H3384" s="1" t="s">
        <v>8209</v>
      </c>
      <c r="J3384" s="1" t="s">
        <v>8210</v>
      </c>
      <c r="L3384" s="1" t="s">
        <v>18</v>
      </c>
      <c r="N3384" s="1" t="s">
        <v>1864</v>
      </c>
      <c r="P3384" s="1" t="s">
        <v>1559</v>
      </c>
      <c r="Q3384" s="3">
        <v>0</v>
      </c>
      <c r="R3384" s="22" t="s">
        <v>2723</v>
      </c>
      <c r="T3384" s="3" t="s">
        <v>4868</v>
      </c>
      <c r="U3384" s="45">
        <v>35</v>
      </c>
      <c r="V3384" t="s">
        <v>8191</v>
      </c>
      <c r="W3384" s="1" t="str">
        <f>HYPERLINK("http://ictvonline.org/taxonomy/p/taxonomy-history?taxnode_id=201902463","ICTVonline=201902463")</f>
        <v>ICTVonline=201902463</v>
      </c>
    </row>
    <row r="3385" spans="1:23">
      <c r="A3385" s="3">
        <v>3384</v>
      </c>
      <c r="B3385" s="1" t="s">
        <v>5910</v>
      </c>
      <c r="D3385" s="1" t="s">
        <v>8187</v>
      </c>
      <c r="F3385" s="1" t="s">
        <v>8208</v>
      </c>
      <c r="H3385" s="1" t="s">
        <v>8209</v>
      </c>
      <c r="J3385" s="1" t="s">
        <v>8210</v>
      </c>
      <c r="L3385" s="1" t="s">
        <v>18</v>
      </c>
      <c r="N3385" s="1" t="s">
        <v>1864</v>
      </c>
      <c r="P3385" s="1" t="s">
        <v>1847</v>
      </c>
      <c r="Q3385" s="3">
        <v>0</v>
      </c>
      <c r="R3385" s="22" t="s">
        <v>2723</v>
      </c>
      <c r="T3385" s="3" t="s">
        <v>4868</v>
      </c>
      <c r="U3385" s="45">
        <v>35</v>
      </c>
      <c r="V3385" t="s">
        <v>8191</v>
      </c>
      <c r="W3385" s="1" t="str">
        <f>HYPERLINK("http://ictvonline.org/taxonomy/p/taxonomy-history?taxnode_id=201902464","ICTVonline=201902464")</f>
        <v>ICTVonline=201902464</v>
      </c>
    </row>
    <row r="3386" spans="1:23">
      <c r="A3386" s="3">
        <v>3385</v>
      </c>
      <c r="B3386" s="1" t="s">
        <v>5910</v>
      </c>
      <c r="D3386" s="1" t="s">
        <v>8187</v>
      </c>
      <c r="F3386" s="1" t="s">
        <v>8208</v>
      </c>
      <c r="H3386" s="1" t="s">
        <v>8209</v>
      </c>
      <c r="J3386" s="1" t="s">
        <v>8210</v>
      </c>
      <c r="L3386" s="1" t="s">
        <v>18</v>
      </c>
      <c r="N3386" s="1" t="s">
        <v>1864</v>
      </c>
      <c r="P3386" s="1" t="s">
        <v>1849</v>
      </c>
      <c r="Q3386" s="3">
        <v>0</v>
      </c>
      <c r="R3386" s="22" t="s">
        <v>2723</v>
      </c>
      <c r="T3386" s="3" t="s">
        <v>4868</v>
      </c>
      <c r="U3386" s="45">
        <v>35</v>
      </c>
      <c r="V3386" t="s">
        <v>8191</v>
      </c>
      <c r="W3386" s="1" t="str">
        <f>HYPERLINK("http://ictvonline.org/taxonomy/p/taxonomy-history?taxnode_id=201902465","ICTVonline=201902465")</f>
        <v>ICTVonline=201902465</v>
      </c>
    </row>
    <row r="3387" spans="1:23">
      <c r="A3387" s="3">
        <v>3386</v>
      </c>
      <c r="B3387" s="1" t="s">
        <v>5910</v>
      </c>
      <c r="D3387" s="1" t="s">
        <v>8187</v>
      </c>
      <c r="F3387" s="1" t="s">
        <v>8208</v>
      </c>
      <c r="H3387" s="1" t="s">
        <v>8209</v>
      </c>
      <c r="J3387" s="1" t="s">
        <v>8210</v>
      </c>
      <c r="L3387" s="1" t="s">
        <v>18</v>
      </c>
      <c r="N3387" s="1" t="s">
        <v>837</v>
      </c>
      <c r="P3387" s="1" t="s">
        <v>838</v>
      </c>
      <c r="Q3387" s="3">
        <v>0</v>
      </c>
      <c r="R3387" s="22" t="s">
        <v>2723</v>
      </c>
      <c r="T3387" s="3" t="s">
        <v>4868</v>
      </c>
      <c r="U3387" s="45">
        <v>35</v>
      </c>
      <c r="V3387" t="s">
        <v>8191</v>
      </c>
      <c r="W3387" s="1" t="str">
        <f>HYPERLINK("http://ictvonline.org/taxonomy/p/taxonomy-history?taxnode_id=201902467","ICTVonline=201902467")</f>
        <v>ICTVonline=201902467</v>
      </c>
    </row>
    <row r="3388" spans="1:23">
      <c r="A3388" s="3">
        <v>3387</v>
      </c>
      <c r="B3388" s="1" t="s">
        <v>5910</v>
      </c>
      <c r="D3388" s="1" t="s">
        <v>8187</v>
      </c>
      <c r="F3388" s="1" t="s">
        <v>8208</v>
      </c>
      <c r="H3388" s="1" t="s">
        <v>8209</v>
      </c>
      <c r="J3388" s="1" t="s">
        <v>8210</v>
      </c>
      <c r="L3388" s="1" t="s">
        <v>18</v>
      </c>
      <c r="N3388" s="1" t="s">
        <v>837</v>
      </c>
      <c r="P3388" s="1" t="s">
        <v>839</v>
      </c>
      <c r="Q3388" s="3">
        <v>0</v>
      </c>
      <c r="R3388" s="22" t="s">
        <v>2723</v>
      </c>
      <c r="T3388" s="3" t="s">
        <v>4868</v>
      </c>
      <c r="U3388" s="45">
        <v>35</v>
      </c>
      <c r="V3388" t="s">
        <v>8191</v>
      </c>
      <c r="W3388" s="1" t="str">
        <f>HYPERLINK("http://ictvonline.org/taxonomy/p/taxonomy-history?taxnode_id=201902468","ICTVonline=201902468")</f>
        <v>ICTVonline=201902468</v>
      </c>
    </row>
    <row r="3389" spans="1:23">
      <c r="A3389" s="3">
        <v>3388</v>
      </c>
      <c r="B3389" s="1" t="s">
        <v>5910</v>
      </c>
      <c r="D3389" s="1" t="s">
        <v>8187</v>
      </c>
      <c r="F3389" s="1" t="s">
        <v>8208</v>
      </c>
      <c r="H3389" s="1" t="s">
        <v>8209</v>
      </c>
      <c r="J3389" s="1" t="s">
        <v>8210</v>
      </c>
      <c r="L3389" s="1" t="s">
        <v>18</v>
      </c>
      <c r="N3389" s="1" t="s">
        <v>837</v>
      </c>
      <c r="P3389" s="1" t="s">
        <v>840</v>
      </c>
      <c r="Q3389" s="3">
        <v>1</v>
      </c>
      <c r="R3389" s="22" t="s">
        <v>2723</v>
      </c>
      <c r="T3389" s="3" t="s">
        <v>4868</v>
      </c>
      <c r="U3389" s="45">
        <v>35</v>
      </c>
      <c r="V3389" t="s">
        <v>8191</v>
      </c>
      <c r="W3389" s="1" t="str">
        <f>HYPERLINK("http://ictvonline.org/taxonomy/p/taxonomy-history?taxnode_id=201902469","ICTVonline=201902469")</f>
        <v>ICTVonline=201902469</v>
      </c>
    </row>
    <row r="3390" spans="1:23">
      <c r="A3390" s="3">
        <v>3389</v>
      </c>
      <c r="B3390" s="1" t="s">
        <v>5910</v>
      </c>
      <c r="D3390" s="1" t="s">
        <v>8187</v>
      </c>
      <c r="F3390" s="1" t="s">
        <v>8208</v>
      </c>
      <c r="H3390" s="1" t="s">
        <v>8209</v>
      </c>
      <c r="J3390" s="1" t="s">
        <v>8210</v>
      </c>
      <c r="L3390" s="1" t="s">
        <v>2365</v>
      </c>
      <c r="N3390" s="1" t="s">
        <v>1247</v>
      </c>
      <c r="P3390" s="1" t="s">
        <v>1248</v>
      </c>
      <c r="Q3390" s="3">
        <v>1</v>
      </c>
      <c r="R3390" s="22" t="s">
        <v>2723</v>
      </c>
      <c r="T3390" s="3" t="s">
        <v>4868</v>
      </c>
      <c r="U3390" s="45">
        <v>35</v>
      </c>
      <c r="V3390" t="s">
        <v>8191</v>
      </c>
      <c r="W3390" s="1" t="str">
        <f>HYPERLINK("http://ictvonline.org/taxonomy/p/taxonomy-history?taxnode_id=201902733","ICTVonline=201902733")</f>
        <v>ICTVonline=201902733</v>
      </c>
    </row>
    <row r="3391" spans="1:23">
      <c r="A3391" s="3">
        <v>3390</v>
      </c>
      <c r="B3391" s="1" t="s">
        <v>5910</v>
      </c>
      <c r="D3391" s="1" t="s">
        <v>8187</v>
      </c>
      <c r="F3391" s="1" t="s">
        <v>8208</v>
      </c>
      <c r="H3391" s="1" t="s">
        <v>8209</v>
      </c>
      <c r="J3391" s="1" t="s">
        <v>8210</v>
      </c>
      <c r="L3391" s="1" t="s">
        <v>2365</v>
      </c>
      <c r="N3391" s="1" t="s">
        <v>1247</v>
      </c>
      <c r="P3391" s="1" t="s">
        <v>1249</v>
      </c>
      <c r="Q3391" s="3">
        <v>0</v>
      </c>
      <c r="R3391" s="22" t="s">
        <v>2723</v>
      </c>
      <c r="T3391" s="3" t="s">
        <v>4868</v>
      </c>
      <c r="U3391" s="45">
        <v>35</v>
      </c>
      <c r="V3391" t="s">
        <v>8191</v>
      </c>
      <c r="W3391" s="1" t="str">
        <f>HYPERLINK("http://ictvonline.org/taxonomy/p/taxonomy-history?taxnode_id=201902734","ICTVonline=201902734")</f>
        <v>ICTVonline=201902734</v>
      </c>
    </row>
    <row r="3392" spans="1:23">
      <c r="A3392" s="3">
        <v>3391</v>
      </c>
      <c r="B3392" s="1" t="s">
        <v>5910</v>
      </c>
      <c r="D3392" s="1" t="s">
        <v>8187</v>
      </c>
      <c r="F3392" s="1" t="s">
        <v>8208</v>
      </c>
      <c r="H3392" s="1" t="s">
        <v>8209</v>
      </c>
      <c r="J3392" s="1" t="s">
        <v>8210</v>
      </c>
      <c r="L3392" s="1" t="s">
        <v>2365</v>
      </c>
      <c r="N3392" s="1" t="s">
        <v>1247</v>
      </c>
      <c r="P3392" s="1" t="s">
        <v>2366</v>
      </c>
      <c r="Q3392" s="3">
        <v>0</v>
      </c>
      <c r="R3392" s="22" t="s">
        <v>2723</v>
      </c>
      <c r="T3392" s="3" t="s">
        <v>4868</v>
      </c>
      <c r="U3392" s="45">
        <v>35</v>
      </c>
      <c r="V3392" t="s">
        <v>8191</v>
      </c>
      <c r="W3392" s="1" t="str">
        <f>HYPERLINK("http://ictvonline.org/taxonomy/p/taxonomy-history?taxnode_id=201902735","ICTVonline=201902735")</f>
        <v>ICTVonline=201902735</v>
      </c>
    </row>
    <row r="3393" spans="1:23">
      <c r="A3393" s="3">
        <v>3392</v>
      </c>
      <c r="B3393" s="1" t="s">
        <v>5910</v>
      </c>
      <c r="D3393" s="1" t="s">
        <v>8187</v>
      </c>
      <c r="F3393" s="1" t="s">
        <v>8208</v>
      </c>
      <c r="H3393" s="1" t="s">
        <v>8209</v>
      </c>
      <c r="J3393" s="1" t="s">
        <v>8210</v>
      </c>
      <c r="L3393" s="1" t="s">
        <v>2365</v>
      </c>
      <c r="N3393" s="1" t="s">
        <v>1247</v>
      </c>
      <c r="P3393" s="1" t="s">
        <v>2268</v>
      </c>
      <c r="Q3393" s="3">
        <v>0</v>
      </c>
      <c r="R3393" s="22" t="s">
        <v>2723</v>
      </c>
      <c r="T3393" s="3" t="s">
        <v>4868</v>
      </c>
      <c r="U3393" s="45">
        <v>35</v>
      </c>
      <c r="V3393" t="s">
        <v>8191</v>
      </c>
      <c r="W3393" s="1" t="str">
        <f>HYPERLINK("http://ictvonline.org/taxonomy/p/taxonomy-history?taxnode_id=201902736","ICTVonline=201902736")</f>
        <v>ICTVonline=201902736</v>
      </c>
    </row>
    <row r="3394" spans="1:23">
      <c r="A3394" s="3">
        <v>3393</v>
      </c>
      <c r="B3394" s="1" t="s">
        <v>5910</v>
      </c>
      <c r="D3394" s="1" t="s">
        <v>8187</v>
      </c>
      <c r="F3394" s="1" t="s">
        <v>8208</v>
      </c>
      <c r="H3394" s="1" t="s">
        <v>8209</v>
      </c>
      <c r="J3394" s="1" t="s">
        <v>8210</v>
      </c>
      <c r="L3394" s="1" t="s">
        <v>1073</v>
      </c>
      <c r="N3394" s="1" t="s">
        <v>2656</v>
      </c>
      <c r="P3394" s="1" t="s">
        <v>2657</v>
      </c>
      <c r="Q3394" s="3">
        <v>1</v>
      </c>
      <c r="R3394" s="22" t="s">
        <v>2723</v>
      </c>
      <c r="T3394" s="3" t="s">
        <v>4868</v>
      </c>
      <c r="U3394" s="45">
        <v>35</v>
      </c>
      <c r="V3394" t="s">
        <v>8191</v>
      </c>
      <c r="W3394" s="1" t="str">
        <f>HYPERLINK("http://ictvonline.org/taxonomy/p/taxonomy-history?taxnode_id=201903665","ICTVonline=201903665")</f>
        <v>ICTVonline=201903665</v>
      </c>
    </row>
    <row r="3395" spans="1:23">
      <c r="A3395" s="3">
        <v>3394</v>
      </c>
      <c r="B3395" s="1" t="s">
        <v>5910</v>
      </c>
      <c r="D3395" s="1" t="s">
        <v>8187</v>
      </c>
      <c r="F3395" s="1" t="s">
        <v>8208</v>
      </c>
      <c r="H3395" s="1" t="s">
        <v>8209</v>
      </c>
      <c r="J3395" s="1" t="s">
        <v>8210</v>
      </c>
      <c r="L3395" s="1" t="s">
        <v>1073</v>
      </c>
      <c r="N3395" s="1" t="s">
        <v>2656</v>
      </c>
      <c r="P3395" s="1" t="s">
        <v>2658</v>
      </c>
      <c r="Q3395" s="3">
        <v>0</v>
      </c>
      <c r="R3395" s="22" t="s">
        <v>2723</v>
      </c>
      <c r="T3395" s="3" t="s">
        <v>4868</v>
      </c>
      <c r="U3395" s="45">
        <v>35</v>
      </c>
      <c r="V3395" t="s">
        <v>8191</v>
      </c>
      <c r="W3395" s="1" t="str">
        <f>HYPERLINK("http://ictvonline.org/taxonomy/p/taxonomy-history?taxnode_id=201903666","ICTVonline=201903666")</f>
        <v>ICTVonline=201903666</v>
      </c>
    </row>
    <row r="3396" spans="1:23">
      <c r="A3396" s="3">
        <v>3395</v>
      </c>
      <c r="B3396" s="1" t="s">
        <v>5910</v>
      </c>
      <c r="D3396" s="1" t="s">
        <v>8187</v>
      </c>
      <c r="F3396" s="1" t="s">
        <v>8208</v>
      </c>
      <c r="H3396" s="1" t="s">
        <v>8209</v>
      </c>
      <c r="J3396" s="1" t="s">
        <v>8210</v>
      </c>
      <c r="L3396" s="1" t="s">
        <v>1073</v>
      </c>
      <c r="N3396" s="1" t="s">
        <v>2656</v>
      </c>
      <c r="P3396" s="1" t="s">
        <v>2659</v>
      </c>
      <c r="Q3396" s="3">
        <v>0</v>
      </c>
      <c r="R3396" s="22" t="s">
        <v>2723</v>
      </c>
      <c r="T3396" s="3" t="s">
        <v>4868</v>
      </c>
      <c r="U3396" s="45">
        <v>35</v>
      </c>
      <c r="V3396" t="s">
        <v>8191</v>
      </c>
      <c r="W3396" s="1" t="str">
        <f>HYPERLINK("http://ictvonline.org/taxonomy/p/taxonomy-history?taxnode_id=201903667","ICTVonline=201903667")</f>
        <v>ICTVonline=201903667</v>
      </c>
    </row>
    <row r="3397" spans="1:23">
      <c r="A3397" s="3">
        <v>3396</v>
      </c>
      <c r="B3397" s="1" t="s">
        <v>5910</v>
      </c>
      <c r="D3397" s="1" t="s">
        <v>8187</v>
      </c>
      <c r="F3397" s="1" t="s">
        <v>8208</v>
      </c>
      <c r="H3397" s="1" t="s">
        <v>8209</v>
      </c>
      <c r="J3397" s="1" t="s">
        <v>8210</v>
      </c>
      <c r="L3397" s="1" t="s">
        <v>1073</v>
      </c>
      <c r="N3397" s="1" t="s">
        <v>2656</v>
      </c>
      <c r="P3397" s="1" t="s">
        <v>2660</v>
      </c>
      <c r="Q3397" s="3">
        <v>0</v>
      </c>
      <c r="R3397" s="22" t="s">
        <v>2723</v>
      </c>
      <c r="T3397" s="3" t="s">
        <v>4868</v>
      </c>
      <c r="U3397" s="45">
        <v>35</v>
      </c>
      <c r="V3397" t="s">
        <v>8191</v>
      </c>
      <c r="W3397" s="1" t="str">
        <f>HYPERLINK("http://ictvonline.org/taxonomy/p/taxonomy-history?taxnode_id=201903668","ICTVonline=201903668")</f>
        <v>ICTVonline=201903668</v>
      </c>
    </row>
    <row r="3398" spans="1:23">
      <c r="A3398" s="3">
        <v>3397</v>
      </c>
      <c r="B3398" s="1" t="s">
        <v>5910</v>
      </c>
      <c r="D3398" s="1" t="s">
        <v>8187</v>
      </c>
      <c r="F3398" s="1" t="s">
        <v>8208</v>
      </c>
      <c r="H3398" s="1" t="s">
        <v>8209</v>
      </c>
      <c r="J3398" s="1" t="s">
        <v>8210</v>
      </c>
      <c r="L3398" s="1" t="s">
        <v>1073</v>
      </c>
      <c r="N3398" s="1" t="s">
        <v>2661</v>
      </c>
      <c r="P3398" s="1" t="s">
        <v>2662</v>
      </c>
      <c r="Q3398" s="3">
        <v>1</v>
      </c>
      <c r="R3398" s="22" t="s">
        <v>2723</v>
      </c>
      <c r="T3398" s="3" t="s">
        <v>4868</v>
      </c>
      <c r="U3398" s="45">
        <v>35</v>
      </c>
      <c r="V3398" t="s">
        <v>8191</v>
      </c>
      <c r="W3398" s="1" t="str">
        <f>HYPERLINK("http://ictvonline.org/taxonomy/p/taxonomy-history?taxnode_id=201903670","ICTVonline=201903670")</f>
        <v>ICTVonline=201903670</v>
      </c>
    </row>
    <row r="3399" spans="1:23">
      <c r="A3399" s="3">
        <v>3398</v>
      </c>
      <c r="B3399" s="1" t="s">
        <v>5910</v>
      </c>
      <c r="D3399" s="1" t="s">
        <v>8187</v>
      </c>
      <c r="F3399" s="1" t="s">
        <v>8208</v>
      </c>
      <c r="H3399" s="1" t="s">
        <v>8209</v>
      </c>
      <c r="J3399" s="1" t="s">
        <v>8210</v>
      </c>
      <c r="L3399" s="1" t="s">
        <v>6194</v>
      </c>
      <c r="N3399" s="1" t="s">
        <v>1799</v>
      </c>
      <c r="P3399" s="1" t="s">
        <v>1800</v>
      </c>
      <c r="Q3399" s="3">
        <v>1</v>
      </c>
      <c r="R3399" s="22" t="s">
        <v>2723</v>
      </c>
      <c r="T3399" s="3" t="s">
        <v>4868</v>
      </c>
      <c r="U3399" s="45">
        <v>35</v>
      </c>
      <c r="V3399" t="s">
        <v>8191</v>
      </c>
      <c r="W3399" s="1" t="str">
        <f>HYPERLINK("http://ictvonline.org/taxonomy/p/taxonomy-history?taxnode_id=201905115","ICTVonline=201905115")</f>
        <v>ICTVonline=201905115</v>
      </c>
    </row>
    <row r="3400" spans="1:23">
      <c r="A3400" s="3">
        <v>3399</v>
      </c>
      <c r="B3400" s="1" t="s">
        <v>5910</v>
      </c>
      <c r="D3400" s="1" t="s">
        <v>8187</v>
      </c>
      <c r="F3400" s="1" t="s">
        <v>8208</v>
      </c>
      <c r="H3400" s="1" t="s">
        <v>8209</v>
      </c>
      <c r="J3400" s="1" t="s">
        <v>8211</v>
      </c>
      <c r="L3400" s="1" t="s">
        <v>1776</v>
      </c>
      <c r="N3400" s="1" t="s">
        <v>743</v>
      </c>
      <c r="P3400" s="1" t="s">
        <v>744</v>
      </c>
      <c r="Q3400" s="3">
        <v>1</v>
      </c>
      <c r="R3400" s="22" t="s">
        <v>2723</v>
      </c>
      <c r="T3400" s="3" t="s">
        <v>4868</v>
      </c>
      <c r="U3400" s="45">
        <v>35</v>
      </c>
      <c r="V3400" t="s">
        <v>8191</v>
      </c>
      <c r="W3400" s="1" t="str">
        <f>HYPERLINK("http://ictvonline.org/taxonomy/p/taxonomy-history?taxnode_id=201902760","ICTVonline=201902760")</f>
        <v>ICTVonline=201902760</v>
      </c>
    </row>
    <row r="3401" spans="1:23">
      <c r="A3401" s="3">
        <v>3400</v>
      </c>
      <c r="B3401" s="1" t="s">
        <v>5910</v>
      </c>
      <c r="D3401" s="1" t="s">
        <v>8187</v>
      </c>
      <c r="F3401" s="1" t="s">
        <v>8208</v>
      </c>
      <c r="H3401" s="1" t="s">
        <v>8209</v>
      </c>
      <c r="J3401" s="1" t="s">
        <v>8211</v>
      </c>
      <c r="L3401" s="1" t="s">
        <v>1776</v>
      </c>
      <c r="N3401" s="1" t="s">
        <v>745</v>
      </c>
      <c r="P3401" s="1" t="s">
        <v>2367</v>
      </c>
      <c r="Q3401" s="3">
        <v>0</v>
      </c>
      <c r="R3401" s="22" t="s">
        <v>2723</v>
      </c>
      <c r="T3401" s="3" t="s">
        <v>4868</v>
      </c>
      <c r="U3401" s="45">
        <v>35</v>
      </c>
      <c r="V3401" t="s">
        <v>8191</v>
      </c>
      <c r="W3401" s="1" t="str">
        <f>HYPERLINK("http://ictvonline.org/taxonomy/p/taxonomy-history?taxnode_id=201902762","ICTVonline=201902762")</f>
        <v>ICTVonline=201902762</v>
      </c>
    </row>
    <row r="3402" spans="1:23">
      <c r="A3402" s="3">
        <v>3401</v>
      </c>
      <c r="B3402" s="1" t="s">
        <v>5910</v>
      </c>
      <c r="D3402" s="1" t="s">
        <v>8187</v>
      </c>
      <c r="F3402" s="1" t="s">
        <v>8208</v>
      </c>
      <c r="H3402" s="1" t="s">
        <v>8209</v>
      </c>
      <c r="J3402" s="1" t="s">
        <v>8211</v>
      </c>
      <c r="L3402" s="1" t="s">
        <v>1776</v>
      </c>
      <c r="N3402" s="1" t="s">
        <v>745</v>
      </c>
      <c r="P3402" s="1" t="s">
        <v>746</v>
      </c>
      <c r="Q3402" s="3">
        <v>1</v>
      </c>
      <c r="R3402" s="22" t="s">
        <v>2723</v>
      </c>
      <c r="T3402" s="3" t="s">
        <v>4868</v>
      </c>
      <c r="U3402" s="45">
        <v>35</v>
      </c>
      <c r="V3402" t="s">
        <v>8191</v>
      </c>
      <c r="W3402" s="1" t="str">
        <f>HYPERLINK("http://ictvonline.org/taxonomy/p/taxonomy-history?taxnode_id=201902763","ICTVonline=201902763")</f>
        <v>ICTVonline=201902763</v>
      </c>
    </row>
    <row r="3403" spans="1:23">
      <c r="A3403" s="3">
        <v>3402</v>
      </c>
      <c r="B3403" s="1" t="s">
        <v>5910</v>
      </c>
      <c r="D3403" s="1" t="s">
        <v>8187</v>
      </c>
      <c r="F3403" s="1" t="s">
        <v>8208</v>
      </c>
      <c r="H3403" s="1" t="s">
        <v>8209</v>
      </c>
      <c r="J3403" s="1" t="s">
        <v>8211</v>
      </c>
      <c r="L3403" s="1" t="s">
        <v>1776</v>
      </c>
      <c r="N3403" s="1" t="s">
        <v>747</v>
      </c>
      <c r="P3403" s="1" t="s">
        <v>748</v>
      </c>
      <c r="Q3403" s="3">
        <v>0</v>
      </c>
      <c r="R3403" s="22" t="s">
        <v>2723</v>
      </c>
      <c r="T3403" s="3" t="s">
        <v>4868</v>
      </c>
      <c r="U3403" s="45">
        <v>35</v>
      </c>
      <c r="V3403" t="s">
        <v>8191</v>
      </c>
      <c r="W3403" s="1" t="str">
        <f>HYPERLINK("http://ictvonline.org/taxonomy/p/taxonomy-history?taxnode_id=201902765","ICTVonline=201902765")</f>
        <v>ICTVonline=201902765</v>
      </c>
    </row>
    <row r="3404" spans="1:23">
      <c r="A3404" s="3">
        <v>3403</v>
      </c>
      <c r="B3404" s="1" t="s">
        <v>5910</v>
      </c>
      <c r="D3404" s="1" t="s">
        <v>8187</v>
      </c>
      <c r="F3404" s="1" t="s">
        <v>8208</v>
      </c>
      <c r="H3404" s="1" t="s">
        <v>8209</v>
      </c>
      <c r="J3404" s="1" t="s">
        <v>8211</v>
      </c>
      <c r="L3404" s="1" t="s">
        <v>1776</v>
      </c>
      <c r="N3404" s="1" t="s">
        <v>747</v>
      </c>
      <c r="P3404" s="1" t="s">
        <v>749</v>
      </c>
      <c r="Q3404" s="3">
        <v>1</v>
      </c>
      <c r="R3404" s="22" t="s">
        <v>2723</v>
      </c>
      <c r="T3404" s="3" t="s">
        <v>4868</v>
      </c>
      <c r="U3404" s="45">
        <v>35</v>
      </c>
      <c r="V3404" t="s">
        <v>8191</v>
      </c>
      <c r="W3404" s="1" t="str">
        <f>HYPERLINK("http://ictvonline.org/taxonomy/p/taxonomy-history?taxnode_id=201902766","ICTVonline=201902766")</f>
        <v>ICTVonline=201902766</v>
      </c>
    </row>
    <row r="3405" spans="1:23">
      <c r="A3405" s="3">
        <v>3404</v>
      </c>
      <c r="B3405" s="1" t="s">
        <v>5910</v>
      </c>
      <c r="D3405" s="1" t="s">
        <v>8187</v>
      </c>
      <c r="F3405" s="1" t="s">
        <v>8208</v>
      </c>
      <c r="H3405" s="1" t="s">
        <v>8209</v>
      </c>
      <c r="J3405" s="1" t="s">
        <v>8211</v>
      </c>
      <c r="L3405" s="1" t="s">
        <v>1776</v>
      </c>
      <c r="N3405" s="1" t="s">
        <v>747</v>
      </c>
      <c r="P3405" s="1" t="s">
        <v>750</v>
      </c>
      <c r="Q3405" s="3">
        <v>0</v>
      </c>
      <c r="R3405" s="22" t="s">
        <v>2723</v>
      </c>
      <c r="T3405" s="3" t="s">
        <v>4868</v>
      </c>
      <c r="U3405" s="45">
        <v>35</v>
      </c>
      <c r="V3405" t="s">
        <v>8191</v>
      </c>
      <c r="W3405" s="1" t="str">
        <f>HYPERLINK("http://ictvonline.org/taxonomy/p/taxonomy-history?taxnode_id=201902767","ICTVonline=201902767")</f>
        <v>ICTVonline=201902767</v>
      </c>
    </row>
    <row r="3406" spans="1:23">
      <c r="A3406" s="3">
        <v>3405</v>
      </c>
      <c r="B3406" s="1" t="s">
        <v>5910</v>
      </c>
      <c r="D3406" s="1" t="s">
        <v>8187</v>
      </c>
      <c r="F3406" s="1" t="s">
        <v>8208</v>
      </c>
      <c r="H3406" s="1" t="s">
        <v>8209</v>
      </c>
      <c r="J3406" s="1" t="s">
        <v>8211</v>
      </c>
      <c r="L3406" s="1" t="s">
        <v>1776</v>
      </c>
      <c r="N3406" s="1" t="s">
        <v>747</v>
      </c>
      <c r="P3406" s="1" t="s">
        <v>1779</v>
      </c>
      <c r="Q3406" s="3">
        <v>0</v>
      </c>
      <c r="R3406" s="22" t="s">
        <v>2723</v>
      </c>
      <c r="T3406" s="3" t="s">
        <v>4868</v>
      </c>
      <c r="U3406" s="45">
        <v>35</v>
      </c>
      <c r="V3406" t="s">
        <v>8191</v>
      </c>
      <c r="W3406" s="1" t="str">
        <f>HYPERLINK("http://ictvonline.org/taxonomy/p/taxonomy-history?taxnode_id=201902768","ICTVonline=201902768")</f>
        <v>ICTVonline=201902768</v>
      </c>
    </row>
    <row r="3407" spans="1:23">
      <c r="A3407" s="3">
        <v>3406</v>
      </c>
      <c r="B3407" s="1" t="s">
        <v>5910</v>
      </c>
      <c r="D3407" s="1" t="s">
        <v>8187</v>
      </c>
      <c r="F3407" s="1" t="s">
        <v>8208</v>
      </c>
      <c r="H3407" s="1" t="s">
        <v>8209</v>
      </c>
      <c r="J3407" s="1" t="s">
        <v>8211</v>
      </c>
      <c r="L3407" s="1" t="s">
        <v>1776</v>
      </c>
      <c r="N3407" s="1" t="s">
        <v>747</v>
      </c>
      <c r="P3407" s="1" t="s">
        <v>1780</v>
      </c>
      <c r="Q3407" s="3">
        <v>0</v>
      </c>
      <c r="R3407" s="22" t="s">
        <v>2723</v>
      </c>
      <c r="T3407" s="3" t="s">
        <v>4868</v>
      </c>
      <c r="U3407" s="45">
        <v>35</v>
      </c>
      <c r="V3407" t="s">
        <v>8191</v>
      </c>
      <c r="W3407" s="1" t="str">
        <f>HYPERLINK("http://ictvonline.org/taxonomy/p/taxonomy-history?taxnode_id=201902769","ICTVonline=201902769")</f>
        <v>ICTVonline=201902769</v>
      </c>
    </row>
    <row r="3408" spans="1:23">
      <c r="A3408" s="3">
        <v>3407</v>
      </c>
      <c r="B3408" s="1" t="s">
        <v>5910</v>
      </c>
      <c r="D3408" s="1" t="s">
        <v>8187</v>
      </c>
      <c r="F3408" s="1" t="s">
        <v>8208</v>
      </c>
      <c r="H3408" s="1" t="s">
        <v>8209</v>
      </c>
      <c r="J3408" s="1" t="s">
        <v>8211</v>
      </c>
      <c r="L3408" s="1" t="s">
        <v>1776</v>
      </c>
      <c r="N3408" s="1" t="s">
        <v>747</v>
      </c>
      <c r="P3408" s="1" t="s">
        <v>650</v>
      </c>
      <c r="Q3408" s="3">
        <v>0</v>
      </c>
      <c r="R3408" s="22" t="s">
        <v>2723</v>
      </c>
      <c r="T3408" s="3" t="s">
        <v>4868</v>
      </c>
      <c r="U3408" s="45">
        <v>35</v>
      </c>
      <c r="V3408" t="s">
        <v>8191</v>
      </c>
      <c r="W3408" s="1" t="str">
        <f>HYPERLINK("http://ictvonline.org/taxonomy/p/taxonomy-history?taxnode_id=201902770","ICTVonline=201902770")</f>
        <v>ICTVonline=201902770</v>
      </c>
    </row>
    <row r="3409" spans="1:23">
      <c r="A3409" s="3">
        <v>3408</v>
      </c>
      <c r="B3409" s="1" t="s">
        <v>5910</v>
      </c>
      <c r="D3409" s="1" t="s">
        <v>8187</v>
      </c>
      <c r="F3409" s="1" t="s">
        <v>8208</v>
      </c>
      <c r="H3409" s="1" t="s">
        <v>8209</v>
      </c>
      <c r="J3409" s="1" t="s">
        <v>8211</v>
      </c>
      <c r="L3409" s="1" t="s">
        <v>1776</v>
      </c>
      <c r="N3409" s="1" t="s">
        <v>651</v>
      </c>
      <c r="P3409" s="1" t="s">
        <v>652</v>
      </c>
      <c r="Q3409" s="3">
        <v>1</v>
      </c>
      <c r="R3409" s="22" t="s">
        <v>2723</v>
      </c>
      <c r="T3409" s="3" t="s">
        <v>4868</v>
      </c>
      <c r="U3409" s="45">
        <v>35</v>
      </c>
      <c r="V3409" t="s">
        <v>8191</v>
      </c>
      <c r="W3409" s="1" t="str">
        <f>HYPERLINK("http://ictvonline.org/taxonomy/p/taxonomy-history?taxnode_id=201902772","ICTVonline=201902772")</f>
        <v>ICTVonline=201902772</v>
      </c>
    </row>
    <row r="3410" spans="1:23">
      <c r="A3410" s="3">
        <v>3409</v>
      </c>
      <c r="B3410" s="1" t="s">
        <v>5910</v>
      </c>
      <c r="D3410" s="1" t="s">
        <v>8187</v>
      </c>
      <c r="F3410" s="1" t="s">
        <v>8208</v>
      </c>
      <c r="H3410" s="1" t="s">
        <v>8209</v>
      </c>
      <c r="J3410" s="1" t="s">
        <v>8211</v>
      </c>
      <c r="L3410" s="1" t="s">
        <v>1776</v>
      </c>
      <c r="N3410" s="1" t="s">
        <v>651</v>
      </c>
      <c r="P3410" s="1" t="s">
        <v>69</v>
      </c>
      <c r="Q3410" s="3">
        <v>0</v>
      </c>
      <c r="R3410" s="22" t="s">
        <v>2723</v>
      </c>
      <c r="T3410" s="3" t="s">
        <v>4868</v>
      </c>
      <c r="U3410" s="45">
        <v>35</v>
      </c>
      <c r="V3410" t="s">
        <v>8191</v>
      </c>
      <c r="W3410" s="1" t="str">
        <f>HYPERLINK("http://ictvonline.org/taxonomy/p/taxonomy-history?taxnode_id=201902773","ICTVonline=201902773")</f>
        <v>ICTVonline=201902773</v>
      </c>
    </row>
    <row r="3411" spans="1:23">
      <c r="A3411" s="3">
        <v>3410</v>
      </c>
      <c r="B3411" s="1" t="s">
        <v>5910</v>
      </c>
      <c r="D3411" s="1" t="s">
        <v>8187</v>
      </c>
      <c r="F3411" s="1" t="s">
        <v>8208</v>
      </c>
      <c r="H3411" s="1" t="s">
        <v>8209</v>
      </c>
      <c r="J3411" s="1" t="s">
        <v>8211</v>
      </c>
      <c r="L3411" s="1" t="s">
        <v>1776</v>
      </c>
      <c r="N3411" s="1" t="s">
        <v>651</v>
      </c>
      <c r="P3411" s="1" t="s">
        <v>1783</v>
      </c>
      <c r="Q3411" s="3">
        <v>0</v>
      </c>
      <c r="R3411" s="22" t="s">
        <v>2723</v>
      </c>
      <c r="T3411" s="3" t="s">
        <v>4868</v>
      </c>
      <c r="U3411" s="45">
        <v>35</v>
      </c>
      <c r="V3411" t="s">
        <v>8191</v>
      </c>
      <c r="W3411" s="1" t="str">
        <f>HYPERLINK("http://ictvonline.org/taxonomy/p/taxonomy-history?taxnode_id=201902774","ICTVonline=201902774")</f>
        <v>ICTVonline=201902774</v>
      </c>
    </row>
    <row r="3412" spans="1:23">
      <c r="A3412" s="3">
        <v>3411</v>
      </c>
      <c r="B3412" s="1" t="s">
        <v>5910</v>
      </c>
      <c r="D3412" s="1" t="s">
        <v>8187</v>
      </c>
      <c r="F3412" s="1" t="s">
        <v>8208</v>
      </c>
      <c r="H3412" s="1" t="s">
        <v>8209</v>
      </c>
      <c r="J3412" s="1" t="s">
        <v>8211</v>
      </c>
      <c r="L3412" s="1" t="s">
        <v>1776</v>
      </c>
      <c r="N3412" s="1" t="s">
        <v>651</v>
      </c>
      <c r="P3412" s="1" t="s">
        <v>1784</v>
      </c>
      <c r="Q3412" s="3">
        <v>0</v>
      </c>
      <c r="R3412" s="22" t="s">
        <v>2723</v>
      </c>
      <c r="T3412" s="3" t="s">
        <v>4868</v>
      </c>
      <c r="U3412" s="45">
        <v>35</v>
      </c>
      <c r="V3412" t="s">
        <v>8191</v>
      </c>
      <c r="W3412" s="1" t="str">
        <f>HYPERLINK("http://ictvonline.org/taxonomy/p/taxonomy-history?taxnode_id=201902775","ICTVonline=201902775")</f>
        <v>ICTVonline=201902775</v>
      </c>
    </row>
    <row r="3413" spans="1:23">
      <c r="A3413" s="3">
        <v>3412</v>
      </c>
      <c r="B3413" s="1" t="s">
        <v>5910</v>
      </c>
      <c r="D3413" s="1" t="s">
        <v>8187</v>
      </c>
      <c r="F3413" s="1" t="s">
        <v>8208</v>
      </c>
      <c r="H3413" s="1" t="s">
        <v>8209</v>
      </c>
      <c r="J3413" s="1" t="s">
        <v>8211</v>
      </c>
      <c r="L3413" s="1" t="s">
        <v>1776</v>
      </c>
      <c r="N3413" s="1" t="s">
        <v>1785</v>
      </c>
      <c r="P3413" s="1" t="s">
        <v>5306</v>
      </c>
      <c r="Q3413" s="3">
        <v>0</v>
      </c>
      <c r="R3413" s="22" t="s">
        <v>2723</v>
      </c>
      <c r="T3413" s="3" t="s">
        <v>4868</v>
      </c>
      <c r="U3413" s="45">
        <v>35</v>
      </c>
      <c r="V3413" t="s">
        <v>8191</v>
      </c>
      <c r="W3413" s="1" t="str">
        <f>HYPERLINK("http://ictvonline.org/taxonomy/p/taxonomy-history?taxnode_id=201905758","ICTVonline=201905758")</f>
        <v>ICTVonline=201905758</v>
      </c>
    </row>
    <row r="3414" spans="1:23">
      <c r="A3414" s="3">
        <v>3413</v>
      </c>
      <c r="B3414" s="1" t="s">
        <v>5910</v>
      </c>
      <c r="D3414" s="1" t="s">
        <v>8187</v>
      </c>
      <c r="F3414" s="1" t="s">
        <v>8208</v>
      </c>
      <c r="H3414" s="1" t="s">
        <v>8209</v>
      </c>
      <c r="J3414" s="1" t="s">
        <v>8211</v>
      </c>
      <c r="L3414" s="1" t="s">
        <v>1776</v>
      </c>
      <c r="N3414" s="1" t="s">
        <v>1785</v>
      </c>
      <c r="P3414" s="1" t="s">
        <v>1786</v>
      </c>
      <c r="Q3414" s="3">
        <v>0</v>
      </c>
      <c r="R3414" s="22" t="s">
        <v>2723</v>
      </c>
      <c r="T3414" s="3" t="s">
        <v>4868</v>
      </c>
      <c r="U3414" s="45">
        <v>35</v>
      </c>
      <c r="V3414" t="s">
        <v>8191</v>
      </c>
      <c r="W3414" s="1" t="str">
        <f>HYPERLINK("http://ictvonline.org/taxonomy/p/taxonomy-history?taxnode_id=201902777","ICTVonline=201902777")</f>
        <v>ICTVonline=201902777</v>
      </c>
    </row>
    <row r="3415" spans="1:23">
      <c r="A3415" s="3">
        <v>3414</v>
      </c>
      <c r="B3415" s="1" t="s">
        <v>5910</v>
      </c>
      <c r="D3415" s="1" t="s">
        <v>8187</v>
      </c>
      <c r="F3415" s="1" t="s">
        <v>8208</v>
      </c>
      <c r="H3415" s="1" t="s">
        <v>8209</v>
      </c>
      <c r="J3415" s="1" t="s">
        <v>8211</v>
      </c>
      <c r="L3415" s="1" t="s">
        <v>1776</v>
      </c>
      <c r="N3415" s="1" t="s">
        <v>1785</v>
      </c>
      <c r="P3415" s="1" t="s">
        <v>1787</v>
      </c>
      <c r="Q3415" s="3">
        <v>0</v>
      </c>
      <c r="R3415" s="22" t="s">
        <v>2723</v>
      </c>
      <c r="T3415" s="3" t="s">
        <v>4868</v>
      </c>
      <c r="U3415" s="45">
        <v>35</v>
      </c>
      <c r="V3415" t="s">
        <v>8191</v>
      </c>
      <c r="W3415" s="1" t="str">
        <f>HYPERLINK("http://ictvonline.org/taxonomy/p/taxonomy-history?taxnode_id=201902778","ICTVonline=201902778")</f>
        <v>ICTVonline=201902778</v>
      </c>
    </row>
    <row r="3416" spans="1:23">
      <c r="A3416" s="3">
        <v>3415</v>
      </c>
      <c r="B3416" s="1" t="s">
        <v>5910</v>
      </c>
      <c r="D3416" s="1" t="s">
        <v>8187</v>
      </c>
      <c r="F3416" s="1" t="s">
        <v>8208</v>
      </c>
      <c r="H3416" s="1" t="s">
        <v>8209</v>
      </c>
      <c r="J3416" s="1" t="s">
        <v>8211</v>
      </c>
      <c r="L3416" s="1" t="s">
        <v>1776</v>
      </c>
      <c r="N3416" s="1" t="s">
        <v>1785</v>
      </c>
      <c r="P3416" s="1" t="s">
        <v>1788</v>
      </c>
      <c r="Q3416" s="3">
        <v>0</v>
      </c>
      <c r="R3416" s="22" t="s">
        <v>2723</v>
      </c>
      <c r="T3416" s="3" t="s">
        <v>4868</v>
      </c>
      <c r="U3416" s="45">
        <v>35</v>
      </c>
      <c r="V3416" t="s">
        <v>8191</v>
      </c>
      <c r="W3416" s="1" t="str">
        <f>HYPERLINK("http://ictvonline.org/taxonomy/p/taxonomy-history?taxnode_id=201902779","ICTVonline=201902779")</f>
        <v>ICTVonline=201902779</v>
      </c>
    </row>
    <row r="3417" spans="1:23">
      <c r="A3417" s="3">
        <v>3416</v>
      </c>
      <c r="B3417" s="1" t="s">
        <v>5910</v>
      </c>
      <c r="D3417" s="1" t="s">
        <v>8187</v>
      </c>
      <c r="F3417" s="1" t="s">
        <v>8208</v>
      </c>
      <c r="H3417" s="1" t="s">
        <v>8209</v>
      </c>
      <c r="J3417" s="1" t="s">
        <v>8211</v>
      </c>
      <c r="L3417" s="1" t="s">
        <v>1776</v>
      </c>
      <c r="N3417" s="1" t="s">
        <v>1785</v>
      </c>
      <c r="P3417" s="1" t="s">
        <v>70</v>
      </c>
      <c r="Q3417" s="3">
        <v>0</v>
      </c>
      <c r="R3417" s="22" t="s">
        <v>2723</v>
      </c>
      <c r="T3417" s="3" t="s">
        <v>4868</v>
      </c>
      <c r="U3417" s="45">
        <v>35</v>
      </c>
      <c r="V3417" t="s">
        <v>8191</v>
      </c>
      <c r="W3417" s="1" t="str">
        <f>HYPERLINK("http://ictvonline.org/taxonomy/p/taxonomy-history?taxnode_id=201902780","ICTVonline=201902780")</f>
        <v>ICTVonline=201902780</v>
      </c>
    </row>
    <row r="3418" spans="1:23">
      <c r="A3418" s="3">
        <v>3417</v>
      </c>
      <c r="B3418" s="1" t="s">
        <v>5910</v>
      </c>
      <c r="D3418" s="1" t="s">
        <v>8187</v>
      </c>
      <c r="F3418" s="1" t="s">
        <v>8208</v>
      </c>
      <c r="H3418" s="1" t="s">
        <v>8209</v>
      </c>
      <c r="J3418" s="1" t="s">
        <v>8211</v>
      </c>
      <c r="L3418" s="1" t="s">
        <v>1776</v>
      </c>
      <c r="N3418" s="1" t="s">
        <v>1785</v>
      </c>
      <c r="P3418" s="1" t="s">
        <v>1789</v>
      </c>
      <c r="Q3418" s="3">
        <v>0</v>
      </c>
      <c r="R3418" s="22" t="s">
        <v>2723</v>
      </c>
      <c r="T3418" s="3" t="s">
        <v>4868</v>
      </c>
      <c r="U3418" s="45">
        <v>35</v>
      </c>
      <c r="V3418" t="s">
        <v>8191</v>
      </c>
      <c r="W3418" s="1" t="str">
        <f>HYPERLINK("http://ictvonline.org/taxonomy/p/taxonomy-history?taxnode_id=201902781","ICTVonline=201902781")</f>
        <v>ICTVonline=201902781</v>
      </c>
    </row>
    <row r="3419" spans="1:23">
      <c r="A3419" s="3">
        <v>3418</v>
      </c>
      <c r="B3419" s="1" t="s">
        <v>5910</v>
      </c>
      <c r="D3419" s="1" t="s">
        <v>8187</v>
      </c>
      <c r="F3419" s="1" t="s">
        <v>8208</v>
      </c>
      <c r="H3419" s="1" t="s">
        <v>8209</v>
      </c>
      <c r="J3419" s="1" t="s">
        <v>8211</v>
      </c>
      <c r="L3419" s="1" t="s">
        <v>1776</v>
      </c>
      <c r="N3419" s="1" t="s">
        <v>1785</v>
      </c>
      <c r="P3419" s="1" t="s">
        <v>1790</v>
      </c>
      <c r="Q3419" s="3">
        <v>0</v>
      </c>
      <c r="R3419" s="22" t="s">
        <v>2723</v>
      </c>
      <c r="T3419" s="3" t="s">
        <v>4868</v>
      </c>
      <c r="U3419" s="45">
        <v>35</v>
      </c>
      <c r="V3419" t="s">
        <v>8191</v>
      </c>
      <c r="W3419" s="1" t="str">
        <f>HYPERLINK("http://ictvonline.org/taxonomy/p/taxonomy-history?taxnode_id=201902782","ICTVonline=201902782")</f>
        <v>ICTVonline=201902782</v>
      </c>
    </row>
    <row r="3420" spans="1:23">
      <c r="A3420" s="3">
        <v>3419</v>
      </c>
      <c r="B3420" s="1" t="s">
        <v>5910</v>
      </c>
      <c r="D3420" s="1" t="s">
        <v>8187</v>
      </c>
      <c r="F3420" s="1" t="s">
        <v>8208</v>
      </c>
      <c r="H3420" s="1" t="s">
        <v>8209</v>
      </c>
      <c r="J3420" s="1" t="s">
        <v>8211</v>
      </c>
      <c r="L3420" s="1" t="s">
        <v>1776</v>
      </c>
      <c r="N3420" s="1" t="s">
        <v>1785</v>
      </c>
      <c r="P3420" s="1" t="s">
        <v>759</v>
      </c>
      <c r="Q3420" s="3">
        <v>0</v>
      </c>
      <c r="R3420" s="22" t="s">
        <v>2723</v>
      </c>
      <c r="T3420" s="3" t="s">
        <v>4868</v>
      </c>
      <c r="U3420" s="45">
        <v>35</v>
      </c>
      <c r="V3420" t="s">
        <v>8191</v>
      </c>
      <c r="W3420" s="1" t="str">
        <f>HYPERLINK("http://ictvonline.org/taxonomy/p/taxonomy-history?taxnode_id=201902783","ICTVonline=201902783")</f>
        <v>ICTVonline=201902783</v>
      </c>
    </row>
    <row r="3421" spans="1:23">
      <c r="A3421" s="3">
        <v>3420</v>
      </c>
      <c r="B3421" s="1" t="s">
        <v>5910</v>
      </c>
      <c r="D3421" s="1" t="s">
        <v>8187</v>
      </c>
      <c r="F3421" s="1" t="s">
        <v>8208</v>
      </c>
      <c r="H3421" s="1" t="s">
        <v>8209</v>
      </c>
      <c r="J3421" s="1" t="s">
        <v>8211</v>
      </c>
      <c r="L3421" s="1" t="s">
        <v>1776</v>
      </c>
      <c r="N3421" s="1" t="s">
        <v>1785</v>
      </c>
      <c r="P3421" s="1" t="s">
        <v>760</v>
      </c>
      <c r="Q3421" s="3">
        <v>0</v>
      </c>
      <c r="R3421" s="22" t="s">
        <v>2723</v>
      </c>
      <c r="T3421" s="3" t="s">
        <v>4868</v>
      </c>
      <c r="U3421" s="45">
        <v>35</v>
      </c>
      <c r="V3421" t="s">
        <v>8191</v>
      </c>
      <c r="W3421" s="1" t="str">
        <f>HYPERLINK("http://ictvonline.org/taxonomy/p/taxonomy-history?taxnode_id=201902784","ICTVonline=201902784")</f>
        <v>ICTVonline=201902784</v>
      </c>
    </row>
    <row r="3422" spans="1:23">
      <c r="A3422" s="3">
        <v>3421</v>
      </c>
      <c r="B3422" s="1" t="s">
        <v>5910</v>
      </c>
      <c r="D3422" s="1" t="s">
        <v>8187</v>
      </c>
      <c r="F3422" s="1" t="s">
        <v>8208</v>
      </c>
      <c r="H3422" s="1" t="s">
        <v>8209</v>
      </c>
      <c r="J3422" s="1" t="s">
        <v>8211</v>
      </c>
      <c r="L3422" s="1" t="s">
        <v>1776</v>
      </c>
      <c r="N3422" s="1" t="s">
        <v>1785</v>
      </c>
      <c r="P3422" s="1" t="s">
        <v>761</v>
      </c>
      <c r="Q3422" s="3">
        <v>0</v>
      </c>
      <c r="R3422" s="22" t="s">
        <v>2723</v>
      </c>
      <c r="T3422" s="3" t="s">
        <v>4868</v>
      </c>
      <c r="U3422" s="45">
        <v>35</v>
      </c>
      <c r="V3422" t="s">
        <v>8191</v>
      </c>
      <c r="W3422" s="1" t="str">
        <f>HYPERLINK("http://ictvonline.org/taxonomy/p/taxonomy-history?taxnode_id=201902785","ICTVonline=201902785")</f>
        <v>ICTVonline=201902785</v>
      </c>
    </row>
    <row r="3423" spans="1:23">
      <c r="A3423" s="3">
        <v>3422</v>
      </c>
      <c r="B3423" s="1" t="s">
        <v>5910</v>
      </c>
      <c r="D3423" s="1" t="s">
        <v>8187</v>
      </c>
      <c r="F3423" s="1" t="s">
        <v>8208</v>
      </c>
      <c r="H3423" s="1" t="s">
        <v>8209</v>
      </c>
      <c r="J3423" s="1" t="s">
        <v>8211</v>
      </c>
      <c r="L3423" s="1" t="s">
        <v>1776</v>
      </c>
      <c r="N3423" s="1" t="s">
        <v>1785</v>
      </c>
      <c r="P3423" s="1" t="s">
        <v>762</v>
      </c>
      <c r="Q3423" s="3">
        <v>0</v>
      </c>
      <c r="R3423" s="22" t="s">
        <v>2723</v>
      </c>
      <c r="T3423" s="3" t="s">
        <v>4868</v>
      </c>
      <c r="U3423" s="45">
        <v>35</v>
      </c>
      <c r="V3423" t="s">
        <v>8191</v>
      </c>
      <c r="W3423" s="1" t="str">
        <f>HYPERLINK("http://ictvonline.org/taxonomy/p/taxonomy-history?taxnode_id=201902786","ICTVonline=201902786")</f>
        <v>ICTVonline=201902786</v>
      </c>
    </row>
    <row r="3424" spans="1:23">
      <c r="A3424" s="3">
        <v>3423</v>
      </c>
      <c r="B3424" s="1" t="s">
        <v>5910</v>
      </c>
      <c r="D3424" s="1" t="s">
        <v>8187</v>
      </c>
      <c r="F3424" s="1" t="s">
        <v>8208</v>
      </c>
      <c r="H3424" s="1" t="s">
        <v>8209</v>
      </c>
      <c r="J3424" s="1" t="s">
        <v>8211</v>
      </c>
      <c r="L3424" s="1" t="s">
        <v>1776</v>
      </c>
      <c r="N3424" s="1" t="s">
        <v>1785</v>
      </c>
      <c r="P3424" s="1" t="s">
        <v>71</v>
      </c>
      <c r="Q3424" s="3">
        <v>0</v>
      </c>
      <c r="R3424" s="22" t="s">
        <v>2723</v>
      </c>
      <c r="T3424" s="3" t="s">
        <v>4868</v>
      </c>
      <c r="U3424" s="45">
        <v>35</v>
      </c>
      <c r="V3424" t="s">
        <v>8191</v>
      </c>
      <c r="W3424" s="1" t="str">
        <f>HYPERLINK("http://ictvonline.org/taxonomy/p/taxonomy-history?taxnode_id=201902787","ICTVonline=201902787")</f>
        <v>ICTVonline=201902787</v>
      </c>
    </row>
    <row r="3425" spans="1:23">
      <c r="A3425" s="3">
        <v>3424</v>
      </c>
      <c r="B3425" s="1" t="s">
        <v>5910</v>
      </c>
      <c r="D3425" s="1" t="s">
        <v>8187</v>
      </c>
      <c r="F3425" s="1" t="s">
        <v>8208</v>
      </c>
      <c r="H3425" s="1" t="s">
        <v>8209</v>
      </c>
      <c r="J3425" s="1" t="s">
        <v>8211</v>
      </c>
      <c r="L3425" s="1" t="s">
        <v>1776</v>
      </c>
      <c r="N3425" s="1" t="s">
        <v>1785</v>
      </c>
      <c r="P3425" s="1" t="s">
        <v>763</v>
      </c>
      <c r="Q3425" s="3">
        <v>0</v>
      </c>
      <c r="R3425" s="22" t="s">
        <v>2723</v>
      </c>
      <c r="T3425" s="3" t="s">
        <v>4868</v>
      </c>
      <c r="U3425" s="45">
        <v>35</v>
      </c>
      <c r="V3425" t="s">
        <v>8191</v>
      </c>
      <c r="W3425" s="1" t="str">
        <f>HYPERLINK("http://ictvonline.org/taxonomy/p/taxonomy-history?taxnode_id=201902788","ICTVonline=201902788")</f>
        <v>ICTVonline=201902788</v>
      </c>
    </row>
    <row r="3426" spans="1:23">
      <c r="A3426" s="3">
        <v>3425</v>
      </c>
      <c r="B3426" s="1" t="s">
        <v>5910</v>
      </c>
      <c r="D3426" s="1" t="s">
        <v>8187</v>
      </c>
      <c r="F3426" s="1" t="s">
        <v>8208</v>
      </c>
      <c r="H3426" s="1" t="s">
        <v>8209</v>
      </c>
      <c r="J3426" s="1" t="s">
        <v>8211</v>
      </c>
      <c r="L3426" s="1" t="s">
        <v>1776</v>
      </c>
      <c r="N3426" s="1" t="s">
        <v>1785</v>
      </c>
      <c r="P3426" s="1" t="s">
        <v>223</v>
      </c>
      <c r="Q3426" s="3">
        <v>0</v>
      </c>
      <c r="R3426" s="22" t="s">
        <v>2723</v>
      </c>
      <c r="T3426" s="3" t="s">
        <v>4868</v>
      </c>
      <c r="U3426" s="45">
        <v>35</v>
      </c>
      <c r="V3426" t="s">
        <v>8191</v>
      </c>
      <c r="W3426" s="1" t="str">
        <f>HYPERLINK("http://ictvonline.org/taxonomy/p/taxonomy-history?taxnode_id=201902789","ICTVonline=201902789")</f>
        <v>ICTVonline=201902789</v>
      </c>
    </row>
    <row r="3427" spans="1:23">
      <c r="A3427" s="3">
        <v>3426</v>
      </c>
      <c r="B3427" s="1" t="s">
        <v>5910</v>
      </c>
      <c r="D3427" s="1" t="s">
        <v>8187</v>
      </c>
      <c r="F3427" s="1" t="s">
        <v>8208</v>
      </c>
      <c r="H3427" s="1" t="s">
        <v>8209</v>
      </c>
      <c r="J3427" s="1" t="s">
        <v>8211</v>
      </c>
      <c r="L3427" s="1" t="s">
        <v>1776</v>
      </c>
      <c r="N3427" s="1" t="s">
        <v>1785</v>
      </c>
      <c r="P3427" s="1" t="s">
        <v>5307</v>
      </c>
      <c r="Q3427" s="3">
        <v>0</v>
      </c>
      <c r="R3427" s="22" t="s">
        <v>2723</v>
      </c>
      <c r="T3427" s="3" t="s">
        <v>4868</v>
      </c>
      <c r="U3427" s="45">
        <v>35</v>
      </c>
      <c r="V3427" t="s">
        <v>8191</v>
      </c>
      <c r="W3427" s="1" t="str">
        <f>HYPERLINK("http://ictvonline.org/taxonomy/p/taxonomy-history?taxnode_id=201905759","ICTVonline=201905759")</f>
        <v>ICTVonline=201905759</v>
      </c>
    </row>
    <row r="3428" spans="1:23">
      <c r="A3428" s="3">
        <v>3427</v>
      </c>
      <c r="B3428" s="1" t="s">
        <v>5910</v>
      </c>
      <c r="D3428" s="1" t="s">
        <v>8187</v>
      </c>
      <c r="F3428" s="1" t="s">
        <v>8208</v>
      </c>
      <c r="H3428" s="1" t="s">
        <v>8209</v>
      </c>
      <c r="J3428" s="1" t="s">
        <v>8211</v>
      </c>
      <c r="L3428" s="1" t="s">
        <v>1776</v>
      </c>
      <c r="N3428" s="1" t="s">
        <v>1785</v>
      </c>
      <c r="P3428" s="1" t="s">
        <v>224</v>
      </c>
      <c r="Q3428" s="3">
        <v>0</v>
      </c>
      <c r="R3428" s="22" t="s">
        <v>2723</v>
      </c>
      <c r="T3428" s="3" t="s">
        <v>4868</v>
      </c>
      <c r="U3428" s="45">
        <v>35</v>
      </c>
      <c r="V3428" t="s">
        <v>8191</v>
      </c>
      <c r="W3428" s="1" t="str">
        <f>HYPERLINK("http://ictvonline.org/taxonomy/p/taxonomy-history?taxnode_id=201902790","ICTVonline=201902790")</f>
        <v>ICTVonline=201902790</v>
      </c>
    </row>
    <row r="3429" spans="1:23">
      <c r="A3429" s="3">
        <v>3428</v>
      </c>
      <c r="B3429" s="1" t="s">
        <v>5910</v>
      </c>
      <c r="D3429" s="1" t="s">
        <v>8187</v>
      </c>
      <c r="F3429" s="1" t="s">
        <v>8208</v>
      </c>
      <c r="H3429" s="1" t="s">
        <v>8209</v>
      </c>
      <c r="J3429" s="1" t="s">
        <v>8211</v>
      </c>
      <c r="L3429" s="1" t="s">
        <v>1776</v>
      </c>
      <c r="N3429" s="1" t="s">
        <v>1785</v>
      </c>
      <c r="P3429" s="1" t="s">
        <v>225</v>
      </c>
      <c r="Q3429" s="3">
        <v>0</v>
      </c>
      <c r="R3429" s="22" t="s">
        <v>2723</v>
      </c>
      <c r="T3429" s="3" t="s">
        <v>4868</v>
      </c>
      <c r="U3429" s="45">
        <v>35</v>
      </c>
      <c r="V3429" t="s">
        <v>8191</v>
      </c>
      <c r="W3429" s="1" t="str">
        <f>HYPERLINK("http://ictvonline.org/taxonomy/p/taxonomy-history?taxnode_id=201902791","ICTVonline=201902791")</f>
        <v>ICTVonline=201902791</v>
      </c>
    </row>
    <row r="3430" spans="1:23">
      <c r="A3430" s="3">
        <v>3429</v>
      </c>
      <c r="B3430" s="1" t="s">
        <v>5910</v>
      </c>
      <c r="D3430" s="1" t="s">
        <v>8187</v>
      </c>
      <c r="F3430" s="1" t="s">
        <v>8208</v>
      </c>
      <c r="H3430" s="1" t="s">
        <v>8209</v>
      </c>
      <c r="J3430" s="1" t="s">
        <v>8211</v>
      </c>
      <c r="L3430" s="1" t="s">
        <v>1776</v>
      </c>
      <c r="N3430" s="1" t="s">
        <v>1785</v>
      </c>
      <c r="P3430" s="1" t="s">
        <v>1212</v>
      </c>
      <c r="Q3430" s="3">
        <v>0</v>
      </c>
      <c r="R3430" s="22" t="s">
        <v>2723</v>
      </c>
      <c r="T3430" s="3" t="s">
        <v>4868</v>
      </c>
      <c r="U3430" s="45">
        <v>35</v>
      </c>
      <c r="V3430" t="s">
        <v>8191</v>
      </c>
      <c r="W3430" s="1" t="str">
        <f>HYPERLINK("http://ictvonline.org/taxonomy/p/taxonomy-history?taxnode_id=201902792","ICTVonline=201902792")</f>
        <v>ICTVonline=201902792</v>
      </c>
    </row>
    <row r="3431" spans="1:23">
      <c r="A3431" s="3">
        <v>3430</v>
      </c>
      <c r="B3431" s="1" t="s">
        <v>5910</v>
      </c>
      <c r="D3431" s="1" t="s">
        <v>8187</v>
      </c>
      <c r="F3431" s="1" t="s">
        <v>8208</v>
      </c>
      <c r="H3431" s="1" t="s">
        <v>8209</v>
      </c>
      <c r="J3431" s="1" t="s">
        <v>8211</v>
      </c>
      <c r="L3431" s="1" t="s">
        <v>1776</v>
      </c>
      <c r="N3431" s="1" t="s">
        <v>1785</v>
      </c>
      <c r="P3431" s="1" t="s">
        <v>72</v>
      </c>
      <c r="Q3431" s="3">
        <v>0</v>
      </c>
      <c r="R3431" s="22" t="s">
        <v>2723</v>
      </c>
      <c r="T3431" s="3" t="s">
        <v>4868</v>
      </c>
      <c r="U3431" s="45">
        <v>35</v>
      </c>
      <c r="V3431" t="s">
        <v>8191</v>
      </c>
      <c r="W3431" s="1" t="str">
        <f>HYPERLINK("http://ictvonline.org/taxonomy/p/taxonomy-history?taxnode_id=201902793","ICTVonline=201902793")</f>
        <v>ICTVonline=201902793</v>
      </c>
    </row>
    <row r="3432" spans="1:23">
      <c r="A3432" s="3">
        <v>3431</v>
      </c>
      <c r="B3432" s="1" t="s">
        <v>5910</v>
      </c>
      <c r="D3432" s="1" t="s">
        <v>8187</v>
      </c>
      <c r="F3432" s="1" t="s">
        <v>8208</v>
      </c>
      <c r="H3432" s="1" t="s">
        <v>8209</v>
      </c>
      <c r="J3432" s="1" t="s">
        <v>8211</v>
      </c>
      <c r="L3432" s="1" t="s">
        <v>1776</v>
      </c>
      <c r="N3432" s="1" t="s">
        <v>1785</v>
      </c>
      <c r="P3432" s="1" t="s">
        <v>1949</v>
      </c>
      <c r="Q3432" s="3">
        <v>1</v>
      </c>
      <c r="R3432" s="22" t="s">
        <v>2723</v>
      </c>
      <c r="T3432" s="3" t="s">
        <v>4868</v>
      </c>
      <c r="U3432" s="45">
        <v>35</v>
      </c>
      <c r="V3432" t="s">
        <v>8191</v>
      </c>
      <c r="W3432" s="1" t="str">
        <f>HYPERLINK("http://ictvonline.org/taxonomy/p/taxonomy-history?taxnode_id=201902794","ICTVonline=201902794")</f>
        <v>ICTVonline=201902794</v>
      </c>
    </row>
    <row r="3433" spans="1:23">
      <c r="A3433" s="3">
        <v>3432</v>
      </c>
      <c r="B3433" s="1" t="s">
        <v>5910</v>
      </c>
      <c r="D3433" s="1" t="s">
        <v>8187</v>
      </c>
      <c r="F3433" s="1" t="s">
        <v>8208</v>
      </c>
      <c r="H3433" s="1" t="s">
        <v>8209</v>
      </c>
      <c r="J3433" s="1" t="s">
        <v>8211</v>
      </c>
      <c r="L3433" s="1" t="s">
        <v>1776</v>
      </c>
      <c r="N3433" s="1" t="s">
        <v>1785</v>
      </c>
      <c r="P3433" s="1" t="s">
        <v>5308</v>
      </c>
      <c r="Q3433" s="3">
        <v>0</v>
      </c>
      <c r="R3433" s="22" t="s">
        <v>2723</v>
      </c>
      <c r="T3433" s="3" t="s">
        <v>4868</v>
      </c>
      <c r="U3433" s="45">
        <v>35</v>
      </c>
      <c r="V3433" t="s">
        <v>8191</v>
      </c>
      <c r="W3433" s="1" t="str">
        <f>HYPERLINK("http://ictvonline.org/taxonomy/p/taxonomy-history?taxnode_id=201905760","ICTVonline=201905760")</f>
        <v>ICTVonline=201905760</v>
      </c>
    </row>
    <row r="3434" spans="1:23">
      <c r="A3434" s="3">
        <v>3433</v>
      </c>
      <c r="B3434" s="1" t="s">
        <v>5910</v>
      </c>
      <c r="D3434" s="1" t="s">
        <v>8187</v>
      </c>
      <c r="F3434" s="1" t="s">
        <v>8208</v>
      </c>
      <c r="H3434" s="1" t="s">
        <v>8209</v>
      </c>
      <c r="J3434" s="1" t="s">
        <v>8211</v>
      </c>
      <c r="L3434" s="1" t="s">
        <v>1776</v>
      </c>
      <c r="N3434" s="1" t="s">
        <v>1785</v>
      </c>
      <c r="P3434" s="1" t="s">
        <v>1950</v>
      </c>
      <c r="Q3434" s="3">
        <v>0</v>
      </c>
      <c r="R3434" s="22" t="s">
        <v>2723</v>
      </c>
      <c r="T3434" s="3" t="s">
        <v>4868</v>
      </c>
      <c r="U3434" s="45">
        <v>35</v>
      </c>
      <c r="V3434" t="s">
        <v>8191</v>
      </c>
      <c r="W3434" s="1" t="str">
        <f>HYPERLINK("http://ictvonline.org/taxonomy/p/taxonomy-history?taxnode_id=201902795","ICTVonline=201902795")</f>
        <v>ICTVonline=201902795</v>
      </c>
    </row>
    <row r="3435" spans="1:23">
      <c r="A3435" s="3">
        <v>3434</v>
      </c>
      <c r="B3435" s="1" t="s">
        <v>5910</v>
      </c>
      <c r="D3435" s="1" t="s">
        <v>8187</v>
      </c>
      <c r="F3435" s="1" t="s">
        <v>8208</v>
      </c>
      <c r="H3435" s="1" t="s">
        <v>8209</v>
      </c>
      <c r="J3435" s="1" t="s">
        <v>8211</v>
      </c>
      <c r="L3435" s="1" t="s">
        <v>1776</v>
      </c>
      <c r="N3435" s="1" t="s">
        <v>1951</v>
      </c>
      <c r="P3435" s="1" t="s">
        <v>1952</v>
      </c>
      <c r="Q3435" s="3">
        <v>1</v>
      </c>
      <c r="R3435" s="22" t="s">
        <v>2723</v>
      </c>
      <c r="T3435" s="3" t="s">
        <v>4868</v>
      </c>
      <c r="U3435" s="45">
        <v>35</v>
      </c>
      <c r="V3435" t="s">
        <v>8191</v>
      </c>
      <c r="W3435" s="1" t="str">
        <f>HYPERLINK("http://ictvonline.org/taxonomy/p/taxonomy-history?taxnode_id=201902797","ICTVonline=201902797")</f>
        <v>ICTVonline=201902797</v>
      </c>
    </row>
    <row r="3436" spans="1:23">
      <c r="A3436" s="3">
        <v>3435</v>
      </c>
      <c r="B3436" s="1" t="s">
        <v>5910</v>
      </c>
      <c r="D3436" s="1" t="s">
        <v>8187</v>
      </c>
      <c r="F3436" s="1" t="s">
        <v>8208</v>
      </c>
      <c r="H3436" s="1" t="s">
        <v>8209</v>
      </c>
      <c r="J3436" s="1" t="s">
        <v>8211</v>
      </c>
      <c r="L3436" s="1" t="s">
        <v>1947</v>
      </c>
      <c r="N3436" s="1" t="s">
        <v>1948</v>
      </c>
      <c r="P3436" s="1" t="s">
        <v>6181</v>
      </c>
      <c r="Q3436" s="3">
        <v>0</v>
      </c>
      <c r="R3436" s="22" t="s">
        <v>2723</v>
      </c>
      <c r="T3436" s="3" t="s">
        <v>4868</v>
      </c>
      <c r="U3436" s="45">
        <v>35</v>
      </c>
      <c r="V3436" t="s">
        <v>8191</v>
      </c>
      <c r="W3436" s="1" t="str">
        <f>HYPERLINK("http://ictvonline.org/taxonomy/p/taxonomy-history?taxnode_id=201906656","ICTVonline=201906656")</f>
        <v>ICTVonline=201906656</v>
      </c>
    </row>
    <row r="3437" spans="1:23">
      <c r="A3437" s="3">
        <v>3436</v>
      </c>
      <c r="B3437" s="1" t="s">
        <v>5910</v>
      </c>
      <c r="D3437" s="1" t="s">
        <v>8187</v>
      </c>
      <c r="F3437" s="1" t="s">
        <v>8208</v>
      </c>
      <c r="H3437" s="1" t="s">
        <v>8209</v>
      </c>
      <c r="J3437" s="1" t="s">
        <v>8211</v>
      </c>
      <c r="L3437" s="1" t="s">
        <v>1947</v>
      </c>
      <c r="N3437" s="1" t="s">
        <v>1948</v>
      </c>
      <c r="P3437" s="1" t="s">
        <v>3714</v>
      </c>
      <c r="Q3437" s="3">
        <v>0</v>
      </c>
      <c r="R3437" s="22" t="s">
        <v>2723</v>
      </c>
      <c r="T3437" s="3" t="s">
        <v>4868</v>
      </c>
      <c r="U3437" s="45">
        <v>35</v>
      </c>
      <c r="V3437" t="s">
        <v>8191</v>
      </c>
      <c r="W3437" s="1" t="str">
        <f>HYPERLINK("http://ictvonline.org/taxonomy/p/taxonomy-history?taxnode_id=201902981","ICTVonline=201902981")</f>
        <v>ICTVonline=201902981</v>
      </c>
    </row>
    <row r="3438" spans="1:23">
      <c r="A3438" s="3">
        <v>3437</v>
      </c>
      <c r="B3438" s="1" t="s">
        <v>5910</v>
      </c>
      <c r="D3438" s="1" t="s">
        <v>8187</v>
      </c>
      <c r="F3438" s="1" t="s">
        <v>8208</v>
      </c>
      <c r="H3438" s="1" t="s">
        <v>8209</v>
      </c>
      <c r="J3438" s="1" t="s">
        <v>8211</v>
      </c>
      <c r="L3438" s="1" t="s">
        <v>1947</v>
      </c>
      <c r="N3438" s="1" t="s">
        <v>1948</v>
      </c>
      <c r="P3438" s="1" t="s">
        <v>2043</v>
      </c>
      <c r="Q3438" s="3">
        <v>0</v>
      </c>
      <c r="R3438" s="22" t="s">
        <v>2723</v>
      </c>
      <c r="T3438" s="3" t="s">
        <v>4868</v>
      </c>
      <c r="U3438" s="45">
        <v>35</v>
      </c>
      <c r="V3438" t="s">
        <v>8191</v>
      </c>
      <c r="W3438" s="1" t="str">
        <f>HYPERLINK("http://ictvonline.org/taxonomy/p/taxonomy-history?taxnode_id=201902982","ICTVonline=201902982")</f>
        <v>ICTVonline=201902982</v>
      </c>
    </row>
    <row r="3439" spans="1:23">
      <c r="A3439" s="3">
        <v>3438</v>
      </c>
      <c r="B3439" s="1" t="s">
        <v>5910</v>
      </c>
      <c r="D3439" s="1" t="s">
        <v>8187</v>
      </c>
      <c r="F3439" s="1" t="s">
        <v>8208</v>
      </c>
      <c r="H3439" s="1" t="s">
        <v>8209</v>
      </c>
      <c r="J3439" s="1" t="s">
        <v>8211</v>
      </c>
      <c r="L3439" s="1" t="s">
        <v>1947</v>
      </c>
      <c r="N3439" s="1" t="s">
        <v>1948</v>
      </c>
      <c r="P3439" s="1" t="s">
        <v>2044</v>
      </c>
      <c r="Q3439" s="3">
        <v>1</v>
      </c>
      <c r="R3439" s="22" t="s">
        <v>2723</v>
      </c>
      <c r="T3439" s="3" t="s">
        <v>4868</v>
      </c>
      <c r="U3439" s="45">
        <v>35</v>
      </c>
      <c r="V3439" t="s">
        <v>8191</v>
      </c>
      <c r="W3439" s="1" t="str">
        <f>HYPERLINK("http://ictvonline.org/taxonomy/p/taxonomy-history?taxnode_id=201902983","ICTVonline=201902983")</f>
        <v>ICTVonline=201902983</v>
      </c>
    </row>
    <row r="3440" spans="1:23">
      <c r="A3440" s="3">
        <v>3439</v>
      </c>
      <c r="B3440" s="1" t="s">
        <v>5910</v>
      </c>
      <c r="D3440" s="1" t="s">
        <v>8187</v>
      </c>
      <c r="F3440" s="1" t="s">
        <v>8208</v>
      </c>
      <c r="H3440" s="1" t="s">
        <v>8209</v>
      </c>
      <c r="J3440" s="1" t="s">
        <v>8211</v>
      </c>
      <c r="L3440" s="1" t="s">
        <v>1947</v>
      </c>
      <c r="N3440" s="1" t="s">
        <v>1948</v>
      </c>
      <c r="P3440" s="1" t="s">
        <v>2214</v>
      </c>
      <c r="Q3440" s="3">
        <v>0</v>
      </c>
      <c r="R3440" s="22" t="s">
        <v>2723</v>
      </c>
      <c r="T3440" s="3" t="s">
        <v>4868</v>
      </c>
      <c r="U3440" s="45">
        <v>35</v>
      </c>
      <c r="V3440" t="s">
        <v>8191</v>
      </c>
      <c r="W3440" s="1" t="str">
        <f>HYPERLINK("http://ictvonline.org/taxonomy/p/taxonomy-history?taxnode_id=201902984","ICTVonline=201902984")</f>
        <v>ICTVonline=201902984</v>
      </c>
    </row>
    <row r="3441" spans="1:23">
      <c r="A3441" s="3">
        <v>3440</v>
      </c>
      <c r="B3441" s="1" t="s">
        <v>5910</v>
      </c>
      <c r="D3441" s="1" t="s">
        <v>8187</v>
      </c>
      <c r="F3441" s="1" t="s">
        <v>8208</v>
      </c>
      <c r="H3441" s="1" t="s">
        <v>8209</v>
      </c>
      <c r="J3441" s="1" t="s">
        <v>8211</v>
      </c>
      <c r="L3441" s="1" t="s">
        <v>1947</v>
      </c>
      <c r="N3441" s="1" t="s">
        <v>1948</v>
      </c>
      <c r="P3441" s="1" t="s">
        <v>5316</v>
      </c>
      <c r="Q3441" s="3">
        <v>0</v>
      </c>
      <c r="R3441" s="22" t="s">
        <v>2723</v>
      </c>
      <c r="T3441" s="3" t="s">
        <v>4868</v>
      </c>
      <c r="U3441" s="45">
        <v>35</v>
      </c>
      <c r="V3441" t="s">
        <v>8191</v>
      </c>
      <c r="W3441" s="1" t="str">
        <f>HYPERLINK("http://ictvonline.org/taxonomy/p/taxonomy-history?taxnode_id=201905771","ICTVonline=201905771")</f>
        <v>ICTVonline=201905771</v>
      </c>
    </row>
    <row r="3442" spans="1:23">
      <c r="A3442" s="3">
        <v>3441</v>
      </c>
      <c r="B3442" s="1" t="s">
        <v>5910</v>
      </c>
      <c r="D3442" s="1" t="s">
        <v>8187</v>
      </c>
      <c r="F3442" s="1" t="s">
        <v>8208</v>
      </c>
      <c r="H3442" s="1" t="s">
        <v>8209</v>
      </c>
      <c r="J3442" s="1" t="s">
        <v>8211</v>
      </c>
      <c r="L3442" s="1" t="s">
        <v>1947</v>
      </c>
      <c r="N3442" s="1" t="s">
        <v>1948</v>
      </c>
      <c r="P3442" s="1" t="s">
        <v>2045</v>
      </c>
      <c r="Q3442" s="3">
        <v>0</v>
      </c>
      <c r="R3442" s="22" t="s">
        <v>2723</v>
      </c>
      <c r="T3442" s="3" t="s">
        <v>4868</v>
      </c>
      <c r="U3442" s="45">
        <v>35</v>
      </c>
      <c r="V3442" t="s">
        <v>8191</v>
      </c>
      <c r="W3442" s="1" t="str">
        <f>HYPERLINK("http://ictvonline.org/taxonomy/p/taxonomy-history?taxnode_id=201902985","ICTVonline=201902985")</f>
        <v>ICTVonline=201902985</v>
      </c>
    </row>
    <row r="3443" spans="1:23">
      <c r="A3443" s="3">
        <v>3442</v>
      </c>
      <c r="B3443" s="1" t="s">
        <v>5910</v>
      </c>
      <c r="D3443" s="1" t="s">
        <v>8187</v>
      </c>
      <c r="F3443" s="1" t="s">
        <v>8208</v>
      </c>
      <c r="H3443" s="1" t="s">
        <v>8209</v>
      </c>
      <c r="J3443" s="1" t="s">
        <v>8211</v>
      </c>
      <c r="L3443" s="1" t="s">
        <v>1947</v>
      </c>
      <c r="N3443" s="1" t="s">
        <v>1948</v>
      </c>
      <c r="P3443" s="1" t="s">
        <v>2046</v>
      </c>
      <c r="Q3443" s="3">
        <v>0</v>
      </c>
      <c r="R3443" s="22" t="s">
        <v>2723</v>
      </c>
      <c r="T3443" s="3" t="s">
        <v>4868</v>
      </c>
      <c r="U3443" s="45">
        <v>35</v>
      </c>
      <c r="V3443" t="s">
        <v>8191</v>
      </c>
      <c r="W3443" s="1" t="str">
        <f>HYPERLINK("http://ictvonline.org/taxonomy/p/taxonomy-history?taxnode_id=201902986","ICTVonline=201902986")</f>
        <v>ICTVonline=201902986</v>
      </c>
    </row>
    <row r="3444" spans="1:23">
      <c r="A3444" s="3">
        <v>3443</v>
      </c>
      <c r="B3444" s="1" t="s">
        <v>5910</v>
      </c>
      <c r="D3444" s="1" t="s">
        <v>8187</v>
      </c>
      <c r="F3444" s="1" t="s">
        <v>8208</v>
      </c>
      <c r="H3444" s="1" t="s">
        <v>8209</v>
      </c>
      <c r="J3444" s="1" t="s">
        <v>8211</v>
      </c>
      <c r="L3444" s="1" t="s">
        <v>1947</v>
      </c>
      <c r="N3444" s="1" t="s">
        <v>1948</v>
      </c>
      <c r="P3444" s="1" t="s">
        <v>2047</v>
      </c>
      <c r="Q3444" s="3">
        <v>0</v>
      </c>
      <c r="R3444" s="22" t="s">
        <v>2723</v>
      </c>
      <c r="T3444" s="3" t="s">
        <v>4868</v>
      </c>
      <c r="U3444" s="45">
        <v>35</v>
      </c>
      <c r="V3444" t="s">
        <v>8191</v>
      </c>
      <c r="W3444" s="1" t="str">
        <f>HYPERLINK("http://ictvonline.org/taxonomy/p/taxonomy-history?taxnode_id=201902987","ICTVonline=201902987")</f>
        <v>ICTVonline=201902987</v>
      </c>
    </row>
    <row r="3445" spans="1:23">
      <c r="A3445" s="3">
        <v>3444</v>
      </c>
      <c r="B3445" s="1" t="s">
        <v>5910</v>
      </c>
      <c r="D3445" s="1" t="s">
        <v>8187</v>
      </c>
      <c r="F3445" s="1" t="s">
        <v>8208</v>
      </c>
      <c r="H3445" s="1" t="s">
        <v>8209</v>
      </c>
      <c r="J3445" s="1" t="s">
        <v>8211</v>
      </c>
      <c r="L3445" s="1" t="s">
        <v>1947</v>
      </c>
      <c r="N3445" s="1" t="s">
        <v>1948</v>
      </c>
      <c r="P3445" s="1" t="s">
        <v>1809</v>
      </c>
      <c r="Q3445" s="3">
        <v>0</v>
      </c>
      <c r="R3445" s="22" t="s">
        <v>2723</v>
      </c>
      <c r="T3445" s="3" t="s">
        <v>4868</v>
      </c>
      <c r="U3445" s="45">
        <v>35</v>
      </c>
      <c r="V3445" t="s">
        <v>8191</v>
      </c>
      <c r="W3445" s="1" t="str">
        <f>HYPERLINK("http://ictvonline.org/taxonomy/p/taxonomy-history?taxnode_id=201902988","ICTVonline=201902988")</f>
        <v>ICTVonline=201902988</v>
      </c>
    </row>
    <row r="3446" spans="1:23">
      <c r="A3446" s="3">
        <v>3445</v>
      </c>
      <c r="B3446" s="1" t="s">
        <v>5910</v>
      </c>
      <c r="D3446" s="1" t="s">
        <v>8187</v>
      </c>
      <c r="F3446" s="1" t="s">
        <v>8208</v>
      </c>
      <c r="H3446" s="1" t="s">
        <v>8209</v>
      </c>
      <c r="J3446" s="1" t="s">
        <v>8211</v>
      </c>
      <c r="L3446" s="1" t="s">
        <v>1947</v>
      </c>
      <c r="N3446" s="1" t="s">
        <v>1948</v>
      </c>
      <c r="P3446" s="1" t="s">
        <v>8212</v>
      </c>
      <c r="Q3446" s="3">
        <v>0</v>
      </c>
      <c r="R3446" s="22" t="s">
        <v>2723</v>
      </c>
      <c r="T3446" s="3" t="s">
        <v>4866</v>
      </c>
      <c r="U3446" s="45">
        <v>35</v>
      </c>
      <c r="V3446" t="s">
        <v>8213</v>
      </c>
      <c r="W3446" s="1" t="str">
        <f>HYPERLINK("http://ictvonline.org/taxonomy/p/taxonomy-history?taxnode_id=201907265","ICTVonline=201907265")</f>
        <v>ICTVonline=201907265</v>
      </c>
    </row>
    <row r="3447" spans="1:23">
      <c r="A3447" s="3">
        <v>3446</v>
      </c>
      <c r="B3447" s="1" t="s">
        <v>5910</v>
      </c>
      <c r="D3447" s="1" t="s">
        <v>8187</v>
      </c>
      <c r="F3447" s="1" t="s">
        <v>8208</v>
      </c>
      <c r="H3447" s="1" t="s">
        <v>8209</v>
      </c>
      <c r="J3447" s="1" t="s">
        <v>8211</v>
      </c>
      <c r="L3447" s="1" t="s">
        <v>1947</v>
      </c>
      <c r="N3447" s="1" t="s">
        <v>1948</v>
      </c>
      <c r="P3447" s="1" t="s">
        <v>2111</v>
      </c>
      <c r="Q3447" s="3">
        <v>0</v>
      </c>
      <c r="R3447" s="22" t="s">
        <v>2723</v>
      </c>
      <c r="T3447" s="3" t="s">
        <v>4868</v>
      </c>
      <c r="U3447" s="45">
        <v>35</v>
      </c>
      <c r="V3447" t="s">
        <v>8191</v>
      </c>
      <c r="W3447" s="1" t="str">
        <f>HYPERLINK("http://ictvonline.org/taxonomy/p/taxonomy-history?taxnode_id=201902989","ICTVonline=201902989")</f>
        <v>ICTVonline=201902989</v>
      </c>
    </row>
    <row r="3448" spans="1:23">
      <c r="A3448" s="3">
        <v>3447</v>
      </c>
      <c r="B3448" s="1" t="s">
        <v>5910</v>
      </c>
      <c r="D3448" s="1" t="s">
        <v>8187</v>
      </c>
      <c r="F3448" s="1" t="s">
        <v>8208</v>
      </c>
      <c r="H3448" s="1" t="s">
        <v>8209</v>
      </c>
      <c r="J3448" s="1" t="s">
        <v>8211</v>
      </c>
      <c r="L3448" s="1" t="s">
        <v>1947</v>
      </c>
      <c r="N3448" s="1" t="s">
        <v>2048</v>
      </c>
      <c r="P3448" s="1" t="s">
        <v>8214</v>
      </c>
      <c r="Q3448" s="3">
        <v>0</v>
      </c>
      <c r="R3448" s="22" t="s">
        <v>2723</v>
      </c>
      <c r="T3448" s="3" t="s">
        <v>4866</v>
      </c>
      <c r="U3448" s="45">
        <v>35</v>
      </c>
      <c r="V3448" t="s">
        <v>8213</v>
      </c>
      <c r="W3448" s="1" t="str">
        <f>HYPERLINK("http://ictvonline.org/taxonomy/p/taxonomy-history?taxnode_id=201907262","ICTVonline=201907262")</f>
        <v>ICTVonline=201907262</v>
      </c>
    </row>
    <row r="3449" spans="1:23">
      <c r="A3449" s="3">
        <v>3448</v>
      </c>
      <c r="B3449" s="1" t="s">
        <v>5910</v>
      </c>
      <c r="D3449" s="1" t="s">
        <v>8187</v>
      </c>
      <c r="F3449" s="1" t="s">
        <v>8208</v>
      </c>
      <c r="H3449" s="1" t="s">
        <v>8209</v>
      </c>
      <c r="J3449" s="1" t="s">
        <v>8211</v>
      </c>
      <c r="L3449" s="1" t="s">
        <v>1947</v>
      </c>
      <c r="N3449" s="1" t="s">
        <v>2048</v>
      </c>
      <c r="P3449" s="1" t="s">
        <v>2049</v>
      </c>
      <c r="Q3449" s="3">
        <v>0</v>
      </c>
      <c r="R3449" s="22" t="s">
        <v>2723</v>
      </c>
      <c r="T3449" s="3" t="s">
        <v>4868</v>
      </c>
      <c r="U3449" s="45">
        <v>35</v>
      </c>
      <c r="V3449" t="s">
        <v>8191</v>
      </c>
      <c r="W3449" s="1" t="str">
        <f>HYPERLINK("http://ictvonline.org/taxonomy/p/taxonomy-history?taxnode_id=201902991","ICTVonline=201902991")</f>
        <v>ICTVonline=201902991</v>
      </c>
    </row>
    <row r="3450" spans="1:23">
      <c r="A3450" s="3">
        <v>3449</v>
      </c>
      <c r="B3450" s="1" t="s">
        <v>5910</v>
      </c>
      <c r="D3450" s="1" t="s">
        <v>8187</v>
      </c>
      <c r="F3450" s="1" t="s">
        <v>8208</v>
      </c>
      <c r="H3450" s="1" t="s">
        <v>8209</v>
      </c>
      <c r="J3450" s="1" t="s">
        <v>8211</v>
      </c>
      <c r="L3450" s="1" t="s">
        <v>1947</v>
      </c>
      <c r="N3450" s="1" t="s">
        <v>2048</v>
      </c>
      <c r="P3450" s="1" t="s">
        <v>2050</v>
      </c>
      <c r="Q3450" s="3">
        <v>1</v>
      </c>
      <c r="R3450" s="22" t="s">
        <v>2723</v>
      </c>
      <c r="T3450" s="3" t="s">
        <v>4868</v>
      </c>
      <c r="U3450" s="45">
        <v>35</v>
      </c>
      <c r="V3450" t="s">
        <v>8191</v>
      </c>
      <c r="W3450" s="1" t="str">
        <f>HYPERLINK("http://ictvonline.org/taxonomy/p/taxonomy-history?taxnode_id=201902992","ICTVonline=201902992")</f>
        <v>ICTVonline=201902992</v>
      </c>
    </row>
    <row r="3451" spans="1:23">
      <c r="A3451" s="3">
        <v>3450</v>
      </c>
      <c r="B3451" s="1" t="s">
        <v>5910</v>
      </c>
      <c r="D3451" s="1" t="s">
        <v>8187</v>
      </c>
      <c r="F3451" s="1" t="s">
        <v>8208</v>
      </c>
      <c r="H3451" s="1" t="s">
        <v>8209</v>
      </c>
      <c r="J3451" s="1" t="s">
        <v>8211</v>
      </c>
      <c r="L3451" s="1" t="s">
        <v>1947</v>
      </c>
      <c r="N3451" s="1" t="s">
        <v>2048</v>
      </c>
      <c r="P3451" s="1" t="s">
        <v>8215</v>
      </c>
      <c r="Q3451" s="3">
        <v>0</v>
      </c>
      <c r="R3451" s="22" t="s">
        <v>2723</v>
      </c>
      <c r="T3451" s="3" t="s">
        <v>4866</v>
      </c>
      <c r="U3451" s="45">
        <v>35</v>
      </c>
      <c r="V3451" t="s">
        <v>8213</v>
      </c>
      <c r="W3451" s="1" t="str">
        <f>HYPERLINK("http://ictvonline.org/taxonomy/p/taxonomy-history?taxnode_id=201907264","ICTVonline=201907264")</f>
        <v>ICTVonline=201907264</v>
      </c>
    </row>
    <row r="3452" spans="1:23">
      <c r="A3452" s="3">
        <v>3451</v>
      </c>
      <c r="B3452" s="1" t="s">
        <v>5910</v>
      </c>
      <c r="D3452" s="1" t="s">
        <v>8187</v>
      </c>
      <c r="F3452" s="1" t="s">
        <v>8208</v>
      </c>
      <c r="H3452" s="1" t="s">
        <v>8209</v>
      </c>
      <c r="J3452" s="1" t="s">
        <v>8211</v>
      </c>
      <c r="L3452" s="1" t="s">
        <v>1947</v>
      </c>
      <c r="N3452" s="1" t="s">
        <v>2048</v>
      </c>
      <c r="P3452" s="1" t="s">
        <v>2051</v>
      </c>
      <c r="Q3452" s="3">
        <v>0</v>
      </c>
      <c r="R3452" s="22" t="s">
        <v>2723</v>
      </c>
      <c r="T3452" s="3" t="s">
        <v>4868</v>
      </c>
      <c r="U3452" s="45">
        <v>35</v>
      </c>
      <c r="V3452" t="s">
        <v>8191</v>
      </c>
      <c r="W3452" s="1" t="str">
        <f>HYPERLINK("http://ictvonline.org/taxonomy/p/taxonomy-history?taxnode_id=201902993","ICTVonline=201902993")</f>
        <v>ICTVonline=201902993</v>
      </c>
    </row>
    <row r="3453" spans="1:23">
      <c r="A3453" s="3">
        <v>3452</v>
      </c>
      <c r="B3453" s="1" t="s">
        <v>5910</v>
      </c>
      <c r="D3453" s="1" t="s">
        <v>8187</v>
      </c>
      <c r="F3453" s="1" t="s">
        <v>8208</v>
      </c>
      <c r="H3453" s="1" t="s">
        <v>8209</v>
      </c>
      <c r="J3453" s="1" t="s">
        <v>8211</v>
      </c>
      <c r="L3453" s="1" t="s">
        <v>1947</v>
      </c>
      <c r="N3453" s="1" t="s">
        <v>2048</v>
      </c>
      <c r="P3453" s="1" t="s">
        <v>2052</v>
      </c>
      <c r="Q3453" s="3">
        <v>0</v>
      </c>
      <c r="R3453" s="22" t="s">
        <v>2723</v>
      </c>
      <c r="T3453" s="3" t="s">
        <v>4868</v>
      </c>
      <c r="U3453" s="45">
        <v>35</v>
      </c>
      <c r="V3453" t="s">
        <v>8191</v>
      </c>
      <c r="W3453" s="1" t="str">
        <f>HYPERLINK("http://ictvonline.org/taxonomy/p/taxonomy-history?taxnode_id=201902994","ICTVonline=201902994")</f>
        <v>ICTVonline=201902994</v>
      </c>
    </row>
    <row r="3454" spans="1:23">
      <c r="A3454" s="3">
        <v>3453</v>
      </c>
      <c r="B3454" s="1" t="s">
        <v>5910</v>
      </c>
      <c r="D3454" s="1" t="s">
        <v>8187</v>
      </c>
      <c r="F3454" s="1" t="s">
        <v>8208</v>
      </c>
      <c r="H3454" s="1" t="s">
        <v>8209</v>
      </c>
      <c r="J3454" s="1" t="s">
        <v>8211</v>
      </c>
      <c r="L3454" s="1" t="s">
        <v>1947</v>
      </c>
      <c r="N3454" s="1" t="s">
        <v>2048</v>
      </c>
      <c r="P3454" s="1" t="s">
        <v>2053</v>
      </c>
      <c r="Q3454" s="3">
        <v>0</v>
      </c>
      <c r="R3454" s="22" t="s">
        <v>2723</v>
      </c>
      <c r="T3454" s="3" t="s">
        <v>4868</v>
      </c>
      <c r="U3454" s="45">
        <v>35</v>
      </c>
      <c r="V3454" t="s">
        <v>8191</v>
      </c>
      <c r="W3454" s="1" t="str">
        <f>HYPERLINK("http://ictvonline.org/taxonomy/p/taxonomy-history?taxnode_id=201902995","ICTVonline=201902995")</f>
        <v>ICTVonline=201902995</v>
      </c>
    </row>
    <row r="3455" spans="1:23">
      <c r="A3455" s="3">
        <v>3454</v>
      </c>
      <c r="B3455" s="1" t="s">
        <v>5910</v>
      </c>
      <c r="D3455" s="1" t="s">
        <v>8187</v>
      </c>
      <c r="F3455" s="1" t="s">
        <v>8208</v>
      </c>
      <c r="H3455" s="1" t="s">
        <v>8209</v>
      </c>
      <c r="J3455" s="1" t="s">
        <v>8211</v>
      </c>
      <c r="L3455" s="1" t="s">
        <v>1947</v>
      </c>
      <c r="N3455" s="1" t="s">
        <v>2048</v>
      </c>
      <c r="P3455" s="1" t="s">
        <v>2054</v>
      </c>
      <c r="Q3455" s="3">
        <v>0</v>
      </c>
      <c r="R3455" s="22" t="s">
        <v>2723</v>
      </c>
      <c r="T3455" s="3" t="s">
        <v>4868</v>
      </c>
      <c r="U3455" s="45">
        <v>35</v>
      </c>
      <c r="V3455" t="s">
        <v>8191</v>
      </c>
      <c r="W3455" s="1" t="str">
        <f>HYPERLINK("http://ictvonline.org/taxonomy/p/taxonomy-history?taxnode_id=201902996","ICTVonline=201902996")</f>
        <v>ICTVonline=201902996</v>
      </c>
    </row>
    <row r="3456" spans="1:23">
      <c r="A3456" s="3">
        <v>3455</v>
      </c>
      <c r="B3456" s="1" t="s">
        <v>5910</v>
      </c>
      <c r="D3456" s="1" t="s">
        <v>8187</v>
      </c>
      <c r="F3456" s="1" t="s">
        <v>8208</v>
      </c>
      <c r="H3456" s="1" t="s">
        <v>8209</v>
      </c>
      <c r="J3456" s="1" t="s">
        <v>8211</v>
      </c>
      <c r="L3456" s="1" t="s">
        <v>1947</v>
      </c>
      <c r="N3456" s="1" t="s">
        <v>2048</v>
      </c>
      <c r="P3456" s="1" t="s">
        <v>2055</v>
      </c>
      <c r="Q3456" s="3">
        <v>0</v>
      </c>
      <c r="R3456" s="22" t="s">
        <v>2723</v>
      </c>
      <c r="T3456" s="3" t="s">
        <v>4868</v>
      </c>
      <c r="U3456" s="45">
        <v>35</v>
      </c>
      <c r="V3456" t="s">
        <v>8191</v>
      </c>
      <c r="W3456" s="1" t="str">
        <f>HYPERLINK("http://ictvonline.org/taxonomy/p/taxonomy-history?taxnode_id=201902997","ICTVonline=201902997")</f>
        <v>ICTVonline=201902997</v>
      </c>
    </row>
    <row r="3457" spans="1:23">
      <c r="A3457" s="3">
        <v>3456</v>
      </c>
      <c r="B3457" s="1" t="s">
        <v>5910</v>
      </c>
      <c r="D3457" s="1" t="s">
        <v>8187</v>
      </c>
      <c r="F3457" s="1" t="s">
        <v>8208</v>
      </c>
      <c r="H3457" s="1" t="s">
        <v>8209</v>
      </c>
      <c r="J3457" s="1" t="s">
        <v>8211</v>
      </c>
      <c r="L3457" s="1" t="s">
        <v>1947</v>
      </c>
      <c r="N3457" s="1" t="s">
        <v>2048</v>
      </c>
      <c r="P3457" s="1" t="s">
        <v>2056</v>
      </c>
      <c r="Q3457" s="3">
        <v>0</v>
      </c>
      <c r="R3457" s="22" t="s">
        <v>2723</v>
      </c>
      <c r="T3457" s="3" t="s">
        <v>4868</v>
      </c>
      <c r="U3457" s="45">
        <v>35</v>
      </c>
      <c r="V3457" t="s">
        <v>8191</v>
      </c>
      <c r="W3457" s="1" t="str">
        <f>HYPERLINK("http://ictvonline.org/taxonomy/p/taxonomy-history?taxnode_id=201902998","ICTVonline=201902998")</f>
        <v>ICTVonline=201902998</v>
      </c>
    </row>
    <row r="3458" spans="1:23">
      <c r="A3458" s="3">
        <v>3457</v>
      </c>
      <c r="B3458" s="1" t="s">
        <v>5910</v>
      </c>
      <c r="D3458" s="1" t="s">
        <v>8187</v>
      </c>
      <c r="F3458" s="1" t="s">
        <v>8208</v>
      </c>
      <c r="H3458" s="1" t="s">
        <v>8209</v>
      </c>
      <c r="J3458" s="1" t="s">
        <v>8211</v>
      </c>
      <c r="L3458" s="1" t="s">
        <v>1947</v>
      </c>
      <c r="N3458" s="1" t="s">
        <v>2048</v>
      </c>
      <c r="P3458" s="1" t="s">
        <v>92</v>
      </c>
      <c r="Q3458" s="3">
        <v>0</v>
      </c>
      <c r="R3458" s="22" t="s">
        <v>2723</v>
      </c>
      <c r="T3458" s="3" t="s">
        <v>4868</v>
      </c>
      <c r="U3458" s="45">
        <v>35</v>
      </c>
      <c r="V3458" t="s">
        <v>8191</v>
      </c>
      <c r="W3458" s="1" t="str">
        <f>HYPERLINK("http://ictvonline.org/taxonomy/p/taxonomy-history?taxnode_id=201902999","ICTVonline=201902999")</f>
        <v>ICTVonline=201902999</v>
      </c>
    </row>
    <row r="3459" spans="1:23">
      <c r="A3459" s="3">
        <v>3458</v>
      </c>
      <c r="B3459" s="1" t="s">
        <v>5910</v>
      </c>
      <c r="D3459" s="1" t="s">
        <v>8187</v>
      </c>
      <c r="F3459" s="1" t="s">
        <v>8208</v>
      </c>
      <c r="H3459" s="1" t="s">
        <v>8209</v>
      </c>
      <c r="J3459" s="1" t="s">
        <v>8211</v>
      </c>
      <c r="L3459" s="1" t="s">
        <v>1947</v>
      </c>
      <c r="N3459" s="1" t="s">
        <v>2048</v>
      </c>
      <c r="P3459" s="1" t="s">
        <v>8216</v>
      </c>
      <c r="Q3459" s="3">
        <v>0</v>
      </c>
      <c r="R3459" s="22" t="s">
        <v>2723</v>
      </c>
      <c r="T3459" s="3" t="s">
        <v>4866</v>
      </c>
      <c r="U3459" s="45">
        <v>35</v>
      </c>
      <c r="V3459" t="s">
        <v>8213</v>
      </c>
      <c r="W3459" s="1" t="str">
        <f>HYPERLINK("http://ictvonline.org/taxonomy/p/taxonomy-history?taxnode_id=201907263","ICTVonline=201907263")</f>
        <v>ICTVonline=201907263</v>
      </c>
    </row>
    <row r="3460" spans="1:23">
      <c r="A3460" s="3">
        <v>3459</v>
      </c>
      <c r="B3460" s="1" t="s">
        <v>5910</v>
      </c>
      <c r="D3460" s="1" t="s">
        <v>8187</v>
      </c>
      <c r="F3460" s="1" t="s">
        <v>8208</v>
      </c>
      <c r="H3460" s="1" t="s">
        <v>8209</v>
      </c>
      <c r="J3460" s="1" t="s">
        <v>8211</v>
      </c>
      <c r="L3460" s="1" t="s">
        <v>1947</v>
      </c>
      <c r="N3460" s="1" t="s">
        <v>2048</v>
      </c>
      <c r="P3460" s="1" t="s">
        <v>4609</v>
      </c>
      <c r="Q3460" s="3">
        <v>0</v>
      </c>
      <c r="R3460" s="22" t="s">
        <v>2723</v>
      </c>
      <c r="T3460" s="3" t="s">
        <v>4868</v>
      </c>
      <c r="U3460" s="45">
        <v>35</v>
      </c>
      <c r="V3460" t="s">
        <v>8191</v>
      </c>
      <c r="W3460" s="1" t="str">
        <f>HYPERLINK("http://ictvonline.org/taxonomy/p/taxonomy-history?taxnode_id=201903000","ICTVonline=201903000")</f>
        <v>ICTVonline=201903000</v>
      </c>
    </row>
    <row r="3461" spans="1:23">
      <c r="A3461" s="3">
        <v>3460</v>
      </c>
      <c r="B3461" s="1" t="s">
        <v>5910</v>
      </c>
      <c r="D3461" s="1" t="s">
        <v>8187</v>
      </c>
      <c r="F3461" s="1" t="s">
        <v>8208</v>
      </c>
      <c r="H3461" s="1" t="s">
        <v>8209</v>
      </c>
      <c r="J3461" s="1" t="s">
        <v>8211</v>
      </c>
      <c r="L3461" s="1" t="s">
        <v>1947</v>
      </c>
      <c r="N3461" s="1" t="s">
        <v>2048</v>
      </c>
      <c r="P3461" s="1" t="s">
        <v>93</v>
      </c>
      <c r="Q3461" s="3">
        <v>0</v>
      </c>
      <c r="R3461" s="22" t="s">
        <v>2723</v>
      </c>
      <c r="T3461" s="3" t="s">
        <v>4868</v>
      </c>
      <c r="U3461" s="45">
        <v>35</v>
      </c>
      <c r="V3461" t="s">
        <v>8191</v>
      </c>
      <c r="W3461" s="1" t="str">
        <f>HYPERLINK("http://ictvonline.org/taxonomy/p/taxonomy-history?taxnode_id=201903001","ICTVonline=201903001")</f>
        <v>ICTVonline=201903001</v>
      </c>
    </row>
    <row r="3462" spans="1:23">
      <c r="A3462" s="3">
        <v>3461</v>
      </c>
      <c r="B3462" s="1" t="s">
        <v>5910</v>
      </c>
      <c r="D3462" s="1" t="s">
        <v>8187</v>
      </c>
      <c r="F3462" s="1" t="s">
        <v>8208</v>
      </c>
      <c r="H3462" s="1" t="s">
        <v>8209</v>
      </c>
      <c r="J3462" s="1" t="s">
        <v>8211</v>
      </c>
      <c r="L3462" s="1" t="s">
        <v>1947</v>
      </c>
      <c r="N3462" s="1" t="s">
        <v>2048</v>
      </c>
      <c r="P3462" s="1" t="s">
        <v>4610</v>
      </c>
      <c r="Q3462" s="3">
        <v>0</v>
      </c>
      <c r="R3462" s="22" t="s">
        <v>2723</v>
      </c>
      <c r="T3462" s="3" t="s">
        <v>4868</v>
      </c>
      <c r="U3462" s="45">
        <v>35</v>
      </c>
      <c r="V3462" t="s">
        <v>8191</v>
      </c>
      <c r="W3462" s="1" t="str">
        <f>HYPERLINK("http://ictvonline.org/taxonomy/p/taxonomy-history?taxnode_id=201903002","ICTVonline=201903002")</f>
        <v>ICTVonline=201903002</v>
      </c>
    </row>
    <row r="3463" spans="1:23">
      <c r="A3463" s="3">
        <v>3462</v>
      </c>
      <c r="B3463" s="1" t="s">
        <v>5910</v>
      </c>
      <c r="D3463" s="1" t="s">
        <v>8187</v>
      </c>
      <c r="F3463" s="1" t="s">
        <v>8208</v>
      </c>
      <c r="H3463" s="1" t="s">
        <v>8209</v>
      </c>
      <c r="J3463" s="1" t="s">
        <v>8211</v>
      </c>
      <c r="L3463" s="1" t="s">
        <v>1947</v>
      </c>
      <c r="N3463" s="1" t="s">
        <v>2048</v>
      </c>
      <c r="P3463" s="1" t="s">
        <v>2057</v>
      </c>
      <c r="Q3463" s="3">
        <v>0</v>
      </c>
      <c r="R3463" s="22" t="s">
        <v>2723</v>
      </c>
      <c r="T3463" s="3" t="s">
        <v>4868</v>
      </c>
      <c r="U3463" s="45">
        <v>35</v>
      </c>
      <c r="V3463" t="s">
        <v>8191</v>
      </c>
      <c r="W3463" s="1" t="str">
        <f>HYPERLINK("http://ictvonline.org/taxonomy/p/taxonomy-history?taxnode_id=201903003","ICTVonline=201903003")</f>
        <v>ICTVonline=201903003</v>
      </c>
    </row>
    <row r="3464" spans="1:23">
      <c r="A3464" s="3">
        <v>3463</v>
      </c>
      <c r="B3464" s="1" t="s">
        <v>5910</v>
      </c>
      <c r="D3464" s="1" t="s">
        <v>8187</v>
      </c>
      <c r="F3464" s="1" t="s">
        <v>8208</v>
      </c>
      <c r="H3464" s="1" t="s">
        <v>8209</v>
      </c>
      <c r="J3464" s="1" t="s">
        <v>8211</v>
      </c>
      <c r="L3464" s="1" t="s">
        <v>1947</v>
      </c>
      <c r="N3464" s="1" t="s">
        <v>2058</v>
      </c>
      <c r="P3464" s="1" t="s">
        <v>2059</v>
      </c>
      <c r="Q3464" s="3">
        <v>0</v>
      </c>
      <c r="R3464" s="22" t="s">
        <v>2723</v>
      </c>
      <c r="T3464" s="3" t="s">
        <v>4868</v>
      </c>
      <c r="U3464" s="45">
        <v>35</v>
      </c>
      <c r="V3464" t="s">
        <v>8191</v>
      </c>
      <c r="W3464" s="1" t="str">
        <f>HYPERLINK("http://ictvonline.org/taxonomy/p/taxonomy-history?taxnode_id=201903005","ICTVonline=201903005")</f>
        <v>ICTVonline=201903005</v>
      </c>
    </row>
    <row r="3465" spans="1:23">
      <c r="A3465" s="3">
        <v>3464</v>
      </c>
      <c r="B3465" s="1" t="s">
        <v>5910</v>
      </c>
      <c r="D3465" s="1" t="s">
        <v>8187</v>
      </c>
      <c r="F3465" s="1" t="s">
        <v>8208</v>
      </c>
      <c r="H3465" s="1" t="s">
        <v>8209</v>
      </c>
      <c r="J3465" s="1" t="s">
        <v>8211</v>
      </c>
      <c r="L3465" s="1" t="s">
        <v>1947</v>
      </c>
      <c r="N3465" s="1" t="s">
        <v>2058</v>
      </c>
      <c r="P3465" s="1" t="s">
        <v>2112</v>
      </c>
      <c r="Q3465" s="3">
        <v>0</v>
      </c>
      <c r="R3465" s="22" t="s">
        <v>2723</v>
      </c>
      <c r="T3465" s="3" t="s">
        <v>4868</v>
      </c>
      <c r="U3465" s="45">
        <v>35</v>
      </c>
      <c r="V3465" t="s">
        <v>8191</v>
      </c>
      <c r="W3465" s="1" t="str">
        <f>HYPERLINK("http://ictvonline.org/taxonomy/p/taxonomy-history?taxnode_id=201903006","ICTVonline=201903006")</f>
        <v>ICTVonline=201903006</v>
      </c>
    </row>
    <row r="3466" spans="1:23">
      <c r="A3466" s="3">
        <v>3465</v>
      </c>
      <c r="B3466" s="1" t="s">
        <v>5910</v>
      </c>
      <c r="D3466" s="1" t="s">
        <v>8187</v>
      </c>
      <c r="F3466" s="1" t="s">
        <v>8208</v>
      </c>
      <c r="H3466" s="1" t="s">
        <v>8209</v>
      </c>
      <c r="J3466" s="1" t="s">
        <v>8211</v>
      </c>
      <c r="L3466" s="1" t="s">
        <v>1947</v>
      </c>
      <c r="N3466" s="1" t="s">
        <v>2058</v>
      </c>
      <c r="P3466" s="1" t="s">
        <v>485</v>
      </c>
      <c r="Q3466" s="3">
        <v>0</v>
      </c>
      <c r="R3466" s="22" t="s">
        <v>2723</v>
      </c>
      <c r="T3466" s="3" t="s">
        <v>4868</v>
      </c>
      <c r="U3466" s="45">
        <v>35</v>
      </c>
      <c r="V3466" t="s">
        <v>8191</v>
      </c>
      <c r="W3466" s="1" t="str">
        <f>HYPERLINK("http://ictvonline.org/taxonomy/p/taxonomy-history?taxnode_id=201903007","ICTVonline=201903007")</f>
        <v>ICTVonline=201903007</v>
      </c>
    </row>
    <row r="3467" spans="1:23">
      <c r="A3467" s="3">
        <v>3466</v>
      </c>
      <c r="B3467" s="1" t="s">
        <v>5910</v>
      </c>
      <c r="D3467" s="1" t="s">
        <v>8187</v>
      </c>
      <c r="F3467" s="1" t="s">
        <v>8208</v>
      </c>
      <c r="H3467" s="1" t="s">
        <v>8209</v>
      </c>
      <c r="J3467" s="1" t="s">
        <v>8211</v>
      </c>
      <c r="L3467" s="1" t="s">
        <v>1947</v>
      </c>
      <c r="N3467" s="1" t="s">
        <v>2058</v>
      </c>
      <c r="P3467" s="1" t="s">
        <v>486</v>
      </c>
      <c r="Q3467" s="3">
        <v>0</v>
      </c>
      <c r="R3467" s="22" t="s">
        <v>2723</v>
      </c>
      <c r="T3467" s="3" t="s">
        <v>4868</v>
      </c>
      <c r="U3467" s="45">
        <v>35</v>
      </c>
      <c r="V3467" t="s">
        <v>8191</v>
      </c>
      <c r="W3467" s="1" t="str">
        <f>HYPERLINK("http://ictvonline.org/taxonomy/p/taxonomy-history?taxnode_id=201903008","ICTVonline=201903008")</f>
        <v>ICTVonline=201903008</v>
      </c>
    </row>
    <row r="3468" spans="1:23">
      <c r="A3468" s="3">
        <v>3467</v>
      </c>
      <c r="B3468" s="1" t="s">
        <v>5910</v>
      </c>
      <c r="D3468" s="1" t="s">
        <v>8187</v>
      </c>
      <c r="F3468" s="1" t="s">
        <v>8208</v>
      </c>
      <c r="H3468" s="1" t="s">
        <v>8209</v>
      </c>
      <c r="J3468" s="1" t="s">
        <v>8211</v>
      </c>
      <c r="L3468" s="1" t="s">
        <v>1947</v>
      </c>
      <c r="N3468" s="1" t="s">
        <v>2058</v>
      </c>
      <c r="P3468" s="1" t="s">
        <v>2060</v>
      </c>
      <c r="Q3468" s="3">
        <v>0</v>
      </c>
      <c r="R3468" s="22" t="s">
        <v>2723</v>
      </c>
      <c r="T3468" s="3" t="s">
        <v>4868</v>
      </c>
      <c r="U3468" s="45">
        <v>35</v>
      </c>
      <c r="V3468" t="s">
        <v>8191</v>
      </c>
      <c r="W3468" s="1" t="str">
        <f>HYPERLINK("http://ictvonline.org/taxonomy/p/taxonomy-history?taxnode_id=201903009","ICTVonline=201903009")</f>
        <v>ICTVonline=201903009</v>
      </c>
    </row>
    <row r="3469" spans="1:23">
      <c r="A3469" s="3">
        <v>3468</v>
      </c>
      <c r="B3469" s="1" t="s">
        <v>5910</v>
      </c>
      <c r="D3469" s="1" t="s">
        <v>8187</v>
      </c>
      <c r="F3469" s="1" t="s">
        <v>8208</v>
      </c>
      <c r="H3469" s="1" t="s">
        <v>8209</v>
      </c>
      <c r="J3469" s="1" t="s">
        <v>8211</v>
      </c>
      <c r="L3469" s="1" t="s">
        <v>1947</v>
      </c>
      <c r="N3469" s="1" t="s">
        <v>2058</v>
      </c>
      <c r="P3469" s="1" t="s">
        <v>2215</v>
      </c>
      <c r="Q3469" s="3">
        <v>0</v>
      </c>
      <c r="R3469" s="22" t="s">
        <v>2723</v>
      </c>
      <c r="T3469" s="3" t="s">
        <v>4868</v>
      </c>
      <c r="U3469" s="45">
        <v>35</v>
      </c>
      <c r="V3469" t="s">
        <v>8191</v>
      </c>
      <c r="W3469" s="1" t="str">
        <f>HYPERLINK("http://ictvonline.org/taxonomy/p/taxonomy-history?taxnode_id=201903010","ICTVonline=201903010")</f>
        <v>ICTVonline=201903010</v>
      </c>
    </row>
    <row r="3470" spans="1:23">
      <c r="A3470" s="3">
        <v>3469</v>
      </c>
      <c r="B3470" s="1" t="s">
        <v>5910</v>
      </c>
      <c r="D3470" s="1" t="s">
        <v>8187</v>
      </c>
      <c r="F3470" s="1" t="s">
        <v>8208</v>
      </c>
      <c r="H3470" s="1" t="s">
        <v>8209</v>
      </c>
      <c r="J3470" s="1" t="s">
        <v>8211</v>
      </c>
      <c r="L3470" s="1" t="s">
        <v>1947</v>
      </c>
      <c r="N3470" s="1" t="s">
        <v>2058</v>
      </c>
      <c r="P3470" s="1" t="s">
        <v>1957</v>
      </c>
      <c r="Q3470" s="3">
        <v>0</v>
      </c>
      <c r="R3470" s="22" t="s">
        <v>2723</v>
      </c>
      <c r="T3470" s="3" t="s">
        <v>4868</v>
      </c>
      <c r="U3470" s="45">
        <v>35</v>
      </c>
      <c r="V3470" t="s">
        <v>8191</v>
      </c>
      <c r="W3470" s="1" t="str">
        <f>HYPERLINK("http://ictvonline.org/taxonomy/p/taxonomy-history?taxnode_id=201903011","ICTVonline=201903011")</f>
        <v>ICTVonline=201903011</v>
      </c>
    </row>
    <row r="3471" spans="1:23">
      <c r="A3471" s="3">
        <v>3470</v>
      </c>
      <c r="B3471" s="1" t="s">
        <v>5910</v>
      </c>
      <c r="D3471" s="1" t="s">
        <v>8187</v>
      </c>
      <c r="F3471" s="1" t="s">
        <v>8208</v>
      </c>
      <c r="H3471" s="1" t="s">
        <v>8209</v>
      </c>
      <c r="J3471" s="1" t="s">
        <v>8211</v>
      </c>
      <c r="L3471" s="1" t="s">
        <v>1947</v>
      </c>
      <c r="N3471" s="1" t="s">
        <v>2058</v>
      </c>
      <c r="P3471" s="1" t="s">
        <v>1958</v>
      </c>
      <c r="Q3471" s="3">
        <v>1</v>
      </c>
      <c r="R3471" s="22" t="s">
        <v>2723</v>
      </c>
      <c r="T3471" s="3" t="s">
        <v>4868</v>
      </c>
      <c r="U3471" s="45">
        <v>35</v>
      </c>
      <c r="V3471" t="s">
        <v>8191</v>
      </c>
      <c r="W3471" s="1" t="str">
        <f>HYPERLINK("http://ictvonline.org/taxonomy/p/taxonomy-history?taxnode_id=201903012","ICTVonline=201903012")</f>
        <v>ICTVonline=201903012</v>
      </c>
    </row>
    <row r="3472" spans="1:23">
      <c r="A3472" s="3">
        <v>3471</v>
      </c>
      <c r="B3472" s="1" t="s">
        <v>5910</v>
      </c>
      <c r="D3472" s="1" t="s">
        <v>8187</v>
      </c>
      <c r="F3472" s="1" t="s">
        <v>8208</v>
      </c>
      <c r="H3472" s="1" t="s">
        <v>8209</v>
      </c>
      <c r="J3472" s="1" t="s">
        <v>8211</v>
      </c>
      <c r="L3472" s="1" t="s">
        <v>1947</v>
      </c>
      <c r="N3472" s="1" t="s">
        <v>2058</v>
      </c>
      <c r="P3472" s="1" t="s">
        <v>1959</v>
      </c>
      <c r="Q3472" s="3">
        <v>0</v>
      </c>
      <c r="R3472" s="22" t="s">
        <v>2723</v>
      </c>
      <c r="T3472" s="3" t="s">
        <v>4868</v>
      </c>
      <c r="U3472" s="45">
        <v>35</v>
      </c>
      <c r="V3472" t="s">
        <v>8191</v>
      </c>
      <c r="W3472" s="1" t="str">
        <f>HYPERLINK("http://ictvonline.org/taxonomy/p/taxonomy-history?taxnode_id=201903013","ICTVonline=201903013")</f>
        <v>ICTVonline=201903013</v>
      </c>
    </row>
    <row r="3473" spans="1:23">
      <c r="A3473" s="3">
        <v>3472</v>
      </c>
      <c r="B3473" s="1" t="s">
        <v>5910</v>
      </c>
      <c r="D3473" s="1" t="s">
        <v>8187</v>
      </c>
      <c r="F3473" s="1" t="s">
        <v>8208</v>
      </c>
      <c r="H3473" s="1" t="s">
        <v>8209</v>
      </c>
      <c r="J3473" s="1" t="s">
        <v>8211</v>
      </c>
      <c r="L3473" s="1" t="s">
        <v>1947</v>
      </c>
      <c r="N3473" s="1" t="s">
        <v>2058</v>
      </c>
      <c r="P3473" s="1" t="s">
        <v>1960</v>
      </c>
      <c r="Q3473" s="3">
        <v>0</v>
      </c>
      <c r="R3473" s="22" t="s">
        <v>2723</v>
      </c>
      <c r="T3473" s="3" t="s">
        <v>4868</v>
      </c>
      <c r="U3473" s="45">
        <v>35</v>
      </c>
      <c r="V3473" t="s">
        <v>8191</v>
      </c>
      <c r="W3473" s="1" t="str">
        <f>HYPERLINK("http://ictvonline.org/taxonomy/p/taxonomy-history?taxnode_id=201903014","ICTVonline=201903014")</f>
        <v>ICTVonline=201903014</v>
      </c>
    </row>
    <row r="3474" spans="1:23">
      <c r="A3474" s="3">
        <v>3473</v>
      </c>
      <c r="B3474" s="1" t="s">
        <v>5910</v>
      </c>
      <c r="D3474" s="1" t="s">
        <v>8187</v>
      </c>
      <c r="F3474" s="1" t="s">
        <v>8208</v>
      </c>
      <c r="H3474" s="1" t="s">
        <v>8209</v>
      </c>
      <c r="J3474" s="1" t="s">
        <v>8211</v>
      </c>
      <c r="L3474" s="1" t="s">
        <v>1947</v>
      </c>
      <c r="N3474" s="1" t="s">
        <v>2058</v>
      </c>
      <c r="P3474" s="1" t="s">
        <v>483</v>
      </c>
      <c r="Q3474" s="3">
        <v>0</v>
      </c>
      <c r="R3474" s="22" t="s">
        <v>2723</v>
      </c>
      <c r="T3474" s="3" t="s">
        <v>4868</v>
      </c>
      <c r="U3474" s="45">
        <v>35</v>
      </c>
      <c r="V3474" t="s">
        <v>8191</v>
      </c>
      <c r="W3474" s="1" t="str">
        <f>HYPERLINK("http://ictvonline.org/taxonomy/p/taxonomy-history?taxnode_id=201903015","ICTVonline=201903015")</f>
        <v>ICTVonline=201903015</v>
      </c>
    </row>
    <row r="3475" spans="1:23">
      <c r="A3475" s="3">
        <v>3474</v>
      </c>
      <c r="B3475" s="1" t="s">
        <v>5910</v>
      </c>
      <c r="D3475" s="1" t="s">
        <v>8187</v>
      </c>
      <c r="F3475" s="1" t="s">
        <v>8208</v>
      </c>
      <c r="H3475" s="1" t="s">
        <v>8209</v>
      </c>
      <c r="J3475" s="1" t="s">
        <v>8211</v>
      </c>
      <c r="L3475" s="1" t="s">
        <v>1947</v>
      </c>
      <c r="N3475" s="1" t="s">
        <v>2058</v>
      </c>
      <c r="P3475" s="1" t="s">
        <v>4611</v>
      </c>
      <c r="Q3475" s="3">
        <v>0</v>
      </c>
      <c r="R3475" s="22" t="s">
        <v>2723</v>
      </c>
      <c r="T3475" s="3" t="s">
        <v>4868</v>
      </c>
      <c r="U3475" s="45">
        <v>35</v>
      </c>
      <c r="V3475" t="s">
        <v>8191</v>
      </c>
      <c r="W3475" s="1" t="str">
        <f>HYPERLINK("http://ictvonline.org/taxonomy/p/taxonomy-history?taxnode_id=201903016","ICTVonline=201903016")</f>
        <v>ICTVonline=201903016</v>
      </c>
    </row>
    <row r="3476" spans="1:23">
      <c r="A3476" s="3">
        <v>3475</v>
      </c>
      <c r="B3476" s="1" t="s">
        <v>5910</v>
      </c>
      <c r="D3476" s="1" t="s">
        <v>8187</v>
      </c>
      <c r="F3476" s="1" t="s">
        <v>8208</v>
      </c>
      <c r="H3476" s="1" t="s">
        <v>8209</v>
      </c>
      <c r="J3476" s="1" t="s">
        <v>8211</v>
      </c>
      <c r="L3476" s="1" t="s">
        <v>1947</v>
      </c>
      <c r="N3476" s="1" t="s">
        <v>2058</v>
      </c>
      <c r="P3476" s="1" t="s">
        <v>484</v>
      </c>
      <c r="Q3476" s="3">
        <v>0</v>
      </c>
      <c r="R3476" s="22" t="s">
        <v>2723</v>
      </c>
      <c r="T3476" s="3" t="s">
        <v>4868</v>
      </c>
      <c r="U3476" s="45">
        <v>35</v>
      </c>
      <c r="V3476" t="s">
        <v>8191</v>
      </c>
      <c r="W3476" s="1" t="str">
        <f>HYPERLINK("http://ictvonline.org/taxonomy/p/taxonomy-history?taxnode_id=201903017","ICTVonline=201903017")</f>
        <v>ICTVonline=201903017</v>
      </c>
    </row>
    <row r="3477" spans="1:23">
      <c r="A3477" s="3">
        <v>3476</v>
      </c>
      <c r="B3477" s="1" t="s">
        <v>5910</v>
      </c>
      <c r="D3477" s="1" t="s">
        <v>8187</v>
      </c>
      <c r="F3477" s="1" t="s">
        <v>8208</v>
      </c>
      <c r="H3477" s="1" t="s">
        <v>8209</v>
      </c>
      <c r="J3477" s="1" t="s">
        <v>8211</v>
      </c>
      <c r="L3477" s="1" t="s">
        <v>1947</v>
      </c>
      <c r="N3477" s="1" t="s">
        <v>2058</v>
      </c>
      <c r="P3477" s="1" t="s">
        <v>1549</v>
      </c>
      <c r="Q3477" s="3">
        <v>0</v>
      </c>
      <c r="R3477" s="22" t="s">
        <v>2723</v>
      </c>
      <c r="T3477" s="3" t="s">
        <v>4868</v>
      </c>
      <c r="U3477" s="45">
        <v>35</v>
      </c>
      <c r="V3477" t="s">
        <v>8191</v>
      </c>
      <c r="W3477" s="1" t="str">
        <f>HYPERLINK("http://ictvonline.org/taxonomy/p/taxonomy-history?taxnode_id=201903018","ICTVonline=201903018")</f>
        <v>ICTVonline=201903018</v>
      </c>
    </row>
    <row r="3478" spans="1:23">
      <c r="A3478" s="3">
        <v>3477</v>
      </c>
      <c r="B3478" s="1" t="s">
        <v>5910</v>
      </c>
      <c r="D3478" s="1" t="s">
        <v>8187</v>
      </c>
      <c r="F3478" s="1" t="s">
        <v>8208</v>
      </c>
      <c r="H3478" s="1" t="s">
        <v>8209</v>
      </c>
      <c r="J3478" s="1" t="s">
        <v>8211</v>
      </c>
      <c r="L3478" s="1" t="s">
        <v>1947</v>
      </c>
      <c r="N3478" s="1" t="s">
        <v>2368</v>
      </c>
      <c r="P3478" s="1" t="s">
        <v>4613</v>
      </c>
      <c r="Q3478" s="3">
        <v>0</v>
      </c>
      <c r="R3478" s="22" t="s">
        <v>2723</v>
      </c>
      <c r="T3478" s="3" t="s">
        <v>4868</v>
      </c>
      <c r="U3478" s="45">
        <v>35</v>
      </c>
      <c r="V3478" t="s">
        <v>8191</v>
      </c>
      <c r="W3478" s="1" t="str">
        <f>HYPERLINK("http://ictvonline.org/taxonomy/p/taxonomy-history?taxnode_id=201903027","ICTVonline=201903027")</f>
        <v>ICTVonline=201903027</v>
      </c>
    </row>
    <row r="3479" spans="1:23">
      <c r="A3479" s="3">
        <v>3478</v>
      </c>
      <c r="B3479" s="1" t="s">
        <v>5910</v>
      </c>
      <c r="D3479" s="1" t="s">
        <v>8187</v>
      </c>
      <c r="F3479" s="1" t="s">
        <v>8208</v>
      </c>
      <c r="H3479" s="1" t="s">
        <v>8209</v>
      </c>
      <c r="J3479" s="1" t="s">
        <v>8211</v>
      </c>
      <c r="L3479" s="1" t="s">
        <v>1947</v>
      </c>
      <c r="N3479" s="1" t="s">
        <v>2368</v>
      </c>
      <c r="P3479" s="1" t="s">
        <v>2369</v>
      </c>
      <c r="Q3479" s="3">
        <v>0</v>
      </c>
      <c r="R3479" s="22" t="s">
        <v>2723</v>
      </c>
      <c r="T3479" s="3" t="s">
        <v>4868</v>
      </c>
      <c r="U3479" s="45">
        <v>35</v>
      </c>
      <c r="V3479" t="s">
        <v>8191</v>
      </c>
      <c r="W3479" s="1" t="str">
        <f>HYPERLINK("http://ictvonline.org/taxonomy/p/taxonomy-history?taxnode_id=201903028","ICTVonline=201903028")</f>
        <v>ICTVonline=201903028</v>
      </c>
    </row>
    <row r="3480" spans="1:23">
      <c r="A3480" s="3">
        <v>3479</v>
      </c>
      <c r="B3480" s="1" t="s">
        <v>5910</v>
      </c>
      <c r="D3480" s="1" t="s">
        <v>8187</v>
      </c>
      <c r="F3480" s="1" t="s">
        <v>8208</v>
      </c>
      <c r="H3480" s="1" t="s">
        <v>8209</v>
      </c>
      <c r="J3480" s="1" t="s">
        <v>8211</v>
      </c>
      <c r="L3480" s="1" t="s">
        <v>1947</v>
      </c>
      <c r="N3480" s="1" t="s">
        <v>2368</v>
      </c>
      <c r="P3480" s="1" t="s">
        <v>3716</v>
      </c>
      <c r="Q3480" s="3">
        <v>0</v>
      </c>
      <c r="R3480" s="22" t="s">
        <v>2723</v>
      </c>
      <c r="T3480" s="3" t="s">
        <v>4868</v>
      </c>
      <c r="U3480" s="45">
        <v>35</v>
      </c>
      <c r="V3480" t="s">
        <v>8191</v>
      </c>
      <c r="W3480" s="1" t="str">
        <f>HYPERLINK("http://ictvonline.org/taxonomy/p/taxonomy-history?taxnode_id=201903029","ICTVonline=201903029")</f>
        <v>ICTVonline=201903029</v>
      </c>
    </row>
    <row r="3481" spans="1:23">
      <c r="A3481" s="3">
        <v>3480</v>
      </c>
      <c r="B3481" s="1" t="s">
        <v>5910</v>
      </c>
      <c r="D3481" s="1" t="s">
        <v>8187</v>
      </c>
      <c r="F3481" s="1" t="s">
        <v>8208</v>
      </c>
      <c r="H3481" s="1" t="s">
        <v>8209</v>
      </c>
      <c r="J3481" s="1" t="s">
        <v>8211</v>
      </c>
      <c r="L3481" s="1" t="s">
        <v>1947</v>
      </c>
      <c r="N3481" s="1" t="s">
        <v>2368</v>
      </c>
      <c r="P3481" s="1" t="s">
        <v>3717</v>
      </c>
      <c r="Q3481" s="3">
        <v>0</v>
      </c>
      <c r="R3481" s="22" t="s">
        <v>2723</v>
      </c>
      <c r="T3481" s="3" t="s">
        <v>4868</v>
      </c>
      <c r="U3481" s="45">
        <v>35</v>
      </c>
      <c r="V3481" t="s">
        <v>8191</v>
      </c>
      <c r="W3481" s="1" t="str">
        <f>HYPERLINK("http://ictvonline.org/taxonomy/p/taxonomy-history?taxnode_id=201903030","ICTVonline=201903030")</f>
        <v>ICTVonline=201903030</v>
      </c>
    </row>
    <row r="3482" spans="1:23">
      <c r="A3482" s="3">
        <v>3481</v>
      </c>
      <c r="B3482" s="1" t="s">
        <v>5910</v>
      </c>
      <c r="D3482" s="1" t="s">
        <v>8187</v>
      </c>
      <c r="F3482" s="1" t="s">
        <v>8208</v>
      </c>
      <c r="H3482" s="1" t="s">
        <v>8209</v>
      </c>
      <c r="J3482" s="1" t="s">
        <v>8211</v>
      </c>
      <c r="L3482" s="1" t="s">
        <v>1947</v>
      </c>
      <c r="N3482" s="1" t="s">
        <v>2368</v>
      </c>
      <c r="P3482" s="1" t="s">
        <v>3718</v>
      </c>
      <c r="Q3482" s="3">
        <v>0</v>
      </c>
      <c r="R3482" s="22" t="s">
        <v>2723</v>
      </c>
      <c r="T3482" s="3" t="s">
        <v>4868</v>
      </c>
      <c r="U3482" s="45">
        <v>35</v>
      </c>
      <c r="V3482" t="s">
        <v>8191</v>
      </c>
      <c r="W3482" s="1" t="str">
        <f>HYPERLINK("http://ictvonline.org/taxonomy/p/taxonomy-history?taxnode_id=201903031","ICTVonline=201903031")</f>
        <v>ICTVonline=201903031</v>
      </c>
    </row>
    <row r="3483" spans="1:23">
      <c r="A3483" s="3">
        <v>3482</v>
      </c>
      <c r="B3483" s="1" t="s">
        <v>5910</v>
      </c>
      <c r="D3483" s="1" t="s">
        <v>8187</v>
      </c>
      <c r="F3483" s="1" t="s">
        <v>8208</v>
      </c>
      <c r="H3483" s="1" t="s">
        <v>8209</v>
      </c>
      <c r="J3483" s="1" t="s">
        <v>8211</v>
      </c>
      <c r="L3483" s="1" t="s">
        <v>1947</v>
      </c>
      <c r="N3483" s="1" t="s">
        <v>2368</v>
      </c>
      <c r="P3483" s="1" t="s">
        <v>2137</v>
      </c>
      <c r="Q3483" s="3">
        <v>1</v>
      </c>
      <c r="R3483" s="22" t="s">
        <v>2723</v>
      </c>
      <c r="T3483" s="3" t="s">
        <v>4868</v>
      </c>
      <c r="U3483" s="45">
        <v>35</v>
      </c>
      <c r="V3483" t="s">
        <v>8191</v>
      </c>
      <c r="W3483" s="1" t="str">
        <f>HYPERLINK("http://ictvonline.org/taxonomy/p/taxonomy-history?taxnode_id=201903032","ICTVonline=201903032")</f>
        <v>ICTVonline=201903032</v>
      </c>
    </row>
    <row r="3484" spans="1:23">
      <c r="A3484" s="3">
        <v>3483</v>
      </c>
      <c r="B3484" s="1" t="s">
        <v>5910</v>
      </c>
      <c r="D3484" s="1" t="s">
        <v>8187</v>
      </c>
      <c r="F3484" s="1" t="s">
        <v>8208</v>
      </c>
      <c r="H3484" s="1" t="s">
        <v>8209</v>
      </c>
      <c r="J3484" s="1" t="s">
        <v>8211</v>
      </c>
      <c r="L3484" s="1" t="s">
        <v>1947</v>
      </c>
      <c r="N3484" s="1" t="s">
        <v>2368</v>
      </c>
      <c r="P3484" s="1" t="s">
        <v>2138</v>
      </c>
      <c r="Q3484" s="3">
        <v>0</v>
      </c>
      <c r="R3484" s="22" t="s">
        <v>2723</v>
      </c>
      <c r="T3484" s="3" t="s">
        <v>4868</v>
      </c>
      <c r="U3484" s="45">
        <v>35</v>
      </c>
      <c r="V3484" t="s">
        <v>8191</v>
      </c>
      <c r="W3484" s="1" t="str">
        <f>HYPERLINK("http://ictvonline.org/taxonomy/p/taxonomy-history?taxnode_id=201903033","ICTVonline=201903033")</f>
        <v>ICTVonline=201903033</v>
      </c>
    </row>
    <row r="3485" spans="1:23">
      <c r="A3485" s="3">
        <v>3484</v>
      </c>
      <c r="B3485" s="1" t="s">
        <v>5910</v>
      </c>
      <c r="D3485" s="1" t="s">
        <v>8187</v>
      </c>
      <c r="F3485" s="1" t="s">
        <v>8208</v>
      </c>
      <c r="H3485" s="1" t="s">
        <v>8209</v>
      </c>
      <c r="J3485" s="1" t="s">
        <v>8211</v>
      </c>
      <c r="L3485" s="1" t="s">
        <v>1947</v>
      </c>
      <c r="P3485" s="1" t="s">
        <v>6182</v>
      </c>
      <c r="Q3485" s="3">
        <v>0</v>
      </c>
      <c r="R3485" s="22" t="s">
        <v>2723</v>
      </c>
      <c r="T3485" s="3" t="s">
        <v>4868</v>
      </c>
      <c r="U3485" s="45">
        <v>35</v>
      </c>
      <c r="V3485" t="s">
        <v>8191</v>
      </c>
      <c r="W3485" s="1" t="str">
        <f>HYPERLINK("http://ictvonline.org/taxonomy/p/taxonomy-history?taxnode_id=201906657","ICTVonline=201906657")</f>
        <v>ICTVonline=201906657</v>
      </c>
    </row>
    <row r="3486" spans="1:23">
      <c r="A3486" s="3">
        <v>3485</v>
      </c>
      <c r="B3486" s="1" t="s">
        <v>5910</v>
      </c>
      <c r="D3486" s="1" t="s">
        <v>8187</v>
      </c>
      <c r="F3486" s="1" t="s">
        <v>8208</v>
      </c>
      <c r="H3486" s="1" t="s">
        <v>8209</v>
      </c>
      <c r="J3486" s="1" t="s">
        <v>8211</v>
      </c>
      <c r="L3486" s="1" t="s">
        <v>1947</v>
      </c>
      <c r="P3486" s="1" t="s">
        <v>2136</v>
      </c>
      <c r="Q3486" s="3">
        <v>0</v>
      </c>
      <c r="R3486" s="22" t="s">
        <v>2723</v>
      </c>
      <c r="T3486" s="3" t="s">
        <v>4868</v>
      </c>
      <c r="U3486" s="45">
        <v>35</v>
      </c>
      <c r="V3486" t="s">
        <v>8191</v>
      </c>
      <c r="W3486" s="1" t="str">
        <f>HYPERLINK("http://ictvonline.org/taxonomy/p/taxonomy-history?taxnode_id=201903020","ICTVonline=201903020")</f>
        <v>ICTVonline=201903020</v>
      </c>
    </row>
    <row r="3487" spans="1:23">
      <c r="A3487" s="3">
        <v>3486</v>
      </c>
      <c r="B3487" s="1" t="s">
        <v>5910</v>
      </c>
      <c r="D3487" s="1" t="s">
        <v>8187</v>
      </c>
      <c r="F3487" s="1" t="s">
        <v>8208</v>
      </c>
      <c r="H3487" s="1" t="s">
        <v>8209</v>
      </c>
      <c r="J3487" s="1" t="s">
        <v>8211</v>
      </c>
      <c r="L3487" s="1" t="s">
        <v>1947</v>
      </c>
      <c r="P3487" s="1" t="s">
        <v>3715</v>
      </c>
      <c r="Q3487" s="3">
        <v>0</v>
      </c>
      <c r="R3487" s="22" t="s">
        <v>2723</v>
      </c>
      <c r="T3487" s="3" t="s">
        <v>4868</v>
      </c>
      <c r="U3487" s="45">
        <v>35</v>
      </c>
      <c r="V3487" t="s">
        <v>8191</v>
      </c>
      <c r="W3487" s="1" t="str">
        <f>HYPERLINK("http://ictvonline.org/taxonomy/p/taxonomy-history?taxnode_id=201903021","ICTVonline=201903021")</f>
        <v>ICTVonline=201903021</v>
      </c>
    </row>
    <row r="3488" spans="1:23">
      <c r="A3488" s="3">
        <v>3487</v>
      </c>
      <c r="B3488" s="1" t="s">
        <v>5910</v>
      </c>
      <c r="D3488" s="1" t="s">
        <v>8187</v>
      </c>
      <c r="F3488" s="1" t="s">
        <v>8208</v>
      </c>
      <c r="H3488" s="1" t="s">
        <v>8209</v>
      </c>
      <c r="J3488" s="1" t="s">
        <v>8211</v>
      </c>
      <c r="L3488" s="1" t="s">
        <v>1947</v>
      </c>
      <c r="P3488" s="1" t="s">
        <v>2139</v>
      </c>
      <c r="Q3488" s="3">
        <v>0</v>
      </c>
      <c r="R3488" s="22" t="s">
        <v>2723</v>
      </c>
      <c r="T3488" s="3" t="s">
        <v>4868</v>
      </c>
      <c r="U3488" s="45">
        <v>35</v>
      </c>
      <c r="V3488" t="s">
        <v>8191</v>
      </c>
      <c r="W3488" s="1" t="str">
        <f>HYPERLINK("http://ictvonline.org/taxonomy/p/taxonomy-history?taxnode_id=201903022","ICTVonline=201903022")</f>
        <v>ICTVonline=201903022</v>
      </c>
    </row>
    <row r="3489" spans="1:23">
      <c r="A3489" s="3">
        <v>3488</v>
      </c>
      <c r="B3489" s="1" t="s">
        <v>5910</v>
      </c>
      <c r="D3489" s="1" t="s">
        <v>8187</v>
      </c>
      <c r="F3489" s="1" t="s">
        <v>8208</v>
      </c>
      <c r="H3489" s="1" t="s">
        <v>8209</v>
      </c>
      <c r="J3489" s="1" t="s">
        <v>8211</v>
      </c>
      <c r="L3489" s="1" t="s">
        <v>1947</v>
      </c>
      <c r="P3489" s="1" t="s">
        <v>1550</v>
      </c>
      <c r="Q3489" s="3">
        <v>0</v>
      </c>
      <c r="R3489" s="22" t="s">
        <v>2723</v>
      </c>
      <c r="T3489" s="3" t="s">
        <v>4868</v>
      </c>
      <c r="U3489" s="45">
        <v>35</v>
      </c>
      <c r="V3489" t="s">
        <v>8191</v>
      </c>
      <c r="W3489" s="1" t="str">
        <f>HYPERLINK("http://ictvonline.org/taxonomy/p/taxonomy-history?taxnode_id=201903023","ICTVonline=201903023")</f>
        <v>ICTVonline=201903023</v>
      </c>
    </row>
    <row r="3490" spans="1:23">
      <c r="A3490" s="3">
        <v>3489</v>
      </c>
      <c r="B3490" s="1" t="s">
        <v>5910</v>
      </c>
      <c r="D3490" s="1" t="s">
        <v>8187</v>
      </c>
      <c r="F3490" s="1" t="s">
        <v>8208</v>
      </c>
      <c r="H3490" s="1" t="s">
        <v>8209</v>
      </c>
      <c r="J3490" s="1" t="s">
        <v>8211</v>
      </c>
      <c r="L3490" s="1" t="s">
        <v>1947</v>
      </c>
      <c r="P3490" s="1" t="s">
        <v>2140</v>
      </c>
      <c r="Q3490" s="3">
        <v>0</v>
      </c>
      <c r="R3490" s="22" t="s">
        <v>2723</v>
      </c>
      <c r="T3490" s="3" t="s">
        <v>4868</v>
      </c>
      <c r="U3490" s="45">
        <v>35</v>
      </c>
      <c r="V3490" t="s">
        <v>8191</v>
      </c>
      <c r="W3490" s="1" t="str">
        <f>HYPERLINK("http://ictvonline.org/taxonomy/p/taxonomy-history?taxnode_id=201903024","ICTVonline=201903024")</f>
        <v>ICTVonline=201903024</v>
      </c>
    </row>
    <row r="3491" spans="1:23">
      <c r="A3491" s="3">
        <v>3490</v>
      </c>
      <c r="B3491" s="1" t="s">
        <v>5910</v>
      </c>
      <c r="D3491" s="1" t="s">
        <v>8187</v>
      </c>
      <c r="F3491" s="1" t="s">
        <v>8208</v>
      </c>
      <c r="H3491" s="1" t="s">
        <v>8209</v>
      </c>
      <c r="J3491" s="1" t="s">
        <v>8211</v>
      </c>
      <c r="L3491" s="1" t="s">
        <v>1947</v>
      </c>
      <c r="P3491" s="1" t="s">
        <v>4612</v>
      </c>
      <c r="Q3491" s="3">
        <v>0</v>
      </c>
      <c r="R3491" s="22" t="s">
        <v>2723</v>
      </c>
      <c r="T3491" s="3" t="s">
        <v>4868</v>
      </c>
      <c r="U3491" s="45">
        <v>35</v>
      </c>
      <c r="V3491" t="s">
        <v>8191</v>
      </c>
      <c r="W3491" s="1" t="str">
        <f>HYPERLINK("http://ictvonline.org/taxonomy/p/taxonomy-history?taxnode_id=201903025","ICTVonline=201903025")</f>
        <v>ICTVonline=201903025</v>
      </c>
    </row>
    <row r="3492" spans="1:23">
      <c r="A3492" s="3">
        <v>3491</v>
      </c>
      <c r="B3492" s="1" t="s">
        <v>5910</v>
      </c>
      <c r="D3492" s="1" t="s">
        <v>8187</v>
      </c>
      <c r="F3492" s="1" t="s">
        <v>8208</v>
      </c>
      <c r="H3492" s="1" t="s">
        <v>8209</v>
      </c>
      <c r="J3492" s="1" t="s">
        <v>8211</v>
      </c>
      <c r="L3492" s="1" t="s">
        <v>1628</v>
      </c>
      <c r="N3492" s="1" t="s">
        <v>4040</v>
      </c>
      <c r="P3492" s="1" t="s">
        <v>8217</v>
      </c>
      <c r="Q3492" s="3">
        <v>0</v>
      </c>
      <c r="R3492" s="22" t="s">
        <v>2723</v>
      </c>
      <c r="T3492" s="3" t="s">
        <v>4866</v>
      </c>
      <c r="U3492" s="45">
        <v>35</v>
      </c>
      <c r="V3492" t="s">
        <v>8218</v>
      </c>
      <c r="W3492" s="1" t="str">
        <f>HYPERLINK("http://ictvonline.org/taxonomy/p/taxonomy-history?taxnode_id=201907538","ICTVonline=201907538")</f>
        <v>ICTVonline=201907538</v>
      </c>
    </row>
    <row r="3493" spans="1:23">
      <c r="A3493" s="3">
        <v>3492</v>
      </c>
      <c r="B3493" s="1" t="s">
        <v>5910</v>
      </c>
      <c r="D3493" s="1" t="s">
        <v>8187</v>
      </c>
      <c r="F3493" s="1" t="s">
        <v>8208</v>
      </c>
      <c r="H3493" s="1" t="s">
        <v>8209</v>
      </c>
      <c r="J3493" s="1" t="s">
        <v>8211</v>
      </c>
      <c r="L3493" s="1" t="s">
        <v>1628</v>
      </c>
      <c r="N3493" s="1" t="s">
        <v>4040</v>
      </c>
      <c r="P3493" s="1" t="s">
        <v>4041</v>
      </c>
      <c r="Q3493" s="3">
        <v>0</v>
      </c>
      <c r="R3493" s="22" t="s">
        <v>2723</v>
      </c>
      <c r="T3493" s="3" t="s">
        <v>4868</v>
      </c>
      <c r="U3493" s="45">
        <v>35</v>
      </c>
      <c r="V3493" t="s">
        <v>8191</v>
      </c>
      <c r="W3493" s="1" t="str">
        <f>HYPERLINK("http://ictvonline.org/taxonomy/p/taxonomy-history?taxnode_id=201903045","ICTVonline=201903045")</f>
        <v>ICTVonline=201903045</v>
      </c>
    </row>
    <row r="3494" spans="1:23">
      <c r="A3494" s="3">
        <v>3493</v>
      </c>
      <c r="B3494" s="1" t="s">
        <v>5910</v>
      </c>
      <c r="D3494" s="1" t="s">
        <v>8187</v>
      </c>
      <c r="F3494" s="1" t="s">
        <v>8208</v>
      </c>
      <c r="H3494" s="1" t="s">
        <v>8209</v>
      </c>
      <c r="J3494" s="1" t="s">
        <v>8211</v>
      </c>
      <c r="L3494" s="1" t="s">
        <v>1628</v>
      </c>
      <c r="N3494" s="1" t="s">
        <v>4040</v>
      </c>
      <c r="P3494" s="1" t="s">
        <v>4042</v>
      </c>
      <c r="Q3494" s="3">
        <v>0</v>
      </c>
      <c r="R3494" s="22" t="s">
        <v>2723</v>
      </c>
      <c r="T3494" s="3" t="s">
        <v>4868</v>
      </c>
      <c r="U3494" s="45">
        <v>35</v>
      </c>
      <c r="V3494" t="s">
        <v>8191</v>
      </c>
      <c r="W3494" s="1" t="str">
        <f>HYPERLINK("http://ictvonline.org/taxonomy/p/taxonomy-history?taxnode_id=201903046","ICTVonline=201903046")</f>
        <v>ICTVonline=201903046</v>
      </c>
    </row>
    <row r="3495" spans="1:23">
      <c r="A3495" s="3">
        <v>3494</v>
      </c>
      <c r="B3495" s="1" t="s">
        <v>5910</v>
      </c>
      <c r="D3495" s="1" t="s">
        <v>8187</v>
      </c>
      <c r="F3495" s="1" t="s">
        <v>8208</v>
      </c>
      <c r="H3495" s="1" t="s">
        <v>8209</v>
      </c>
      <c r="J3495" s="1" t="s">
        <v>8211</v>
      </c>
      <c r="L3495" s="1" t="s">
        <v>1628</v>
      </c>
      <c r="N3495" s="1" t="s">
        <v>4040</v>
      </c>
      <c r="P3495" s="1" t="s">
        <v>8219</v>
      </c>
      <c r="Q3495" s="3">
        <v>0</v>
      </c>
      <c r="R3495" s="22" t="s">
        <v>2723</v>
      </c>
      <c r="T3495" s="3" t="s">
        <v>4866</v>
      </c>
      <c r="U3495" s="45">
        <v>35</v>
      </c>
      <c r="V3495" t="s">
        <v>8218</v>
      </c>
      <c r="W3495" s="1" t="str">
        <f>HYPERLINK("http://ictvonline.org/taxonomy/p/taxonomy-history?taxnode_id=201907539","ICTVonline=201907539")</f>
        <v>ICTVonline=201907539</v>
      </c>
    </row>
    <row r="3496" spans="1:23">
      <c r="A3496" s="3">
        <v>3495</v>
      </c>
      <c r="B3496" s="1" t="s">
        <v>5910</v>
      </c>
      <c r="D3496" s="1" t="s">
        <v>8187</v>
      </c>
      <c r="F3496" s="1" t="s">
        <v>8208</v>
      </c>
      <c r="H3496" s="1" t="s">
        <v>8209</v>
      </c>
      <c r="J3496" s="1" t="s">
        <v>8211</v>
      </c>
      <c r="L3496" s="1" t="s">
        <v>1628</v>
      </c>
      <c r="N3496" s="1" t="s">
        <v>4040</v>
      </c>
      <c r="P3496" s="1" t="s">
        <v>4614</v>
      </c>
      <c r="Q3496" s="3">
        <v>0</v>
      </c>
      <c r="R3496" s="22" t="s">
        <v>2723</v>
      </c>
      <c r="T3496" s="3" t="s">
        <v>4868</v>
      </c>
      <c r="U3496" s="45">
        <v>35</v>
      </c>
      <c r="V3496" t="s">
        <v>8191</v>
      </c>
      <c r="W3496" s="1" t="str">
        <f>HYPERLINK("http://ictvonline.org/taxonomy/p/taxonomy-history?taxnode_id=201903047","ICTVonline=201903047")</f>
        <v>ICTVonline=201903047</v>
      </c>
    </row>
    <row r="3497" spans="1:23">
      <c r="A3497" s="3">
        <v>3496</v>
      </c>
      <c r="B3497" s="1" t="s">
        <v>5910</v>
      </c>
      <c r="D3497" s="1" t="s">
        <v>8187</v>
      </c>
      <c r="F3497" s="1" t="s">
        <v>8208</v>
      </c>
      <c r="H3497" s="1" t="s">
        <v>8209</v>
      </c>
      <c r="J3497" s="1" t="s">
        <v>8211</v>
      </c>
      <c r="L3497" s="1" t="s">
        <v>1628</v>
      </c>
      <c r="N3497" s="1" t="s">
        <v>4040</v>
      </c>
      <c r="P3497" s="1" t="s">
        <v>4615</v>
      </c>
      <c r="Q3497" s="3">
        <v>0</v>
      </c>
      <c r="R3497" s="22" t="s">
        <v>2723</v>
      </c>
      <c r="T3497" s="3" t="s">
        <v>4868</v>
      </c>
      <c r="U3497" s="45">
        <v>35</v>
      </c>
      <c r="V3497" t="s">
        <v>8191</v>
      </c>
      <c r="W3497" s="1" t="str">
        <f>HYPERLINK("http://ictvonline.org/taxonomy/p/taxonomy-history?taxnode_id=201903048","ICTVonline=201903048")</f>
        <v>ICTVonline=201903048</v>
      </c>
    </row>
    <row r="3498" spans="1:23">
      <c r="A3498" s="3">
        <v>3497</v>
      </c>
      <c r="B3498" s="1" t="s">
        <v>5910</v>
      </c>
      <c r="D3498" s="1" t="s">
        <v>8187</v>
      </c>
      <c r="F3498" s="1" t="s">
        <v>8208</v>
      </c>
      <c r="H3498" s="1" t="s">
        <v>8209</v>
      </c>
      <c r="J3498" s="1" t="s">
        <v>8211</v>
      </c>
      <c r="L3498" s="1" t="s">
        <v>1628</v>
      </c>
      <c r="N3498" s="1" t="s">
        <v>4040</v>
      </c>
      <c r="P3498" s="1" t="s">
        <v>4616</v>
      </c>
      <c r="Q3498" s="3">
        <v>0</v>
      </c>
      <c r="R3498" s="22" t="s">
        <v>2723</v>
      </c>
      <c r="T3498" s="3" t="s">
        <v>4868</v>
      </c>
      <c r="U3498" s="45">
        <v>35</v>
      </c>
      <c r="V3498" t="s">
        <v>8191</v>
      </c>
      <c r="W3498" s="1" t="str">
        <f>HYPERLINK("http://ictvonline.org/taxonomy/p/taxonomy-history?taxnode_id=201903049","ICTVonline=201903049")</f>
        <v>ICTVonline=201903049</v>
      </c>
    </row>
    <row r="3499" spans="1:23">
      <c r="A3499" s="3">
        <v>3498</v>
      </c>
      <c r="B3499" s="1" t="s">
        <v>5910</v>
      </c>
      <c r="D3499" s="1" t="s">
        <v>8187</v>
      </c>
      <c r="F3499" s="1" t="s">
        <v>8208</v>
      </c>
      <c r="H3499" s="1" t="s">
        <v>8209</v>
      </c>
      <c r="J3499" s="1" t="s">
        <v>8211</v>
      </c>
      <c r="L3499" s="1" t="s">
        <v>1628</v>
      </c>
      <c r="N3499" s="1" t="s">
        <v>4040</v>
      </c>
      <c r="P3499" s="1" t="s">
        <v>8220</v>
      </c>
      <c r="Q3499" s="3">
        <v>0</v>
      </c>
      <c r="R3499" s="22" t="s">
        <v>2723</v>
      </c>
      <c r="T3499" s="3" t="s">
        <v>4866</v>
      </c>
      <c r="U3499" s="45">
        <v>35</v>
      </c>
      <c r="V3499" t="s">
        <v>8218</v>
      </c>
      <c r="W3499" s="1" t="str">
        <f>HYPERLINK("http://ictvonline.org/taxonomy/p/taxonomy-history?taxnode_id=201907540","ICTVonline=201907540")</f>
        <v>ICTVonline=201907540</v>
      </c>
    </row>
    <row r="3500" spans="1:23">
      <c r="A3500" s="3">
        <v>3499</v>
      </c>
      <c r="B3500" s="1" t="s">
        <v>5910</v>
      </c>
      <c r="D3500" s="1" t="s">
        <v>8187</v>
      </c>
      <c r="F3500" s="1" t="s">
        <v>8208</v>
      </c>
      <c r="H3500" s="1" t="s">
        <v>8209</v>
      </c>
      <c r="J3500" s="1" t="s">
        <v>8211</v>
      </c>
      <c r="L3500" s="1" t="s">
        <v>1628</v>
      </c>
      <c r="N3500" s="1" t="s">
        <v>4040</v>
      </c>
      <c r="P3500" s="1" t="s">
        <v>4043</v>
      </c>
      <c r="Q3500" s="3">
        <v>0</v>
      </c>
      <c r="R3500" s="22" t="s">
        <v>2723</v>
      </c>
      <c r="T3500" s="3" t="s">
        <v>4868</v>
      </c>
      <c r="U3500" s="45">
        <v>35</v>
      </c>
      <c r="V3500" t="s">
        <v>8191</v>
      </c>
      <c r="W3500" s="1" t="str">
        <f>HYPERLINK("http://ictvonline.org/taxonomy/p/taxonomy-history?taxnode_id=201903050","ICTVonline=201903050")</f>
        <v>ICTVonline=201903050</v>
      </c>
    </row>
    <row r="3501" spans="1:23">
      <c r="A3501" s="3">
        <v>3500</v>
      </c>
      <c r="B3501" s="1" t="s">
        <v>5910</v>
      </c>
      <c r="D3501" s="1" t="s">
        <v>8187</v>
      </c>
      <c r="F3501" s="1" t="s">
        <v>8208</v>
      </c>
      <c r="H3501" s="1" t="s">
        <v>8209</v>
      </c>
      <c r="J3501" s="1" t="s">
        <v>8211</v>
      </c>
      <c r="L3501" s="1" t="s">
        <v>1628</v>
      </c>
      <c r="N3501" s="1" t="s">
        <v>4040</v>
      </c>
      <c r="P3501" s="1" t="s">
        <v>4617</v>
      </c>
      <c r="Q3501" s="3">
        <v>0</v>
      </c>
      <c r="R3501" s="22" t="s">
        <v>2723</v>
      </c>
      <c r="T3501" s="3" t="s">
        <v>4868</v>
      </c>
      <c r="U3501" s="45">
        <v>35</v>
      </c>
      <c r="V3501" t="s">
        <v>8191</v>
      </c>
      <c r="W3501" s="1" t="str">
        <f>HYPERLINK("http://ictvonline.org/taxonomy/p/taxonomy-history?taxnode_id=201903051","ICTVonline=201903051")</f>
        <v>ICTVonline=201903051</v>
      </c>
    </row>
    <row r="3502" spans="1:23">
      <c r="A3502" s="3">
        <v>3501</v>
      </c>
      <c r="B3502" s="1" t="s">
        <v>5910</v>
      </c>
      <c r="D3502" s="1" t="s">
        <v>8187</v>
      </c>
      <c r="F3502" s="1" t="s">
        <v>8208</v>
      </c>
      <c r="H3502" s="1" t="s">
        <v>8209</v>
      </c>
      <c r="J3502" s="1" t="s">
        <v>8211</v>
      </c>
      <c r="L3502" s="1" t="s">
        <v>1628</v>
      </c>
      <c r="N3502" s="1" t="s">
        <v>4040</v>
      </c>
      <c r="P3502" s="1" t="s">
        <v>4618</v>
      </c>
      <c r="Q3502" s="3">
        <v>0</v>
      </c>
      <c r="R3502" s="22" t="s">
        <v>2723</v>
      </c>
      <c r="T3502" s="3" t="s">
        <v>4868</v>
      </c>
      <c r="U3502" s="45">
        <v>35</v>
      </c>
      <c r="V3502" t="s">
        <v>8191</v>
      </c>
      <c r="W3502" s="1" t="str">
        <f>HYPERLINK("http://ictvonline.org/taxonomy/p/taxonomy-history?taxnode_id=201903052","ICTVonline=201903052")</f>
        <v>ICTVonline=201903052</v>
      </c>
    </row>
    <row r="3503" spans="1:23">
      <c r="A3503" s="3">
        <v>3502</v>
      </c>
      <c r="B3503" s="1" t="s">
        <v>5910</v>
      </c>
      <c r="D3503" s="1" t="s">
        <v>8187</v>
      </c>
      <c r="F3503" s="1" t="s">
        <v>8208</v>
      </c>
      <c r="H3503" s="1" t="s">
        <v>8209</v>
      </c>
      <c r="J3503" s="1" t="s">
        <v>8211</v>
      </c>
      <c r="L3503" s="1" t="s">
        <v>1628</v>
      </c>
      <c r="N3503" s="1" t="s">
        <v>4040</v>
      </c>
      <c r="P3503" s="1" t="s">
        <v>4619</v>
      </c>
      <c r="Q3503" s="3">
        <v>0</v>
      </c>
      <c r="R3503" s="22" t="s">
        <v>2723</v>
      </c>
      <c r="T3503" s="3" t="s">
        <v>4868</v>
      </c>
      <c r="U3503" s="45">
        <v>35</v>
      </c>
      <c r="V3503" t="s">
        <v>8191</v>
      </c>
      <c r="W3503" s="1" t="str">
        <f>HYPERLINK("http://ictvonline.org/taxonomy/p/taxonomy-history?taxnode_id=201903053","ICTVonline=201903053")</f>
        <v>ICTVonline=201903053</v>
      </c>
    </row>
    <row r="3504" spans="1:23">
      <c r="A3504" s="3">
        <v>3503</v>
      </c>
      <c r="B3504" s="1" t="s">
        <v>5910</v>
      </c>
      <c r="D3504" s="1" t="s">
        <v>8187</v>
      </c>
      <c r="F3504" s="1" t="s">
        <v>8208</v>
      </c>
      <c r="H3504" s="1" t="s">
        <v>8209</v>
      </c>
      <c r="J3504" s="1" t="s">
        <v>8211</v>
      </c>
      <c r="L3504" s="1" t="s">
        <v>1628</v>
      </c>
      <c r="N3504" s="1" t="s">
        <v>4040</v>
      </c>
      <c r="P3504" s="1" t="s">
        <v>4044</v>
      </c>
      <c r="Q3504" s="3">
        <v>0</v>
      </c>
      <c r="R3504" s="22" t="s">
        <v>2723</v>
      </c>
      <c r="T3504" s="3" t="s">
        <v>4868</v>
      </c>
      <c r="U3504" s="45">
        <v>35</v>
      </c>
      <c r="V3504" t="s">
        <v>8191</v>
      </c>
      <c r="W3504" s="1" t="str">
        <f>HYPERLINK("http://ictvonline.org/taxonomy/p/taxonomy-history?taxnode_id=201903054","ICTVonline=201903054")</f>
        <v>ICTVonline=201903054</v>
      </c>
    </row>
    <row r="3505" spans="1:23">
      <c r="A3505" s="3">
        <v>3504</v>
      </c>
      <c r="B3505" s="1" t="s">
        <v>5910</v>
      </c>
      <c r="D3505" s="1" t="s">
        <v>8187</v>
      </c>
      <c r="F3505" s="1" t="s">
        <v>8208</v>
      </c>
      <c r="H3505" s="1" t="s">
        <v>8209</v>
      </c>
      <c r="J3505" s="1" t="s">
        <v>8211</v>
      </c>
      <c r="L3505" s="1" t="s">
        <v>1628</v>
      </c>
      <c r="N3505" s="1" t="s">
        <v>4040</v>
      </c>
      <c r="P3505" s="1" t="s">
        <v>4045</v>
      </c>
      <c r="Q3505" s="3">
        <v>1</v>
      </c>
      <c r="R3505" s="22" t="s">
        <v>2723</v>
      </c>
      <c r="T3505" s="3" t="s">
        <v>4868</v>
      </c>
      <c r="U3505" s="45">
        <v>35</v>
      </c>
      <c r="V3505" t="s">
        <v>8191</v>
      </c>
      <c r="W3505" s="1" t="str">
        <f>HYPERLINK("http://ictvonline.org/taxonomy/p/taxonomy-history?taxnode_id=201903055","ICTVonline=201903055")</f>
        <v>ICTVonline=201903055</v>
      </c>
    </row>
    <row r="3506" spans="1:23">
      <c r="A3506" s="3">
        <v>3505</v>
      </c>
      <c r="B3506" s="1" t="s">
        <v>5910</v>
      </c>
      <c r="D3506" s="1" t="s">
        <v>8187</v>
      </c>
      <c r="F3506" s="1" t="s">
        <v>8208</v>
      </c>
      <c r="H3506" s="1" t="s">
        <v>8209</v>
      </c>
      <c r="J3506" s="1" t="s">
        <v>8211</v>
      </c>
      <c r="L3506" s="1" t="s">
        <v>1628</v>
      </c>
      <c r="N3506" s="1" t="s">
        <v>4040</v>
      </c>
      <c r="P3506" s="1" t="s">
        <v>4046</v>
      </c>
      <c r="Q3506" s="3">
        <v>0</v>
      </c>
      <c r="R3506" s="22" t="s">
        <v>2723</v>
      </c>
      <c r="T3506" s="3" t="s">
        <v>4868</v>
      </c>
      <c r="U3506" s="45">
        <v>35</v>
      </c>
      <c r="V3506" t="s">
        <v>8191</v>
      </c>
      <c r="W3506" s="1" t="str">
        <f>HYPERLINK("http://ictvonline.org/taxonomy/p/taxonomy-history?taxnode_id=201903056","ICTVonline=201903056")</f>
        <v>ICTVonline=201903056</v>
      </c>
    </row>
    <row r="3507" spans="1:23">
      <c r="A3507" s="3">
        <v>3506</v>
      </c>
      <c r="B3507" s="1" t="s">
        <v>5910</v>
      </c>
      <c r="D3507" s="1" t="s">
        <v>8187</v>
      </c>
      <c r="F3507" s="1" t="s">
        <v>8208</v>
      </c>
      <c r="H3507" s="1" t="s">
        <v>8209</v>
      </c>
      <c r="J3507" s="1" t="s">
        <v>8211</v>
      </c>
      <c r="L3507" s="1" t="s">
        <v>1628</v>
      </c>
      <c r="N3507" s="1" t="s">
        <v>4040</v>
      </c>
      <c r="P3507" s="1" t="s">
        <v>4047</v>
      </c>
      <c r="Q3507" s="3">
        <v>0</v>
      </c>
      <c r="R3507" s="22" t="s">
        <v>2723</v>
      </c>
      <c r="T3507" s="3" t="s">
        <v>4868</v>
      </c>
      <c r="U3507" s="45">
        <v>35</v>
      </c>
      <c r="V3507" t="s">
        <v>8191</v>
      </c>
      <c r="W3507" s="1" t="str">
        <f>HYPERLINK("http://ictvonline.org/taxonomy/p/taxonomy-history?taxnode_id=201903057","ICTVonline=201903057")</f>
        <v>ICTVonline=201903057</v>
      </c>
    </row>
    <row r="3508" spans="1:23">
      <c r="A3508" s="3">
        <v>3507</v>
      </c>
      <c r="B3508" s="1" t="s">
        <v>5910</v>
      </c>
      <c r="D3508" s="1" t="s">
        <v>8187</v>
      </c>
      <c r="F3508" s="1" t="s">
        <v>8208</v>
      </c>
      <c r="H3508" s="1" t="s">
        <v>8209</v>
      </c>
      <c r="J3508" s="1" t="s">
        <v>8211</v>
      </c>
      <c r="L3508" s="1" t="s">
        <v>1628</v>
      </c>
      <c r="N3508" s="1" t="s">
        <v>4040</v>
      </c>
      <c r="P3508" s="1" t="s">
        <v>4048</v>
      </c>
      <c r="Q3508" s="3">
        <v>0</v>
      </c>
      <c r="R3508" s="22" t="s">
        <v>2723</v>
      </c>
      <c r="T3508" s="3" t="s">
        <v>4868</v>
      </c>
      <c r="U3508" s="45">
        <v>35</v>
      </c>
      <c r="V3508" t="s">
        <v>8191</v>
      </c>
      <c r="W3508" s="1" t="str">
        <f>HYPERLINK("http://ictvonline.org/taxonomy/p/taxonomy-history?taxnode_id=201903058","ICTVonline=201903058")</f>
        <v>ICTVonline=201903058</v>
      </c>
    </row>
    <row r="3509" spans="1:23">
      <c r="A3509" s="3">
        <v>3508</v>
      </c>
      <c r="B3509" s="1" t="s">
        <v>5910</v>
      </c>
      <c r="D3509" s="1" t="s">
        <v>8187</v>
      </c>
      <c r="F3509" s="1" t="s">
        <v>8208</v>
      </c>
      <c r="H3509" s="1" t="s">
        <v>8209</v>
      </c>
      <c r="J3509" s="1" t="s">
        <v>8211</v>
      </c>
      <c r="L3509" s="1" t="s">
        <v>1628</v>
      </c>
      <c r="N3509" s="1" t="s">
        <v>4040</v>
      </c>
      <c r="P3509" s="1" t="s">
        <v>8221</v>
      </c>
      <c r="Q3509" s="3">
        <v>0</v>
      </c>
      <c r="R3509" s="22" t="s">
        <v>2723</v>
      </c>
      <c r="T3509" s="3" t="s">
        <v>4866</v>
      </c>
      <c r="U3509" s="45">
        <v>35</v>
      </c>
      <c r="V3509" t="s">
        <v>8218</v>
      </c>
      <c r="W3509" s="1" t="str">
        <f>HYPERLINK("http://ictvonline.org/taxonomy/p/taxonomy-history?taxnode_id=201907541","ICTVonline=201907541")</f>
        <v>ICTVonline=201907541</v>
      </c>
    </row>
    <row r="3510" spans="1:23">
      <c r="A3510" s="3">
        <v>3509</v>
      </c>
      <c r="B3510" s="1" t="s">
        <v>5910</v>
      </c>
      <c r="D3510" s="1" t="s">
        <v>8187</v>
      </c>
      <c r="F3510" s="1" t="s">
        <v>8208</v>
      </c>
      <c r="H3510" s="1" t="s">
        <v>8209</v>
      </c>
      <c r="J3510" s="1" t="s">
        <v>8211</v>
      </c>
      <c r="L3510" s="1" t="s">
        <v>1628</v>
      </c>
      <c r="N3510" s="1" t="s">
        <v>4040</v>
      </c>
      <c r="P3510" s="1" t="s">
        <v>4049</v>
      </c>
      <c r="Q3510" s="3">
        <v>0</v>
      </c>
      <c r="R3510" s="22" t="s">
        <v>2723</v>
      </c>
      <c r="T3510" s="3" t="s">
        <v>4868</v>
      </c>
      <c r="U3510" s="45">
        <v>35</v>
      </c>
      <c r="V3510" t="s">
        <v>8191</v>
      </c>
      <c r="W3510" s="1" t="str">
        <f>HYPERLINK("http://ictvonline.org/taxonomy/p/taxonomy-history?taxnode_id=201903059","ICTVonline=201903059")</f>
        <v>ICTVonline=201903059</v>
      </c>
    </row>
    <row r="3511" spans="1:23">
      <c r="A3511" s="3">
        <v>3510</v>
      </c>
      <c r="B3511" s="1" t="s">
        <v>5910</v>
      </c>
      <c r="D3511" s="1" t="s">
        <v>8187</v>
      </c>
      <c r="F3511" s="1" t="s">
        <v>8208</v>
      </c>
      <c r="H3511" s="1" t="s">
        <v>8209</v>
      </c>
      <c r="J3511" s="1" t="s">
        <v>8211</v>
      </c>
      <c r="L3511" s="1" t="s">
        <v>1628</v>
      </c>
      <c r="N3511" s="1" t="s">
        <v>4040</v>
      </c>
      <c r="P3511" s="1" t="s">
        <v>4620</v>
      </c>
      <c r="Q3511" s="3">
        <v>0</v>
      </c>
      <c r="R3511" s="22" t="s">
        <v>2723</v>
      </c>
      <c r="T3511" s="3" t="s">
        <v>4868</v>
      </c>
      <c r="U3511" s="45">
        <v>35</v>
      </c>
      <c r="V3511" t="s">
        <v>8191</v>
      </c>
      <c r="W3511" s="1" t="str">
        <f>HYPERLINK("http://ictvonline.org/taxonomy/p/taxonomy-history?taxnode_id=201903060","ICTVonline=201903060")</f>
        <v>ICTVonline=201903060</v>
      </c>
    </row>
    <row r="3512" spans="1:23">
      <c r="A3512" s="3">
        <v>3511</v>
      </c>
      <c r="B3512" s="1" t="s">
        <v>5910</v>
      </c>
      <c r="D3512" s="1" t="s">
        <v>8187</v>
      </c>
      <c r="F3512" s="1" t="s">
        <v>8208</v>
      </c>
      <c r="H3512" s="1" t="s">
        <v>8209</v>
      </c>
      <c r="J3512" s="1" t="s">
        <v>8211</v>
      </c>
      <c r="L3512" s="1" t="s">
        <v>1628</v>
      </c>
      <c r="N3512" s="1" t="s">
        <v>4040</v>
      </c>
      <c r="P3512" s="1" t="s">
        <v>8222</v>
      </c>
      <c r="Q3512" s="3">
        <v>0</v>
      </c>
      <c r="R3512" s="22" t="s">
        <v>2723</v>
      </c>
      <c r="T3512" s="3" t="s">
        <v>4866</v>
      </c>
      <c r="U3512" s="45">
        <v>35</v>
      </c>
      <c r="V3512" t="s">
        <v>8218</v>
      </c>
      <c r="W3512" s="1" t="str">
        <f>HYPERLINK("http://ictvonline.org/taxonomy/p/taxonomy-history?taxnode_id=201907542","ICTVonline=201907542")</f>
        <v>ICTVonline=201907542</v>
      </c>
    </row>
    <row r="3513" spans="1:23">
      <c r="A3513" s="3">
        <v>3512</v>
      </c>
      <c r="B3513" s="1" t="s">
        <v>5910</v>
      </c>
      <c r="D3513" s="1" t="s">
        <v>8187</v>
      </c>
      <c r="F3513" s="1" t="s">
        <v>8208</v>
      </c>
      <c r="H3513" s="1" t="s">
        <v>8209</v>
      </c>
      <c r="J3513" s="1" t="s">
        <v>8211</v>
      </c>
      <c r="L3513" s="1" t="s">
        <v>1628</v>
      </c>
      <c r="N3513" s="1" t="s">
        <v>4040</v>
      </c>
      <c r="P3513" s="1" t="s">
        <v>4050</v>
      </c>
      <c r="Q3513" s="3">
        <v>0</v>
      </c>
      <c r="R3513" s="22" t="s">
        <v>2723</v>
      </c>
      <c r="T3513" s="3" t="s">
        <v>4868</v>
      </c>
      <c r="U3513" s="45">
        <v>35</v>
      </c>
      <c r="V3513" t="s">
        <v>8191</v>
      </c>
      <c r="W3513" s="1" t="str">
        <f>HYPERLINK("http://ictvonline.org/taxonomy/p/taxonomy-history?taxnode_id=201903061","ICTVonline=201903061")</f>
        <v>ICTVonline=201903061</v>
      </c>
    </row>
    <row r="3514" spans="1:23">
      <c r="A3514" s="3">
        <v>3513</v>
      </c>
      <c r="B3514" s="1" t="s">
        <v>5910</v>
      </c>
      <c r="D3514" s="1" t="s">
        <v>8187</v>
      </c>
      <c r="F3514" s="1" t="s">
        <v>8208</v>
      </c>
      <c r="H3514" s="1" t="s">
        <v>8209</v>
      </c>
      <c r="J3514" s="1" t="s">
        <v>8211</v>
      </c>
      <c r="L3514" s="1" t="s">
        <v>1628</v>
      </c>
      <c r="N3514" s="1" t="s">
        <v>4040</v>
      </c>
      <c r="P3514" s="1" t="s">
        <v>5323</v>
      </c>
      <c r="Q3514" s="3">
        <v>0</v>
      </c>
      <c r="R3514" s="22" t="s">
        <v>2723</v>
      </c>
      <c r="T3514" s="3" t="s">
        <v>4868</v>
      </c>
      <c r="U3514" s="45">
        <v>35</v>
      </c>
      <c r="V3514" t="s">
        <v>8191</v>
      </c>
      <c r="W3514" s="1" t="str">
        <f>HYPERLINK("http://ictvonline.org/taxonomy/p/taxonomy-history?taxnode_id=201905778","ICTVonline=201905778")</f>
        <v>ICTVonline=201905778</v>
      </c>
    </row>
    <row r="3515" spans="1:23">
      <c r="A3515" s="3">
        <v>3514</v>
      </c>
      <c r="B3515" s="1" t="s">
        <v>5910</v>
      </c>
      <c r="D3515" s="1" t="s">
        <v>8187</v>
      </c>
      <c r="F3515" s="1" t="s">
        <v>8208</v>
      </c>
      <c r="H3515" s="1" t="s">
        <v>8209</v>
      </c>
      <c r="J3515" s="1" t="s">
        <v>8211</v>
      </c>
      <c r="L3515" s="1" t="s">
        <v>1628</v>
      </c>
      <c r="N3515" s="1" t="s">
        <v>4040</v>
      </c>
      <c r="P3515" s="1" t="s">
        <v>4051</v>
      </c>
      <c r="Q3515" s="3">
        <v>0</v>
      </c>
      <c r="R3515" s="22" t="s">
        <v>2723</v>
      </c>
      <c r="T3515" s="3" t="s">
        <v>4868</v>
      </c>
      <c r="U3515" s="45">
        <v>35</v>
      </c>
      <c r="V3515" t="s">
        <v>8191</v>
      </c>
      <c r="W3515" s="1" t="str">
        <f>HYPERLINK("http://ictvonline.org/taxonomy/p/taxonomy-history?taxnode_id=201903062","ICTVonline=201903062")</f>
        <v>ICTVonline=201903062</v>
      </c>
    </row>
    <row r="3516" spans="1:23">
      <c r="A3516" s="3">
        <v>3515</v>
      </c>
      <c r="B3516" s="1" t="s">
        <v>5910</v>
      </c>
      <c r="D3516" s="1" t="s">
        <v>8187</v>
      </c>
      <c r="F3516" s="1" t="s">
        <v>8208</v>
      </c>
      <c r="H3516" s="1" t="s">
        <v>8209</v>
      </c>
      <c r="J3516" s="1" t="s">
        <v>8211</v>
      </c>
      <c r="L3516" s="1" t="s">
        <v>1628</v>
      </c>
      <c r="N3516" s="1" t="s">
        <v>4077</v>
      </c>
      <c r="P3516" s="1" t="s">
        <v>4621</v>
      </c>
      <c r="Q3516" s="3">
        <v>0</v>
      </c>
      <c r="R3516" s="22" t="s">
        <v>2723</v>
      </c>
      <c r="T3516" s="3" t="s">
        <v>4868</v>
      </c>
      <c r="U3516" s="45">
        <v>35</v>
      </c>
      <c r="V3516" t="s">
        <v>8191</v>
      </c>
      <c r="W3516" s="1" t="str">
        <f>HYPERLINK("http://ictvonline.org/taxonomy/p/taxonomy-history?taxnode_id=201903064","ICTVonline=201903064")</f>
        <v>ICTVonline=201903064</v>
      </c>
    </row>
    <row r="3517" spans="1:23">
      <c r="A3517" s="3">
        <v>3516</v>
      </c>
      <c r="B3517" s="1" t="s">
        <v>5910</v>
      </c>
      <c r="D3517" s="1" t="s">
        <v>8187</v>
      </c>
      <c r="F3517" s="1" t="s">
        <v>8208</v>
      </c>
      <c r="H3517" s="1" t="s">
        <v>8209</v>
      </c>
      <c r="J3517" s="1" t="s">
        <v>8211</v>
      </c>
      <c r="L3517" s="1" t="s">
        <v>1628</v>
      </c>
      <c r="N3517" s="1" t="s">
        <v>4077</v>
      </c>
      <c r="P3517" s="1" t="s">
        <v>5324</v>
      </c>
      <c r="Q3517" s="3">
        <v>0</v>
      </c>
      <c r="R3517" s="22" t="s">
        <v>2723</v>
      </c>
      <c r="T3517" s="3" t="s">
        <v>4868</v>
      </c>
      <c r="U3517" s="45">
        <v>35</v>
      </c>
      <c r="V3517" t="s">
        <v>8191</v>
      </c>
      <c r="W3517" s="1" t="str">
        <f>HYPERLINK("http://ictvonline.org/taxonomy/p/taxonomy-history?taxnode_id=201905779","ICTVonline=201905779")</f>
        <v>ICTVonline=201905779</v>
      </c>
    </row>
    <row r="3518" spans="1:23">
      <c r="A3518" s="3">
        <v>3517</v>
      </c>
      <c r="B3518" s="1" t="s">
        <v>5910</v>
      </c>
      <c r="D3518" s="1" t="s">
        <v>8187</v>
      </c>
      <c r="F3518" s="1" t="s">
        <v>8208</v>
      </c>
      <c r="H3518" s="1" t="s">
        <v>8209</v>
      </c>
      <c r="J3518" s="1" t="s">
        <v>8211</v>
      </c>
      <c r="L3518" s="1" t="s">
        <v>1628</v>
      </c>
      <c r="N3518" s="1" t="s">
        <v>4077</v>
      </c>
      <c r="P3518" s="1" t="s">
        <v>4622</v>
      </c>
      <c r="Q3518" s="3">
        <v>0</v>
      </c>
      <c r="R3518" s="22" t="s">
        <v>2723</v>
      </c>
      <c r="T3518" s="3" t="s">
        <v>4868</v>
      </c>
      <c r="U3518" s="45">
        <v>35</v>
      </c>
      <c r="V3518" t="s">
        <v>8191</v>
      </c>
      <c r="W3518" s="1" t="str">
        <f>HYPERLINK("http://ictvonline.org/taxonomy/p/taxonomy-history?taxnode_id=201903065","ICTVonline=201903065")</f>
        <v>ICTVonline=201903065</v>
      </c>
    </row>
    <row r="3519" spans="1:23">
      <c r="A3519" s="3">
        <v>3518</v>
      </c>
      <c r="B3519" s="1" t="s">
        <v>5910</v>
      </c>
      <c r="D3519" s="1" t="s">
        <v>8187</v>
      </c>
      <c r="F3519" s="1" t="s">
        <v>8208</v>
      </c>
      <c r="H3519" s="1" t="s">
        <v>8209</v>
      </c>
      <c r="J3519" s="1" t="s">
        <v>8211</v>
      </c>
      <c r="L3519" s="1" t="s">
        <v>1628</v>
      </c>
      <c r="N3519" s="1" t="s">
        <v>4077</v>
      </c>
      <c r="P3519" s="1" t="s">
        <v>8223</v>
      </c>
      <c r="Q3519" s="3">
        <v>0</v>
      </c>
      <c r="R3519" s="22" t="s">
        <v>2723</v>
      </c>
      <c r="T3519" s="3" t="s">
        <v>4866</v>
      </c>
      <c r="U3519" s="45">
        <v>35</v>
      </c>
      <c r="V3519" t="s">
        <v>8218</v>
      </c>
      <c r="W3519" s="1" t="str">
        <f>HYPERLINK("http://ictvonline.org/taxonomy/p/taxonomy-history?taxnode_id=201907543","ICTVonline=201907543")</f>
        <v>ICTVonline=201907543</v>
      </c>
    </row>
    <row r="3520" spans="1:23">
      <c r="A3520" s="3">
        <v>3519</v>
      </c>
      <c r="B3520" s="1" t="s">
        <v>5910</v>
      </c>
      <c r="D3520" s="1" t="s">
        <v>8187</v>
      </c>
      <c r="F3520" s="1" t="s">
        <v>8208</v>
      </c>
      <c r="H3520" s="1" t="s">
        <v>8209</v>
      </c>
      <c r="J3520" s="1" t="s">
        <v>8211</v>
      </c>
      <c r="L3520" s="1" t="s">
        <v>1628</v>
      </c>
      <c r="N3520" s="1" t="s">
        <v>4077</v>
      </c>
      <c r="P3520" s="1" t="s">
        <v>8224</v>
      </c>
      <c r="Q3520" s="3">
        <v>0</v>
      </c>
      <c r="R3520" s="22" t="s">
        <v>2723</v>
      </c>
      <c r="T3520" s="3" t="s">
        <v>4866</v>
      </c>
      <c r="U3520" s="45">
        <v>35</v>
      </c>
      <c r="V3520" t="s">
        <v>8218</v>
      </c>
      <c r="W3520" s="1" t="str">
        <f>HYPERLINK("http://ictvonline.org/taxonomy/p/taxonomy-history?taxnode_id=201907544","ICTVonline=201907544")</f>
        <v>ICTVonline=201907544</v>
      </c>
    </row>
    <row r="3521" spans="1:23">
      <c r="A3521" s="3">
        <v>3520</v>
      </c>
      <c r="B3521" s="1" t="s">
        <v>5910</v>
      </c>
      <c r="D3521" s="1" t="s">
        <v>8187</v>
      </c>
      <c r="F3521" s="1" t="s">
        <v>8208</v>
      </c>
      <c r="H3521" s="1" t="s">
        <v>8209</v>
      </c>
      <c r="J3521" s="1" t="s">
        <v>8211</v>
      </c>
      <c r="L3521" s="1" t="s">
        <v>1628</v>
      </c>
      <c r="N3521" s="1" t="s">
        <v>4077</v>
      </c>
      <c r="P3521" s="1" t="s">
        <v>4078</v>
      </c>
      <c r="Q3521" s="3">
        <v>1</v>
      </c>
      <c r="R3521" s="22" t="s">
        <v>2723</v>
      </c>
      <c r="T3521" s="3" t="s">
        <v>4868</v>
      </c>
      <c r="U3521" s="45">
        <v>35</v>
      </c>
      <c r="V3521" t="s">
        <v>8191</v>
      </c>
      <c r="W3521" s="1" t="str">
        <f>HYPERLINK("http://ictvonline.org/taxonomy/p/taxonomy-history?taxnode_id=201903066","ICTVonline=201903066")</f>
        <v>ICTVonline=201903066</v>
      </c>
    </row>
    <row r="3522" spans="1:23">
      <c r="A3522" s="3">
        <v>3521</v>
      </c>
      <c r="B3522" s="1" t="s">
        <v>5910</v>
      </c>
      <c r="D3522" s="1" t="s">
        <v>8187</v>
      </c>
      <c r="F3522" s="1" t="s">
        <v>8208</v>
      </c>
      <c r="H3522" s="1" t="s">
        <v>8209</v>
      </c>
      <c r="J3522" s="1" t="s">
        <v>8211</v>
      </c>
      <c r="L3522" s="1" t="s">
        <v>1628</v>
      </c>
      <c r="N3522" s="1" t="s">
        <v>4077</v>
      </c>
      <c r="P3522" s="1" t="s">
        <v>4623</v>
      </c>
      <c r="Q3522" s="3">
        <v>0</v>
      </c>
      <c r="R3522" s="22" t="s">
        <v>2723</v>
      </c>
      <c r="T3522" s="3" t="s">
        <v>4868</v>
      </c>
      <c r="U3522" s="45">
        <v>35</v>
      </c>
      <c r="V3522" t="s">
        <v>8191</v>
      </c>
      <c r="W3522" s="1" t="str">
        <f>HYPERLINK("http://ictvonline.org/taxonomy/p/taxonomy-history?taxnode_id=201903067","ICTVonline=201903067")</f>
        <v>ICTVonline=201903067</v>
      </c>
    </row>
    <row r="3523" spans="1:23">
      <c r="A3523" s="3">
        <v>3522</v>
      </c>
      <c r="B3523" s="1" t="s">
        <v>5910</v>
      </c>
      <c r="D3523" s="1" t="s">
        <v>8187</v>
      </c>
      <c r="F3523" s="1" t="s">
        <v>8208</v>
      </c>
      <c r="H3523" s="1" t="s">
        <v>8209</v>
      </c>
      <c r="J3523" s="1" t="s">
        <v>8211</v>
      </c>
      <c r="L3523" s="1" t="s">
        <v>6183</v>
      </c>
      <c r="N3523" s="1" t="s">
        <v>4857</v>
      </c>
      <c r="P3523" s="1" t="s">
        <v>4858</v>
      </c>
      <c r="Q3523" s="3">
        <v>1</v>
      </c>
      <c r="R3523" s="22" t="s">
        <v>2723</v>
      </c>
      <c r="T3523" s="3" t="s">
        <v>4868</v>
      </c>
      <c r="U3523" s="45">
        <v>35</v>
      </c>
      <c r="V3523" t="s">
        <v>8191</v>
      </c>
      <c r="W3523" s="1" t="str">
        <f>HYPERLINK("http://ictvonline.org/taxonomy/p/taxonomy-history?taxnode_id=201905341","ICTVonline=201905341")</f>
        <v>ICTVonline=201905341</v>
      </c>
    </row>
    <row r="3524" spans="1:23">
      <c r="A3524" s="3">
        <v>3523</v>
      </c>
      <c r="B3524" s="1" t="s">
        <v>5910</v>
      </c>
      <c r="D3524" s="1" t="s">
        <v>8187</v>
      </c>
      <c r="F3524" s="1" t="s">
        <v>8208</v>
      </c>
      <c r="H3524" s="1" t="s">
        <v>8209</v>
      </c>
      <c r="J3524" s="1" t="s">
        <v>8211</v>
      </c>
      <c r="L3524" s="1" t="s">
        <v>6183</v>
      </c>
      <c r="N3524" s="1" t="s">
        <v>4857</v>
      </c>
      <c r="P3524" s="1" t="s">
        <v>8225</v>
      </c>
      <c r="Q3524" s="3">
        <v>0</v>
      </c>
      <c r="R3524" s="22" t="s">
        <v>2723</v>
      </c>
      <c r="T3524" s="3" t="s">
        <v>4866</v>
      </c>
      <c r="U3524" s="45">
        <v>35</v>
      </c>
      <c r="V3524" t="s">
        <v>8226</v>
      </c>
      <c r="W3524" s="1" t="str">
        <f>HYPERLINK("http://ictvonline.org/taxonomy/p/taxonomy-history?taxnode_id=201907186","ICTVonline=201907186")</f>
        <v>ICTVonline=201907186</v>
      </c>
    </row>
    <row r="3525" spans="1:23">
      <c r="A3525" s="3">
        <v>3524</v>
      </c>
      <c r="B3525" s="1" t="s">
        <v>5910</v>
      </c>
      <c r="D3525" s="1" t="s">
        <v>8187</v>
      </c>
      <c r="F3525" s="1" t="s">
        <v>8208</v>
      </c>
      <c r="H3525" s="1" t="s">
        <v>8209</v>
      </c>
      <c r="J3525" s="1" t="s">
        <v>8211</v>
      </c>
      <c r="L3525" s="1" t="s">
        <v>6183</v>
      </c>
      <c r="N3525" s="1" t="s">
        <v>1980</v>
      </c>
      <c r="P3525" s="1" t="s">
        <v>1981</v>
      </c>
      <c r="Q3525" s="3">
        <v>1</v>
      </c>
      <c r="R3525" s="22" t="s">
        <v>2723</v>
      </c>
      <c r="T3525" s="3" t="s">
        <v>4868</v>
      </c>
      <c r="U3525" s="45">
        <v>35</v>
      </c>
      <c r="V3525" t="s">
        <v>8191</v>
      </c>
      <c r="W3525" s="1" t="str">
        <f>HYPERLINK("http://ictvonline.org/taxonomy/p/taxonomy-history?taxnode_id=201905345","ICTVonline=201905345")</f>
        <v>ICTVonline=201905345</v>
      </c>
    </row>
    <row r="3526" spans="1:23">
      <c r="A3526" s="3">
        <v>3525</v>
      </c>
      <c r="B3526" s="1" t="s">
        <v>5910</v>
      </c>
      <c r="D3526" s="1" t="s">
        <v>8187</v>
      </c>
      <c r="F3526" s="1" t="s">
        <v>8208</v>
      </c>
      <c r="H3526" s="1" t="s">
        <v>8209</v>
      </c>
      <c r="J3526" s="1" t="s">
        <v>8211</v>
      </c>
      <c r="L3526" s="1" t="s">
        <v>6183</v>
      </c>
      <c r="N3526" s="1" t="s">
        <v>1980</v>
      </c>
      <c r="P3526" s="1" t="s">
        <v>4859</v>
      </c>
      <c r="Q3526" s="3">
        <v>0</v>
      </c>
      <c r="R3526" s="22" t="s">
        <v>2723</v>
      </c>
      <c r="T3526" s="3" t="s">
        <v>4868</v>
      </c>
      <c r="U3526" s="45">
        <v>35</v>
      </c>
      <c r="V3526" t="s">
        <v>8191</v>
      </c>
      <c r="W3526" s="1" t="str">
        <f>HYPERLINK("http://ictvonline.org/taxonomy/p/taxonomy-history?taxnode_id=201905346","ICTVonline=201905346")</f>
        <v>ICTVonline=201905346</v>
      </c>
    </row>
    <row r="3527" spans="1:23">
      <c r="A3527" s="3">
        <v>3526</v>
      </c>
      <c r="B3527" s="1" t="s">
        <v>5910</v>
      </c>
      <c r="D3527" s="1" t="s">
        <v>8187</v>
      </c>
      <c r="F3527" s="1" t="s">
        <v>8208</v>
      </c>
      <c r="H3527" s="1" t="s">
        <v>8209</v>
      </c>
      <c r="J3527" s="1" t="s">
        <v>8211</v>
      </c>
      <c r="L3527" s="1" t="s">
        <v>6183</v>
      </c>
      <c r="N3527" s="1" t="s">
        <v>2597</v>
      </c>
      <c r="P3527" s="1" t="s">
        <v>2598</v>
      </c>
      <c r="Q3527" s="3">
        <v>1</v>
      </c>
      <c r="R3527" s="22" t="s">
        <v>2723</v>
      </c>
      <c r="T3527" s="3" t="s">
        <v>4868</v>
      </c>
      <c r="U3527" s="45">
        <v>35</v>
      </c>
      <c r="V3527" t="s">
        <v>8191</v>
      </c>
      <c r="W3527" s="1" t="str">
        <f>HYPERLINK("http://ictvonline.org/taxonomy/p/taxonomy-history?taxnode_id=201905352","ICTVonline=201905352")</f>
        <v>ICTVonline=201905352</v>
      </c>
    </row>
    <row r="3528" spans="1:23">
      <c r="A3528" s="3">
        <v>3527</v>
      </c>
      <c r="B3528" s="1" t="s">
        <v>5910</v>
      </c>
      <c r="D3528" s="1" t="s">
        <v>8187</v>
      </c>
      <c r="F3528" s="1" t="s">
        <v>8208</v>
      </c>
      <c r="H3528" s="1" t="s">
        <v>8209</v>
      </c>
      <c r="J3528" s="1" t="s">
        <v>8211</v>
      </c>
      <c r="L3528" s="1" t="s">
        <v>8227</v>
      </c>
      <c r="N3528" s="1" t="s">
        <v>263</v>
      </c>
      <c r="P3528" s="1" t="s">
        <v>6210</v>
      </c>
      <c r="Q3528" s="3">
        <v>0</v>
      </c>
      <c r="R3528" s="22" t="s">
        <v>2723</v>
      </c>
      <c r="T3528" s="3" t="s">
        <v>4868</v>
      </c>
      <c r="U3528" s="45">
        <v>35</v>
      </c>
      <c r="V3528" t="s">
        <v>8228</v>
      </c>
      <c r="W3528" s="1" t="str">
        <f>HYPERLINK("http://ictvonline.org/taxonomy/p/taxonomy-history?taxnode_id=201906633","ICTVonline=201906633")</f>
        <v>ICTVonline=201906633</v>
      </c>
    </row>
    <row r="3529" spans="1:23">
      <c r="A3529" s="3">
        <v>3528</v>
      </c>
      <c r="B3529" s="1" t="s">
        <v>5910</v>
      </c>
      <c r="D3529" s="1" t="s">
        <v>8187</v>
      </c>
      <c r="F3529" s="1" t="s">
        <v>8208</v>
      </c>
      <c r="H3529" s="1" t="s">
        <v>8209</v>
      </c>
      <c r="J3529" s="1" t="s">
        <v>8211</v>
      </c>
      <c r="L3529" s="1" t="s">
        <v>8227</v>
      </c>
      <c r="N3529" s="1" t="s">
        <v>263</v>
      </c>
      <c r="P3529" s="1" t="s">
        <v>264</v>
      </c>
      <c r="Q3529" s="3">
        <v>1</v>
      </c>
      <c r="R3529" s="22" t="s">
        <v>2723</v>
      </c>
      <c r="T3529" s="3" t="s">
        <v>4868</v>
      </c>
      <c r="U3529" s="45">
        <v>35</v>
      </c>
      <c r="V3529" t="s">
        <v>8228</v>
      </c>
      <c r="W3529" s="1" t="str">
        <f>HYPERLINK("http://ictvonline.org/taxonomy/p/taxonomy-history?taxnode_id=201905354","ICTVonline=201905354")</f>
        <v>ICTVonline=201905354</v>
      </c>
    </row>
    <row r="3530" spans="1:23">
      <c r="A3530" s="3">
        <v>3529</v>
      </c>
      <c r="B3530" s="1" t="s">
        <v>5910</v>
      </c>
      <c r="D3530" s="1" t="s">
        <v>8187</v>
      </c>
      <c r="F3530" s="1" t="s">
        <v>8208</v>
      </c>
      <c r="H3530" s="1" t="s">
        <v>8209</v>
      </c>
      <c r="J3530" s="1" t="s">
        <v>8211</v>
      </c>
      <c r="L3530" s="1" t="s">
        <v>8227</v>
      </c>
      <c r="N3530" s="1" t="s">
        <v>8229</v>
      </c>
      <c r="P3530" s="1" t="s">
        <v>8230</v>
      </c>
      <c r="Q3530" s="3">
        <v>1</v>
      </c>
      <c r="R3530" s="22" t="s">
        <v>2723</v>
      </c>
      <c r="S3530" s="42" t="s">
        <v>6914</v>
      </c>
      <c r="T3530" s="3" t="s">
        <v>4866</v>
      </c>
      <c r="U3530" s="45">
        <v>35</v>
      </c>
      <c r="V3530" t="s">
        <v>8228</v>
      </c>
      <c r="W3530" s="1" t="str">
        <f>HYPERLINK("http://ictvonline.org/taxonomy/p/taxonomy-history?taxnode_id=201907565","ICTVonline=201907565")</f>
        <v>ICTVonline=201907565</v>
      </c>
    </row>
    <row r="3531" spans="1:23">
      <c r="A3531" s="3">
        <v>3530</v>
      </c>
      <c r="B3531" s="1" t="s">
        <v>5910</v>
      </c>
      <c r="D3531" s="1" t="s">
        <v>8187</v>
      </c>
      <c r="F3531" s="1" t="s">
        <v>8208</v>
      </c>
      <c r="H3531" s="1" t="s">
        <v>8209</v>
      </c>
      <c r="J3531" s="1" t="s">
        <v>8211</v>
      </c>
      <c r="L3531" s="1" t="s">
        <v>8227</v>
      </c>
      <c r="N3531" s="1" t="s">
        <v>8229</v>
      </c>
      <c r="P3531" s="1" t="s">
        <v>8231</v>
      </c>
      <c r="Q3531" s="3">
        <v>0</v>
      </c>
      <c r="R3531" s="22" t="s">
        <v>2723</v>
      </c>
      <c r="S3531" s="42" t="s">
        <v>6914</v>
      </c>
      <c r="T3531" s="3" t="s">
        <v>4866</v>
      </c>
      <c r="U3531" s="45">
        <v>35</v>
      </c>
      <c r="V3531" t="s">
        <v>8228</v>
      </c>
      <c r="W3531" s="1" t="str">
        <f>HYPERLINK("http://ictvonline.org/taxonomy/p/taxonomy-history?taxnode_id=201907566","ICTVonline=201907566")</f>
        <v>ICTVonline=201907566</v>
      </c>
    </row>
    <row r="3532" spans="1:23">
      <c r="A3532" s="3">
        <v>3531</v>
      </c>
      <c r="B3532" s="1" t="s">
        <v>5910</v>
      </c>
      <c r="D3532" s="1" t="s">
        <v>8187</v>
      </c>
      <c r="F3532" s="1" t="s">
        <v>8208</v>
      </c>
      <c r="H3532" s="1" t="s">
        <v>8209</v>
      </c>
      <c r="J3532" s="1" t="s">
        <v>8211</v>
      </c>
      <c r="L3532" s="1" t="s">
        <v>841</v>
      </c>
      <c r="N3532" s="1" t="s">
        <v>842</v>
      </c>
      <c r="P3532" s="1" t="s">
        <v>843</v>
      </c>
      <c r="Q3532" s="3">
        <v>0</v>
      </c>
      <c r="R3532" s="22" t="s">
        <v>2723</v>
      </c>
      <c r="T3532" s="3" t="s">
        <v>4868</v>
      </c>
      <c r="U3532" s="45">
        <v>35</v>
      </c>
      <c r="V3532" t="s">
        <v>8191</v>
      </c>
      <c r="W3532" s="1" t="str">
        <f>HYPERLINK("http://ictvonline.org/taxonomy/p/taxonomy-history?taxnode_id=201905083","ICTVonline=201905083")</f>
        <v>ICTVonline=201905083</v>
      </c>
    </row>
    <row r="3533" spans="1:23">
      <c r="A3533" s="3">
        <v>3532</v>
      </c>
      <c r="B3533" s="1" t="s">
        <v>5910</v>
      </c>
      <c r="D3533" s="1" t="s">
        <v>8187</v>
      </c>
      <c r="F3533" s="1" t="s">
        <v>8208</v>
      </c>
      <c r="H3533" s="1" t="s">
        <v>8209</v>
      </c>
      <c r="J3533" s="1" t="s">
        <v>8211</v>
      </c>
      <c r="L3533" s="1" t="s">
        <v>841</v>
      </c>
      <c r="N3533" s="1" t="s">
        <v>842</v>
      </c>
      <c r="P3533" s="1" t="s">
        <v>844</v>
      </c>
      <c r="Q3533" s="3">
        <v>0</v>
      </c>
      <c r="R3533" s="22" t="s">
        <v>2723</v>
      </c>
      <c r="T3533" s="3" t="s">
        <v>4868</v>
      </c>
      <c r="U3533" s="45">
        <v>35</v>
      </c>
      <c r="V3533" t="s">
        <v>8191</v>
      </c>
      <c r="W3533" s="1" t="str">
        <f>HYPERLINK("http://ictvonline.org/taxonomy/p/taxonomy-history?taxnode_id=201905084","ICTVonline=201905084")</f>
        <v>ICTVonline=201905084</v>
      </c>
    </row>
    <row r="3534" spans="1:23">
      <c r="A3534" s="3">
        <v>3533</v>
      </c>
      <c r="B3534" s="1" t="s">
        <v>5910</v>
      </c>
      <c r="D3534" s="1" t="s">
        <v>8187</v>
      </c>
      <c r="F3534" s="1" t="s">
        <v>8208</v>
      </c>
      <c r="H3534" s="1" t="s">
        <v>8209</v>
      </c>
      <c r="J3534" s="1" t="s">
        <v>8211</v>
      </c>
      <c r="L3534" s="1" t="s">
        <v>841</v>
      </c>
      <c r="N3534" s="1" t="s">
        <v>842</v>
      </c>
      <c r="P3534" s="1" t="s">
        <v>845</v>
      </c>
      <c r="Q3534" s="3">
        <v>0</v>
      </c>
      <c r="R3534" s="22" t="s">
        <v>2723</v>
      </c>
      <c r="T3534" s="3" t="s">
        <v>4868</v>
      </c>
      <c r="U3534" s="45">
        <v>35</v>
      </c>
      <c r="V3534" t="s">
        <v>8191</v>
      </c>
      <c r="W3534" s="1" t="str">
        <f>HYPERLINK("http://ictvonline.org/taxonomy/p/taxonomy-history?taxnode_id=201905085","ICTVonline=201905085")</f>
        <v>ICTVonline=201905085</v>
      </c>
    </row>
    <row r="3535" spans="1:23">
      <c r="A3535" s="3">
        <v>3534</v>
      </c>
      <c r="B3535" s="1" t="s">
        <v>5910</v>
      </c>
      <c r="D3535" s="1" t="s">
        <v>8187</v>
      </c>
      <c r="F3535" s="1" t="s">
        <v>8208</v>
      </c>
      <c r="H3535" s="1" t="s">
        <v>8209</v>
      </c>
      <c r="J3535" s="1" t="s">
        <v>8211</v>
      </c>
      <c r="L3535" s="1" t="s">
        <v>841</v>
      </c>
      <c r="N3535" s="1" t="s">
        <v>842</v>
      </c>
      <c r="P3535" s="1" t="s">
        <v>846</v>
      </c>
      <c r="Q3535" s="3">
        <v>0</v>
      </c>
      <c r="R3535" s="22" t="s">
        <v>2723</v>
      </c>
      <c r="T3535" s="3" t="s">
        <v>4868</v>
      </c>
      <c r="U3535" s="45">
        <v>35</v>
      </c>
      <c r="V3535" t="s">
        <v>8191</v>
      </c>
      <c r="W3535" s="1" t="str">
        <f>HYPERLINK("http://ictvonline.org/taxonomy/p/taxonomy-history?taxnode_id=201905086","ICTVonline=201905086")</f>
        <v>ICTVonline=201905086</v>
      </c>
    </row>
    <row r="3536" spans="1:23">
      <c r="A3536" s="3">
        <v>3535</v>
      </c>
      <c r="B3536" s="1" t="s">
        <v>5910</v>
      </c>
      <c r="D3536" s="1" t="s">
        <v>8187</v>
      </c>
      <c r="F3536" s="1" t="s">
        <v>8208</v>
      </c>
      <c r="H3536" s="1" t="s">
        <v>8209</v>
      </c>
      <c r="J3536" s="1" t="s">
        <v>8211</v>
      </c>
      <c r="L3536" s="1" t="s">
        <v>841</v>
      </c>
      <c r="N3536" s="1" t="s">
        <v>842</v>
      </c>
      <c r="P3536" s="1" t="s">
        <v>847</v>
      </c>
      <c r="Q3536" s="3">
        <v>0</v>
      </c>
      <c r="R3536" s="22" t="s">
        <v>2723</v>
      </c>
      <c r="T3536" s="3" t="s">
        <v>4868</v>
      </c>
      <c r="U3536" s="45">
        <v>35</v>
      </c>
      <c r="V3536" t="s">
        <v>8191</v>
      </c>
      <c r="W3536" s="1" t="str">
        <f>HYPERLINK("http://ictvonline.org/taxonomy/p/taxonomy-history?taxnode_id=201905087","ICTVonline=201905087")</f>
        <v>ICTVonline=201905087</v>
      </c>
    </row>
    <row r="3537" spans="1:23">
      <c r="A3537" s="3">
        <v>3536</v>
      </c>
      <c r="B3537" s="1" t="s">
        <v>5910</v>
      </c>
      <c r="D3537" s="1" t="s">
        <v>8187</v>
      </c>
      <c r="F3537" s="1" t="s">
        <v>8208</v>
      </c>
      <c r="H3537" s="1" t="s">
        <v>8209</v>
      </c>
      <c r="J3537" s="1" t="s">
        <v>8211</v>
      </c>
      <c r="L3537" s="1" t="s">
        <v>841</v>
      </c>
      <c r="N3537" s="1" t="s">
        <v>842</v>
      </c>
      <c r="P3537" s="1" t="s">
        <v>848</v>
      </c>
      <c r="Q3537" s="3">
        <v>0</v>
      </c>
      <c r="R3537" s="22" t="s">
        <v>2723</v>
      </c>
      <c r="T3537" s="3" t="s">
        <v>4868</v>
      </c>
      <c r="U3537" s="45">
        <v>35</v>
      </c>
      <c r="V3537" t="s">
        <v>8191</v>
      </c>
      <c r="W3537" s="1" t="str">
        <f>HYPERLINK("http://ictvonline.org/taxonomy/p/taxonomy-history?taxnode_id=201905088","ICTVonline=201905088")</f>
        <v>ICTVonline=201905088</v>
      </c>
    </row>
    <row r="3538" spans="1:23">
      <c r="A3538" s="3">
        <v>3537</v>
      </c>
      <c r="B3538" s="1" t="s">
        <v>5910</v>
      </c>
      <c r="D3538" s="1" t="s">
        <v>8187</v>
      </c>
      <c r="F3538" s="1" t="s">
        <v>8208</v>
      </c>
      <c r="H3538" s="1" t="s">
        <v>8209</v>
      </c>
      <c r="J3538" s="1" t="s">
        <v>8211</v>
      </c>
      <c r="L3538" s="1" t="s">
        <v>841</v>
      </c>
      <c r="N3538" s="1" t="s">
        <v>842</v>
      </c>
      <c r="P3538" s="1" t="s">
        <v>2580</v>
      </c>
      <c r="Q3538" s="3">
        <v>0</v>
      </c>
      <c r="R3538" s="22" t="s">
        <v>2723</v>
      </c>
      <c r="T3538" s="3" t="s">
        <v>4868</v>
      </c>
      <c r="U3538" s="45">
        <v>35</v>
      </c>
      <c r="V3538" t="s">
        <v>8191</v>
      </c>
      <c r="W3538" s="1" t="str">
        <f>HYPERLINK("http://ictvonline.org/taxonomy/p/taxonomy-history?taxnode_id=201905089","ICTVonline=201905089")</f>
        <v>ICTVonline=201905089</v>
      </c>
    </row>
    <row r="3539" spans="1:23">
      <c r="A3539" s="3">
        <v>3538</v>
      </c>
      <c r="B3539" s="1" t="s">
        <v>5910</v>
      </c>
      <c r="D3539" s="1" t="s">
        <v>8187</v>
      </c>
      <c r="F3539" s="1" t="s">
        <v>8208</v>
      </c>
      <c r="H3539" s="1" t="s">
        <v>8209</v>
      </c>
      <c r="J3539" s="1" t="s">
        <v>8211</v>
      </c>
      <c r="L3539" s="1" t="s">
        <v>841</v>
      </c>
      <c r="N3539" s="1" t="s">
        <v>842</v>
      </c>
      <c r="P3539" s="1" t="s">
        <v>849</v>
      </c>
      <c r="Q3539" s="3">
        <v>0</v>
      </c>
      <c r="R3539" s="22" t="s">
        <v>2723</v>
      </c>
      <c r="T3539" s="3" t="s">
        <v>4868</v>
      </c>
      <c r="U3539" s="45">
        <v>35</v>
      </c>
      <c r="V3539" t="s">
        <v>8191</v>
      </c>
      <c r="W3539" s="1" t="str">
        <f>HYPERLINK("http://ictvonline.org/taxonomy/p/taxonomy-history?taxnode_id=201905090","ICTVonline=201905090")</f>
        <v>ICTVonline=201905090</v>
      </c>
    </row>
    <row r="3540" spans="1:23">
      <c r="A3540" s="3">
        <v>3539</v>
      </c>
      <c r="B3540" s="1" t="s">
        <v>5910</v>
      </c>
      <c r="D3540" s="1" t="s">
        <v>8187</v>
      </c>
      <c r="F3540" s="1" t="s">
        <v>8208</v>
      </c>
      <c r="H3540" s="1" t="s">
        <v>8209</v>
      </c>
      <c r="J3540" s="1" t="s">
        <v>8211</v>
      </c>
      <c r="L3540" s="1" t="s">
        <v>841</v>
      </c>
      <c r="N3540" s="1" t="s">
        <v>842</v>
      </c>
      <c r="P3540" s="1" t="s">
        <v>850</v>
      </c>
      <c r="Q3540" s="3">
        <v>0</v>
      </c>
      <c r="R3540" s="22" t="s">
        <v>2723</v>
      </c>
      <c r="T3540" s="3" t="s">
        <v>4868</v>
      </c>
      <c r="U3540" s="45">
        <v>35</v>
      </c>
      <c r="V3540" t="s">
        <v>8191</v>
      </c>
      <c r="W3540" s="1" t="str">
        <f>HYPERLINK("http://ictvonline.org/taxonomy/p/taxonomy-history?taxnode_id=201905091","ICTVonline=201905091")</f>
        <v>ICTVonline=201905091</v>
      </c>
    </row>
    <row r="3541" spans="1:23">
      <c r="A3541" s="3">
        <v>3540</v>
      </c>
      <c r="B3541" s="1" t="s">
        <v>5910</v>
      </c>
      <c r="D3541" s="1" t="s">
        <v>8187</v>
      </c>
      <c r="F3541" s="1" t="s">
        <v>8208</v>
      </c>
      <c r="H3541" s="1" t="s">
        <v>8209</v>
      </c>
      <c r="J3541" s="1" t="s">
        <v>8211</v>
      </c>
      <c r="L3541" s="1" t="s">
        <v>841</v>
      </c>
      <c r="N3541" s="1" t="s">
        <v>842</v>
      </c>
      <c r="P3541" s="1" t="s">
        <v>851</v>
      </c>
      <c r="Q3541" s="3">
        <v>0</v>
      </c>
      <c r="R3541" s="22" t="s">
        <v>2723</v>
      </c>
      <c r="T3541" s="3" t="s">
        <v>4868</v>
      </c>
      <c r="U3541" s="45">
        <v>35</v>
      </c>
      <c r="V3541" t="s">
        <v>8191</v>
      </c>
      <c r="W3541" s="1" t="str">
        <f>HYPERLINK("http://ictvonline.org/taxonomy/p/taxonomy-history?taxnode_id=201905092","ICTVonline=201905092")</f>
        <v>ICTVonline=201905092</v>
      </c>
    </row>
    <row r="3542" spans="1:23">
      <c r="A3542" s="3">
        <v>3541</v>
      </c>
      <c r="B3542" s="1" t="s">
        <v>5910</v>
      </c>
      <c r="D3542" s="1" t="s">
        <v>8187</v>
      </c>
      <c r="F3542" s="1" t="s">
        <v>8208</v>
      </c>
      <c r="H3542" s="1" t="s">
        <v>8209</v>
      </c>
      <c r="J3542" s="1" t="s">
        <v>8211</v>
      </c>
      <c r="L3542" s="1" t="s">
        <v>841</v>
      </c>
      <c r="N3542" s="1" t="s">
        <v>842</v>
      </c>
      <c r="P3542" s="1" t="s">
        <v>852</v>
      </c>
      <c r="Q3542" s="3">
        <v>0</v>
      </c>
      <c r="R3542" s="22" t="s">
        <v>2723</v>
      </c>
      <c r="T3542" s="3" t="s">
        <v>4868</v>
      </c>
      <c r="U3542" s="45">
        <v>35</v>
      </c>
      <c r="V3542" t="s">
        <v>8191</v>
      </c>
      <c r="W3542" s="1" t="str">
        <f>HYPERLINK("http://ictvonline.org/taxonomy/p/taxonomy-history?taxnode_id=201905093","ICTVonline=201905093")</f>
        <v>ICTVonline=201905093</v>
      </c>
    </row>
    <row r="3543" spans="1:23">
      <c r="A3543" s="3">
        <v>3542</v>
      </c>
      <c r="B3543" s="1" t="s">
        <v>5910</v>
      </c>
      <c r="D3543" s="1" t="s">
        <v>8187</v>
      </c>
      <c r="F3543" s="1" t="s">
        <v>8208</v>
      </c>
      <c r="H3543" s="1" t="s">
        <v>8209</v>
      </c>
      <c r="J3543" s="1" t="s">
        <v>8211</v>
      </c>
      <c r="L3543" s="1" t="s">
        <v>841</v>
      </c>
      <c r="N3543" s="1" t="s">
        <v>842</v>
      </c>
      <c r="P3543" s="1" t="s">
        <v>2261</v>
      </c>
      <c r="Q3543" s="3">
        <v>0</v>
      </c>
      <c r="R3543" s="22" t="s">
        <v>2723</v>
      </c>
      <c r="T3543" s="3" t="s">
        <v>4868</v>
      </c>
      <c r="U3543" s="45">
        <v>35</v>
      </c>
      <c r="V3543" t="s">
        <v>8191</v>
      </c>
      <c r="W3543" s="1" t="str">
        <f>HYPERLINK("http://ictvonline.org/taxonomy/p/taxonomy-history?taxnode_id=201905094","ICTVonline=201905094")</f>
        <v>ICTVonline=201905094</v>
      </c>
    </row>
    <row r="3544" spans="1:23">
      <c r="A3544" s="3">
        <v>3543</v>
      </c>
      <c r="B3544" s="1" t="s">
        <v>5910</v>
      </c>
      <c r="D3544" s="1" t="s">
        <v>8187</v>
      </c>
      <c r="F3544" s="1" t="s">
        <v>8208</v>
      </c>
      <c r="H3544" s="1" t="s">
        <v>8209</v>
      </c>
      <c r="J3544" s="1" t="s">
        <v>8211</v>
      </c>
      <c r="L3544" s="1" t="s">
        <v>841</v>
      </c>
      <c r="N3544" s="1" t="s">
        <v>842</v>
      </c>
      <c r="P3544" s="1" t="s">
        <v>853</v>
      </c>
      <c r="Q3544" s="3">
        <v>0</v>
      </c>
      <c r="R3544" s="22" t="s">
        <v>2723</v>
      </c>
      <c r="T3544" s="3" t="s">
        <v>4868</v>
      </c>
      <c r="U3544" s="45">
        <v>35</v>
      </c>
      <c r="V3544" t="s">
        <v>8191</v>
      </c>
      <c r="W3544" s="1" t="str">
        <f>HYPERLINK("http://ictvonline.org/taxonomy/p/taxonomy-history?taxnode_id=201905095","ICTVonline=201905095")</f>
        <v>ICTVonline=201905095</v>
      </c>
    </row>
    <row r="3545" spans="1:23">
      <c r="A3545" s="3">
        <v>3544</v>
      </c>
      <c r="B3545" s="1" t="s">
        <v>5910</v>
      </c>
      <c r="D3545" s="1" t="s">
        <v>8187</v>
      </c>
      <c r="F3545" s="1" t="s">
        <v>8208</v>
      </c>
      <c r="H3545" s="1" t="s">
        <v>8209</v>
      </c>
      <c r="J3545" s="1" t="s">
        <v>8211</v>
      </c>
      <c r="L3545" s="1" t="s">
        <v>841</v>
      </c>
      <c r="N3545" s="1" t="s">
        <v>842</v>
      </c>
      <c r="P3545" s="1" t="s">
        <v>854</v>
      </c>
      <c r="Q3545" s="3">
        <v>0</v>
      </c>
      <c r="R3545" s="22" t="s">
        <v>2723</v>
      </c>
      <c r="T3545" s="3" t="s">
        <v>4868</v>
      </c>
      <c r="U3545" s="45">
        <v>35</v>
      </c>
      <c r="V3545" t="s">
        <v>8191</v>
      </c>
      <c r="W3545" s="1" t="str">
        <f>HYPERLINK("http://ictvonline.org/taxonomy/p/taxonomy-history?taxnode_id=201905096","ICTVonline=201905096")</f>
        <v>ICTVonline=201905096</v>
      </c>
    </row>
    <row r="3546" spans="1:23">
      <c r="A3546" s="3">
        <v>3545</v>
      </c>
      <c r="B3546" s="1" t="s">
        <v>5910</v>
      </c>
      <c r="D3546" s="1" t="s">
        <v>8187</v>
      </c>
      <c r="F3546" s="1" t="s">
        <v>8208</v>
      </c>
      <c r="H3546" s="1" t="s">
        <v>8209</v>
      </c>
      <c r="J3546" s="1" t="s">
        <v>8211</v>
      </c>
      <c r="L3546" s="1" t="s">
        <v>841</v>
      </c>
      <c r="N3546" s="1" t="s">
        <v>842</v>
      </c>
      <c r="P3546" s="1" t="s">
        <v>2727</v>
      </c>
      <c r="Q3546" s="3">
        <v>0</v>
      </c>
      <c r="R3546" s="22" t="s">
        <v>2723</v>
      </c>
      <c r="T3546" s="3" t="s">
        <v>4868</v>
      </c>
      <c r="U3546" s="45">
        <v>35</v>
      </c>
      <c r="V3546" t="s">
        <v>8191</v>
      </c>
      <c r="W3546" s="1" t="str">
        <f>HYPERLINK("http://ictvonline.org/taxonomy/p/taxonomy-history?taxnode_id=201905097","ICTVonline=201905097")</f>
        <v>ICTVonline=201905097</v>
      </c>
    </row>
    <row r="3547" spans="1:23">
      <c r="A3547" s="3">
        <v>3546</v>
      </c>
      <c r="B3547" s="1" t="s">
        <v>5910</v>
      </c>
      <c r="D3547" s="1" t="s">
        <v>8187</v>
      </c>
      <c r="F3547" s="1" t="s">
        <v>8208</v>
      </c>
      <c r="H3547" s="1" t="s">
        <v>8209</v>
      </c>
      <c r="J3547" s="1" t="s">
        <v>8211</v>
      </c>
      <c r="L3547" s="1" t="s">
        <v>841</v>
      </c>
      <c r="N3547" s="1" t="s">
        <v>842</v>
      </c>
      <c r="P3547" s="1" t="s">
        <v>855</v>
      </c>
      <c r="Q3547" s="3">
        <v>0</v>
      </c>
      <c r="R3547" s="22" t="s">
        <v>2723</v>
      </c>
      <c r="T3547" s="3" t="s">
        <v>4868</v>
      </c>
      <c r="U3547" s="45">
        <v>35</v>
      </c>
      <c r="V3547" t="s">
        <v>8191</v>
      </c>
      <c r="W3547" s="1" t="str">
        <f>HYPERLINK("http://ictvonline.org/taxonomy/p/taxonomy-history?taxnode_id=201905098","ICTVonline=201905098")</f>
        <v>ICTVonline=201905098</v>
      </c>
    </row>
    <row r="3548" spans="1:23">
      <c r="A3548" s="3">
        <v>3547</v>
      </c>
      <c r="B3548" s="1" t="s">
        <v>5910</v>
      </c>
      <c r="D3548" s="1" t="s">
        <v>8187</v>
      </c>
      <c r="F3548" s="1" t="s">
        <v>8208</v>
      </c>
      <c r="H3548" s="1" t="s">
        <v>8209</v>
      </c>
      <c r="J3548" s="1" t="s">
        <v>8211</v>
      </c>
      <c r="L3548" s="1" t="s">
        <v>841</v>
      </c>
      <c r="N3548" s="1" t="s">
        <v>842</v>
      </c>
      <c r="P3548" s="1" t="s">
        <v>856</v>
      </c>
      <c r="Q3548" s="3">
        <v>0</v>
      </c>
      <c r="R3548" s="22" t="s">
        <v>2723</v>
      </c>
      <c r="T3548" s="3" t="s">
        <v>4868</v>
      </c>
      <c r="U3548" s="45">
        <v>35</v>
      </c>
      <c r="V3548" t="s">
        <v>8191</v>
      </c>
      <c r="W3548" s="1" t="str">
        <f>HYPERLINK("http://ictvonline.org/taxonomy/p/taxonomy-history?taxnode_id=201905099","ICTVonline=201905099")</f>
        <v>ICTVonline=201905099</v>
      </c>
    </row>
    <row r="3549" spans="1:23">
      <c r="A3549" s="3">
        <v>3548</v>
      </c>
      <c r="B3549" s="1" t="s">
        <v>5910</v>
      </c>
      <c r="D3549" s="1" t="s">
        <v>8187</v>
      </c>
      <c r="F3549" s="1" t="s">
        <v>8208</v>
      </c>
      <c r="H3549" s="1" t="s">
        <v>8209</v>
      </c>
      <c r="J3549" s="1" t="s">
        <v>8211</v>
      </c>
      <c r="L3549" s="1" t="s">
        <v>841</v>
      </c>
      <c r="N3549" s="1" t="s">
        <v>842</v>
      </c>
      <c r="P3549" s="1" t="s">
        <v>5570</v>
      </c>
      <c r="Q3549" s="3">
        <v>0</v>
      </c>
      <c r="R3549" s="22" t="s">
        <v>2723</v>
      </c>
      <c r="T3549" s="3" t="s">
        <v>4868</v>
      </c>
      <c r="U3549" s="45">
        <v>35</v>
      </c>
      <c r="V3549" t="s">
        <v>8191</v>
      </c>
      <c r="W3549" s="1" t="str">
        <f>HYPERLINK("http://ictvonline.org/taxonomy/p/taxonomy-history?taxnode_id=201905100","ICTVonline=201905100")</f>
        <v>ICTVonline=201905100</v>
      </c>
    </row>
    <row r="3550" spans="1:23">
      <c r="A3550" s="3">
        <v>3549</v>
      </c>
      <c r="B3550" s="1" t="s">
        <v>5910</v>
      </c>
      <c r="D3550" s="1" t="s">
        <v>8187</v>
      </c>
      <c r="F3550" s="1" t="s">
        <v>8208</v>
      </c>
      <c r="H3550" s="1" t="s">
        <v>8209</v>
      </c>
      <c r="J3550" s="1" t="s">
        <v>8211</v>
      </c>
      <c r="L3550" s="1" t="s">
        <v>841</v>
      </c>
      <c r="N3550" s="1" t="s">
        <v>842</v>
      </c>
      <c r="P3550" s="1" t="s">
        <v>857</v>
      </c>
      <c r="Q3550" s="3">
        <v>0</v>
      </c>
      <c r="R3550" s="22" t="s">
        <v>2723</v>
      </c>
      <c r="T3550" s="3" t="s">
        <v>4868</v>
      </c>
      <c r="U3550" s="45">
        <v>35</v>
      </c>
      <c r="V3550" t="s">
        <v>8191</v>
      </c>
      <c r="W3550" s="1" t="str">
        <f>HYPERLINK("http://ictvonline.org/taxonomy/p/taxonomy-history?taxnode_id=201905101","ICTVonline=201905101")</f>
        <v>ICTVonline=201905101</v>
      </c>
    </row>
    <row r="3551" spans="1:23">
      <c r="A3551" s="3">
        <v>3550</v>
      </c>
      <c r="B3551" s="1" t="s">
        <v>5910</v>
      </c>
      <c r="D3551" s="1" t="s">
        <v>8187</v>
      </c>
      <c r="F3551" s="1" t="s">
        <v>8208</v>
      </c>
      <c r="H3551" s="1" t="s">
        <v>8209</v>
      </c>
      <c r="J3551" s="1" t="s">
        <v>8211</v>
      </c>
      <c r="L3551" s="1" t="s">
        <v>841</v>
      </c>
      <c r="N3551" s="1" t="s">
        <v>842</v>
      </c>
      <c r="P3551" s="1" t="s">
        <v>1309</v>
      </c>
      <c r="Q3551" s="3">
        <v>0</v>
      </c>
      <c r="R3551" s="22" t="s">
        <v>2723</v>
      </c>
      <c r="T3551" s="3" t="s">
        <v>4868</v>
      </c>
      <c r="U3551" s="45">
        <v>35</v>
      </c>
      <c r="V3551" t="s">
        <v>8191</v>
      </c>
      <c r="W3551" s="1" t="str">
        <f>HYPERLINK("http://ictvonline.org/taxonomy/p/taxonomy-history?taxnode_id=201905102","ICTVonline=201905102")</f>
        <v>ICTVonline=201905102</v>
      </c>
    </row>
    <row r="3552" spans="1:23">
      <c r="A3552" s="3">
        <v>3551</v>
      </c>
      <c r="B3552" s="1" t="s">
        <v>5910</v>
      </c>
      <c r="D3552" s="1" t="s">
        <v>8187</v>
      </c>
      <c r="F3552" s="1" t="s">
        <v>8208</v>
      </c>
      <c r="H3552" s="1" t="s">
        <v>8209</v>
      </c>
      <c r="J3552" s="1" t="s">
        <v>8211</v>
      </c>
      <c r="L3552" s="1" t="s">
        <v>841</v>
      </c>
      <c r="N3552" s="1" t="s">
        <v>842</v>
      </c>
      <c r="P3552" s="1" t="s">
        <v>1310</v>
      </c>
      <c r="Q3552" s="3">
        <v>0</v>
      </c>
      <c r="R3552" s="22" t="s">
        <v>2723</v>
      </c>
      <c r="T3552" s="3" t="s">
        <v>4868</v>
      </c>
      <c r="U3552" s="45">
        <v>35</v>
      </c>
      <c r="V3552" t="s">
        <v>8191</v>
      </c>
      <c r="W3552" s="1" t="str">
        <f>HYPERLINK("http://ictvonline.org/taxonomy/p/taxonomy-history?taxnode_id=201905103","ICTVonline=201905103")</f>
        <v>ICTVonline=201905103</v>
      </c>
    </row>
    <row r="3553" spans="1:23">
      <c r="A3553" s="3">
        <v>3552</v>
      </c>
      <c r="B3553" s="1" t="s">
        <v>5910</v>
      </c>
      <c r="D3553" s="1" t="s">
        <v>8187</v>
      </c>
      <c r="F3553" s="1" t="s">
        <v>8208</v>
      </c>
      <c r="H3553" s="1" t="s">
        <v>8209</v>
      </c>
      <c r="J3553" s="1" t="s">
        <v>8211</v>
      </c>
      <c r="L3553" s="1" t="s">
        <v>841</v>
      </c>
      <c r="N3553" s="1" t="s">
        <v>842</v>
      </c>
      <c r="P3553" s="1" t="s">
        <v>1311</v>
      </c>
      <c r="Q3553" s="3">
        <v>0</v>
      </c>
      <c r="R3553" s="22" t="s">
        <v>2723</v>
      </c>
      <c r="T3553" s="3" t="s">
        <v>4868</v>
      </c>
      <c r="U3553" s="45">
        <v>35</v>
      </c>
      <c r="V3553" t="s">
        <v>8191</v>
      </c>
      <c r="W3553" s="1" t="str">
        <f>HYPERLINK("http://ictvonline.org/taxonomy/p/taxonomy-history?taxnode_id=201905104","ICTVonline=201905104")</f>
        <v>ICTVonline=201905104</v>
      </c>
    </row>
    <row r="3554" spans="1:23">
      <c r="A3554" s="3">
        <v>3553</v>
      </c>
      <c r="B3554" s="1" t="s">
        <v>5910</v>
      </c>
      <c r="D3554" s="1" t="s">
        <v>8187</v>
      </c>
      <c r="F3554" s="1" t="s">
        <v>8208</v>
      </c>
      <c r="H3554" s="1" t="s">
        <v>8209</v>
      </c>
      <c r="J3554" s="1" t="s">
        <v>8211</v>
      </c>
      <c r="L3554" s="1" t="s">
        <v>841</v>
      </c>
      <c r="N3554" s="1" t="s">
        <v>842</v>
      </c>
      <c r="P3554" s="1" t="s">
        <v>1312</v>
      </c>
      <c r="Q3554" s="3">
        <v>0</v>
      </c>
      <c r="R3554" s="22" t="s">
        <v>2723</v>
      </c>
      <c r="T3554" s="3" t="s">
        <v>4868</v>
      </c>
      <c r="U3554" s="45">
        <v>35</v>
      </c>
      <c r="V3554" t="s">
        <v>8191</v>
      </c>
      <c r="W3554" s="1" t="str">
        <f>HYPERLINK("http://ictvonline.org/taxonomy/p/taxonomy-history?taxnode_id=201905105","ICTVonline=201905105")</f>
        <v>ICTVonline=201905105</v>
      </c>
    </row>
    <row r="3555" spans="1:23">
      <c r="A3555" s="3">
        <v>3554</v>
      </c>
      <c r="B3555" s="1" t="s">
        <v>5910</v>
      </c>
      <c r="D3555" s="1" t="s">
        <v>8187</v>
      </c>
      <c r="F3555" s="1" t="s">
        <v>8208</v>
      </c>
      <c r="H3555" s="1" t="s">
        <v>8209</v>
      </c>
      <c r="J3555" s="1" t="s">
        <v>8211</v>
      </c>
      <c r="L3555" s="1" t="s">
        <v>841</v>
      </c>
      <c r="N3555" s="1" t="s">
        <v>842</v>
      </c>
      <c r="P3555" s="1" t="s">
        <v>1313</v>
      </c>
      <c r="Q3555" s="3">
        <v>1</v>
      </c>
      <c r="R3555" s="22" t="s">
        <v>2723</v>
      </c>
      <c r="T3555" s="3" t="s">
        <v>4868</v>
      </c>
      <c r="U3555" s="45">
        <v>35</v>
      </c>
      <c r="V3555" t="s">
        <v>8191</v>
      </c>
      <c r="W3555" s="1" t="str">
        <f>HYPERLINK("http://ictvonline.org/taxonomy/p/taxonomy-history?taxnode_id=201905106","ICTVonline=201905106")</f>
        <v>ICTVonline=201905106</v>
      </c>
    </row>
    <row r="3556" spans="1:23">
      <c r="A3556" s="3">
        <v>3555</v>
      </c>
      <c r="B3556" s="1" t="s">
        <v>5910</v>
      </c>
      <c r="D3556" s="1" t="s">
        <v>8187</v>
      </c>
      <c r="F3556" s="1" t="s">
        <v>8208</v>
      </c>
      <c r="H3556" s="1" t="s">
        <v>8209</v>
      </c>
      <c r="J3556" s="1" t="s">
        <v>8211</v>
      </c>
      <c r="L3556" s="1" t="s">
        <v>841</v>
      </c>
      <c r="N3556" s="1" t="s">
        <v>842</v>
      </c>
      <c r="P3556" s="1" t="s">
        <v>1314</v>
      </c>
      <c r="Q3556" s="3">
        <v>0</v>
      </c>
      <c r="R3556" s="22" t="s">
        <v>2723</v>
      </c>
      <c r="T3556" s="3" t="s">
        <v>4868</v>
      </c>
      <c r="U3556" s="45">
        <v>35</v>
      </c>
      <c r="V3556" t="s">
        <v>8191</v>
      </c>
      <c r="W3556" s="1" t="str">
        <f>HYPERLINK("http://ictvonline.org/taxonomy/p/taxonomy-history?taxnode_id=201905107","ICTVonline=201905107")</f>
        <v>ICTVonline=201905107</v>
      </c>
    </row>
    <row r="3557" spans="1:23">
      <c r="A3557" s="3">
        <v>3556</v>
      </c>
      <c r="B3557" s="1" t="s">
        <v>5910</v>
      </c>
      <c r="D3557" s="1" t="s">
        <v>8187</v>
      </c>
      <c r="F3557" s="1" t="s">
        <v>8208</v>
      </c>
      <c r="H3557" s="1" t="s">
        <v>8209</v>
      </c>
      <c r="J3557" s="1" t="s">
        <v>8211</v>
      </c>
      <c r="L3557" s="1" t="s">
        <v>841</v>
      </c>
      <c r="N3557" s="1" t="s">
        <v>842</v>
      </c>
      <c r="P3557" s="1" t="s">
        <v>769</v>
      </c>
      <c r="Q3557" s="3">
        <v>0</v>
      </c>
      <c r="R3557" s="22" t="s">
        <v>2723</v>
      </c>
      <c r="T3557" s="3" t="s">
        <v>4868</v>
      </c>
      <c r="U3557" s="45">
        <v>35</v>
      </c>
      <c r="V3557" t="s">
        <v>8191</v>
      </c>
      <c r="W3557" s="1" t="str">
        <f>HYPERLINK("http://ictvonline.org/taxonomy/p/taxonomy-history?taxnode_id=201905108","ICTVonline=201905108")</f>
        <v>ICTVonline=201905108</v>
      </c>
    </row>
    <row r="3558" spans="1:23">
      <c r="A3558" s="3">
        <v>3557</v>
      </c>
      <c r="B3558" s="1" t="s">
        <v>5910</v>
      </c>
      <c r="D3558" s="1" t="s">
        <v>8187</v>
      </c>
      <c r="F3558" s="1" t="s">
        <v>8208</v>
      </c>
      <c r="H3558" s="1" t="s">
        <v>8209</v>
      </c>
      <c r="J3558" s="1" t="s">
        <v>8211</v>
      </c>
      <c r="L3558" s="1" t="s">
        <v>841</v>
      </c>
      <c r="N3558" s="1" t="s">
        <v>842</v>
      </c>
      <c r="P3558" s="1" t="s">
        <v>770</v>
      </c>
      <c r="Q3558" s="3">
        <v>0</v>
      </c>
      <c r="R3558" s="22" t="s">
        <v>2723</v>
      </c>
      <c r="T3558" s="3" t="s">
        <v>4868</v>
      </c>
      <c r="U3558" s="45">
        <v>35</v>
      </c>
      <c r="V3558" t="s">
        <v>8191</v>
      </c>
      <c r="W3558" s="1" t="str">
        <f>HYPERLINK("http://ictvonline.org/taxonomy/p/taxonomy-history?taxnode_id=201905109","ICTVonline=201905109")</f>
        <v>ICTVonline=201905109</v>
      </c>
    </row>
    <row r="3559" spans="1:23">
      <c r="A3559" s="3">
        <v>3558</v>
      </c>
      <c r="B3559" s="1" t="s">
        <v>5910</v>
      </c>
      <c r="D3559" s="1" t="s">
        <v>8187</v>
      </c>
      <c r="F3559" s="1" t="s">
        <v>8208</v>
      </c>
      <c r="H3559" s="1" t="s">
        <v>8209</v>
      </c>
      <c r="J3559" s="1" t="s">
        <v>8211</v>
      </c>
      <c r="L3559" s="1" t="s">
        <v>841</v>
      </c>
      <c r="N3559" s="1" t="s">
        <v>842</v>
      </c>
      <c r="P3559" s="1" t="s">
        <v>771</v>
      </c>
      <c r="Q3559" s="3">
        <v>0</v>
      </c>
      <c r="R3559" s="22" t="s">
        <v>2723</v>
      </c>
      <c r="T3559" s="3" t="s">
        <v>4868</v>
      </c>
      <c r="U3559" s="45">
        <v>35</v>
      </c>
      <c r="V3559" t="s">
        <v>8191</v>
      </c>
      <c r="W3559" s="1" t="str">
        <f>HYPERLINK("http://ictvonline.org/taxonomy/p/taxonomy-history?taxnode_id=201905110","ICTVonline=201905110")</f>
        <v>ICTVonline=201905110</v>
      </c>
    </row>
    <row r="3560" spans="1:23">
      <c r="A3560" s="3">
        <v>3559</v>
      </c>
      <c r="B3560" s="1" t="s">
        <v>5910</v>
      </c>
      <c r="D3560" s="1" t="s">
        <v>8187</v>
      </c>
      <c r="F3560" s="1" t="s">
        <v>8208</v>
      </c>
      <c r="H3560" s="1" t="s">
        <v>8209</v>
      </c>
      <c r="J3560" s="1" t="s">
        <v>8211</v>
      </c>
      <c r="L3560" s="1" t="s">
        <v>841</v>
      </c>
      <c r="N3560" s="1" t="s">
        <v>842</v>
      </c>
      <c r="P3560" s="1" t="s">
        <v>1796</v>
      </c>
      <c r="Q3560" s="3">
        <v>0</v>
      </c>
      <c r="R3560" s="22" t="s">
        <v>2723</v>
      </c>
      <c r="T3560" s="3" t="s">
        <v>4868</v>
      </c>
      <c r="U3560" s="45">
        <v>35</v>
      </c>
      <c r="V3560" t="s">
        <v>8191</v>
      </c>
      <c r="W3560" s="1" t="str">
        <f>HYPERLINK("http://ictvonline.org/taxonomy/p/taxonomy-history?taxnode_id=201905111","ICTVonline=201905111")</f>
        <v>ICTVonline=201905111</v>
      </c>
    </row>
    <row r="3561" spans="1:23">
      <c r="A3561" s="3">
        <v>3560</v>
      </c>
      <c r="B3561" s="1" t="s">
        <v>5910</v>
      </c>
      <c r="D3561" s="1" t="s">
        <v>8187</v>
      </c>
      <c r="F3561" s="1" t="s">
        <v>8208</v>
      </c>
      <c r="H3561" s="1" t="s">
        <v>8209</v>
      </c>
      <c r="J3561" s="1" t="s">
        <v>8211</v>
      </c>
      <c r="L3561" s="1" t="s">
        <v>841</v>
      </c>
      <c r="N3561" s="1" t="s">
        <v>842</v>
      </c>
      <c r="P3561" s="1" t="s">
        <v>1797</v>
      </c>
      <c r="Q3561" s="3">
        <v>0</v>
      </c>
      <c r="R3561" s="22" t="s">
        <v>2723</v>
      </c>
      <c r="T3561" s="3" t="s">
        <v>4868</v>
      </c>
      <c r="U3561" s="45">
        <v>35</v>
      </c>
      <c r="V3561" t="s">
        <v>8191</v>
      </c>
      <c r="W3561" s="1" t="str">
        <f>HYPERLINK("http://ictvonline.org/taxonomy/p/taxonomy-history?taxnode_id=201905112","ICTVonline=201905112")</f>
        <v>ICTVonline=201905112</v>
      </c>
    </row>
    <row r="3562" spans="1:23">
      <c r="A3562" s="3">
        <v>3561</v>
      </c>
      <c r="B3562" s="1" t="s">
        <v>5910</v>
      </c>
      <c r="D3562" s="1" t="s">
        <v>8187</v>
      </c>
      <c r="F3562" s="1" t="s">
        <v>8208</v>
      </c>
      <c r="H3562" s="1" t="s">
        <v>8209</v>
      </c>
      <c r="J3562" s="1" t="s">
        <v>8211</v>
      </c>
      <c r="L3562" s="1" t="s">
        <v>841</v>
      </c>
      <c r="N3562" s="1" t="s">
        <v>842</v>
      </c>
      <c r="P3562" s="1" t="s">
        <v>1798</v>
      </c>
      <c r="Q3562" s="3">
        <v>0</v>
      </c>
      <c r="R3562" s="22" t="s">
        <v>2723</v>
      </c>
      <c r="T3562" s="3" t="s">
        <v>4868</v>
      </c>
      <c r="U3562" s="45">
        <v>35</v>
      </c>
      <c r="V3562" t="s">
        <v>8191</v>
      </c>
      <c r="W3562" s="1" t="str">
        <f>HYPERLINK("http://ictvonline.org/taxonomy/p/taxonomy-history?taxnode_id=201905113","ICTVonline=201905113")</f>
        <v>ICTVonline=201905113</v>
      </c>
    </row>
    <row r="3563" spans="1:23">
      <c r="A3563" s="3">
        <v>3562</v>
      </c>
      <c r="B3563" s="1" t="s">
        <v>5910</v>
      </c>
      <c r="D3563" s="1" t="s">
        <v>8187</v>
      </c>
      <c r="F3563" s="1" t="s">
        <v>8208</v>
      </c>
      <c r="H3563" s="1" t="s">
        <v>8209</v>
      </c>
      <c r="J3563" s="1" t="s">
        <v>8211</v>
      </c>
      <c r="L3563" s="1" t="s">
        <v>1982</v>
      </c>
      <c r="N3563" s="1" t="s">
        <v>1252</v>
      </c>
      <c r="P3563" s="1" t="s">
        <v>1253</v>
      </c>
      <c r="Q3563" s="3">
        <v>0</v>
      </c>
      <c r="R3563" s="22" t="s">
        <v>2723</v>
      </c>
      <c r="T3563" s="3" t="s">
        <v>4868</v>
      </c>
      <c r="U3563" s="45">
        <v>35</v>
      </c>
      <c r="V3563" t="s">
        <v>8191</v>
      </c>
      <c r="W3563" s="1" t="str">
        <f>HYPERLINK("http://ictvonline.org/taxonomy/p/taxonomy-history?taxnode_id=201905397","ICTVonline=201905397")</f>
        <v>ICTVonline=201905397</v>
      </c>
    </row>
    <row r="3564" spans="1:23">
      <c r="A3564" s="3">
        <v>3563</v>
      </c>
      <c r="B3564" s="1" t="s">
        <v>5910</v>
      </c>
      <c r="D3564" s="1" t="s">
        <v>8187</v>
      </c>
      <c r="F3564" s="1" t="s">
        <v>8208</v>
      </c>
      <c r="H3564" s="1" t="s">
        <v>8209</v>
      </c>
      <c r="J3564" s="1" t="s">
        <v>8211</v>
      </c>
      <c r="L3564" s="1" t="s">
        <v>1982</v>
      </c>
      <c r="N3564" s="1" t="s">
        <v>1252</v>
      </c>
      <c r="P3564" s="1" t="s">
        <v>214</v>
      </c>
      <c r="Q3564" s="3">
        <v>0</v>
      </c>
      <c r="R3564" s="22" t="s">
        <v>2723</v>
      </c>
      <c r="T3564" s="3" t="s">
        <v>4868</v>
      </c>
      <c r="U3564" s="45">
        <v>35</v>
      </c>
      <c r="V3564" t="s">
        <v>8191</v>
      </c>
      <c r="W3564" s="1" t="str">
        <f>HYPERLINK("http://ictvonline.org/taxonomy/p/taxonomy-history?taxnode_id=201905398","ICTVonline=201905398")</f>
        <v>ICTVonline=201905398</v>
      </c>
    </row>
    <row r="3565" spans="1:23">
      <c r="A3565" s="3">
        <v>3564</v>
      </c>
      <c r="B3565" s="1" t="s">
        <v>5910</v>
      </c>
      <c r="D3565" s="1" t="s">
        <v>8187</v>
      </c>
      <c r="F3565" s="1" t="s">
        <v>8208</v>
      </c>
      <c r="H3565" s="1" t="s">
        <v>8209</v>
      </c>
      <c r="J3565" s="1" t="s">
        <v>8211</v>
      </c>
      <c r="L3565" s="1" t="s">
        <v>1982</v>
      </c>
      <c r="N3565" s="1" t="s">
        <v>1252</v>
      </c>
      <c r="P3565" s="1" t="s">
        <v>1254</v>
      </c>
      <c r="Q3565" s="3">
        <v>0</v>
      </c>
      <c r="R3565" s="22" t="s">
        <v>2723</v>
      </c>
      <c r="T3565" s="3" t="s">
        <v>4868</v>
      </c>
      <c r="U3565" s="45">
        <v>35</v>
      </c>
      <c r="V3565" t="s">
        <v>8191</v>
      </c>
      <c r="W3565" s="1" t="str">
        <f>HYPERLINK("http://ictvonline.org/taxonomy/p/taxonomy-history?taxnode_id=201905399","ICTVonline=201905399")</f>
        <v>ICTVonline=201905399</v>
      </c>
    </row>
    <row r="3566" spans="1:23">
      <c r="A3566" s="3">
        <v>3565</v>
      </c>
      <c r="B3566" s="1" t="s">
        <v>5910</v>
      </c>
      <c r="D3566" s="1" t="s">
        <v>8187</v>
      </c>
      <c r="F3566" s="1" t="s">
        <v>8208</v>
      </c>
      <c r="H3566" s="1" t="s">
        <v>8209</v>
      </c>
      <c r="J3566" s="1" t="s">
        <v>8211</v>
      </c>
      <c r="L3566" s="1" t="s">
        <v>1982</v>
      </c>
      <c r="N3566" s="1" t="s">
        <v>1252</v>
      </c>
      <c r="P3566" s="1" t="s">
        <v>1255</v>
      </c>
      <c r="Q3566" s="3">
        <v>0</v>
      </c>
      <c r="R3566" s="22" t="s">
        <v>2723</v>
      </c>
      <c r="T3566" s="3" t="s">
        <v>4868</v>
      </c>
      <c r="U3566" s="45">
        <v>35</v>
      </c>
      <c r="V3566" t="s">
        <v>8191</v>
      </c>
      <c r="W3566" s="1" t="str">
        <f>HYPERLINK("http://ictvonline.org/taxonomy/p/taxonomy-history?taxnode_id=201905400","ICTVonline=201905400")</f>
        <v>ICTVonline=201905400</v>
      </c>
    </row>
    <row r="3567" spans="1:23">
      <c r="A3567" s="3">
        <v>3566</v>
      </c>
      <c r="B3567" s="1" t="s">
        <v>5910</v>
      </c>
      <c r="D3567" s="1" t="s">
        <v>8187</v>
      </c>
      <c r="F3567" s="1" t="s">
        <v>8208</v>
      </c>
      <c r="H3567" s="1" t="s">
        <v>8209</v>
      </c>
      <c r="J3567" s="1" t="s">
        <v>8211</v>
      </c>
      <c r="L3567" s="1" t="s">
        <v>1982</v>
      </c>
      <c r="N3567" s="1" t="s">
        <v>1252</v>
      </c>
      <c r="P3567" s="1" t="s">
        <v>1256</v>
      </c>
      <c r="Q3567" s="3">
        <v>1</v>
      </c>
      <c r="R3567" s="22" t="s">
        <v>2723</v>
      </c>
      <c r="T3567" s="3" t="s">
        <v>4868</v>
      </c>
      <c r="U3567" s="45">
        <v>35</v>
      </c>
      <c r="V3567" t="s">
        <v>8191</v>
      </c>
      <c r="W3567" s="1" t="str">
        <f>HYPERLINK("http://ictvonline.org/taxonomy/p/taxonomy-history?taxnode_id=201905401","ICTVonline=201905401")</f>
        <v>ICTVonline=201905401</v>
      </c>
    </row>
    <row r="3568" spans="1:23">
      <c r="A3568" s="3">
        <v>3567</v>
      </c>
      <c r="B3568" s="1" t="s">
        <v>5910</v>
      </c>
      <c r="D3568" s="1" t="s">
        <v>8187</v>
      </c>
      <c r="F3568" s="1" t="s">
        <v>8208</v>
      </c>
      <c r="H3568" s="1" t="s">
        <v>8209</v>
      </c>
      <c r="J3568" s="1" t="s">
        <v>8211</v>
      </c>
      <c r="L3568" s="1" t="s">
        <v>1982</v>
      </c>
      <c r="N3568" s="1" t="s">
        <v>1252</v>
      </c>
      <c r="P3568" s="1" t="s">
        <v>272</v>
      </c>
      <c r="Q3568" s="3">
        <v>0</v>
      </c>
      <c r="R3568" s="22" t="s">
        <v>2723</v>
      </c>
      <c r="T3568" s="3" t="s">
        <v>4868</v>
      </c>
      <c r="U3568" s="45">
        <v>35</v>
      </c>
      <c r="V3568" t="s">
        <v>8191</v>
      </c>
      <c r="W3568" s="1" t="str">
        <f>HYPERLINK("http://ictvonline.org/taxonomy/p/taxonomy-history?taxnode_id=201905402","ICTVonline=201905402")</f>
        <v>ICTVonline=201905402</v>
      </c>
    </row>
    <row r="3569" spans="1:23">
      <c r="A3569" s="3">
        <v>3568</v>
      </c>
      <c r="B3569" s="1" t="s">
        <v>5910</v>
      </c>
      <c r="D3569" s="1" t="s">
        <v>8187</v>
      </c>
      <c r="F3569" s="1" t="s">
        <v>8208</v>
      </c>
      <c r="H3569" s="1" t="s">
        <v>8209</v>
      </c>
      <c r="J3569" s="1" t="s">
        <v>8211</v>
      </c>
      <c r="L3569" s="1" t="s">
        <v>1982</v>
      </c>
      <c r="N3569" s="1" t="s">
        <v>3992</v>
      </c>
      <c r="P3569" s="1" t="s">
        <v>3993</v>
      </c>
      <c r="Q3569" s="3">
        <v>0</v>
      </c>
      <c r="R3569" s="22" t="s">
        <v>2723</v>
      </c>
      <c r="T3569" s="3" t="s">
        <v>4868</v>
      </c>
      <c r="U3569" s="45">
        <v>35</v>
      </c>
      <c r="V3569" t="s">
        <v>8191</v>
      </c>
      <c r="W3569" s="1" t="str">
        <f>HYPERLINK("http://ictvonline.org/taxonomy/p/taxonomy-history?taxnode_id=201905404","ICTVonline=201905404")</f>
        <v>ICTVonline=201905404</v>
      </c>
    </row>
    <row r="3570" spans="1:23">
      <c r="A3570" s="3">
        <v>3569</v>
      </c>
      <c r="B3570" s="1" t="s">
        <v>5910</v>
      </c>
      <c r="D3570" s="1" t="s">
        <v>8187</v>
      </c>
      <c r="F3570" s="1" t="s">
        <v>8208</v>
      </c>
      <c r="H3570" s="1" t="s">
        <v>8209</v>
      </c>
      <c r="J3570" s="1" t="s">
        <v>8211</v>
      </c>
      <c r="L3570" s="1" t="s">
        <v>1982</v>
      </c>
      <c r="N3570" s="1" t="s">
        <v>3992</v>
      </c>
      <c r="P3570" s="1" t="s">
        <v>3994</v>
      </c>
      <c r="Q3570" s="3">
        <v>1</v>
      </c>
      <c r="R3570" s="22" t="s">
        <v>2723</v>
      </c>
      <c r="T3570" s="3" t="s">
        <v>4868</v>
      </c>
      <c r="U3570" s="45">
        <v>35</v>
      </c>
      <c r="V3570" t="s">
        <v>8191</v>
      </c>
      <c r="W3570" s="1" t="str">
        <f>HYPERLINK("http://ictvonline.org/taxonomy/p/taxonomy-history?taxnode_id=201905405","ICTVonline=201905405")</f>
        <v>ICTVonline=201905405</v>
      </c>
    </row>
    <row r="3571" spans="1:23">
      <c r="A3571" s="3">
        <v>3570</v>
      </c>
      <c r="B3571" s="1" t="s">
        <v>5910</v>
      </c>
      <c r="D3571" s="1" t="s">
        <v>8187</v>
      </c>
      <c r="F3571" s="1" t="s">
        <v>8208</v>
      </c>
      <c r="H3571" s="1" t="s">
        <v>8209</v>
      </c>
      <c r="J3571" s="1" t="s">
        <v>8211</v>
      </c>
      <c r="L3571" s="1" t="s">
        <v>1982</v>
      </c>
      <c r="N3571" s="1" t="s">
        <v>258</v>
      </c>
      <c r="P3571" s="1" t="s">
        <v>259</v>
      </c>
      <c r="Q3571" s="3">
        <v>0</v>
      </c>
      <c r="R3571" s="22" t="s">
        <v>2723</v>
      </c>
      <c r="T3571" s="3" t="s">
        <v>4868</v>
      </c>
      <c r="U3571" s="45">
        <v>35</v>
      </c>
      <c r="V3571" t="s">
        <v>8191</v>
      </c>
      <c r="W3571" s="1" t="str">
        <f>HYPERLINK("http://ictvonline.org/taxonomy/p/taxonomy-history?taxnode_id=201905407","ICTVonline=201905407")</f>
        <v>ICTVonline=201905407</v>
      </c>
    </row>
    <row r="3572" spans="1:23">
      <c r="A3572" s="3">
        <v>3571</v>
      </c>
      <c r="B3572" s="1" t="s">
        <v>5910</v>
      </c>
      <c r="D3572" s="1" t="s">
        <v>8187</v>
      </c>
      <c r="F3572" s="1" t="s">
        <v>8208</v>
      </c>
      <c r="H3572" s="1" t="s">
        <v>8209</v>
      </c>
      <c r="J3572" s="1" t="s">
        <v>8211</v>
      </c>
      <c r="L3572" s="1" t="s">
        <v>1982</v>
      </c>
      <c r="N3572" s="1" t="s">
        <v>258</v>
      </c>
      <c r="P3572" s="1" t="s">
        <v>260</v>
      </c>
      <c r="Q3572" s="3">
        <v>1</v>
      </c>
      <c r="R3572" s="22" t="s">
        <v>2723</v>
      </c>
      <c r="T3572" s="3" t="s">
        <v>4868</v>
      </c>
      <c r="U3572" s="45">
        <v>35</v>
      </c>
      <c r="V3572" t="s">
        <v>8191</v>
      </c>
      <c r="W3572" s="1" t="str">
        <f>HYPERLINK("http://ictvonline.org/taxonomy/p/taxonomy-history?taxnode_id=201905408","ICTVonline=201905408")</f>
        <v>ICTVonline=201905408</v>
      </c>
    </row>
    <row r="3573" spans="1:23">
      <c r="A3573" s="3">
        <v>3572</v>
      </c>
      <c r="B3573" s="1" t="s">
        <v>5910</v>
      </c>
      <c r="D3573" s="1" t="s">
        <v>8187</v>
      </c>
      <c r="F3573" s="1" t="s">
        <v>8208</v>
      </c>
      <c r="H3573" s="1" t="s">
        <v>8209</v>
      </c>
      <c r="J3573" s="1" t="s">
        <v>8211</v>
      </c>
      <c r="L3573" s="1" t="s">
        <v>1982</v>
      </c>
      <c r="N3573" s="1" t="s">
        <v>258</v>
      </c>
      <c r="P3573" s="1" t="s">
        <v>261</v>
      </c>
      <c r="Q3573" s="3">
        <v>0</v>
      </c>
      <c r="R3573" s="22" t="s">
        <v>2723</v>
      </c>
      <c r="T3573" s="3" t="s">
        <v>4868</v>
      </c>
      <c r="U3573" s="45">
        <v>35</v>
      </c>
      <c r="V3573" t="s">
        <v>8191</v>
      </c>
      <c r="W3573" s="1" t="str">
        <f>HYPERLINK("http://ictvonline.org/taxonomy/p/taxonomy-history?taxnode_id=201905409","ICTVonline=201905409")</f>
        <v>ICTVonline=201905409</v>
      </c>
    </row>
    <row r="3574" spans="1:23">
      <c r="A3574" s="3">
        <v>3573</v>
      </c>
      <c r="B3574" s="1" t="s">
        <v>5910</v>
      </c>
      <c r="D3574" s="1" t="s">
        <v>8187</v>
      </c>
      <c r="F3574" s="1" t="s">
        <v>8208</v>
      </c>
      <c r="H3574" s="1" t="s">
        <v>8209</v>
      </c>
      <c r="J3574" s="1" t="s">
        <v>8211</v>
      </c>
      <c r="L3574" s="1" t="s">
        <v>1982</v>
      </c>
      <c r="N3574" s="1" t="s">
        <v>258</v>
      </c>
      <c r="P3574" s="1" t="s">
        <v>262</v>
      </c>
      <c r="Q3574" s="3">
        <v>0</v>
      </c>
      <c r="R3574" s="22" t="s">
        <v>2723</v>
      </c>
      <c r="T3574" s="3" t="s">
        <v>4868</v>
      </c>
      <c r="U3574" s="45">
        <v>35</v>
      </c>
      <c r="V3574" t="s">
        <v>8191</v>
      </c>
      <c r="W3574" s="1" t="str">
        <f>HYPERLINK("http://ictvonline.org/taxonomy/p/taxonomy-history?taxnode_id=201905410","ICTVonline=201905410")</f>
        <v>ICTVonline=201905410</v>
      </c>
    </row>
    <row r="3575" spans="1:23">
      <c r="A3575" s="3">
        <v>3574</v>
      </c>
      <c r="B3575" s="1" t="s">
        <v>5910</v>
      </c>
      <c r="D3575" s="1" t="s">
        <v>8187</v>
      </c>
      <c r="F3575" s="1" t="s">
        <v>8208</v>
      </c>
      <c r="H3575" s="1" t="s">
        <v>8209</v>
      </c>
      <c r="J3575" s="1" t="s">
        <v>8211</v>
      </c>
      <c r="L3575" s="1" t="s">
        <v>1982</v>
      </c>
      <c r="N3575" s="1" t="s">
        <v>269</v>
      </c>
      <c r="P3575" s="1" t="s">
        <v>270</v>
      </c>
      <c r="Q3575" s="3">
        <v>0</v>
      </c>
      <c r="R3575" s="22" t="s">
        <v>2723</v>
      </c>
      <c r="T3575" s="3" t="s">
        <v>4868</v>
      </c>
      <c r="U3575" s="45">
        <v>35</v>
      </c>
      <c r="V3575" t="s">
        <v>8191</v>
      </c>
      <c r="W3575" s="1" t="str">
        <f>HYPERLINK("http://ictvonline.org/taxonomy/p/taxonomy-history?taxnode_id=201905412","ICTVonline=201905412")</f>
        <v>ICTVonline=201905412</v>
      </c>
    </row>
    <row r="3576" spans="1:23">
      <c r="A3576" s="3">
        <v>3575</v>
      </c>
      <c r="B3576" s="1" t="s">
        <v>5910</v>
      </c>
      <c r="D3576" s="1" t="s">
        <v>8187</v>
      </c>
      <c r="F3576" s="1" t="s">
        <v>8208</v>
      </c>
      <c r="H3576" s="1" t="s">
        <v>8209</v>
      </c>
      <c r="J3576" s="1" t="s">
        <v>8211</v>
      </c>
      <c r="L3576" s="1" t="s">
        <v>1982</v>
      </c>
      <c r="N3576" s="1" t="s">
        <v>269</v>
      </c>
      <c r="P3576" s="1" t="s">
        <v>271</v>
      </c>
      <c r="Q3576" s="3">
        <v>1</v>
      </c>
      <c r="R3576" s="22" t="s">
        <v>2723</v>
      </c>
      <c r="T3576" s="3" t="s">
        <v>4868</v>
      </c>
      <c r="U3576" s="45">
        <v>35</v>
      </c>
      <c r="V3576" t="s">
        <v>8191</v>
      </c>
      <c r="W3576" s="1" t="str">
        <f>HYPERLINK("http://ictvonline.org/taxonomy/p/taxonomy-history?taxnode_id=201905413","ICTVonline=201905413")</f>
        <v>ICTVonline=201905413</v>
      </c>
    </row>
    <row r="3577" spans="1:23">
      <c r="A3577" s="3">
        <v>3576</v>
      </c>
      <c r="B3577" s="1" t="s">
        <v>5910</v>
      </c>
      <c r="D3577" s="1" t="s">
        <v>8187</v>
      </c>
      <c r="F3577" s="1" t="s">
        <v>8208</v>
      </c>
      <c r="H3577" s="1" t="s">
        <v>8209</v>
      </c>
      <c r="J3577" s="1" t="s">
        <v>8211</v>
      </c>
      <c r="L3577" s="1" t="s">
        <v>1982</v>
      </c>
      <c r="N3577" s="1" t="s">
        <v>397</v>
      </c>
      <c r="P3577" s="1" t="s">
        <v>398</v>
      </c>
      <c r="Q3577" s="3">
        <v>0</v>
      </c>
      <c r="R3577" s="22" t="s">
        <v>2723</v>
      </c>
      <c r="T3577" s="3" t="s">
        <v>4868</v>
      </c>
      <c r="U3577" s="45">
        <v>35</v>
      </c>
      <c r="V3577" t="s">
        <v>8191</v>
      </c>
      <c r="W3577" s="1" t="str">
        <f>HYPERLINK("http://ictvonline.org/taxonomy/p/taxonomy-history?taxnode_id=201905415","ICTVonline=201905415")</f>
        <v>ICTVonline=201905415</v>
      </c>
    </row>
    <row r="3578" spans="1:23">
      <c r="A3578" s="3">
        <v>3577</v>
      </c>
      <c r="B3578" s="1" t="s">
        <v>5910</v>
      </c>
      <c r="D3578" s="1" t="s">
        <v>8187</v>
      </c>
      <c r="F3578" s="1" t="s">
        <v>8208</v>
      </c>
      <c r="H3578" s="1" t="s">
        <v>8209</v>
      </c>
      <c r="J3578" s="1" t="s">
        <v>8211</v>
      </c>
      <c r="L3578" s="1" t="s">
        <v>1982</v>
      </c>
      <c r="N3578" s="1" t="s">
        <v>397</v>
      </c>
      <c r="P3578" s="1" t="s">
        <v>399</v>
      </c>
      <c r="Q3578" s="3">
        <v>0</v>
      </c>
      <c r="R3578" s="22" t="s">
        <v>2723</v>
      </c>
      <c r="T3578" s="3" t="s">
        <v>4868</v>
      </c>
      <c r="U3578" s="45">
        <v>35</v>
      </c>
      <c r="V3578" t="s">
        <v>8191</v>
      </c>
      <c r="W3578" s="1" t="str">
        <f>HYPERLINK("http://ictvonline.org/taxonomy/p/taxonomy-history?taxnode_id=201905416","ICTVonline=201905416")</f>
        <v>ICTVonline=201905416</v>
      </c>
    </row>
    <row r="3579" spans="1:23">
      <c r="A3579" s="3">
        <v>3578</v>
      </c>
      <c r="B3579" s="1" t="s">
        <v>5910</v>
      </c>
      <c r="D3579" s="1" t="s">
        <v>8187</v>
      </c>
      <c r="F3579" s="1" t="s">
        <v>8208</v>
      </c>
      <c r="H3579" s="1" t="s">
        <v>8209</v>
      </c>
      <c r="J3579" s="1" t="s">
        <v>8211</v>
      </c>
      <c r="L3579" s="1" t="s">
        <v>1982</v>
      </c>
      <c r="N3579" s="1" t="s">
        <v>397</v>
      </c>
      <c r="P3579" s="1" t="s">
        <v>400</v>
      </c>
      <c r="Q3579" s="3">
        <v>0</v>
      </c>
      <c r="R3579" s="22" t="s">
        <v>2723</v>
      </c>
      <c r="T3579" s="3" t="s">
        <v>4868</v>
      </c>
      <c r="U3579" s="45">
        <v>35</v>
      </c>
      <c r="V3579" t="s">
        <v>8191</v>
      </c>
      <c r="W3579" s="1" t="str">
        <f>HYPERLINK("http://ictvonline.org/taxonomy/p/taxonomy-history?taxnode_id=201905417","ICTVonline=201905417")</f>
        <v>ICTVonline=201905417</v>
      </c>
    </row>
    <row r="3580" spans="1:23">
      <c r="A3580" s="3">
        <v>3579</v>
      </c>
      <c r="B3580" s="1" t="s">
        <v>5910</v>
      </c>
      <c r="D3580" s="1" t="s">
        <v>8187</v>
      </c>
      <c r="F3580" s="1" t="s">
        <v>8208</v>
      </c>
      <c r="H3580" s="1" t="s">
        <v>8209</v>
      </c>
      <c r="J3580" s="1" t="s">
        <v>8211</v>
      </c>
      <c r="L3580" s="1" t="s">
        <v>1982</v>
      </c>
      <c r="N3580" s="1" t="s">
        <v>397</v>
      </c>
      <c r="P3580" s="1" t="s">
        <v>4862</v>
      </c>
      <c r="Q3580" s="3">
        <v>0</v>
      </c>
      <c r="R3580" s="22" t="s">
        <v>2723</v>
      </c>
      <c r="T3580" s="3" t="s">
        <v>4868</v>
      </c>
      <c r="U3580" s="45">
        <v>35</v>
      </c>
      <c r="V3580" t="s">
        <v>8191</v>
      </c>
      <c r="W3580" s="1" t="str">
        <f>HYPERLINK("http://ictvonline.org/taxonomy/p/taxonomy-history?taxnode_id=201905418","ICTVonline=201905418")</f>
        <v>ICTVonline=201905418</v>
      </c>
    </row>
    <row r="3581" spans="1:23">
      <c r="A3581" s="3">
        <v>3580</v>
      </c>
      <c r="B3581" s="1" t="s">
        <v>5910</v>
      </c>
      <c r="D3581" s="1" t="s">
        <v>8187</v>
      </c>
      <c r="F3581" s="1" t="s">
        <v>8208</v>
      </c>
      <c r="H3581" s="1" t="s">
        <v>8209</v>
      </c>
      <c r="J3581" s="1" t="s">
        <v>8211</v>
      </c>
      <c r="L3581" s="1" t="s">
        <v>1982</v>
      </c>
      <c r="N3581" s="1" t="s">
        <v>397</v>
      </c>
      <c r="P3581" s="1" t="s">
        <v>401</v>
      </c>
      <c r="Q3581" s="3">
        <v>1</v>
      </c>
      <c r="R3581" s="22" t="s">
        <v>2723</v>
      </c>
      <c r="T3581" s="3" t="s">
        <v>4868</v>
      </c>
      <c r="U3581" s="45">
        <v>35</v>
      </c>
      <c r="V3581" t="s">
        <v>8191</v>
      </c>
      <c r="W3581" s="1" t="str">
        <f>HYPERLINK("http://ictvonline.org/taxonomy/p/taxonomy-history?taxnode_id=201905419","ICTVonline=201905419")</f>
        <v>ICTVonline=201905419</v>
      </c>
    </row>
    <row r="3582" spans="1:23">
      <c r="A3582" s="3">
        <v>3581</v>
      </c>
      <c r="B3582" s="1" t="s">
        <v>5910</v>
      </c>
      <c r="D3582" s="1" t="s">
        <v>8187</v>
      </c>
      <c r="F3582" s="1" t="s">
        <v>8208</v>
      </c>
      <c r="H3582" s="1" t="s">
        <v>8209</v>
      </c>
      <c r="J3582" s="1" t="s">
        <v>8211</v>
      </c>
      <c r="L3582" s="1" t="s">
        <v>1982</v>
      </c>
      <c r="N3582" s="1" t="s">
        <v>438</v>
      </c>
      <c r="P3582" s="1" t="s">
        <v>2269</v>
      </c>
      <c r="Q3582" s="3">
        <v>0</v>
      </c>
      <c r="R3582" s="22" t="s">
        <v>2723</v>
      </c>
      <c r="T3582" s="3" t="s">
        <v>4868</v>
      </c>
      <c r="U3582" s="45">
        <v>35</v>
      </c>
      <c r="V3582" t="s">
        <v>8191</v>
      </c>
      <c r="W3582" s="1" t="str">
        <f>HYPERLINK("http://ictvonline.org/taxonomy/p/taxonomy-history?taxnode_id=201905421","ICTVonline=201905421")</f>
        <v>ICTVonline=201905421</v>
      </c>
    </row>
    <row r="3583" spans="1:23">
      <c r="A3583" s="3">
        <v>3582</v>
      </c>
      <c r="B3583" s="1" t="s">
        <v>5910</v>
      </c>
      <c r="D3583" s="1" t="s">
        <v>8187</v>
      </c>
      <c r="F3583" s="1" t="s">
        <v>8208</v>
      </c>
      <c r="H3583" s="1" t="s">
        <v>8209</v>
      </c>
      <c r="J3583" s="1" t="s">
        <v>8211</v>
      </c>
      <c r="L3583" s="1" t="s">
        <v>1982</v>
      </c>
      <c r="N3583" s="1" t="s">
        <v>438</v>
      </c>
      <c r="P3583" s="1" t="s">
        <v>1514</v>
      </c>
      <c r="Q3583" s="3">
        <v>0</v>
      </c>
      <c r="R3583" s="22" t="s">
        <v>2723</v>
      </c>
      <c r="T3583" s="3" t="s">
        <v>4868</v>
      </c>
      <c r="U3583" s="45">
        <v>35</v>
      </c>
      <c r="V3583" t="s">
        <v>8191</v>
      </c>
      <c r="W3583" s="1" t="str">
        <f>HYPERLINK("http://ictvonline.org/taxonomy/p/taxonomy-history?taxnode_id=201905422","ICTVonline=201905422")</f>
        <v>ICTVonline=201905422</v>
      </c>
    </row>
    <row r="3584" spans="1:23">
      <c r="A3584" s="3">
        <v>3583</v>
      </c>
      <c r="B3584" s="1" t="s">
        <v>5910</v>
      </c>
      <c r="D3584" s="1" t="s">
        <v>8187</v>
      </c>
      <c r="F3584" s="1" t="s">
        <v>8208</v>
      </c>
      <c r="H3584" s="1" t="s">
        <v>8209</v>
      </c>
      <c r="J3584" s="1" t="s">
        <v>8211</v>
      </c>
      <c r="L3584" s="1" t="s">
        <v>1982</v>
      </c>
      <c r="N3584" s="1" t="s">
        <v>438</v>
      </c>
      <c r="P3584" s="1" t="s">
        <v>2270</v>
      </c>
      <c r="Q3584" s="3">
        <v>0</v>
      </c>
      <c r="R3584" s="22" t="s">
        <v>2723</v>
      </c>
      <c r="T3584" s="3" t="s">
        <v>4868</v>
      </c>
      <c r="U3584" s="45">
        <v>35</v>
      </c>
      <c r="V3584" t="s">
        <v>8191</v>
      </c>
      <c r="W3584" s="1" t="str">
        <f>HYPERLINK("http://ictvonline.org/taxonomy/p/taxonomy-history?taxnode_id=201905423","ICTVonline=201905423")</f>
        <v>ICTVonline=201905423</v>
      </c>
    </row>
    <row r="3585" spans="1:23">
      <c r="A3585" s="3">
        <v>3584</v>
      </c>
      <c r="B3585" s="1" t="s">
        <v>5910</v>
      </c>
      <c r="D3585" s="1" t="s">
        <v>8187</v>
      </c>
      <c r="F3585" s="1" t="s">
        <v>8208</v>
      </c>
      <c r="H3585" s="1" t="s">
        <v>8209</v>
      </c>
      <c r="J3585" s="1" t="s">
        <v>8211</v>
      </c>
      <c r="L3585" s="1" t="s">
        <v>1982</v>
      </c>
      <c r="N3585" s="1" t="s">
        <v>438</v>
      </c>
      <c r="P3585" s="1" t="s">
        <v>2271</v>
      </c>
      <c r="Q3585" s="3">
        <v>0</v>
      </c>
      <c r="R3585" s="22" t="s">
        <v>2723</v>
      </c>
      <c r="T3585" s="3" t="s">
        <v>4868</v>
      </c>
      <c r="U3585" s="45">
        <v>35</v>
      </c>
      <c r="V3585" t="s">
        <v>8191</v>
      </c>
      <c r="W3585" s="1" t="str">
        <f>HYPERLINK("http://ictvonline.org/taxonomy/p/taxonomy-history?taxnode_id=201905424","ICTVonline=201905424")</f>
        <v>ICTVonline=201905424</v>
      </c>
    </row>
    <row r="3586" spans="1:23">
      <c r="A3586" s="3">
        <v>3585</v>
      </c>
      <c r="B3586" s="1" t="s">
        <v>5910</v>
      </c>
      <c r="D3586" s="1" t="s">
        <v>8187</v>
      </c>
      <c r="F3586" s="1" t="s">
        <v>8208</v>
      </c>
      <c r="H3586" s="1" t="s">
        <v>8209</v>
      </c>
      <c r="J3586" s="1" t="s">
        <v>8211</v>
      </c>
      <c r="L3586" s="1" t="s">
        <v>1982</v>
      </c>
      <c r="N3586" s="1" t="s">
        <v>438</v>
      </c>
      <c r="P3586" s="1" t="s">
        <v>439</v>
      </c>
      <c r="Q3586" s="3">
        <v>0</v>
      </c>
      <c r="R3586" s="22" t="s">
        <v>2723</v>
      </c>
      <c r="T3586" s="3" t="s">
        <v>4868</v>
      </c>
      <c r="U3586" s="45">
        <v>35</v>
      </c>
      <c r="V3586" t="s">
        <v>8191</v>
      </c>
      <c r="W3586" s="1" t="str">
        <f>HYPERLINK("http://ictvonline.org/taxonomy/p/taxonomy-history?taxnode_id=201905425","ICTVonline=201905425")</f>
        <v>ICTVonline=201905425</v>
      </c>
    </row>
    <row r="3587" spans="1:23">
      <c r="A3587" s="3">
        <v>3586</v>
      </c>
      <c r="B3587" s="1" t="s">
        <v>5910</v>
      </c>
      <c r="D3587" s="1" t="s">
        <v>8187</v>
      </c>
      <c r="F3587" s="1" t="s">
        <v>8208</v>
      </c>
      <c r="H3587" s="1" t="s">
        <v>8209</v>
      </c>
      <c r="J3587" s="1" t="s">
        <v>8211</v>
      </c>
      <c r="L3587" s="1" t="s">
        <v>1982</v>
      </c>
      <c r="N3587" s="1" t="s">
        <v>438</v>
      </c>
      <c r="P3587" s="1" t="s">
        <v>440</v>
      </c>
      <c r="Q3587" s="3">
        <v>0</v>
      </c>
      <c r="R3587" s="22" t="s">
        <v>2723</v>
      </c>
      <c r="T3587" s="3" t="s">
        <v>4868</v>
      </c>
      <c r="U3587" s="45">
        <v>35</v>
      </c>
      <c r="V3587" t="s">
        <v>8191</v>
      </c>
      <c r="W3587" s="1" t="str">
        <f>HYPERLINK("http://ictvonline.org/taxonomy/p/taxonomy-history?taxnode_id=201905426","ICTVonline=201905426")</f>
        <v>ICTVonline=201905426</v>
      </c>
    </row>
    <row r="3588" spans="1:23">
      <c r="A3588" s="3">
        <v>3587</v>
      </c>
      <c r="B3588" s="1" t="s">
        <v>5910</v>
      </c>
      <c r="D3588" s="1" t="s">
        <v>8187</v>
      </c>
      <c r="F3588" s="1" t="s">
        <v>8208</v>
      </c>
      <c r="H3588" s="1" t="s">
        <v>8209</v>
      </c>
      <c r="J3588" s="1" t="s">
        <v>8211</v>
      </c>
      <c r="L3588" s="1" t="s">
        <v>1982</v>
      </c>
      <c r="N3588" s="1" t="s">
        <v>438</v>
      </c>
      <c r="P3588" s="1" t="s">
        <v>2272</v>
      </c>
      <c r="Q3588" s="3">
        <v>0</v>
      </c>
      <c r="R3588" s="22" t="s">
        <v>2723</v>
      </c>
      <c r="T3588" s="3" t="s">
        <v>4868</v>
      </c>
      <c r="U3588" s="45">
        <v>35</v>
      </c>
      <c r="V3588" t="s">
        <v>8191</v>
      </c>
      <c r="W3588" s="1" t="str">
        <f>HYPERLINK("http://ictvonline.org/taxonomy/p/taxonomy-history?taxnode_id=201905427","ICTVonline=201905427")</f>
        <v>ICTVonline=201905427</v>
      </c>
    </row>
    <row r="3589" spans="1:23">
      <c r="A3589" s="3">
        <v>3588</v>
      </c>
      <c r="B3589" s="1" t="s">
        <v>5910</v>
      </c>
      <c r="D3589" s="1" t="s">
        <v>8187</v>
      </c>
      <c r="F3589" s="1" t="s">
        <v>8208</v>
      </c>
      <c r="H3589" s="1" t="s">
        <v>8209</v>
      </c>
      <c r="J3589" s="1" t="s">
        <v>8211</v>
      </c>
      <c r="L3589" s="1" t="s">
        <v>1982</v>
      </c>
      <c r="N3589" s="1" t="s">
        <v>438</v>
      </c>
      <c r="P3589" s="1" t="s">
        <v>441</v>
      </c>
      <c r="Q3589" s="3">
        <v>0</v>
      </c>
      <c r="R3589" s="22" t="s">
        <v>2723</v>
      </c>
      <c r="T3589" s="3" t="s">
        <v>4868</v>
      </c>
      <c r="U3589" s="45">
        <v>35</v>
      </c>
      <c r="V3589" t="s">
        <v>8191</v>
      </c>
      <c r="W3589" s="1" t="str">
        <f>HYPERLINK("http://ictvonline.org/taxonomy/p/taxonomy-history?taxnode_id=201905428","ICTVonline=201905428")</f>
        <v>ICTVonline=201905428</v>
      </c>
    </row>
    <row r="3590" spans="1:23">
      <c r="A3590" s="3">
        <v>3589</v>
      </c>
      <c r="B3590" s="1" t="s">
        <v>5910</v>
      </c>
      <c r="D3590" s="1" t="s">
        <v>8187</v>
      </c>
      <c r="F3590" s="1" t="s">
        <v>8208</v>
      </c>
      <c r="H3590" s="1" t="s">
        <v>8209</v>
      </c>
      <c r="J3590" s="1" t="s">
        <v>8211</v>
      </c>
      <c r="L3590" s="1" t="s">
        <v>1982</v>
      </c>
      <c r="N3590" s="1" t="s">
        <v>438</v>
      </c>
      <c r="P3590" s="1" t="s">
        <v>442</v>
      </c>
      <c r="Q3590" s="3">
        <v>0</v>
      </c>
      <c r="R3590" s="22" t="s">
        <v>2723</v>
      </c>
      <c r="T3590" s="3" t="s">
        <v>4868</v>
      </c>
      <c r="U3590" s="45">
        <v>35</v>
      </c>
      <c r="V3590" t="s">
        <v>8191</v>
      </c>
      <c r="W3590" s="1" t="str">
        <f>HYPERLINK("http://ictvonline.org/taxonomy/p/taxonomy-history?taxnode_id=201905429","ICTVonline=201905429")</f>
        <v>ICTVonline=201905429</v>
      </c>
    </row>
    <row r="3591" spans="1:23">
      <c r="A3591" s="3">
        <v>3590</v>
      </c>
      <c r="B3591" s="1" t="s">
        <v>5910</v>
      </c>
      <c r="D3591" s="1" t="s">
        <v>8187</v>
      </c>
      <c r="F3591" s="1" t="s">
        <v>8208</v>
      </c>
      <c r="H3591" s="1" t="s">
        <v>8209</v>
      </c>
      <c r="J3591" s="1" t="s">
        <v>8211</v>
      </c>
      <c r="L3591" s="1" t="s">
        <v>1982</v>
      </c>
      <c r="N3591" s="1" t="s">
        <v>438</v>
      </c>
      <c r="P3591" s="1" t="s">
        <v>443</v>
      </c>
      <c r="Q3591" s="3">
        <v>0</v>
      </c>
      <c r="R3591" s="22" t="s">
        <v>2723</v>
      </c>
      <c r="T3591" s="3" t="s">
        <v>4868</v>
      </c>
      <c r="U3591" s="45">
        <v>35</v>
      </c>
      <c r="V3591" t="s">
        <v>8191</v>
      </c>
      <c r="W3591" s="1" t="str">
        <f>HYPERLINK("http://ictvonline.org/taxonomy/p/taxonomy-history?taxnode_id=201905430","ICTVonline=201905430")</f>
        <v>ICTVonline=201905430</v>
      </c>
    </row>
    <row r="3592" spans="1:23">
      <c r="A3592" s="3">
        <v>3591</v>
      </c>
      <c r="B3592" s="1" t="s">
        <v>5910</v>
      </c>
      <c r="D3592" s="1" t="s">
        <v>8187</v>
      </c>
      <c r="F3592" s="1" t="s">
        <v>8208</v>
      </c>
      <c r="H3592" s="1" t="s">
        <v>8209</v>
      </c>
      <c r="J3592" s="1" t="s">
        <v>8211</v>
      </c>
      <c r="L3592" s="1" t="s">
        <v>1982</v>
      </c>
      <c r="N3592" s="1" t="s">
        <v>438</v>
      </c>
      <c r="P3592" s="1" t="s">
        <v>444</v>
      </c>
      <c r="Q3592" s="3">
        <v>0</v>
      </c>
      <c r="R3592" s="22" t="s">
        <v>2723</v>
      </c>
      <c r="T3592" s="3" t="s">
        <v>4868</v>
      </c>
      <c r="U3592" s="45">
        <v>35</v>
      </c>
      <c r="V3592" t="s">
        <v>8191</v>
      </c>
      <c r="W3592" s="1" t="str">
        <f>HYPERLINK("http://ictvonline.org/taxonomy/p/taxonomy-history?taxnode_id=201905431","ICTVonline=201905431")</f>
        <v>ICTVonline=201905431</v>
      </c>
    </row>
    <row r="3593" spans="1:23">
      <c r="A3593" s="3">
        <v>3592</v>
      </c>
      <c r="B3593" s="1" t="s">
        <v>5910</v>
      </c>
      <c r="D3593" s="1" t="s">
        <v>8187</v>
      </c>
      <c r="F3593" s="1" t="s">
        <v>8208</v>
      </c>
      <c r="H3593" s="1" t="s">
        <v>8209</v>
      </c>
      <c r="J3593" s="1" t="s">
        <v>8211</v>
      </c>
      <c r="L3593" s="1" t="s">
        <v>1982</v>
      </c>
      <c r="N3593" s="1" t="s">
        <v>438</v>
      </c>
      <c r="P3593" s="1" t="s">
        <v>2273</v>
      </c>
      <c r="Q3593" s="3">
        <v>0</v>
      </c>
      <c r="R3593" s="22" t="s">
        <v>2723</v>
      </c>
      <c r="T3593" s="3" t="s">
        <v>4868</v>
      </c>
      <c r="U3593" s="45">
        <v>35</v>
      </c>
      <c r="V3593" t="s">
        <v>8191</v>
      </c>
      <c r="W3593" s="1" t="str">
        <f>HYPERLINK("http://ictvonline.org/taxonomy/p/taxonomy-history?taxnode_id=201905432","ICTVonline=201905432")</f>
        <v>ICTVonline=201905432</v>
      </c>
    </row>
    <row r="3594" spans="1:23">
      <c r="A3594" s="3">
        <v>3593</v>
      </c>
      <c r="B3594" s="1" t="s">
        <v>5910</v>
      </c>
      <c r="D3594" s="1" t="s">
        <v>8187</v>
      </c>
      <c r="F3594" s="1" t="s">
        <v>8208</v>
      </c>
      <c r="H3594" s="1" t="s">
        <v>8209</v>
      </c>
      <c r="J3594" s="1" t="s">
        <v>8211</v>
      </c>
      <c r="L3594" s="1" t="s">
        <v>1982</v>
      </c>
      <c r="N3594" s="1" t="s">
        <v>438</v>
      </c>
      <c r="P3594" s="1" t="s">
        <v>424</v>
      </c>
      <c r="Q3594" s="3">
        <v>0</v>
      </c>
      <c r="R3594" s="22" t="s">
        <v>2723</v>
      </c>
      <c r="T3594" s="3" t="s">
        <v>4868</v>
      </c>
      <c r="U3594" s="45">
        <v>35</v>
      </c>
      <c r="V3594" t="s">
        <v>8191</v>
      </c>
      <c r="W3594" s="1" t="str">
        <f>HYPERLINK("http://ictvonline.org/taxonomy/p/taxonomy-history?taxnode_id=201905433","ICTVonline=201905433")</f>
        <v>ICTVonline=201905433</v>
      </c>
    </row>
    <row r="3595" spans="1:23">
      <c r="A3595" s="3">
        <v>3594</v>
      </c>
      <c r="B3595" s="1" t="s">
        <v>5910</v>
      </c>
      <c r="D3595" s="1" t="s">
        <v>8187</v>
      </c>
      <c r="F3595" s="1" t="s">
        <v>8208</v>
      </c>
      <c r="H3595" s="1" t="s">
        <v>8209</v>
      </c>
      <c r="J3595" s="1" t="s">
        <v>8211</v>
      </c>
      <c r="L3595" s="1" t="s">
        <v>1982</v>
      </c>
      <c r="N3595" s="1" t="s">
        <v>438</v>
      </c>
      <c r="P3595" s="1" t="s">
        <v>425</v>
      </c>
      <c r="Q3595" s="3">
        <v>0</v>
      </c>
      <c r="R3595" s="22" t="s">
        <v>2723</v>
      </c>
      <c r="T3595" s="3" t="s">
        <v>4868</v>
      </c>
      <c r="U3595" s="45">
        <v>35</v>
      </c>
      <c r="V3595" t="s">
        <v>8191</v>
      </c>
      <c r="W3595" s="1" t="str">
        <f>HYPERLINK("http://ictvonline.org/taxonomy/p/taxonomy-history?taxnode_id=201905434","ICTVonline=201905434")</f>
        <v>ICTVonline=201905434</v>
      </c>
    </row>
    <row r="3596" spans="1:23">
      <c r="A3596" s="3">
        <v>3595</v>
      </c>
      <c r="B3596" s="1" t="s">
        <v>5910</v>
      </c>
      <c r="D3596" s="1" t="s">
        <v>8187</v>
      </c>
      <c r="F3596" s="1" t="s">
        <v>8208</v>
      </c>
      <c r="H3596" s="1" t="s">
        <v>8209</v>
      </c>
      <c r="J3596" s="1" t="s">
        <v>8211</v>
      </c>
      <c r="L3596" s="1" t="s">
        <v>1982</v>
      </c>
      <c r="N3596" s="1" t="s">
        <v>438</v>
      </c>
      <c r="P3596" s="1" t="s">
        <v>5577</v>
      </c>
      <c r="Q3596" s="3">
        <v>0</v>
      </c>
      <c r="R3596" s="22" t="s">
        <v>2723</v>
      </c>
      <c r="T3596" s="3" t="s">
        <v>4868</v>
      </c>
      <c r="U3596" s="45">
        <v>35</v>
      </c>
      <c r="V3596" t="s">
        <v>8191</v>
      </c>
      <c r="W3596" s="1" t="str">
        <f>HYPERLINK("http://ictvonline.org/taxonomy/p/taxonomy-history?taxnode_id=201905442","ICTVonline=201905442")</f>
        <v>ICTVonline=201905442</v>
      </c>
    </row>
    <row r="3597" spans="1:23">
      <c r="A3597" s="3">
        <v>3596</v>
      </c>
      <c r="B3597" s="1" t="s">
        <v>5910</v>
      </c>
      <c r="D3597" s="1" t="s">
        <v>8187</v>
      </c>
      <c r="F3597" s="1" t="s">
        <v>8208</v>
      </c>
      <c r="H3597" s="1" t="s">
        <v>8209</v>
      </c>
      <c r="J3597" s="1" t="s">
        <v>8211</v>
      </c>
      <c r="L3597" s="1" t="s">
        <v>1982</v>
      </c>
      <c r="N3597" s="1" t="s">
        <v>438</v>
      </c>
      <c r="P3597" s="1" t="s">
        <v>426</v>
      </c>
      <c r="Q3597" s="3">
        <v>0</v>
      </c>
      <c r="R3597" s="22" t="s">
        <v>2723</v>
      </c>
      <c r="T3597" s="3" t="s">
        <v>4868</v>
      </c>
      <c r="U3597" s="45">
        <v>35</v>
      </c>
      <c r="V3597" t="s">
        <v>8191</v>
      </c>
      <c r="W3597" s="1" t="str">
        <f>HYPERLINK("http://ictvonline.org/taxonomy/p/taxonomy-history?taxnode_id=201905435","ICTVonline=201905435")</f>
        <v>ICTVonline=201905435</v>
      </c>
    </row>
    <row r="3598" spans="1:23">
      <c r="A3598" s="3">
        <v>3597</v>
      </c>
      <c r="B3598" s="1" t="s">
        <v>5910</v>
      </c>
      <c r="D3598" s="1" t="s">
        <v>8187</v>
      </c>
      <c r="F3598" s="1" t="s">
        <v>8208</v>
      </c>
      <c r="H3598" s="1" t="s">
        <v>8209</v>
      </c>
      <c r="J3598" s="1" t="s">
        <v>8211</v>
      </c>
      <c r="L3598" s="1" t="s">
        <v>1982</v>
      </c>
      <c r="N3598" s="1" t="s">
        <v>438</v>
      </c>
      <c r="P3598" s="1" t="s">
        <v>2274</v>
      </c>
      <c r="Q3598" s="3">
        <v>0</v>
      </c>
      <c r="R3598" s="22" t="s">
        <v>2723</v>
      </c>
      <c r="T3598" s="3" t="s">
        <v>4868</v>
      </c>
      <c r="U3598" s="45">
        <v>35</v>
      </c>
      <c r="V3598" t="s">
        <v>8191</v>
      </c>
      <c r="W3598" s="1" t="str">
        <f>HYPERLINK("http://ictvonline.org/taxonomy/p/taxonomy-history?taxnode_id=201905436","ICTVonline=201905436")</f>
        <v>ICTVonline=201905436</v>
      </c>
    </row>
    <row r="3599" spans="1:23">
      <c r="A3599" s="3">
        <v>3598</v>
      </c>
      <c r="B3599" s="1" t="s">
        <v>5910</v>
      </c>
      <c r="D3599" s="1" t="s">
        <v>8187</v>
      </c>
      <c r="F3599" s="1" t="s">
        <v>8208</v>
      </c>
      <c r="H3599" s="1" t="s">
        <v>8209</v>
      </c>
      <c r="J3599" s="1" t="s">
        <v>8211</v>
      </c>
      <c r="L3599" s="1" t="s">
        <v>1982</v>
      </c>
      <c r="N3599" s="1" t="s">
        <v>438</v>
      </c>
      <c r="P3599" s="1" t="s">
        <v>301</v>
      </c>
      <c r="Q3599" s="3">
        <v>0</v>
      </c>
      <c r="R3599" s="22" t="s">
        <v>2723</v>
      </c>
      <c r="T3599" s="3" t="s">
        <v>4868</v>
      </c>
      <c r="U3599" s="45">
        <v>35</v>
      </c>
      <c r="V3599" t="s">
        <v>8191</v>
      </c>
      <c r="W3599" s="1" t="str">
        <f>HYPERLINK("http://ictvonline.org/taxonomy/p/taxonomy-history?taxnode_id=201905437","ICTVonline=201905437")</f>
        <v>ICTVonline=201905437</v>
      </c>
    </row>
    <row r="3600" spans="1:23">
      <c r="A3600" s="3">
        <v>3599</v>
      </c>
      <c r="B3600" s="1" t="s">
        <v>5910</v>
      </c>
      <c r="D3600" s="1" t="s">
        <v>8187</v>
      </c>
      <c r="F3600" s="1" t="s">
        <v>8208</v>
      </c>
      <c r="H3600" s="1" t="s">
        <v>8209</v>
      </c>
      <c r="J3600" s="1" t="s">
        <v>8211</v>
      </c>
      <c r="L3600" s="1" t="s">
        <v>1982</v>
      </c>
      <c r="N3600" s="1" t="s">
        <v>438</v>
      </c>
      <c r="P3600" s="1" t="s">
        <v>4863</v>
      </c>
      <c r="Q3600" s="3">
        <v>0</v>
      </c>
      <c r="R3600" s="22" t="s">
        <v>2723</v>
      </c>
      <c r="T3600" s="3" t="s">
        <v>4868</v>
      </c>
      <c r="U3600" s="45">
        <v>35</v>
      </c>
      <c r="V3600" t="s">
        <v>8191</v>
      </c>
      <c r="W3600" s="1" t="str">
        <f>HYPERLINK("http://ictvonline.org/taxonomy/p/taxonomy-history?taxnode_id=201905438","ICTVonline=201905438")</f>
        <v>ICTVonline=201905438</v>
      </c>
    </row>
    <row r="3601" spans="1:23">
      <c r="A3601" s="3">
        <v>3600</v>
      </c>
      <c r="B3601" s="1" t="s">
        <v>5910</v>
      </c>
      <c r="D3601" s="1" t="s">
        <v>8187</v>
      </c>
      <c r="F3601" s="1" t="s">
        <v>8208</v>
      </c>
      <c r="H3601" s="1" t="s">
        <v>8209</v>
      </c>
      <c r="J3601" s="1" t="s">
        <v>8211</v>
      </c>
      <c r="L3601" s="1" t="s">
        <v>1982</v>
      </c>
      <c r="N3601" s="1" t="s">
        <v>438</v>
      </c>
      <c r="P3601" s="1" t="s">
        <v>2275</v>
      </c>
      <c r="Q3601" s="3">
        <v>0</v>
      </c>
      <c r="R3601" s="22" t="s">
        <v>2723</v>
      </c>
      <c r="T3601" s="3" t="s">
        <v>4868</v>
      </c>
      <c r="U3601" s="45">
        <v>35</v>
      </c>
      <c r="V3601" t="s">
        <v>8191</v>
      </c>
      <c r="W3601" s="1" t="str">
        <f>HYPERLINK("http://ictvonline.org/taxonomy/p/taxonomy-history?taxnode_id=201905439","ICTVonline=201905439")</f>
        <v>ICTVonline=201905439</v>
      </c>
    </row>
    <row r="3602" spans="1:23">
      <c r="A3602" s="3">
        <v>3601</v>
      </c>
      <c r="B3602" s="1" t="s">
        <v>5910</v>
      </c>
      <c r="D3602" s="1" t="s">
        <v>8187</v>
      </c>
      <c r="F3602" s="1" t="s">
        <v>8208</v>
      </c>
      <c r="H3602" s="1" t="s">
        <v>8209</v>
      </c>
      <c r="J3602" s="1" t="s">
        <v>8211</v>
      </c>
      <c r="L3602" s="1" t="s">
        <v>1982</v>
      </c>
      <c r="N3602" s="1" t="s">
        <v>438</v>
      </c>
      <c r="P3602" s="1" t="s">
        <v>1513</v>
      </c>
      <c r="Q3602" s="3">
        <v>0</v>
      </c>
      <c r="R3602" s="22" t="s">
        <v>2723</v>
      </c>
      <c r="T3602" s="3" t="s">
        <v>4868</v>
      </c>
      <c r="U3602" s="45">
        <v>35</v>
      </c>
      <c r="V3602" t="s">
        <v>8191</v>
      </c>
      <c r="W3602" s="1" t="str">
        <f>HYPERLINK("http://ictvonline.org/taxonomy/p/taxonomy-history?taxnode_id=201905440","ICTVonline=201905440")</f>
        <v>ICTVonline=201905440</v>
      </c>
    </row>
    <row r="3603" spans="1:23">
      <c r="A3603" s="3">
        <v>3602</v>
      </c>
      <c r="B3603" s="1" t="s">
        <v>5910</v>
      </c>
      <c r="D3603" s="1" t="s">
        <v>8187</v>
      </c>
      <c r="F3603" s="1" t="s">
        <v>8208</v>
      </c>
      <c r="H3603" s="1" t="s">
        <v>8209</v>
      </c>
      <c r="J3603" s="1" t="s">
        <v>8211</v>
      </c>
      <c r="L3603" s="1" t="s">
        <v>1982</v>
      </c>
      <c r="N3603" s="1" t="s">
        <v>438</v>
      </c>
      <c r="P3603" s="1" t="s">
        <v>302</v>
      </c>
      <c r="Q3603" s="3">
        <v>0</v>
      </c>
      <c r="R3603" s="22" t="s">
        <v>2723</v>
      </c>
      <c r="T3603" s="3" t="s">
        <v>4868</v>
      </c>
      <c r="U3603" s="45">
        <v>35</v>
      </c>
      <c r="V3603" t="s">
        <v>8191</v>
      </c>
      <c r="W3603" s="1" t="str">
        <f>HYPERLINK("http://ictvonline.org/taxonomy/p/taxonomy-history?taxnode_id=201905441","ICTVonline=201905441")</f>
        <v>ICTVonline=201905441</v>
      </c>
    </row>
    <row r="3604" spans="1:23">
      <c r="A3604" s="3">
        <v>3603</v>
      </c>
      <c r="B3604" s="1" t="s">
        <v>5910</v>
      </c>
      <c r="D3604" s="1" t="s">
        <v>8187</v>
      </c>
      <c r="F3604" s="1" t="s">
        <v>8208</v>
      </c>
      <c r="H3604" s="1" t="s">
        <v>8209</v>
      </c>
      <c r="J3604" s="1" t="s">
        <v>8211</v>
      </c>
      <c r="L3604" s="1" t="s">
        <v>1982</v>
      </c>
      <c r="N3604" s="1" t="s">
        <v>438</v>
      </c>
      <c r="P3604" s="1" t="s">
        <v>1515</v>
      </c>
      <c r="Q3604" s="3">
        <v>0</v>
      </c>
      <c r="R3604" s="22" t="s">
        <v>2723</v>
      </c>
      <c r="T3604" s="3" t="s">
        <v>4868</v>
      </c>
      <c r="U3604" s="45">
        <v>35</v>
      </c>
      <c r="V3604" t="s">
        <v>8191</v>
      </c>
      <c r="W3604" s="1" t="str">
        <f>HYPERLINK("http://ictvonline.org/taxonomy/p/taxonomy-history?taxnode_id=201905443","ICTVonline=201905443")</f>
        <v>ICTVonline=201905443</v>
      </c>
    </row>
    <row r="3605" spans="1:23">
      <c r="A3605" s="3">
        <v>3604</v>
      </c>
      <c r="B3605" s="1" t="s">
        <v>5910</v>
      </c>
      <c r="D3605" s="1" t="s">
        <v>8187</v>
      </c>
      <c r="F3605" s="1" t="s">
        <v>8208</v>
      </c>
      <c r="H3605" s="1" t="s">
        <v>8209</v>
      </c>
      <c r="J3605" s="1" t="s">
        <v>8211</v>
      </c>
      <c r="L3605" s="1" t="s">
        <v>1982</v>
      </c>
      <c r="N3605" s="1" t="s">
        <v>438</v>
      </c>
      <c r="P3605" s="1" t="s">
        <v>303</v>
      </c>
      <c r="Q3605" s="3">
        <v>0</v>
      </c>
      <c r="R3605" s="22" t="s">
        <v>2723</v>
      </c>
      <c r="T3605" s="3" t="s">
        <v>4868</v>
      </c>
      <c r="U3605" s="45">
        <v>35</v>
      </c>
      <c r="V3605" t="s">
        <v>8191</v>
      </c>
      <c r="W3605" s="1" t="str">
        <f>HYPERLINK("http://ictvonline.org/taxonomy/p/taxonomy-history?taxnode_id=201905444","ICTVonline=201905444")</f>
        <v>ICTVonline=201905444</v>
      </c>
    </row>
    <row r="3606" spans="1:23">
      <c r="A3606" s="3">
        <v>3605</v>
      </c>
      <c r="B3606" s="1" t="s">
        <v>5910</v>
      </c>
      <c r="D3606" s="1" t="s">
        <v>8187</v>
      </c>
      <c r="F3606" s="1" t="s">
        <v>8208</v>
      </c>
      <c r="H3606" s="1" t="s">
        <v>8209</v>
      </c>
      <c r="J3606" s="1" t="s">
        <v>8211</v>
      </c>
      <c r="L3606" s="1" t="s">
        <v>1982</v>
      </c>
      <c r="N3606" s="1" t="s">
        <v>438</v>
      </c>
      <c r="P3606" s="1" t="s">
        <v>1170</v>
      </c>
      <c r="Q3606" s="3">
        <v>0</v>
      </c>
      <c r="R3606" s="22" t="s">
        <v>2723</v>
      </c>
      <c r="T3606" s="3" t="s">
        <v>4868</v>
      </c>
      <c r="U3606" s="45">
        <v>35</v>
      </c>
      <c r="V3606" t="s">
        <v>8191</v>
      </c>
      <c r="W3606" s="1" t="str">
        <f>HYPERLINK("http://ictvonline.org/taxonomy/p/taxonomy-history?taxnode_id=201905445","ICTVonline=201905445")</f>
        <v>ICTVonline=201905445</v>
      </c>
    </row>
    <row r="3607" spans="1:23">
      <c r="A3607" s="3">
        <v>3606</v>
      </c>
      <c r="B3607" s="1" t="s">
        <v>5910</v>
      </c>
      <c r="D3607" s="1" t="s">
        <v>8187</v>
      </c>
      <c r="F3607" s="1" t="s">
        <v>8208</v>
      </c>
      <c r="H3607" s="1" t="s">
        <v>8209</v>
      </c>
      <c r="J3607" s="1" t="s">
        <v>8211</v>
      </c>
      <c r="L3607" s="1" t="s">
        <v>1982</v>
      </c>
      <c r="N3607" s="1" t="s">
        <v>438</v>
      </c>
      <c r="P3607" s="1" t="s">
        <v>1688</v>
      </c>
      <c r="Q3607" s="3">
        <v>0</v>
      </c>
      <c r="R3607" s="22" t="s">
        <v>2723</v>
      </c>
      <c r="T3607" s="3" t="s">
        <v>4868</v>
      </c>
      <c r="U3607" s="45">
        <v>35</v>
      </c>
      <c r="V3607" t="s">
        <v>8191</v>
      </c>
      <c r="W3607" s="1" t="str">
        <f>HYPERLINK("http://ictvonline.org/taxonomy/p/taxonomy-history?taxnode_id=201905446","ICTVonline=201905446")</f>
        <v>ICTVonline=201905446</v>
      </c>
    </row>
    <row r="3608" spans="1:23">
      <c r="A3608" s="3">
        <v>3607</v>
      </c>
      <c r="B3608" s="1" t="s">
        <v>5910</v>
      </c>
      <c r="D3608" s="1" t="s">
        <v>8187</v>
      </c>
      <c r="F3608" s="1" t="s">
        <v>8208</v>
      </c>
      <c r="H3608" s="1" t="s">
        <v>8209</v>
      </c>
      <c r="J3608" s="1" t="s">
        <v>8211</v>
      </c>
      <c r="L3608" s="1" t="s">
        <v>1982</v>
      </c>
      <c r="N3608" s="1" t="s">
        <v>438</v>
      </c>
      <c r="P3608" s="1" t="s">
        <v>1689</v>
      </c>
      <c r="Q3608" s="3">
        <v>1</v>
      </c>
      <c r="R3608" s="22" t="s">
        <v>2723</v>
      </c>
      <c r="T3608" s="3" t="s">
        <v>4868</v>
      </c>
      <c r="U3608" s="45">
        <v>35</v>
      </c>
      <c r="V3608" t="s">
        <v>8191</v>
      </c>
      <c r="W3608" s="1" t="str">
        <f>HYPERLINK("http://ictvonline.org/taxonomy/p/taxonomy-history?taxnode_id=201905447","ICTVonline=201905447")</f>
        <v>ICTVonline=201905447</v>
      </c>
    </row>
    <row r="3609" spans="1:23">
      <c r="A3609" s="3">
        <v>3608</v>
      </c>
      <c r="B3609" s="1" t="s">
        <v>5910</v>
      </c>
      <c r="D3609" s="1" t="s">
        <v>8187</v>
      </c>
      <c r="F3609" s="1" t="s">
        <v>8208</v>
      </c>
      <c r="H3609" s="1" t="s">
        <v>8209</v>
      </c>
      <c r="J3609" s="1" t="s">
        <v>8211</v>
      </c>
      <c r="L3609" s="1" t="s">
        <v>1982</v>
      </c>
      <c r="N3609" s="1" t="s">
        <v>438</v>
      </c>
      <c r="P3609" s="1" t="s">
        <v>4864</v>
      </c>
      <c r="Q3609" s="3">
        <v>0</v>
      </c>
      <c r="R3609" s="22" t="s">
        <v>2723</v>
      </c>
      <c r="T3609" s="3" t="s">
        <v>4868</v>
      </c>
      <c r="U3609" s="45">
        <v>35</v>
      </c>
      <c r="V3609" t="s">
        <v>8191</v>
      </c>
      <c r="W3609" s="1" t="str">
        <f>HYPERLINK("http://ictvonline.org/taxonomy/p/taxonomy-history?taxnode_id=201905448","ICTVonline=201905448")</f>
        <v>ICTVonline=201905448</v>
      </c>
    </row>
    <row r="3610" spans="1:23">
      <c r="A3610" s="3">
        <v>3609</v>
      </c>
      <c r="B3610" s="1" t="s">
        <v>5910</v>
      </c>
      <c r="D3610" s="1" t="s">
        <v>8187</v>
      </c>
      <c r="F3610" s="1" t="s">
        <v>8208</v>
      </c>
      <c r="H3610" s="1" t="s">
        <v>8209</v>
      </c>
      <c r="J3610" s="1" t="s">
        <v>8211</v>
      </c>
      <c r="L3610" s="1" t="s">
        <v>1982</v>
      </c>
      <c r="N3610" s="1" t="s">
        <v>438</v>
      </c>
      <c r="P3610" s="1" t="s">
        <v>1690</v>
      </c>
      <c r="Q3610" s="3">
        <v>0</v>
      </c>
      <c r="R3610" s="22" t="s">
        <v>2723</v>
      </c>
      <c r="T3610" s="3" t="s">
        <v>4868</v>
      </c>
      <c r="U3610" s="45">
        <v>35</v>
      </c>
      <c r="V3610" t="s">
        <v>8191</v>
      </c>
      <c r="W3610" s="1" t="str">
        <f>HYPERLINK("http://ictvonline.org/taxonomy/p/taxonomy-history?taxnode_id=201905449","ICTVonline=201905449")</f>
        <v>ICTVonline=201905449</v>
      </c>
    </row>
    <row r="3611" spans="1:23">
      <c r="A3611" s="3">
        <v>3610</v>
      </c>
      <c r="B3611" s="1" t="s">
        <v>5910</v>
      </c>
      <c r="D3611" s="1" t="s">
        <v>8187</v>
      </c>
      <c r="F3611" s="1" t="s">
        <v>8208</v>
      </c>
      <c r="H3611" s="1" t="s">
        <v>8209</v>
      </c>
      <c r="J3611" s="1" t="s">
        <v>8211</v>
      </c>
      <c r="L3611" s="1" t="s">
        <v>1982</v>
      </c>
      <c r="N3611" s="1" t="s">
        <v>438</v>
      </c>
      <c r="P3611" s="1" t="s">
        <v>2716</v>
      </c>
      <c r="Q3611" s="3">
        <v>0</v>
      </c>
      <c r="R3611" s="22" t="s">
        <v>2723</v>
      </c>
      <c r="T3611" s="3" t="s">
        <v>4868</v>
      </c>
      <c r="U3611" s="45">
        <v>35</v>
      </c>
      <c r="V3611" t="s">
        <v>8191</v>
      </c>
      <c r="W3611" s="1" t="str">
        <f>HYPERLINK("http://ictvonline.org/taxonomy/p/taxonomy-history?taxnode_id=201905450","ICTVonline=201905450")</f>
        <v>ICTVonline=201905450</v>
      </c>
    </row>
    <row r="3612" spans="1:23">
      <c r="A3612" s="3">
        <v>3611</v>
      </c>
      <c r="B3612" s="1" t="s">
        <v>5910</v>
      </c>
      <c r="D3612" s="1" t="s">
        <v>8187</v>
      </c>
      <c r="F3612" s="1" t="s">
        <v>8208</v>
      </c>
      <c r="H3612" s="1" t="s">
        <v>8209</v>
      </c>
      <c r="J3612" s="1" t="s">
        <v>8211</v>
      </c>
      <c r="L3612" s="1" t="s">
        <v>1982</v>
      </c>
      <c r="N3612" s="1" t="s">
        <v>438</v>
      </c>
      <c r="P3612" s="1" t="s">
        <v>2276</v>
      </c>
      <c r="Q3612" s="3">
        <v>0</v>
      </c>
      <c r="R3612" s="22" t="s">
        <v>2723</v>
      </c>
      <c r="T3612" s="3" t="s">
        <v>4868</v>
      </c>
      <c r="U3612" s="45">
        <v>35</v>
      </c>
      <c r="V3612" t="s">
        <v>8191</v>
      </c>
      <c r="W3612" s="1" t="str">
        <f>HYPERLINK("http://ictvonline.org/taxonomy/p/taxonomy-history?taxnode_id=201905451","ICTVonline=201905451")</f>
        <v>ICTVonline=201905451</v>
      </c>
    </row>
    <row r="3613" spans="1:23">
      <c r="A3613" s="3">
        <v>3612</v>
      </c>
      <c r="B3613" s="1" t="s">
        <v>5910</v>
      </c>
      <c r="D3613" s="1" t="s">
        <v>8187</v>
      </c>
      <c r="F3613" s="1" t="s">
        <v>8208</v>
      </c>
      <c r="H3613" s="1" t="s">
        <v>8209</v>
      </c>
      <c r="J3613" s="1" t="s">
        <v>8211</v>
      </c>
      <c r="L3613" s="1" t="s">
        <v>1982</v>
      </c>
      <c r="N3613" s="1" t="s">
        <v>438</v>
      </c>
      <c r="P3613" s="1" t="s">
        <v>1691</v>
      </c>
      <c r="Q3613" s="3">
        <v>0</v>
      </c>
      <c r="R3613" s="22" t="s">
        <v>2723</v>
      </c>
      <c r="T3613" s="3" t="s">
        <v>4868</v>
      </c>
      <c r="U3613" s="45">
        <v>35</v>
      </c>
      <c r="V3613" t="s">
        <v>8191</v>
      </c>
      <c r="W3613" s="1" t="str">
        <f>HYPERLINK("http://ictvonline.org/taxonomy/p/taxonomy-history?taxnode_id=201905452","ICTVonline=201905452")</f>
        <v>ICTVonline=201905452</v>
      </c>
    </row>
    <row r="3614" spans="1:23">
      <c r="A3614" s="3">
        <v>3613</v>
      </c>
      <c r="B3614" s="1" t="s">
        <v>5910</v>
      </c>
      <c r="D3614" s="1" t="s">
        <v>8187</v>
      </c>
      <c r="F3614" s="1" t="s">
        <v>8208</v>
      </c>
      <c r="H3614" s="1" t="s">
        <v>8209</v>
      </c>
      <c r="J3614" s="1" t="s">
        <v>8211</v>
      </c>
      <c r="L3614" s="1" t="s">
        <v>1982</v>
      </c>
      <c r="N3614" s="1" t="s">
        <v>438</v>
      </c>
      <c r="P3614" s="1" t="s">
        <v>1692</v>
      </c>
      <c r="Q3614" s="3">
        <v>0</v>
      </c>
      <c r="R3614" s="22" t="s">
        <v>2723</v>
      </c>
      <c r="T3614" s="3" t="s">
        <v>4868</v>
      </c>
      <c r="U3614" s="45">
        <v>35</v>
      </c>
      <c r="V3614" t="s">
        <v>8191</v>
      </c>
      <c r="W3614" s="1" t="str">
        <f>HYPERLINK("http://ictvonline.org/taxonomy/p/taxonomy-history?taxnode_id=201905453","ICTVonline=201905453")</f>
        <v>ICTVonline=201905453</v>
      </c>
    </row>
    <row r="3615" spans="1:23">
      <c r="A3615" s="3">
        <v>3614</v>
      </c>
      <c r="B3615" s="1" t="s">
        <v>5910</v>
      </c>
      <c r="D3615" s="1" t="s">
        <v>8187</v>
      </c>
      <c r="F3615" s="1" t="s">
        <v>8208</v>
      </c>
      <c r="H3615" s="1" t="s">
        <v>8209</v>
      </c>
      <c r="J3615" s="1" t="s">
        <v>8211</v>
      </c>
      <c r="L3615" s="1" t="s">
        <v>1982</v>
      </c>
      <c r="N3615" s="1" t="s">
        <v>438</v>
      </c>
      <c r="P3615" s="1" t="s">
        <v>1693</v>
      </c>
      <c r="Q3615" s="3">
        <v>0</v>
      </c>
      <c r="R3615" s="22" t="s">
        <v>2723</v>
      </c>
      <c r="T3615" s="3" t="s">
        <v>4868</v>
      </c>
      <c r="U3615" s="45">
        <v>35</v>
      </c>
      <c r="V3615" t="s">
        <v>8191</v>
      </c>
      <c r="W3615" s="1" t="str">
        <f>HYPERLINK("http://ictvonline.org/taxonomy/p/taxonomy-history?taxnode_id=201905454","ICTVonline=201905454")</f>
        <v>ICTVonline=201905454</v>
      </c>
    </row>
    <row r="3616" spans="1:23">
      <c r="A3616" s="3">
        <v>3615</v>
      </c>
      <c r="B3616" s="1" t="s">
        <v>5910</v>
      </c>
      <c r="D3616" s="1" t="s">
        <v>8187</v>
      </c>
      <c r="F3616" s="1" t="s">
        <v>8208</v>
      </c>
      <c r="H3616" s="1" t="s">
        <v>8209</v>
      </c>
      <c r="J3616" s="1" t="s">
        <v>8211</v>
      </c>
      <c r="L3616" s="1" t="s">
        <v>1982</v>
      </c>
      <c r="N3616" s="1" t="s">
        <v>438</v>
      </c>
      <c r="P3616" s="1" t="s">
        <v>2717</v>
      </c>
      <c r="Q3616" s="3">
        <v>0</v>
      </c>
      <c r="R3616" s="22" t="s">
        <v>2723</v>
      </c>
      <c r="T3616" s="3" t="s">
        <v>4868</v>
      </c>
      <c r="U3616" s="45">
        <v>35</v>
      </c>
      <c r="V3616" t="s">
        <v>8191</v>
      </c>
      <c r="W3616" s="1" t="str">
        <f>HYPERLINK("http://ictvonline.org/taxonomy/p/taxonomy-history?taxnode_id=201905455","ICTVonline=201905455")</f>
        <v>ICTVonline=201905455</v>
      </c>
    </row>
    <row r="3617" spans="1:23">
      <c r="A3617" s="3">
        <v>3616</v>
      </c>
      <c r="B3617" s="1" t="s">
        <v>5910</v>
      </c>
      <c r="D3617" s="1" t="s">
        <v>8187</v>
      </c>
      <c r="F3617" s="1" t="s">
        <v>8208</v>
      </c>
      <c r="H3617" s="1" t="s">
        <v>8209</v>
      </c>
      <c r="J3617" s="1" t="s">
        <v>8211</v>
      </c>
      <c r="L3617" s="1" t="s">
        <v>1982</v>
      </c>
      <c r="N3617" s="1" t="s">
        <v>438</v>
      </c>
      <c r="P3617" s="1" t="s">
        <v>1694</v>
      </c>
      <c r="Q3617" s="3">
        <v>0</v>
      </c>
      <c r="R3617" s="22" t="s">
        <v>2723</v>
      </c>
      <c r="T3617" s="3" t="s">
        <v>4868</v>
      </c>
      <c r="U3617" s="45">
        <v>35</v>
      </c>
      <c r="V3617" t="s">
        <v>8191</v>
      </c>
      <c r="W3617" s="1" t="str">
        <f>HYPERLINK("http://ictvonline.org/taxonomy/p/taxonomy-history?taxnode_id=201905456","ICTVonline=201905456")</f>
        <v>ICTVonline=201905456</v>
      </c>
    </row>
    <row r="3618" spans="1:23">
      <c r="A3618" s="3">
        <v>3617</v>
      </c>
      <c r="B3618" s="1" t="s">
        <v>5910</v>
      </c>
      <c r="D3618" s="1" t="s">
        <v>8187</v>
      </c>
      <c r="F3618" s="1" t="s">
        <v>8208</v>
      </c>
      <c r="H3618" s="1" t="s">
        <v>8209</v>
      </c>
      <c r="J3618" s="1" t="s">
        <v>8211</v>
      </c>
      <c r="L3618" s="1" t="s">
        <v>1982</v>
      </c>
      <c r="N3618" s="1" t="s">
        <v>438</v>
      </c>
      <c r="P3618" s="1" t="s">
        <v>1695</v>
      </c>
      <c r="Q3618" s="3">
        <v>0</v>
      </c>
      <c r="R3618" s="22" t="s">
        <v>2723</v>
      </c>
      <c r="T3618" s="3" t="s">
        <v>4868</v>
      </c>
      <c r="U3618" s="45">
        <v>35</v>
      </c>
      <c r="V3618" t="s">
        <v>8191</v>
      </c>
      <c r="W3618" s="1" t="str">
        <f>HYPERLINK("http://ictvonline.org/taxonomy/p/taxonomy-history?taxnode_id=201905457","ICTVonline=201905457")</f>
        <v>ICTVonline=201905457</v>
      </c>
    </row>
    <row r="3619" spans="1:23">
      <c r="A3619" s="3">
        <v>3618</v>
      </c>
      <c r="B3619" s="1" t="s">
        <v>5910</v>
      </c>
      <c r="D3619" s="1" t="s">
        <v>8187</v>
      </c>
      <c r="F3619" s="1" t="s">
        <v>8208</v>
      </c>
      <c r="H3619" s="1" t="s">
        <v>8209</v>
      </c>
      <c r="J3619" s="1" t="s">
        <v>8211</v>
      </c>
      <c r="L3619" s="1" t="s">
        <v>1982</v>
      </c>
      <c r="N3619" s="1" t="s">
        <v>1696</v>
      </c>
      <c r="P3619" s="1" t="s">
        <v>1697</v>
      </c>
      <c r="Q3619" s="3">
        <v>0</v>
      </c>
      <c r="R3619" s="22" t="s">
        <v>2723</v>
      </c>
      <c r="T3619" s="3" t="s">
        <v>4868</v>
      </c>
      <c r="U3619" s="45">
        <v>35</v>
      </c>
      <c r="V3619" t="s">
        <v>8191</v>
      </c>
      <c r="W3619" s="1" t="str">
        <f>HYPERLINK("http://ictvonline.org/taxonomy/p/taxonomy-history?taxnode_id=201905459","ICTVonline=201905459")</f>
        <v>ICTVonline=201905459</v>
      </c>
    </row>
    <row r="3620" spans="1:23">
      <c r="A3620" s="3">
        <v>3619</v>
      </c>
      <c r="B3620" s="1" t="s">
        <v>5910</v>
      </c>
      <c r="D3620" s="1" t="s">
        <v>8187</v>
      </c>
      <c r="F3620" s="1" t="s">
        <v>8208</v>
      </c>
      <c r="H3620" s="1" t="s">
        <v>8209</v>
      </c>
      <c r="J3620" s="1" t="s">
        <v>8211</v>
      </c>
      <c r="L3620" s="1" t="s">
        <v>1982</v>
      </c>
      <c r="N3620" s="1" t="s">
        <v>1696</v>
      </c>
      <c r="P3620" s="1" t="s">
        <v>1698</v>
      </c>
      <c r="Q3620" s="3">
        <v>0</v>
      </c>
      <c r="R3620" s="22" t="s">
        <v>2723</v>
      </c>
      <c r="T3620" s="3" t="s">
        <v>4868</v>
      </c>
      <c r="U3620" s="45">
        <v>35</v>
      </c>
      <c r="V3620" t="s">
        <v>8191</v>
      </c>
      <c r="W3620" s="1" t="str">
        <f>HYPERLINK("http://ictvonline.org/taxonomy/p/taxonomy-history?taxnode_id=201905460","ICTVonline=201905460")</f>
        <v>ICTVonline=201905460</v>
      </c>
    </row>
    <row r="3621" spans="1:23">
      <c r="A3621" s="3">
        <v>3620</v>
      </c>
      <c r="B3621" s="1" t="s">
        <v>5910</v>
      </c>
      <c r="D3621" s="1" t="s">
        <v>8187</v>
      </c>
      <c r="F3621" s="1" t="s">
        <v>8208</v>
      </c>
      <c r="H3621" s="1" t="s">
        <v>8209</v>
      </c>
      <c r="J3621" s="1" t="s">
        <v>8211</v>
      </c>
      <c r="L3621" s="1" t="s">
        <v>1982</v>
      </c>
      <c r="N3621" s="1" t="s">
        <v>1696</v>
      </c>
      <c r="P3621" s="1" t="s">
        <v>1699</v>
      </c>
      <c r="Q3621" s="3">
        <v>1</v>
      </c>
      <c r="R3621" s="22" t="s">
        <v>2723</v>
      </c>
      <c r="T3621" s="3" t="s">
        <v>4868</v>
      </c>
      <c r="U3621" s="45">
        <v>35</v>
      </c>
      <c r="V3621" t="s">
        <v>8191</v>
      </c>
      <c r="W3621" s="1" t="str">
        <f>HYPERLINK("http://ictvonline.org/taxonomy/p/taxonomy-history?taxnode_id=201905461","ICTVonline=201905461")</f>
        <v>ICTVonline=201905461</v>
      </c>
    </row>
    <row r="3622" spans="1:23">
      <c r="A3622" s="3">
        <v>3621</v>
      </c>
      <c r="B3622" s="1" t="s">
        <v>5910</v>
      </c>
      <c r="D3622" s="1" t="s">
        <v>8187</v>
      </c>
      <c r="F3622" s="1" t="s">
        <v>8208</v>
      </c>
      <c r="H3622" s="1" t="s">
        <v>8209</v>
      </c>
      <c r="J3622" s="1" t="s">
        <v>1161</v>
      </c>
      <c r="L3622" s="1" t="s">
        <v>296</v>
      </c>
      <c r="N3622" s="1" t="s">
        <v>408</v>
      </c>
      <c r="P3622" s="1" t="s">
        <v>5139</v>
      </c>
      <c r="Q3622" s="3">
        <v>0</v>
      </c>
      <c r="R3622" s="22" t="s">
        <v>2723</v>
      </c>
      <c r="T3622" s="3" t="s">
        <v>4868</v>
      </c>
      <c r="U3622" s="45">
        <v>35</v>
      </c>
      <c r="V3622" t="s">
        <v>8191</v>
      </c>
      <c r="W3622" s="1" t="str">
        <f>HYPERLINK("http://ictvonline.org/taxonomy/p/taxonomy-history?taxnode_id=201905631","ICTVonline=201905631")</f>
        <v>ICTVonline=201905631</v>
      </c>
    </row>
    <row r="3623" spans="1:23">
      <c r="A3623" s="3">
        <v>3622</v>
      </c>
      <c r="B3623" s="1" t="s">
        <v>5910</v>
      </c>
      <c r="D3623" s="1" t="s">
        <v>8187</v>
      </c>
      <c r="F3623" s="1" t="s">
        <v>8208</v>
      </c>
      <c r="H3623" s="1" t="s">
        <v>8209</v>
      </c>
      <c r="J3623" s="1" t="s">
        <v>1161</v>
      </c>
      <c r="L3623" s="1" t="s">
        <v>296</v>
      </c>
      <c r="N3623" s="1" t="s">
        <v>408</v>
      </c>
      <c r="P3623" s="1" t="s">
        <v>5140</v>
      </c>
      <c r="Q3623" s="3">
        <v>0</v>
      </c>
      <c r="R3623" s="22" t="s">
        <v>2723</v>
      </c>
      <c r="T3623" s="3" t="s">
        <v>4868</v>
      </c>
      <c r="U3623" s="45">
        <v>35</v>
      </c>
      <c r="V3623" t="s">
        <v>8191</v>
      </c>
      <c r="W3623" s="1" t="str">
        <f>HYPERLINK("http://ictvonline.org/taxonomy/p/taxonomy-history?taxnode_id=201905632","ICTVonline=201905632")</f>
        <v>ICTVonline=201905632</v>
      </c>
    </row>
    <row r="3624" spans="1:23">
      <c r="A3624" s="3">
        <v>3623</v>
      </c>
      <c r="B3624" s="1" t="s">
        <v>5910</v>
      </c>
      <c r="D3624" s="1" t="s">
        <v>8187</v>
      </c>
      <c r="F3624" s="1" t="s">
        <v>8208</v>
      </c>
      <c r="H3624" s="1" t="s">
        <v>8209</v>
      </c>
      <c r="J3624" s="1" t="s">
        <v>1161</v>
      </c>
      <c r="L3624" s="1" t="s">
        <v>296</v>
      </c>
      <c r="N3624" s="1" t="s">
        <v>408</v>
      </c>
      <c r="P3624" s="1" t="s">
        <v>2185</v>
      </c>
      <c r="Q3624" s="3">
        <v>0</v>
      </c>
      <c r="R3624" s="22" t="s">
        <v>2723</v>
      </c>
      <c r="T3624" s="3" t="s">
        <v>4868</v>
      </c>
      <c r="U3624" s="45">
        <v>35</v>
      </c>
      <c r="V3624" t="s">
        <v>8191</v>
      </c>
      <c r="W3624" s="1" t="str">
        <f>HYPERLINK("http://ictvonline.org/taxonomy/p/taxonomy-history?taxnode_id=201902231","ICTVonline=201902231")</f>
        <v>ICTVonline=201902231</v>
      </c>
    </row>
    <row r="3625" spans="1:23">
      <c r="A3625" s="3">
        <v>3624</v>
      </c>
      <c r="B3625" s="1" t="s">
        <v>5910</v>
      </c>
      <c r="D3625" s="1" t="s">
        <v>8187</v>
      </c>
      <c r="F3625" s="1" t="s">
        <v>8208</v>
      </c>
      <c r="H3625" s="1" t="s">
        <v>8209</v>
      </c>
      <c r="J3625" s="1" t="s">
        <v>1161</v>
      </c>
      <c r="L3625" s="1" t="s">
        <v>296</v>
      </c>
      <c r="N3625" s="1" t="s">
        <v>408</v>
      </c>
      <c r="P3625" s="1" t="s">
        <v>409</v>
      </c>
      <c r="Q3625" s="3">
        <v>0</v>
      </c>
      <c r="R3625" s="22" t="s">
        <v>2723</v>
      </c>
      <c r="T3625" s="3" t="s">
        <v>4868</v>
      </c>
      <c r="U3625" s="45">
        <v>35</v>
      </c>
      <c r="V3625" t="s">
        <v>8191</v>
      </c>
      <c r="W3625" s="1" t="str">
        <f>HYPERLINK("http://ictvonline.org/taxonomy/p/taxonomy-history?taxnode_id=201902175","ICTVonline=201902175")</f>
        <v>ICTVonline=201902175</v>
      </c>
    </row>
    <row r="3626" spans="1:23">
      <c r="A3626" s="3">
        <v>3625</v>
      </c>
      <c r="B3626" s="1" t="s">
        <v>5910</v>
      </c>
      <c r="D3626" s="1" t="s">
        <v>8187</v>
      </c>
      <c r="F3626" s="1" t="s">
        <v>8208</v>
      </c>
      <c r="H3626" s="1" t="s">
        <v>8209</v>
      </c>
      <c r="J3626" s="1" t="s">
        <v>1161</v>
      </c>
      <c r="L3626" s="1" t="s">
        <v>296</v>
      </c>
      <c r="N3626" s="1" t="s">
        <v>408</v>
      </c>
      <c r="P3626" s="1" t="s">
        <v>1495</v>
      </c>
      <c r="Q3626" s="3">
        <v>0</v>
      </c>
      <c r="R3626" s="22" t="s">
        <v>2723</v>
      </c>
      <c r="T3626" s="3" t="s">
        <v>4868</v>
      </c>
      <c r="U3626" s="45">
        <v>35</v>
      </c>
      <c r="V3626" t="s">
        <v>8191</v>
      </c>
      <c r="W3626" s="1" t="str">
        <f>HYPERLINK("http://ictvonline.org/taxonomy/p/taxonomy-history?taxnode_id=201902176","ICTVonline=201902176")</f>
        <v>ICTVonline=201902176</v>
      </c>
    </row>
    <row r="3627" spans="1:23">
      <c r="A3627" s="3">
        <v>3626</v>
      </c>
      <c r="B3627" s="1" t="s">
        <v>5910</v>
      </c>
      <c r="D3627" s="1" t="s">
        <v>8187</v>
      </c>
      <c r="F3627" s="1" t="s">
        <v>8208</v>
      </c>
      <c r="H3627" s="1" t="s">
        <v>8209</v>
      </c>
      <c r="J3627" s="1" t="s">
        <v>1161</v>
      </c>
      <c r="L3627" s="1" t="s">
        <v>296</v>
      </c>
      <c r="N3627" s="1" t="s">
        <v>408</v>
      </c>
      <c r="P3627" s="1" t="s">
        <v>1496</v>
      </c>
      <c r="Q3627" s="3">
        <v>0</v>
      </c>
      <c r="R3627" s="22" t="s">
        <v>2723</v>
      </c>
      <c r="T3627" s="3" t="s">
        <v>4868</v>
      </c>
      <c r="U3627" s="45">
        <v>35</v>
      </c>
      <c r="V3627" t="s">
        <v>8191</v>
      </c>
      <c r="W3627" s="1" t="str">
        <f>HYPERLINK("http://ictvonline.org/taxonomy/p/taxonomy-history?taxnode_id=201902177","ICTVonline=201902177")</f>
        <v>ICTVonline=201902177</v>
      </c>
    </row>
    <row r="3628" spans="1:23">
      <c r="A3628" s="3">
        <v>3627</v>
      </c>
      <c r="B3628" s="1" t="s">
        <v>5910</v>
      </c>
      <c r="D3628" s="1" t="s">
        <v>8187</v>
      </c>
      <c r="F3628" s="1" t="s">
        <v>8208</v>
      </c>
      <c r="H3628" s="1" t="s">
        <v>8209</v>
      </c>
      <c r="J3628" s="1" t="s">
        <v>1161</v>
      </c>
      <c r="L3628" s="1" t="s">
        <v>296</v>
      </c>
      <c r="N3628" s="1" t="s">
        <v>408</v>
      </c>
      <c r="P3628" s="1" t="s">
        <v>1497</v>
      </c>
      <c r="Q3628" s="3">
        <v>0</v>
      </c>
      <c r="R3628" s="22" t="s">
        <v>2723</v>
      </c>
      <c r="T3628" s="3" t="s">
        <v>4868</v>
      </c>
      <c r="U3628" s="45">
        <v>35</v>
      </c>
      <c r="V3628" t="s">
        <v>8191</v>
      </c>
      <c r="W3628" s="1" t="str">
        <f>HYPERLINK("http://ictvonline.org/taxonomy/p/taxonomy-history?taxnode_id=201902178","ICTVonline=201902178")</f>
        <v>ICTVonline=201902178</v>
      </c>
    </row>
    <row r="3629" spans="1:23">
      <c r="A3629" s="3">
        <v>3628</v>
      </c>
      <c r="B3629" s="1" t="s">
        <v>5910</v>
      </c>
      <c r="D3629" s="1" t="s">
        <v>8187</v>
      </c>
      <c r="F3629" s="1" t="s">
        <v>8208</v>
      </c>
      <c r="H3629" s="1" t="s">
        <v>8209</v>
      </c>
      <c r="J3629" s="1" t="s">
        <v>1161</v>
      </c>
      <c r="L3629" s="1" t="s">
        <v>296</v>
      </c>
      <c r="N3629" s="1" t="s">
        <v>408</v>
      </c>
      <c r="P3629" s="1" t="s">
        <v>411</v>
      </c>
      <c r="Q3629" s="3">
        <v>0</v>
      </c>
      <c r="R3629" s="22" t="s">
        <v>2723</v>
      </c>
      <c r="T3629" s="3" t="s">
        <v>4868</v>
      </c>
      <c r="U3629" s="45">
        <v>35</v>
      </c>
      <c r="V3629" t="s">
        <v>8191</v>
      </c>
      <c r="W3629" s="1" t="str">
        <f>HYPERLINK("http://ictvonline.org/taxonomy/p/taxonomy-history?taxnode_id=201902179","ICTVonline=201902179")</f>
        <v>ICTVonline=201902179</v>
      </c>
    </row>
    <row r="3630" spans="1:23">
      <c r="A3630" s="3">
        <v>3629</v>
      </c>
      <c r="B3630" s="1" t="s">
        <v>5910</v>
      </c>
      <c r="D3630" s="1" t="s">
        <v>8187</v>
      </c>
      <c r="F3630" s="1" t="s">
        <v>8208</v>
      </c>
      <c r="H3630" s="1" t="s">
        <v>8209</v>
      </c>
      <c r="J3630" s="1" t="s">
        <v>1161</v>
      </c>
      <c r="L3630" s="1" t="s">
        <v>296</v>
      </c>
      <c r="N3630" s="1" t="s">
        <v>408</v>
      </c>
      <c r="P3630" s="1" t="s">
        <v>412</v>
      </c>
      <c r="Q3630" s="3">
        <v>0</v>
      </c>
      <c r="R3630" s="22" t="s">
        <v>2723</v>
      </c>
      <c r="T3630" s="3" t="s">
        <v>4868</v>
      </c>
      <c r="U3630" s="45">
        <v>35</v>
      </c>
      <c r="V3630" t="s">
        <v>8191</v>
      </c>
      <c r="W3630" s="1" t="str">
        <f>HYPERLINK("http://ictvonline.org/taxonomy/p/taxonomy-history?taxnode_id=201902180","ICTVonline=201902180")</f>
        <v>ICTVonline=201902180</v>
      </c>
    </row>
    <row r="3631" spans="1:23">
      <c r="A3631" s="3">
        <v>3630</v>
      </c>
      <c r="B3631" s="1" t="s">
        <v>5910</v>
      </c>
      <c r="D3631" s="1" t="s">
        <v>8187</v>
      </c>
      <c r="F3631" s="1" t="s">
        <v>8208</v>
      </c>
      <c r="H3631" s="1" t="s">
        <v>8209</v>
      </c>
      <c r="J3631" s="1" t="s">
        <v>1161</v>
      </c>
      <c r="L3631" s="1" t="s">
        <v>296</v>
      </c>
      <c r="N3631" s="1" t="s">
        <v>408</v>
      </c>
      <c r="P3631" s="1" t="s">
        <v>413</v>
      </c>
      <c r="Q3631" s="3">
        <v>0</v>
      </c>
      <c r="R3631" s="22" t="s">
        <v>2723</v>
      </c>
      <c r="T3631" s="3" t="s">
        <v>4868</v>
      </c>
      <c r="U3631" s="45">
        <v>35</v>
      </c>
      <c r="V3631" t="s">
        <v>8191</v>
      </c>
      <c r="W3631" s="1" t="str">
        <f>HYPERLINK("http://ictvonline.org/taxonomy/p/taxonomy-history?taxnode_id=201902181","ICTVonline=201902181")</f>
        <v>ICTVonline=201902181</v>
      </c>
    </row>
    <row r="3632" spans="1:23">
      <c r="A3632" s="3">
        <v>3631</v>
      </c>
      <c r="B3632" s="1" t="s">
        <v>5910</v>
      </c>
      <c r="D3632" s="1" t="s">
        <v>8187</v>
      </c>
      <c r="F3632" s="1" t="s">
        <v>8208</v>
      </c>
      <c r="H3632" s="1" t="s">
        <v>8209</v>
      </c>
      <c r="J3632" s="1" t="s">
        <v>1161</v>
      </c>
      <c r="L3632" s="1" t="s">
        <v>296</v>
      </c>
      <c r="N3632" s="1" t="s">
        <v>408</v>
      </c>
      <c r="P3632" s="1" t="s">
        <v>414</v>
      </c>
      <c r="Q3632" s="3">
        <v>1</v>
      </c>
      <c r="R3632" s="22" t="s">
        <v>2723</v>
      </c>
      <c r="T3632" s="3" t="s">
        <v>4868</v>
      </c>
      <c r="U3632" s="45">
        <v>35</v>
      </c>
      <c r="V3632" t="s">
        <v>8191</v>
      </c>
      <c r="W3632" s="1" t="str">
        <f>HYPERLINK("http://ictvonline.org/taxonomy/p/taxonomy-history?taxnode_id=201902182","ICTVonline=201902182")</f>
        <v>ICTVonline=201902182</v>
      </c>
    </row>
    <row r="3633" spans="1:23">
      <c r="A3633" s="3">
        <v>3632</v>
      </c>
      <c r="B3633" s="1" t="s">
        <v>5910</v>
      </c>
      <c r="D3633" s="1" t="s">
        <v>8187</v>
      </c>
      <c r="F3633" s="1" t="s">
        <v>8208</v>
      </c>
      <c r="H3633" s="1" t="s">
        <v>8209</v>
      </c>
      <c r="J3633" s="1" t="s">
        <v>1161</v>
      </c>
      <c r="L3633" s="1" t="s">
        <v>296</v>
      </c>
      <c r="N3633" s="1" t="s">
        <v>408</v>
      </c>
      <c r="P3633" s="1" t="s">
        <v>5141</v>
      </c>
      <c r="Q3633" s="3">
        <v>0</v>
      </c>
      <c r="R3633" s="22" t="s">
        <v>2723</v>
      </c>
      <c r="T3633" s="3" t="s">
        <v>4868</v>
      </c>
      <c r="U3633" s="45">
        <v>35</v>
      </c>
      <c r="V3633" t="s">
        <v>8191</v>
      </c>
      <c r="W3633" s="1" t="str">
        <f>HYPERLINK("http://ictvonline.org/taxonomy/p/taxonomy-history?taxnode_id=201905633","ICTVonline=201905633")</f>
        <v>ICTVonline=201905633</v>
      </c>
    </row>
    <row r="3634" spans="1:23">
      <c r="A3634" s="3">
        <v>3633</v>
      </c>
      <c r="B3634" s="1" t="s">
        <v>5910</v>
      </c>
      <c r="D3634" s="1" t="s">
        <v>8187</v>
      </c>
      <c r="F3634" s="1" t="s">
        <v>8208</v>
      </c>
      <c r="H3634" s="1" t="s">
        <v>8209</v>
      </c>
      <c r="J3634" s="1" t="s">
        <v>1161</v>
      </c>
      <c r="L3634" s="1" t="s">
        <v>296</v>
      </c>
      <c r="N3634" s="1" t="s">
        <v>711</v>
      </c>
      <c r="P3634" s="1" t="s">
        <v>1160</v>
      </c>
      <c r="Q3634" s="3">
        <v>1</v>
      </c>
      <c r="R3634" s="22" t="s">
        <v>2723</v>
      </c>
      <c r="T3634" s="3" t="s">
        <v>4868</v>
      </c>
      <c r="U3634" s="45">
        <v>35</v>
      </c>
      <c r="V3634" t="s">
        <v>8191</v>
      </c>
      <c r="W3634" s="1" t="str">
        <f>HYPERLINK("http://ictvonline.org/taxonomy/p/taxonomy-history?taxnode_id=201902184","ICTVonline=201902184")</f>
        <v>ICTVonline=201902184</v>
      </c>
    </row>
    <row r="3635" spans="1:23">
      <c r="A3635" s="3">
        <v>3634</v>
      </c>
      <c r="B3635" s="1" t="s">
        <v>5910</v>
      </c>
      <c r="D3635" s="1" t="s">
        <v>8187</v>
      </c>
      <c r="F3635" s="1" t="s">
        <v>8208</v>
      </c>
      <c r="H3635" s="1" t="s">
        <v>8209</v>
      </c>
      <c r="J3635" s="1" t="s">
        <v>1161</v>
      </c>
      <c r="L3635" s="1" t="s">
        <v>296</v>
      </c>
      <c r="N3635" s="1" t="s">
        <v>2109</v>
      </c>
      <c r="P3635" s="1" t="s">
        <v>2110</v>
      </c>
      <c r="Q3635" s="3">
        <v>1</v>
      </c>
      <c r="R3635" s="22" t="s">
        <v>2723</v>
      </c>
      <c r="T3635" s="3" t="s">
        <v>4868</v>
      </c>
      <c r="U3635" s="45">
        <v>35</v>
      </c>
      <c r="V3635" t="s">
        <v>8191</v>
      </c>
      <c r="W3635" s="1" t="str">
        <f>HYPERLINK("http://ictvonline.org/taxonomy/p/taxonomy-history?taxnode_id=201902186","ICTVonline=201902186")</f>
        <v>ICTVonline=201902186</v>
      </c>
    </row>
    <row r="3636" spans="1:23">
      <c r="A3636" s="3">
        <v>3635</v>
      </c>
      <c r="B3636" s="1" t="s">
        <v>5910</v>
      </c>
      <c r="D3636" s="1" t="s">
        <v>8187</v>
      </c>
      <c r="F3636" s="1" t="s">
        <v>8208</v>
      </c>
      <c r="H3636" s="1" t="s">
        <v>8209</v>
      </c>
      <c r="J3636" s="1" t="s">
        <v>1161</v>
      </c>
      <c r="L3636" s="1" t="s">
        <v>296</v>
      </c>
      <c r="N3636" s="1" t="s">
        <v>344</v>
      </c>
      <c r="P3636" s="1" t="s">
        <v>2309</v>
      </c>
      <c r="Q3636" s="3">
        <v>0</v>
      </c>
      <c r="R3636" s="22" t="s">
        <v>2723</v>
      </c>
      <c r="T3636" s="3" t="s">
        <v>4868</v>
      </c>
      <c r="U3636" s="45">
        <v>35</v>
      </c>
      <c r="V3636" t="s">
        <v>8191</v>
      </c>
      <c r="W3636" s="1" t="str">
        <f>HYPERLINK("http://ictvonline.org/taxonomy/p/taxonomy-history?taxnode_id=201902188","ICTVonline=201902188")</f>
        <v>ICTVonline=201902188</v>
      </c>
    </row>
    <row r="3637" spans="1:23">
      <c r="A3637" s="3">
        <v>3636</v>
      </c>
      <c r="B3637" s="1" t="s">
        <v>5910</v>
      </c>
      <c r="D3637" s="1" t="s">
        <v>8187</v>
      </c>
      <c r="F3637" s="1" t="s">
        <v>8208</v>
      </c>
      <c r="H3637" s="1" t="s">
        <v>8209</v>
      </c>
      <c r="J3637" s="1" t="s">
        <v>1161</v>
      </c>
      <c r="L3637" s="1" t="s">
        <v>296</v>
      </c>
      <c r="N3637" s="1" t="s">
        <v>344</v>
      </c>
      <c r="P3637" s="1" t="s">
        <v>1210</v>
      </c>
      <c r="Q3637" s="3">
        <v>1</v>
      </c>
      <c r="R3637" s="22" t="s">
        <v>2723</v>
      </c>
      <c r="T3637" s="3" t="s">
        <v>4868</v>
      </c>
      <c r="U3637" s="45">
        <v>35</v>
      </c>
      <c r="V3637" t="s">
        <v>8191</v>
      </c>
      <c r="W3637" s="1" t="str">
        <f>HYPERLINK("http://ictvonline.org/taxonomy/p/taxonomy-history?taxnode_id=201902189","ICTVonline=201902189")</f>
        <v>ICTVonline=201902189</v>
      </c>
    </row>
    <row r="3638" spans="1:23">
      <c r="A3638" s="3">
        <v>3637</v>
      </c>
      <c r="B3638" s="1" t="s">
        <v>5910</v>
      </c>
      <c r="D3638" s="1" t="s">
        <v>8187</v>
      </c>
      <c r="F3638" s="1" t="s">
        <v>8208</v>
      </c>
      <c r="H3638" s="1" t="s">
        <v>8209</v>
      </c>
      <c r="J3638" s="1" t="s">
        <v>1161</v>
      </c>
      <c r="L3638" s="1" t="s">
        <v>296</v>
      </c>
      <c r="N3638" s="1" t="s">
        <v>3608</v>
      </c>
      <c r="P3638" s="1" t="s">
        <v>3609</v>
      </c>
      <c r="Q3638" s="3">
        <v>1</v>
      </c>
      <c r="R3638" s="22" t="s">
        <v>2723</v>
      </c>
      <c r="T3638" s="3" t="s">
        <v>4868</v>
      </c>
      <c r="U3638" s="45">
        <v>35</v>
      </c>
      <c r="V3638" t="s">
        <v>8191</v>
      </c>
      <c r="W3638" s="1" t="str">
        <f>HYPERLINK("http://ictvonline.org/taxonomy/p/taxonomy-history?taxnode_id=201902191","ICTVonline=201902191")</f>
        <v>ICTVonline=201902191</v>
      </c>
    </row>
    <row r="3639" spans="1:23">
      <c r="A3639" s="3">
        <v>3638</v>
      </c>
      <c r="B3639" s="1" t="s">
        <v>5910</v>
      </c>
      <c r="D3639" s="1" t="s">
        <v>8187</v>
      </c>
      <c r="F3639" s="1" t="s">
        <v>8208</v>
      </c>
      <c r="H3639" s="1" t="s">
        <v>8209</v>
      </c>
      <c r="J3639" s="1" t="s">
        <v>1161</v>
      </c>
      <c r="L3639" s="1" t="s">
        <v>296</v>
      </c>
      <c r="N3639" s="1" t="s">
        <v>1211</v>
      </c>
      <c r="P3639" s="1" t="s">
        <v>5142</v>
      </c>
      <c r="Q3639" s="3">
        <v>0</v>
      </c>
      <c r="R3639" s="22" t="s">
        <v>2723</v>
      </c>
      <c r="T3639" s="3" t="s">
        <v>4868</v>
      </c>
      <c r="U3639" s="45">
        <v>35</v>
      </c>
      <c r="V3639" t="s">
        <v>8191</v>
      </c>
      <c r="W3639" s="1" t="str">
        <f>HYPERLINK("http://ictvonline.org/taxonomy/p/taxonomy-history?taxnode_id=201905634","ICTVonline=201905634")</f>
        <v>ICTVonline=201905634</v>
      </c>
    </row>
    <row r="3640" spans="1:23">
      <c r="A3640" s="3">
        <v>3639</v>
      </c>
      <c r="B3640" s="1" t="s">
        <v>5910</v>
      </c>
      <c r="D3640" s="1" t="s">
        <v>8187</v>
      </c>
      <c r="F3640" s="1" t="s">
        <v>8208</v>
      </c>
      <c r="H3640" s="1" t="s">
        <v>8209</v>
      </c>
      <c r="J3640" s="1" t="s">
        <v>1161</v>
      </c>
      <c r="L3640" s="1" t="s">
        <v>296</v>
      </c>
      <c r="N3640" s="1" t="s">
        <v>1211</v>
      </c>
      <c r="P3640" s="1" t="s">
        <v>2183</v>
      </c>
      <c r="Q3640" s="3">
        <v>0</v>
      </c>
      <c r="R3640" s="22" t="s">
        <v>2723</v>
      </c>
      <c r="T3640" s="3" t="s">
        <v>4868</v>
      </c>
      <c r="U3640" s="45">
        <v>35</v>
      </c>
      <c r="V3640" t="s">
        <v>8191</v>
      </c>
      <c r="W3640" s="1" t="str">
        <f>HYPERLINK("http://ictvonline.org/taxonomy/p/taxonomy-history?taxnode_id=201902193","ICTVonline=201902193")</f>
        <v>ICTVonline=201902193</v>
      </c>
    </row>
    <row r="3641" spans="1:23">
      <c r="A3641" s="3">
        <v>3640</v>
      </c>
      <c r="B3641" s="1" t="s">
        <v>5910</v>
      </c>
      <c r="D3641" s="1" t="s">
        <v>8187</v>
      </c>
      <c r="F3641" s="1" t="s">
        <v>8208</v>
      </c>
      <c r="H3641" s="1" t="s">
        <v>8209</v>
      </c>
      <c r="J3641" s="1" t="s">
        <v>1161</v>
      </c>
      <c r="L3641" s="1" t="s">
        <v>296</v>
      </c>
      <c r="N3641" s="1" t="s">
        <v>1211</v>
      </c>
      <c r="P3641" s="1" t="s">
        <v>227</v>
      </c>
      <c r="Q3641" s="3">
        <v>0</v>
      </c>
      <c r="R3641" s="22" t="s">
        <v>2723</v>
      </c>
      <c r="T3641" s="3" t="s">
        <v>4868</v>
      </c>
      <c r="U3641" s="45">
        <v>35</v>
      </c>
      <c r="V3641" t="s">
        <v>8191</v>
      </c>
      <c r="W3641" s="1" t="str">
        <f>HYPERLINK("http://ictvonline.org/taxonomy/p/taxonomy-history?taxnode_id=201902194","ICTVonline=201902194")</f>
        <v>ICTVonline=201902194</v>
      </c>
    </row>
    <row r="3642" spans="1:23">
      <c r="A3642" s="3">
        <v>3641</v>
      </c>
      <c r="B3642" s="1" t="s">
        <v>5910</v>
      </c>
      <c r="D3642" s="1" t="s">
        <v>8187</v>
      </c>
      <c r="F3642" s="1" t="s">
        <v>8208</v>
      </c>
      <c r="H3642" s="1" t="s">
        <v>8209</v>
      </c>
      <c r="J3642" s="1" t="s">
        <v>1161</v>
      </c>
      <c r="L3642" s="1" t="s">
        <v>296</v>
      </c>
      <c r="N3642" s="1" t="s">
        <v>1211</v>
      </c>
      <c r="P3642" s="1" t="s">
        <v>228</v>
      </c>
      <c r="Q3642" s="3">
        <v>0</v>
      </c>
      <c r="R3642" s="22" t="s">
        <v>2723</v>
      </c>
      <c r="T3642" s="3" t="s">
        <v>4868</v>
      </c>
      <c r="U3642" s="45">
        <v>35</v>
      </c>
      <c r="V3642" t="s">
        <v>8191</v>
      </c>
      <c r="W3642" s="1" t="str">
        <f>HYPERLINK("http://ictvonline.org/taxonomy/p/taxonomy-history?taxnode_id=201902195","ICTVonline=201902195")</f>
        <v>ICTVonline=201902195</v>
      </c>
    </row>
    <row r="3643" spans="1:23">
      <c r="A3643" s="3">
        <v>3642</v>
      </c>
      <c r="B3643" s="1" t="s">
        <v>5910</v>
      </c>
      <c r="D3643" s="1" t="s">
        <v>8187</v>
      </c>
      <c r="F3643" s="1" t="s">
        <v>8208</v>
      </c>
      <c r="H3643" s="1" t="s">
        <v>8209</v>
      </c>
      <c r="J3643" s="1" t="s">
        <v>1161</v>
      </c>
      <c r="L3643" s="1" t="s">
        <v>296</v>
      </c>
      <c r="N3643" s="1" t="s">
        <v>1211</v>
      </c>
      <c r="P3643" s="1" t="s">
        <v>229</v>
      </c>
      <c r="Q3643" s="3">
        <v>0</v>
      </c>
      <c r="R3643" s="22" t="s">
        <v>2723</v>
      </c>
      <c r="T3643" s="3" t="s">
        <v>4868</v>
      </c>
      <c r="U3643" s="45">
        <v>35</v>
      </c>
      <c r="V3643" t="s">
        <v>8191</v>
      </c>
      <c r="W3643" s="1" t="str">
        <f>HYPERLINK("http://ictvonline.org/taxonomy/p/taxonomy-history?taxnode_id=201902196","ICTVonline=201902196")</f>
        <v>ICTVonline=201902196</v>
      </c>
    </row>
    <row r="3644" spans="1:23">
      <c r="A3644" s="3">
        <v>3643</v>
      </c>
      <c r="B3644" s="1" t="s">
        <v>5910</v>
      </c>
      <c r="D3644" s="1" t="s">
        <v>8187</v>
      </c>
      <c r="F3644" s="1" t="s">
        <v>8208</v>
      </c>
      <c r="H3644" s="1" t="s">
        <v>8209</v>
      </c>
      <c r="J3644" s="1" t="s">
        <v>1161</v>
      </c>
      <c r="L3644" s="1" t="s">
        <v>296</v>
      </c>
      <c r="N3644" s="1" t="s">
        <v>1211</v>
      </c>
      <c r="P3644" s="1" t="s">
        <v>230</v>
      </c>
      <c r="Q3644" s="3">
        <v>0</v>
      </c>
      <c r="R3644" s="22" t="s">
        <v>2723</v>
      </c>
      <c r="T3644" s="3" t="s">
        <v>4868</v>
      </c>
      <c r="U3644" s="45">
        <v>35</v>
      </c>
      <c r="V3644" t="s">
        <v>8191</v>
      </c>
      <c r="W3644" s="1" t="str">
        <f>HYPERLINK("http://ictvonline.org/taxonomy/p/taxonomy-history?taxnode_id=201902197","ICTVonline=201902197")</f>
        <v>ICTVonline=201902197</v>
      </c>
    </row>
    <row r="3645" spans="1:23">
      <c r="A3645" s="3">
        <v>3644</v>
      </c>
      <c r="B3645" s="1" t="s">
        <v>5910</v>
      </c>
      <c r="D3645" s="1" t="s">
        <v>8187</v>
      </c>
      <c r="F3645" s="1" t="s">
        <v>8208</v>
      </c>
      <c r="H3645" s="1" t="s">
        <v>8209</v>
      </c>
      <c r="J3645" s="1" t="s">
        <v>1161</v>
      </c>
      <c r="L3645" s="1" t="s">
        <v>296</v>
      </c>
      <c r="N3645" s="1" t="s">
        <v>1211</v>
      </c>
      <c r="P3645" s="1" t="s">
        <v>231</v>
      </c>
      <c r="Q3645" s="3">
        <v>0</v>
      </c>
      <c r="R3645" s="22" t="s">
        <v>2723</v>
      </c>
      <c r="T3645" s="3" t="s">
        <v>4868</v>
      </c>
      <c r="U3645" s="45">
        <v>35</v>
      </c>
      <c r="V3645" t="s">
        <v>8191</v>
      </c>
      <c r="W3645" s="1" t="str">
        <f>HYPERLINK("http://ictvonline.org/taxonomy/p/taxonomy-history?taxnode_id=201902198","ICTVonline=201902198")</f>
        <v>ICTVonline=201902198</v>
      </c>
    </row>
    <row r="3646" spans="1:23">
      <c r="A3646" s="3">
        <v>3645</v>
      </c>
      <c r="B3646" s="1" t="s">
        <v>5910</v>
      </c>
      <c r="D3646" s="1" t="s">
        <v>8187</v>
      </c>
      <c r="F3646" s="1" t="s">
        <v>8208</v>
      </c>
      <c r="H3646" s="1" t="s">
        <v>8209</v>
      </c>
      <c r="J3646" s="1" t="s">
        <v>1161</v>
      </c>
      <c r="L3646" s="1" t="s">
        <v>296</v>
      </c>
      <c r="N3646" s="1" t="s">
        <v>1211</v>
      </c>
      <c r="P3646" s="1" t="s">
        <v>232</v>
      </c>
      <c r="Q3646" s="3">
        <v>0</v>
      </c>
      <c r="R3646" s="22" t="s">
        <v>2723</v>
      </c>
      <c r="T3646" s="3" t="s">
        <v>4868</v>
      </c>
      <c r="U3646" s="45">
        <v>35</v>
      </c>
      <c r="V3646" t="s">
        <v>8191</v>
      </c>
      <c r="W3646" s="1" t="str">
        <f>HYPERLINK("http://ictvonline.org/taxonomy/p/taxonomy-history?taxnode_id=201902199","ICTVonline=201902199")</f>
        <v>ICTVonline=201902199</v>
      </c>
    </row>
    <row r="3647" spans="1:23">
      <c r="A3647" s="3">
        <v>3646</v>
      </c>
      <c r="B3647" s="1" t="s">
        <v>5910</v>
      </c>
      <c r="D3647" s="1" t="s">
        <v>8187</v>
      </c>
      <c r="F3647" s="1" t="s">
        <v>8208</v>
      </c>
      <c r="H3647" s="1" t="s">
        <v>8209</v>
      </c>
      <c r="J3647" s="1" t="s">
        <v>1161</v>
      </c>
      <c r="L3647" s="1" t="s">
        <v>296</v>
      </c>
      <c r="N3647" s="1" t="s">
        <v>1211</v>
      </c>
      <c r="P3647" s="1" t="s">
        <v>233</v>
      </c>
      <c r="Q3647" s="3">
        <v>0</v>
      </c>
      <c r="R3647" s="22" t="s">
        <v>2723</v>
      </c>
      <c r="T3647" s="3" t="s">
        <v>4868</v>
      </c>
      <c r="U3647" s="45">
        <v>35</v>
      </c>
      <c r="V3647" t="s">
        <v>8191</v>
      </c>
      <c r="W3647" s="1" t="str">
        <f>HYPERLINK("http://ictvonline.org/taxonomy/p/taxonomy-history?taxnode_id=201902200","ICTVonline=201902200")</f>
        <v>ICTVonline=201902200</v>
      </c>
    </row>
    <row r="3648" spans="1:23">
      <c r="A3648" s="3">
        <v>3647</v>
      </c>
      <c r="B3648" s="1" t="s">
        <v>5910</v>
      </c>
      <c r="D3648" s="1" t="s">
        <v>8187</v>
      </c>
      <c r="F3648" s="1" t="s">
        <v>8208</v>
      </c>
      <c r="H3648" s="1" t="s">
        <v>8209</v>
      </c>
      <c r="J3648" s="1" t="s">
        <v>1161</v>
      </c>
      <c r="L3648" s="1" t="s">
        <v>296</v>
      </c>
      <c r="N3648" s="1" t="s">
        <v>1211</v>
      </c>
      <c r="P3648" s="1" t="s">
        <v>234</v>
      </c>
      <c r="Q3648" s="3">
        <v>0</v>
      </c>
      <c r="R3648" s="22" t="s">
        <v>2723</v>
      </c>
      <c r="T3648" s="3" t="s">
        <v>4868</v>
      </c>
      <c r="U3648" s="45">
        <v>35</v>
      </c>
      <c r="V3648" t="s">
        <v>8191</v>
      </c>
      <c r="W3648" s="1" t="str">
        <f>HYPERLINK("http://ictvonline.org/taxonomy/p/taxonomy-history?taxnode_id=201902201","ICTVonline=201902201")</f>
        <v>ICTVonline=201902201</v>
      </c>
    </row>
    <row r="3649" spans="1:23">
      <c r="A3649" s="3">
        <v>3648</v>
      </c>
      <c r="B3649" s="1" t="s">
        <v>5910</v>
      </c>
      <c r="D3649" s="1" t="s">
        <v>8187</v>
      </c>
      <c r="F3649" s="1" t="s">
        <v>8208</v>
      </c>
      <c r="H3649" s="1" t="s">
        <v>8209</v>
      </c>
      <c r="J3649" s="1" t="s">
        <v>1161</v>
      </c>
      <c r="L3649" s="1" t="s">
        <v>296</v>
      </c>
      <c r="N3649" s="1" t="s">
        <v>1211</v>
      </c>
      <c r="P3649" s="1" t="s">
        <v>235</v>
      </c>
      <c r="Q3649" s="3">
        <v>0</v>
      </c>
      <c r="R3649" s="22" t="s">
        <v>2723</v>
      </c>
      <c r="T3649" s="3" t="s">
        <v>4868</v>
      </c>
      <c r="U3649" s="45">
        <v>35</v>
      </c>
      <c r="V3649" t="s">
        <v>8191</v>
      </c>
      <c r="W3649" s="1" t="str">
        <f>HYPERLINK("http://ictvonline.org/taxonomy/p/taxonomy-history?taxnode_id=201902202","ICTVonline=201902202")</f>
        <v>ICTVonline=201902202</v>
      </c>
    </row>
    <row r="3650" spans="1:23">
      <c r="A3650" s="3">
        <v>3649</v>
      </c>
      <c r="B3650" s="1" t="s">
        <v>5910</v>
      </c>
      <c r="D3650" s="1" t="s">
        <v>8187</v>
      </c>
      <c r="F3650" s="1" t="s">
        <v>8208</v>
      </c>
      <c r="H3650" s="1" t="s">
        <v>8209</v>
      </c>
      <c r="J3650" s="1" t="s">
        <v>1161</v>
      </c>
      <c r="L3650" s="1" t="s">
        <v>296</v>
      </c>
      <c r="N3650" s="1" t="s">
        <v>1211</v>
      </c>
      <c r="P3650" s="1" t="s">
        <v>236</v>
      </c>
      <c r="Q3650" s="3">
        <v>0</v>
      </c>
      <c r="R3650" s="22" t="s">
        <v>2723</v>
      </c>
      <c r="T3650" s="3" t="s">
        <v>4868</v>
      </c>
      <c r="U3650" s="45">
        <v>35</v>
      </c>
      <c r="V3650" t="s">
        <v>8191</v>
      </c>
      <c r="W3650" s="1" t="str">
        <f>HYPERLINK("http://ictvonline.org/taxonomy/p/taxonomy-history?taxnode_id=201902203","ICTVonline=201902203")</f>
        <v>ICTVonline=201902203</v>
      </c>
    </row>
    <row r="3651" spans="1:23">
      <c r="A3651" s="3">
        <v>3650</v>
      </c>
      <c r="B3651" s="1" t="s">
        <v>5910</v>
      </c>
      <c r="D3651" s="1" t="s">
        <v>8187</v>
      </c>
      <c r="F3651" s="1" t="s">
        <v>8208</v>
      </c>
      <c r="H3651" s="1" t="s">
        <v>8209</v>
      </c>
      <c r="J3651" s="1" t="s">
        <v>1161</v>
      </c>
      <c r="L3651" s="1" t="s">
        <v>296</v>
      </c>
      <c r="N3651" s="1" t="s">
        <v>1211</v>
      </c>
      <c r="P3651" s="1" t="s">
        <v>1438</v>
      </c>
      <c r="Q3651" s="3">
        <v>0</v>
      </c>
      <c r="R3651" s="22" t="s">
        <v>2723</v>
      </c>
      <c r="T3651" s="3" t="s">
        <v>4868</v>
      </c>
      <c r="U3651" s="45">
        <v>35</v>
      </c>
      <c r="V3651" t="s">
        <v>8191</v>
      </c>
      <c r="W3651" s="1" t="str">
        <f>HYPERLINK("http://ictvonline.org/taxonomy/p/taxonomy-history?taxnode_id=201902204","ICTVonline=201902204")</f>
        <v>ICTVonline=201902204</v>
      </c>
    </row>
    <row r="3652" spans="1:23">
      <c r="A3652" s="3">
        <v>3651</v>
      </c>
      <c r="B3652" s="1" t="s">
        <v>5910</v>
      </c>
      <c r="D3652" s="1" t="s">
        <v>8187</v>
      </c>
      <c r="F3652" s="1" t="s">
        <v>8208</v>
      </c>
      <c r="H3652" s="1" t="s">
        <v>8209</v>
      </c>
      <c r="J3652" s="1" t="s">
        <v>1161</v>
      </c>
      <c r="L3652" s="1" t="s">
        <v>296</v>
      </c>
      <c r="N3652" s="1" t="s">
        <v>1211</v>
      </c>
      <c r="P3652" s="1" t="s">
        <v>1439</v>
      </c>
      <c r="Q3652" s="3">
        <v>0</v>
      </c>
      <c r="R3652" s="22" t="s">
        <v>2723</v>
      </c>
      <c r="T3652" s="3" t="s">
        <v>4868</v>
      </c>
      <c r="U3652" s="45">
        <v>35</v>
      </c>
      <c r="V3652" t="s">
        <v>8191</v>
      </c>
      <c r="W3652" s="1" t="str">
        <f>HYPERLINK("http://ictvonline.org/taxonomy/p/taxonomy-history?taxnode_id=201902205","ICTVonline=201902205")</f>
        <v>ICTVonline=201902205</v>
      </c>
    </row>
    <row r="3653" spans="1:23">
      <c r="A3653" s="3">
        <v>3652</v>
      </c>
      <c r="B3653" s="1" t="s">
        <v>5910</v>
      </c>
      <c r="D3653" s="1" t="s">
        <v>8187</v>
      </c>
      <c r="F3653" s="1" t="s">
        <v>8208</v>
      </c>
      <c r="H3653" s="1" t="s">
        <v>8209</v>
      </c>
      <c r="J3653" s="1" t="s">
        <v>1161</v>
      </c>
      <c r="L3653" s="1" t="s">
        <v>296</v>
      </c>
      <c r="N3653" s="1" t="s">
        <v>1211</v>
      </c>
      <c r="P3653" s="1" t="s">
        <v>2184</v>
      </c>
      <c r="Q3653" s="3">
        <v>0</v>
      </c>
      <c r="R3653" s="22" t="s">
        <v>2723</v>
      </c>
      <c r="T3653" s="3" t="s">
        <v>4868</v>
      </c>
      <c r="U3653" s="45">
        <v>35</v>
      </c>
      <c r="V3653" t="s">
        <v>8191</v>
      </c>
      <c r="W3653" s="1" t="str">
        <f>HYPERLINK("http://ictvonline.org/taxonomy/p/taxonomy-history?taxnode_id=201902206","ICTVonline=201902206")</f>
        <v>ICTVonline=201902206</v>
      </c>
    </row>
    <row r="3654" spans="1:23">
      <c r="A3654" s="3">
        <v>3653</v>
      </c>
      <c r="B3654" s="1" t="s">
        <v>5910</v>
      </c>
      <c r="D3654" s="1" t="s">
        <v>8187</v>
      </c>
      <c r="F3654" s="1" t="s">
        <v>8208</v>
      </c>
      <c r="H3654" s="1" t="s">
        <v>8209</v>
      </c>
      <c r="J3654" s="1" t="s">
        <v>1161</v>
      </c>
      <c r="L3654" s="1" t="s">
        <v>296</v>
      </c>
      <c r="N3654" s="1" t="s">
        <v>1211</v>
      </c>
      <c r="P3654" s="1" t="s">
        <v>2011</v>
      </c>
      <c r="Q3654" s="3">
        <v>0</v>
      </c>
      <c r="R3654" s="22" t="s">
        <v>2723</v>
      </c>
      <c r="T3654" s="3" t="s">
        <v>4868</v>
      </c>
      <c r="U3654" s="45">
        <v>35</v>
      </c>
      <c r="V3654" t="s">
        <v>8191</v>
      </c>
      <c r="W3654" s="1" t="str">
        <f>HYPERLINK("http://ictvonline.org/taxonomy/p/taxonomy-history?taxnode_id=201902207","ICTVonline=201902207")</f>
        <v>ICTVonline=201902207</v>
      </c>
    </row>
    <row r="3655" spans="1:23">
      <c r="A3655" s="3">
        <v>3654</v>
      </c>
      <c r="B3655" s="1" t="s">
        <v>5910</v>
      </c>
      <c r="D3655" s="1" t="s">
        <v>8187</v>
      </c>
      <c r="F3655" s="1" t="s">
        <v>8208</v>
      </c>
      <c r="H3655" s="1" t="s">
        <v>8209</v>
      </c>
      <c r="J3655" s="1" t="s">
        <v>1161</v>
      </c>
      <c r="L3655" s="1" t="s">
        <v>296</v>
      </c>
      <c r="N3655" s="1" t="s">
        <v>1211</v>
      </c>
      <c r="P3655" s="1" t="s">
        <v>452</v>
      </c>
      <c r="Q3655" s="3">
        <v>0</v>
      </c>
      <c r="R3655" s="22" t="s">
        <v>2723</v>
      </c>
      <c r="T3655" s="3" t="s">
        <v>4868</v>
      </c>
      <c r="U3655" s="45">
        <v>35</v>
      </c>
      <c r="V3655" t="s">
        <v>8191</v>
      </c>
      <c r="W3655" s="1" t="str">
        <f>HYPERLINK("http://ictvonline.org/taxonomy/p/taxonomy-history?taxnode_id=201902208","ICTVonline=201902208")</f>
        <v>ICTVonline=201902208</v>
      </c>
    </row>
    <row r="3656" spans="1:23">
      <c r="A3656" s="3">
        <v>3655</v>
      </c>
      <c r="B3656" s="1" t="s">
        <v>5910</v>
      </c>
      <c r="D3656" s="1" t="s">
        <v>8187</v>
      </c>
      <c r="F3656" s="1" t="s">
        <v>8208</v>
      </c>
      <c r="H3656" s="1" t="s">
        <v>8209</v>
      </c>
      <c r="J3656" s="1" t="s">
        <v>1161</v>
      </c>
      <c r="L3656" s="1" t="s">
        <v>296</v>
      </c>
      <c r="N3656" s="1" t="s">
        <v>1211</v>
      </c>
      <c r="P3656" s="1" t="s">
        <v>2106</v>
      </c>
      <c r="Q3656" s="3">
        <v>0</v>
      </c>
      <c r="R3656" s="22" t="s">
        <v>2723</v>
      </c>
      <c r="T3656" s="3" t="s">
        <v>4868</v>
      </c>
      <c r="U3656" s="45">
        <v>35</v>
      </c>
      <c r="V3656" t="s">
        <v>8191</v>
      </c>
      <c r="W3656" s="1" t="str">
        <f>HYPERLINK("http://ictvonline.org/taxonomy/p/taxonomy-history?taxnode_id=201902209","ICTVonline=201902209")</f>
        <v>ICTVonline=201902209</v>
      </c>
    </row>
    <row r="3657" spans="1:23">
      <c r="A3657" s="3">
        <v>3656</v>
      </c>
      <c r="B3657" s="1" t="s">
        <v>5910</v>
      </c>
      <c r="D3657" s="1" t="s">
        <v>8187</v>
      </c>
      <c r="F3657" s="1" t="s">
        <v>8208</v>
      </c>
      <c r="H3657" s="1" t="s">
        <v>8209</v>
      </c>
      <c r="J3657" s="1" t="s">
        <v>1161</v>
      </c>
      <c r="L3657" s="1" t="s">
        <v>296</v>
      </c>
      <c r="N3657" s="1" t="s">
        <v>1211</v>
      </c>
      <c r="P3657" s="1" t="s">
        <v>453</v>
      </c>
      <c r="Q3657" s="3">
        <v>0</v>
      </c>
      <c r="R3657" s="22" t="s">
        <v>2723</v>
      </c>
      <c r="T3657" s="3" t="s">
        <v>4868</v>
      </c>
      <c r="U3657" s="45">
        <v>35</v>
      </c>
      <c r="V3657" t="s">
        <v>8191</v>
      </c>
      <c r="W3657" s="1" t="str">
        <f>HYPERLINK("http://ictvonline.org/taxonomy/p/taxonomy-history?taxnode_id=201902210","ICTVonline=201902210")</f>
        <v>ICTVonline=201902210</v>
      </c>
    </row>
    <row r="3658" spans="1:23">
      <c r="A3658" s="3">
        <v>3657</v>
      </c>
      <c r="B3658" s="1" t="s">
        <v>5910</v>
      </c>
      <c r="D3658" s="1" t="s">
        <v>8187</v>
      </c>
      <c r="F3658" s="1" t="s">
        <v>8208</v>
      </c>
      <c r="H3658" s="1" t="s">
        <v>8209</v>
      </c>
      <c r="J3658" s="1" t="s">
        <v>1161</v>
      </c>
      <c r="L3658" s="1" t="s">
        <v>296</v>
      </c>
      <c r="N3658" s="1" t="s">
        <v>1211</v>
      </c>
      <c r="P3658" s="1" t="s">
        <v>454</v>
      </c>
      <c r="Q3658" s="3">
        <v>0</v>
      </c>
      <c r="R3658" s="22" t="s">
        <v>2723</v>
      </c>
      <c r="T3658" s="3" t="s">
        <v>4868</v>
      </c>
      <c r="U3658" s="45">
        <v>35</v>
      </c>
      <c r="V3658" t="s">
        <v>8191</v>
      </c>
      <c r="W3658" s="1" t="str">
        <f>HYPERLINK("http://ictvonline.org/taxonomy/p/taxonomy-history?taxnode_id=201902211","ICTVonline=201902211")</f>
        <v>ICTVonline=201902211</v>
      </c>
    </row>
    <row r="3659" spans="1:23">
      <c r="A3659" s="3">
        <v>3658</v>
      </c>
      <c r="B3659" s="1" t="s">
        <v>5910</v>
      </c>
      <c r="D3659" s="1" t="s">
        <v>8187</v>
      </c>
      <c r="F3659" s="1" t="s">
        <v>8208</v>
      </c>
      <c r="H3659" s="1" t="s">
        <v>8209</v>
      </c>
      <c r="J3659" s="1" t="s">
        <v>1161</v>
      </c>
      <c r="L3659" s="1" t="s">
        <v>296</v>
      </c>
      <c r="N3659" s="1" t="s">
        <v>1211</v>
      </c>
      <c r="P3659" s="1" t="s">
        <v>455</v>
      </c>
      <c r="Q3659" s="3">
        <v>0</v>
      </c>
      <c r="R3659" s="22" t="s">
        <v>2723</v>
      </c>
      <c r="T3659" s="3" t="s">
        <v>4868</v>
      </c>
      <c r="U3659" s="45">
        <v>35</v>
      </c>
      <c r="V3659" t="s">
        <v>8191</v>
      </c>
      <c r="W3659" s="1" t="str">
        <f>HYPERLINK("http://ictvonline.org/taxonomy/p/taxonomy-history?taxnode_id=201902212","ICTVonline=201902212")</f>
        <v>ICTVonline=201902212</v>
      </c>
    </row>
    <row r="3660" spans="1:23">
      <c r="A3660" s="3">
        <v>3659</v>
      </c>
      <c r="B3660" s="1" t="s">
        <v>5910</v>
      </c>
      <c r="D3660" s="1" t="s">
        <v>8187</v>
      </c>
      <c r="F3660" s="1" t="s">
        <v>8208</v>
      </c>
      <c r="H3660" s="1" t="s">
        <v>8209</v>
      </c>
      <c r="J3660" s="1" t="s">
        <v>1161</v>
      </c>
      <c r="L3660" s="1" t="s">
        <v>296</v>
      </c>
      <c r="N3660" s="1" t="s">
        <v>1211</v>
      </c>
      <c r="P3660" s="1" t="s">
        <v>456</v>
      </c>
      <c r="Q3660" s="3">
        <v>0</v>
      </c>
      <c r="R3660" s="22" t="s">
        <v>2723</v>
      </c>
      <c r="T3660" s="3" t="s">
        <v>4868</v>
      </c>
      <c r="U3660" s="45">
        <v>35</v>
      </c>
      <c r="V3660" t="s">
        <v>8191</v>
      </c>
      <c r="W3660" s="1" t="str">
        <f>HYPERLINK("http://ictvonline.org/taxonomy/p/taxonomy-history?taxnode_id=201902213","ICTVonline=201902213")</f>
        <v>ICTVonline=201902213</v>
      </c>
    </row>
    <row r="3661" spans="1:23">
      <c r="A3661" s="3">
        <v>3660</v>
      </c>
      <c r="B3661" s="1" t="s">
        <v>5910</v>
      </c>
      <c r="D3661" s="1" t="s">
        <v>8187</v>
      </c>
      <c r="F3661" s="1" t="s">
        <v>8208</v>
      </c>
      <c r="H3661" s="1" t="s">
        <v>8209</v>
      </c>
      <c r="J3661" s="1" t="s">
        <v>1161</v>
      </c>
      <c r="L3661" s="1" t="s">
        <v>296</v>
      </c>
      <c r="N3661" s="1" t="s">
        <v>1211</v>
      </c>
      <c r="P3661" s="1" t="s">
        <v>457</v>
      </c>
      <c r="Q3661" s="3">
        <v>0</v>
      </c>
      <c r="R3661" s="22" t="s">
        <v>2723</v>
      </c>
      <c r="T3661" s="3" t="s">
        <v>4868</v>
      </c>
      <c r="U3661" s="45">
        <v>35</v>
      </c>
      <c r="V3661" t="s">
        <v>8191</v>
      </c>
      <c r="W3661" s="1" t="str">
        <f>HYPERLINK("http://ictvonline.org/taxonomy/p/taxonomy-history?taxnode_id=201902214","ICTVonline=201902214")</f>
        <v>ICTVonline=201902214</v>
      </c>
    </row>
    <row r="3662" spans="1:23">
      <c r="A3662" s="3">
        <v>3661</v>
      </c>
      <c r="B3662" s="1" t="s">
        <v>5910</v>
      </c>
      <c r="D3662" s="1" t="s">
        <v>8187</v>
      </c>
      <c r="F3662" s="1" t="s">
        <v>8208</v>
      </c>
      <c r="H3662" s="1" t="s">
        <v>8209</v>
      </c>
      <c r="J3662" s="1" t="s">
        <v>1161</v>
      </c>
      <c r="L3662" s="1" t="s">
        <v>296</v>
      </c>
      <c r="N3662" s="1" t="s">
        <v>1211</v>
      </c>
      <c r="P3662" s="1" t="s">
        <v>1431</v>
      </c>
      <c r="Q3662" s="3">
        <v>0</v>
      </c>
      <c r="R3662" s="22" t="s">
        <v>2723</v>
      </c>
      <c r="T3662" s="3" t="s">
        <v>4868</v>
      </c>
      <c r="U3662" s="45">
        <v>35</v>
      </c>
      <c r="V3662" t="s">
        <v>8191</v>
      </c>
      <c r="W3662" s="1" t="str">
        <f>HYPERLINK("http://ictvonline.org/taxonomy/p/taxonomy-history?taxnode_id=201902215","ICTVonline=201902215")</f>
        <v>ICTVonline=201902215</v>
      </c>
    </row>
    <row r="3663" spans="1:23">
      <c r="A3663" s="3">
        <v>3662</v>
      </c>
      <c r="B3663" s="1" t="s">
        <v>5910</v>
      </c>
      <c r="D3663" s="1" t="s">
        <v>8187</v>
      </c>
      <c r="F3663" s="1" t="s">
        <v>8208</v>
      </c>
      <c r="H3663" s="1" t="s">
        <v>8209</v>
      </c>
      <c r="J3663" s="1" t="s">
        <v>1161</v>
      </c>
      <c r="L3663" s="1" t="s">
        <v>296</v>
      </c>
      <c r="N3663" s="1" t="s">
        <v>1211</v>
      </c>
      <c r="P3663" s="1" t="s">
        <v>2107</v>
      </c>
      <c r="Q3663" s="3">
        <v>0</v>
      </c>
      <c r="R3663" s="22" t="s">
        <v>2723</v>
      </c>
      <c r="T3663" s="3" t="s">
        <v>4868</v>
      </c>
      <c r="U3663" s="45">
        <v>35</v>
      </c>
      <c r="V3663" t="s">
        <v>8191</v>
      </c>
      <c r="W3663" s="1" t="str">
        <f>HYPERLINK("http://ictvonline.org/taxonomy/p/taxonomy-history?taxnode_id=201902216","ICTVonline=201902216")</f>
        <v>ICTVonline=201902216</v>
      </c>
    </row>
    <row r="3664" spans="1:23">
      <c r="A3664" s="3">
        <v>3663</v>
      </c>
      <c r="B3664" s="1" t="s">
        <v>5910</v>
      </c>
      <c r="D3664" s="1" t="s">
        <v>8187</v>
      </c>
      <c r="F3664" s="1" t="s">
        <v>8208</v>
      </c>
      <c r="H3664" s="1" t="s">
        <v>8209</v>
      </c>
      <c r="J3664" s="1" t="s">
        <v>1161</v>
      </c>
      <c r="L3664" s="1" t="s">
        <v>296</v>
      </c>
      <c r="N3664" s="1" t="s">
        <v>1211</v>
      </c>
      <c r="P3664" s="1" t="s">
        <v>5143</v>
      </c>
      <c r="Q3664" s="3">
        <v>0</v>
      </c>
      <c r="R3664" s="22" t="s">
        <v>2723</v>
      </c>
      <c r="T3664" s="3" t="s">
        <v>4868</v>
      </c>
      <c r="U3664" s="45">
        <v>35</v>
      </c>
      <c r="V3664" t="s">
        <v>8191</v>
      </c>
      <c r="W3664" s="1" t="str">
        <f>HYPERLINK("http://ictvonline.org/taxonomy/p/taxonomy-history?taxnode_id=201905635","ICTVonline=201905635")</f>
        <v>ICTVonline=201905635</v>
      </c>
    </row>
    <row r="3665" spans="1:23">
      <c r="A3665" s="3">
        <v>3664</v>
      </c>
      <c r="B3665" s="1" t="s">
        <v>5910</v>
      </c>
      <c r="D3665" s="1" t="s">
        <v>8187</v>
      </c>
      <c r="F3665" s="1" t="s">
        <v>8208</v>
      </c>
      <c r="H3665" s="1" t="s">
        <v>8209</v>
      </c>
      <c r="J3665" s="1" t="s">
        <v>1161</v>
      </c>
      <c r="L3665" s="1" t="s">
        <v>296</v>
      </c>
      <c r="N3665" s="1" t="s">
        <v>1211</v>
      </c>
      <c r="P3665" s="1" t="s">
        <v>1432</v>
      </c>
      <c r="Q3665" s="3">
        <v>0</v>
      </c>
      <c r="R3665" s="22" t="s">
        <v>2723</v>
      </c>
      <c r="T3665" s="3" t="s">
        <v>4868</v>
      </c>
      <c r="U3665" s="45">
        <v>35</v>
      </c>
      <c r="V3665" t="s">
        <v>8191</v>
      </c>
      <c r="W3665" s="1" t="str">
        <f>HYPERLINK("http://ictvonline.org/taxonomy/p/taxonomy-history?taxnode_id=201902217","ICTVonline=201902217")</f>
        <v>ICTVonline=201902217</v>
      </c>
    </row>
    <row r="3666" spans="1:23">
      <c r="A3666" s="3">
        <v>3665</v>
      </c>
      <c r="B3666" s="1" t="s">
        <v>5910</v>
      </c>
      <c r="D3666" s="1" t="s">
        <v>8187</v>
      </c>
      <c r="F3666" s="1" t="s">
        <v>8208</v>
      </c>
      <c r="H3666" s="1" t="s">
        <v>8209</v>
      </c>
      <c r="J3666" s="1" t="s">
        <v>1161</v>
      </c>
      <c r="L3666" s="1" t="s">
        <v>296</v>
      </c>
      <c r="N3666" s="1" t="s">
        <v>1211</v>
      </c>
      <c r="P3666" s="1" t="s">
        <v>1433</v>
      </c>
      <c r="Q3666" s="3">
        <v>0</v>
      </c>
      <c r="R3666" s="22" t="s">
        <v>2723</v>
      </c>
      <c r="T3666" s="3" t="s">
        <v>4868</v>
      </c>
      <c r="U3666" s="45">
        <v>35</v>
      </c>
      <c r="V3666" t="s">
        <v>8191</v>
      </c>
      <c r="W3666" s="1" t="str">
        <f>HYPERLINK("http://ictvonline.org/taxonomy/p/taxonomy-history?taxnode_id=201902218","ICTVonline=201902218")</f>
        <v>ICTVonline=201902218</v>
      </c>
    </row>
    <row r="3667" spans="1:23">
      <c r="A3667" s="3">
        <v>3666</v>
      </c>
      <c r="B3667" s="1" t="s">
        <v>5910</v>
      </c>
      <c r="D3667" s="1" t="s">
        <v>8187</v>
      </c>
      <c r="F3667" s="1" t="s">
        <v>8208</v>
      </c>
      <c r="H3667" s="1" t="s">
        <v>8209</v>
      </c>
      <c r="J3667" s="1" t="s">
        <v>1161</v>
      </c>
      <c r="L3667" s="1" t="s">
        <v>296</v>
      </c>
      <c r="N3667" s="1" t="s">
        <v>1211</v>
      </c>
      <c r="P3667" s="1" t="s">
        <v>1434</v>
      </c>
      <c r="Q3667" s="3">
        <v>0</v>
      </c>
      <c r="R3667" s="22" t="s">
        <v>2723</v>
      </c>
      <c r="T3667" s="3" t="s">
        <v>4868</v>
      </c>
      <c r="U3667" s="45">
        <v>35</v>
      </c>
      <c r="V3667" t="s">
        <v>8191</v>
      </c>
      <c r="W3667" s="1" t="str">
        <f>HYPERLINK("http://ictvonline.org/taxonomy/p/taxonomy-history?taxnode_id=201902219","ICTVonline=201902219")</f>
        <v>ICTVonline=201902219</v>
      </c>
    </row>
    <row r="3668" spans="1:23">
      <c r="A3668" s="3">
        <v>3667</v>
      </c>
      <c r="B3668" s="1" t="s">
        <v>5910</v>
      </c>
      <c r="D3668" s="1" t="s">
        <v>8187</v>
      </c>
      <c r="F3668" s="1" t="s">
        <v>8208</v>
      </c>
      <c r="H3668" s="1" t="s">
        <v>8209</v>
      </c>
      <c r="J3668" s="1" t="s">
        <v>1161</v>
      </c>
      <c r="L3668" s="1" t="s">
        <v>296</v>
      </c>
      <c r="N3668" s="1" t="s">
        <v>1211</v>
      </c>
      <c r="P3668" s="1" t="s">
        <v>1435</v>
      </c>
      <c r="Q3668" s="3">
        <v>1</v>
      </c>
      <c r="R3668" s="22" t="s">
        <v>2723</v>
      </c>
      <c r="T3668" s="3" t="s">
        <v>4868</v>
      </c>
      <c r="U3668" s="45">
        <v>35</v>
      </c>
      <c r="V3668" t="s">
        <v>8191</v>
      </c>
      <c r="W3668" s="1" t="str">
        <f>HYPERLINK("http://ictvonline.org/taxonomy/p/taxonomy-history?taxnode_id=201902220","ICTVonline=201902220")</f>
        <v>ICTVonline=201902220</v>
      </c>
    </row>
    <row r="3669" spans="1:23">
      <c r="A3669" s="3">
        <v>3668</v>
      </c>
      <c r="B3669" s="1" t="s">
        <v>5910</v>
      </c>
      <c r="D3669" s="1" t="s">
        <v>8187</v>
      </c>
      <c r="F3669" s="1" t="s">
        <v>8208</v>
      </c>
      <c r="H3669" s="1" t="s">
        <v>8209</v>
      </c>
      <c r="J3669" s="1" t="s">
        <v>1161</v>
      </c>
      <c r="L3669" s="1" t="s">
        <v>296</v>
      </c>
      <c r="N3669" s="1" t="s">
        <v>1211</v>
      </c>
      <c r="P3669" s="1" t="s">
        <v>1436</v>
      </c>
      <c r="Q3669" s="3">
        <v>0</v>
      </c>
      <c r="R3669" s="22" t="s">
        <v>2723</v>
      </c>
      <c r="T3669" s="3" t="s">
        <v>4868</v>
      </c>
      <c r="U3669" s="45">
        <v>35</v>
      </c>
      <c r="V3669" t="s">
        <v>8191</v>
      </c>
      <c r="W3669" s="1" t="str">
        <f>HYPERLINK("http://ictvonline.org/taxonomy/p/taxonomy-history?taxnode_id=201902221","ICTVonline=201902221")</f>
        <v>ICTVonline=201902221</v>
      </c>
    </row>
    <row r="3670" spans="1:23">
      <c r="A3670" s="3">
        <v>3669</v>
      </c>
      <c r="B3670" s="1" t="s">
        <v>5910</v>
      </c>
      <c r="D3670" s="1" t="s">
        <v>8187</v>
      </c>
      <c r="F3670" s="1" t="s">
        <v>8208</v>
      </c>
      <c r="H3670" s="1" t="s">
        <v>8209</v>
      </c>
      <c r="J3670" s="1" t="s">
        <v>1161</v>
      </c>
      <c r="L3670" s="1" t="s">
        <v>296</v>
      </c>
      <c r="N3670" s="1" t="s">
        <v>1211</v>
      </c>
      <c r="P3670" s="1" t="s">
        <v>1443</v>
      </c>
      <c r="Q3670" s="3">
        <v>0</v>
      </c>
      <c r="R3670" s="22" t="s">
        <v>2723</v>
      </c>
      <c r="T3670" s="3" t="s">
        <v>4868</v>
      </c>
      <c r="U3670" s="45">
        <v>35</v>
      </c>
      <c r="V3670" t="s">
        <v>8191</v>
      </c>
      <c r="W3670" s="1" t="str">
        <f>HYPERLINK("http://ictvonline.org/taxonomy/p/taxonomy-history?taxnode_id=201902222","ICTVonline=201902222")</f>
        <v>ICTVonline=201902222</v>
      </c>
    </row>
    <row r="3671" spans="1:23">
      <c r="A3671" s="3">
        <v>3670</v>
      </c>
      <c r="B3671" s="1" t="s">
        <v>5910</v>
      </c>
      <c r="D3671" s="1" t="s">
        <v>8187</v>
      </c>
      <c r="F3671" s="1" t="s">
        <v>8208</v>
      </c>
      <c r="H3671" s="1" t="s">
        <v>8209</v>
      </c>
      <c r="J3671" s="1" t="s">
        <v>1161</v>
      </c>
      <c r="L3671" s="1" t="s">
        <v>296</v>
      </c>
      <c r="N3671" s="1" t="s">
        <v>1211</v>
      </c>
      <c r="P3671" s="1" t="s">
        <v>1444</v>
      </c>
      <c r="Q3671" s="3">
        <v>0</v>
      </c>
      <c r="R3671" s="22" t="s">
        <v>2723</v>
      </c>
      <c r="T3671" s="3" t="s">
        <v>4868</v>
      </c>
      <c r="U3671" s="45">
        <v>35</v>
      </c>
      <c r="V3671" t="s">
        <v>8191</v>
      </c>
      <c r="W3671" s="1" t="str">
        <f>HYPERLINK("http://ictvonline.org/taxonomy/p/taxonomy-history?taxnode_id=201902223","ICTVonline=201902223")</f>
        <v>ICTVonline=201902223</v>
      </c>
    </row>
    <row r="3672" spans="1:23">
      <c r="A3672" s="3">
        <v>3671</v>
      </c>
      <c r="B3672" s="1" t="s">
        <v>5910</v>
      </c>
      <c r="D3672" s="1" t="s">
        <v>8187</v>
      </c>
      <c r="F3672" s="1" t="s">
        <v>8208</v>
      </c>
      <c r="H3672" s="1" t="s">
        <v>8209</v>
      </c>
      <c r="J3672" s="1" t="s">
        <v>1161</v>
      </c>
      <c r="L3672" s="1" t="s">
        <v>296</v>
      </c>
      <c r="N3672" s="1" t="s">
        <v>1211</v>
      </c>
      <c r="P3672" s="1" t="s">
        <v>1440</v>
      </c>
      <c r="Q3672" s="3">
        <v>0</v>
      </c>
      <c r="R3672" s="22" t="s">
        <v>2723</v>
      </c>
      <c r="T3672" s="3" t="s">
        <v>4868</v>
      </c>
      <c r="U3672" s="45">
        <v>35</v>
      </c>
      <c r="V3672" t="s">
        <v>8191</v>
      </c>
      <c r="W3672" s="1" t="str">
        <f>HYPERLINK("http://ictvonline.org/taxonomy/p/taxonomy-history?taxnode_id=201902224","ICTVonline=201902224")</f>
        <v>ICTVonline=201902224</v>
      </c>
    </row>
    <row r="3673" spans="1:23">
      <c r="A3673" s="3">
        <v>3672</v>
      </c>
      <c r="B3673" s="1" t="s">
        <v>5910</v>
      </c>
      <c r="D3673" s="1" t="s">
        <v>8187</v>
      </c>
      <c r="F3673" s="1" t="s">
        <v>8208</v>
      </c>
      <c r="H3673" s="1" t="s">
        <v>8209</v>
      </c>
      <c r="J3673" s="1" t="s">
        <v>1161</v>
      </c>
      <c r="L3673" s="1" t="s">
        <v>296</v>
      </c>
      <c r="N3673" s="1" t="s">
        <v>1211</v>
      </c>
      <c r="P3673" s="1" t="s">
        <v>5144</v>
      </c>
      <c r="Q3673" s="3">
        <v>0</v>
      </c>
      <c r="R3673" s="22" t="s">
        <v>2723</v>
      </c>
      <c r="T3673" s="3" t="s">
        <v>4868</v>
      </c>
      <c r="U3673" s="45">
        <v>35</v>
      </c>
      <c r="V3673" t="s">
        <v>8191</v>
      </c>
      <c r="W3673" s="1" t="str">
        <f>HYPERLINK("http://ictvonline.org/taxonomy/p/taxonomy-history?taxnode_id=201905636","ICTVonline=201905636")</f>
        <v>ICTVonline=201905636</v>
      </c>
    </row>
    <row r="3674" spans="1:23">
      <c r="A3674" s="3">
        <v>3673</v>
      </c>
      <c r="B3674" s="1" t="s">
        <v>5910</v>
      </c>
      <c r="D3674" s="1" t="s">
        <v>8187</v>
      </c>
      <c r="F3674" s="1" t="s">
        <v>8208</v>
      </c>
      <c r="H3674" s="1" t="s">
        <v>8209</v>
      </c>
      <c r="J3674" s="1" t="s">
        <v>1161</v>
      </c>
      <c r="L3674" s="1" t="s">
        <v>296</v>
      </c>
      <c r="N3674" s="1" t="s">
        <v>1211</v>
      </c>
      <c r="P3674" s="1" t="s">
        <v>1441</v>
      </c>
      <c r="Q3674" s="3">
        <v>0</v>
      </c>
      <c r="R3674" s="22" t="s">
        <v>2723</v>
      </c>
      <c r="T3674" s="3" t="s">
        <v>4868</v>
      </c>
      <c r="U3674" s="45">
        <v>35</v>
      </c>
      <c r="V3674" t="s">
        <v>8191</v>
      </c>
      <c r="W3674" s="1" t="str">
        <f>HYPERLINK("http://ictvonline.org/taxonomy/p/taxonomy-history?taxnode_id=201902225","ICTVonline=201902225")</f>
        <v>ICTVonline=201902225</v>
      </c>
    </row>
    <row r="3675" spans="1:23">
      <c r="A3675" s="3">
        <v>3674</v>
      </c>
      <c r="B3675" s="1" t="s">
        <v>5910</v>
      </c>
      <c r="D3675" s="1" t="s">
        <v>8187</v>
      </c>
      <c r="F3675" s="1" t="s">
        <v>8208</v>
      </c>
      <c r="H3675" s="1" t="s">
        <v>8209</v>
      </c>
      <c r="J3675" s="1" t="s">
        <v>1161</v>
      </c>
      <c r="L3675" s="1" t="s">
        <v>296</v>
      </c>
      <c r="N3675" s="1" t="s">
        <v>1211</v>
      </c>
      <c r="P3675" s="1" t="s">
        <v>3610</v>
      </c>
      <c r="Q3675" s="3">
        <v>0</v>
      </c>
      <c r="R3675" s="22" t="s">
        <v>2723</v>
      </c>
      <c r="T3675" s="3" t="s">
        <v>4868</v>
      </c>
      <c r="U3675" s="45">
        <v>35</v>
      </c>
      <c r="V3675" t="s">
        <v>8191</v>
      </c>
      <c r="W3675" s="1" t="str">
        <f>HYPERLINK("http://ictvonline.org/taxonomy/p/taxonomy-history?taxnode_id=201902226","ICTVonline=201902226")</f>
        <v>ICTVonline=201902226</v>
      </c>
    </row>
    <row r="3676" spans="1:23">
      <c r="A3676" s="3">
        <v>3675</v>
      </c>
      <c r="B3676" s="1" t="s">
        <v>5910</v>
      </c>
      <c r="D3676" s="1" t="s">
        <v>8187</v>
      </c>
      <c r="F3676" s="1" t="s">
        <v>8208</v>
      </c>
      <c r="H3676" s="1" t="s">
        <v>8209</v>
      </c>
      <c r="J3676" s="1" t="s">
        <v>1161</v>
      </c>
      <c r="L3676" s="1" t="s">
        <v>296</v>
      </c>
      <c r="N3676" s="1" t="s">
        <v>1211</v>
      </c>
      <c r="P3676" s="1" t="s">
        <v>1442</v>
      </c>
      <c r="Q3676" s="3">
        <v>0</v>
      </c>
      <c r="R3676" s="22" t="s">
        <v>2723</v>
      </c>
      <c r="T3676" s="3" t="s">
        <v>4868</v>
      </c>
      <c r="U3676" s="45">
        <v>35</v>
      </c>
      <c r="V3676" t="s">
        <v>8191</v>
      </c>
      <c r="W3676" s="1" t="str">
        <f>HYPERLINK("http://ictvonline.org/taxonomy/p/taxonomy-history?taxnode_id=201902227","ICTVonline=201902227")</f>
        <v>ICTVonline=201902227</v>
      </c>
    </row>
    <row r="3677" spans="1:23">
      <c r="A3677" s="3">
        <v>3676</v>
      </c>
      <c r="B3677" s="1" t="s">
        <v>5910</v>
      </c>
      <c r="D3677" s="1" t="s">
        <v>8187</v>
      </c>
      <c r="F3677" s="1" t="s">
        <v>8208</v>
      </c>
      <c r="H3677" s="1" t="s">
        <v>8209</v>
      </c>
      <c r="J3677" s="1" t="s">
        <v>1161</v>
      </c>
      <c r="L3677" s="1" t="s">
        <v>296</v>
      </c>
      <c r="N3677" s="1" t="s">
        <v>1678</v>
      </c>
      <c r="P3677" s="1" t="s">
        <v>1501</v>
      </c>
      <c r="Q3677" s="3">
        <v>1</v>
      </c>
      <c r="R3677" s="22" t="s">
        <v>2723</v>
      </c>
      <c r="T3677" s="3" t="s">
        <v>4868</v>
      </c>
      <c r="U3677" s="45">
        <v>35</v>
      </c>
      <c r="V3677" t="s">
        <v>8191</v>
      </c>
      <c r="W3677" s="1" t="str">
        <f>HYPERLINK("http://ictvonline.org/taxonomy/p/taxonomy-history?taxnode_id=201902229","ICTVonline=201902229")</f>
        <v>ICTVonline=201902229</v>
      </c>
    </row>
    <row r="3678" spans="1:23">
      <c r="A3678" s="3">
        <v>3677</v>
      </c>
      <c r="B3678" s="1" t="s">
        <v>5910</v>
      </c>
      <c r="D3678" s="1" t="s">
        <v>8187</v>
      </c>
      <c r="F3678" s="1" t="s">
        <v>8208</v>
      </c>
      <c r="H3678" s="1" t="s">
        <v>8209</v>
      </c>
      <c r="J3678" s="1" t="s">
        <v>1161</v>
      </c>
      <c r="L3678" s="1" t="s">
        <v>1162</v>
      </c>
      <c r="M3678" s="1" t="s">
        <v>3611</v>
      </c>
      <c r="N3678" s="1" t="s">
        <v>418</v>
      </c>
      <c r="P3678" s="1" t="s">
        <v>419</v>
      </c>
      <c r="Q3678" s="3">
        <v>0</v>
      </c>
      <c r="R3678" s="22" t="s">
        <v>2723</v>
      </c>
      <c r="T3678" s="3" t="s">
        <v>4868</v>
      </c>
      <c r="U3678" s="45">
        <v>35</v>
      </c>
      <c r="V3678" t="s">
        <v>8191</v>
      </c>
      <c r="W3678" s="1" t="str">
        <f>HYPERLINK("http://ictvonline.org/taxonomy/p/taxonomy-history?taxnode_id=201902235","ICTVonline=201902235")</f>
        <v>ICTVonline=201902235</v>
      </c>
    </row>
    <row r="3679" spans="1:23">
      <c r="A3679" s="3">
        <v>3678</v>
      </c>
      <c r="B3679" s="1" t="s">
        <v>5910</v>
      </c>
      <c r="D3679" s="1" t="s">
        <v>8187</v>
      </c>
      <c r="F3679" s="1" t="s">
        <v>8208</v>
      </c>
      <c r="H3679" s="1" t="s">
        <v>8209</v>
      </c>
      <c r="J3679" s="1" t="s">
        <v>1161</v>
      </c>
      <c r="L3679" s="1" t="s">
        <v>1162</v>
      </c>
      <c r="M3679" s="1" t="s">
        <v>3611</v>
      </c>
      <c r="N3679" s="1" t="s">
        <v>418</v>
      </c>
      <c r="P3679" s="1" t="s">
        <v>420</v>
      </c>
      <c r="Q3679" s="3">
        <v>0</v>
      </c>
      <c r="R3679" s="22" t="s">
        <v>2723</v>
      </c>
      <c r="T3679" s="3" t="s">
        <v>4868</v>
      </c>
      <c r="U3679" s="45">
        <v>35</v>
      </c>
      <c r="V3679" t="s">
        <v>8191</v>
      </c>
      <c r="W3679" s="1" t="str">
        <f>HYPERLINK("http://ictvonline.org/taxonomy/p/taxonomy-history?taxnode_id=201902236","ICTVonline=201902236")</f>
        <v>ICTVonline=201902236</v>
      </c>
    </row>
    <row r="3680" spans="1:23">
      <c r="A3680" s="3">
        <v>3679</v>
      </c>
      <c r="B3680" s="1" t="s">
        <v>5910</v>
      </c>
      <c r="D3680" s="1" t="s">
        <v>8187</v>
      </c>
      <c r="F3680" s="1" t="s">
        <v>8208</v>
      </c>
      <c r="H3680" s="1" t="s">
        <v>8209</v>
      </c>
      <c r="J3680" s="1" t="s">
        <v>1161</v>
      </c>
      <c r="L3680" s="1" t="s">
        <v>1162</v>
      </c>
      <c r="M3680" s="1" t="s">
        <v>3611</v>
      </c>
      <c r="N3680" s="1" t="s">
        <v>418</v>
      </c>
      <c r="P3680" s="1" t="s">
        <v>5145</v>
      </c>
      <c r="Q3680" s="3">
        <v>0</v>
      </c>
      <c r="R3680" s="22" t="s">
        <v>2723</v>
      </c>
      <c r="T3680" s="3" t="s">
        <v>4868</v>
      </c>
      <c r="U3680" s="45">
        <v>35</v>
      </c>
      <c r="V3680" t="s">
        <v>8191</v>
      </c>
      <c r="W3680" s="1" t="str">
        <f>HYPERLINK("http://ictvonline.org/taxonomy/p/taxonomy-history?taxnode_id=201905637","ICTVonline=201905637")</f>
        <v>ICTVonline=201905637</v>
      </c>
    </row>
    <row r="3681" spans="1:23">
      <c r="A3681" s="3">
        <v>3680</v>
      </c>
      <c r="B3681" s="1" t="s">
        <v>5910</v>
      </c>
      <c r="D3681" s="1" t="s">
        <v>8187</v>
      </c>
      <c r="F3681" s="1" t="s">
        <v>8208</v>
      </c>
      <c r="H3681" s="1" t="s">
        <v>8209</v>
      </c>
      <c r="J3681" s="1" t="s">
        <v>1161</v>
      </c>
      <c r="L3681" s="1" t="s">
        <v>1162</v>
      </c>
      <c r="M3681" s="1" t="s">
        <v>3611</v>
      </c>
      <c r="N3681" s="1" t="s">
        <v>418</v>
      </c>
      <c r="P3681" s="1" t="s">
        <v>421</v>
      </c>
      <c r="Q3681" s="3">
        <v>0</v>
      </c>
      <c r="R3681" s="22" t="s">
        <v>2723</v>
      </c>
      <c r="T3681" s="3" t="s">
        <v>4868</v>
      </c>
      <c r="U3681" s="45">
        <v>35</v>
      </c>
      <c r="V3681" t="s">
        <v>8191</v>
      </c>
      <c r="W3681" s="1" t="str">
        <f>HYPERLINK("http://ictvonline.org/taxonomy/p/taxonomy-history?taxnode_id=201902237","ICTVonline=201902237")</f>
        <v>ICTVonline=201902237</v>
      </c>
    </row>
    <row r="3682" spans="1:23">
      <c r="A3682" s="3">
        <v>3681</v>
      </c>
      <c r="B3682" s="1" t="s">
        <v>5910</v>
      </c>
      <c r="D3682" s="1" t="s">
        <v>8187</v>
      </c>
      <c r="F3682" s="1" t="s">
        <v>8208</v>
      </c>
      <c r="H3682" s="1" t="s">
        <v>8209</v>
      </c>
      <c r="J3682" s="1" t="s">
        <v>1161</v>
      </c>
      <c r="L3682" s="1" t="s">
        <v>1162</v>
      </c>
      <c r="M3682" s="1" t="s">
        <v>3611</v>
      </c>
      <c r="N3682" s="1" t="s">
        <v>418</v>
      </c>
      <c r="P3682" s="1" t="s">
        <v>2186</v>
      </c>
      <c r="Q3682" s="3">
        <v>0</v>
      </c>
      <c r="R3682" s="22" t="s">
        <v>2723</v>
      </c>
      <c r="T3682" s="3" t="s">
        <v>4868</v>
      </c>
      <c r="U3682" s="45">
        <v>35</v>
      </c>
      <c r="V3682" t="s">
        <v>8191</v>
      </c>
      <c r="W3682" s="1" t="str">
        <f>HYPERLINK("http://ictvonline.org/taxonomy/p/taxonomy-history?taxnode_id=201902238","ICTVonline=201902238")</f>
        <v>ICTVonline=201902238</v>
      </c>
    </row>
    <row r="3683" spans="1:23">
      <c r="A3683" s="3">
        <v>3682</v>
      </c>
      <c r="B3683" s="1" t="s">
        <v>5910</v>
      </c>
      <c r="D3683" s="1" t="s">
        <v>8187</v>
      </c>
      <c r="F3683" s="1" t="s">
        <v>8208</v>
      </c>
      <c r="H3683" s="1" t="s">
        <v>8209</v>
      </c>
      <c r="J3683" s="1" t="s">
        <v>1161</v>
      </c>
      <c r="L3683" s="1" t="s">
        <v>1162</v>
      </c>
      <c r="M3683" s="1" t="s">
        <v>3611</v>
      </c>
      <c r="N3683" s="1" t="s">
        <v>418</v>
      </c>
      <c r="P3683" s="1" t="s">
        <v>422</v>
      </c>
      <c r="Q3683" s="3">
        <v>0</v>
      </c>
      <c r="R3683" s="22" t="s">
        <v>2723</v>
      </c>
      <c r="T3683" s="3" t="s">
        <v>4868</v>
      </c>
      <c r="U3683" s="45">
        <v>35</v>
      </c>
      <c r="V3683" t="s">
        <v>8191</v>
      </c>
      <c r="W3683" s="1" t="str">
        <f>HYPERLINK("http://ictvonline.org/taxonomy/p/taxonomy-history?taxnode_id=201902239","ICTVonline=201902239")</f>
        <v>ICTVonline=201902239</v>
      </c>
    </row>
    <row r="3684" spans="1:23">
      <c r="A3684" s="3">
        <v>3683</v>
      </c>
      <c r="B3684" s="1" t="s">
        <v>5910</v>
      </c>
      <c r="D3684" s="1" t="s">
        <v>8187</v>
      </c>
      <c r="F3684" s="1" t="s">
        <v>8208</v>
      </c>
      <c r="H3684" s="1" t="s">
        <v>8209</v>
      </c>
      <c r="J3684" s="1" t="s">
        <v>1161</v>
      </c>
      <c r="L3684" s="1" t="s">
        <v>1162</v>
      </c>
      <c r="M3684" s="1" t="s">
        <v>3611</v>
      </c>
      <c r="N3684" s="1" t="s">
        <v>418</v>
      </c>
      <c r="P3684" s="1" t="s">
        <v>423</v>
      </c>
      <c r="Q3684" s="3">
        <v>0</v>
      </c>
      <c r="R3684" s="22" t="s">
        <v>2723</v>
      </c>
      <c r="T3684" s="3" t="s">
        <v>4868</v>
      </c>
      <c r="U3684" s="45">
        <v>35</v>
      </c>
      <c r="V3684" t="s">
        <v>8191</v>
      </c>
      <c r="W3684" s="1" t="str">
        <f>HYPERLINK("http://ictvonline.org/taxonomy/p/taxonomy-history?taxnode_id=201902240","ICTVonline=201902240")</f>
        <v>ICTVonline=201902240</v>
      </c>
    </row>
    <row r="3685" spans="1:23">
      <c r="A3685" s="3">
        <v>3684</v>
      </c>
      <c r="B3685" s="1" t="s">
        <v>5910</v>
      </c>
      <c r="D3685" s="1" t="s">
        <v>8187</v>
      </c>
      <c r="F3685" s="1" t="s">
        <v>8208</v>
      </c>
      <c r="H3685" s="1" t="s">
        <v>8209</v>
      </c>
      <c r="J3685" s="1" t="s">
        <v>1161</v>
      </c>
      <c r="L3685" s="1" t="s">
        <v>1162</v>
      </c>
      <c r="M3685" s="1" t="s">
        <v>3611</v>
      </c>
      <c r="N3685" s="1" t="s">
        <v>418</v>
      </c>
      <c r="P3685" s="1" t="s">
        <v>293</v>
      </c>
      <c r="Q3685" s="3">
        <v>1</v>
      </c>
      <c r="R3685" s="22" t="s">
        <v>2723</v>
      </c>
      <c r="T3685" s="3" t="s">
        <v>4868</v>
      </c>
      <c r="U3685" s="45">
        <v>35</v>
      </c>
      <c r="V3685" t="s">
        <v>8191</v>
      </c>
      <c r="W3685" s="1" t="str">
        <f>HYPERLINK("http://ictvonline.org/taxonomy/p/taxonomy-history?taxnode_id=201902241","ICTVonline=201902241")</f>
        <v>ICTVonline=201902241</v>
      </c>
    </row>
    <row r="3686" spans="1:23">
      <c r="A3686" s="3">
        <v>3685</v>
      </c>
      <c r="B3686" s="1" t="s">
        <v>5910</v>
      </c>
      <c r="D3686" s="1" t="s">
        <v>8187</v>
      </c>
      <c r="F3686" s="1" t="s">
        <v>8208</v>
      </c>
      <c r="H3686" s="1" t="s">
        <v>8209</v>
      </c>
      <c r="J3686" s="1" t="s">
        <v>1161</v>
      </c>
      <c r="L3686" s="1" t="s">
        <v>1162</v>
      </c>
      <c r="M3686" s="1" t="s">
        <v>3611</v>
      </c>
      <c r="N3686" s="1" t="s">
        <v>418</v>
      </c>
      <c r="P3686" s="1" t="s">
        <v>2024</v>
      </c>
      <c r="Q3686" s="3">
        <v>0</v>
      </c>
      <c r="R3686" s="22" t="s">
        <v>2723</v>
      </c>
      <c r="T3686" s="3" t="s">
        <v>4868</v>
      </c>
      <c r="U3686" s="45">
        <v>35</v>
      </c>
      <c r="V3686" t="s">
        <v>8191</v>
      </c>
      <c r="W3686" s="1" t="str">
        <f>HYPERLINK("http://ictvonline.org/taxonomy/p/taxonomy-history?taxnode_id=201902242","ICTVonline=201902242")</f>
        <v>ICTVonline=201902242</v>
      </c>
    </row>
    <row r="3687" spans="1:23">
      <c r="A3687" s="3">
        <v>3686</v>
      </c>
      <c r="B3687" s="1" t="s">
        <v>5910</v>
      </c>
      <c r="D3687" s="1" t="s">
        <v>8187</v>
      </c>
      <c r="F3687" s="1" t="s">
        <v>8208</v>
      </c>
      <c r="H3687" s="1" t="s">
        <v>8209</v>
      </c>
      <c r="J3687" s="1" t="s">
        <v>1161</v>
      </c>
      <c r="L3687" s="1" t="s">
        <v>1162</v>
      </c>
      <c r="M3687" s="1" t="s">
        <v>3611</v>
      </c>
      <c r="N3687" s="1" t="s">
        <v>418</v>
      </c>
      <c r="P3687" s="1" t="s">
        <v>2025</v>
      </c>
      <c r="Q3687" s="3">
        <v>0</v>
      </c>
      <c r="R3687" s="22" t="s">
        <v>2723</v>
      </c>
      <c r="T3687" s="3" t="s">
        <v>4868</v>
      </c>
      <c r="U3687" s="45">
        <v>35</v>
      </c>
      <c r="V3687" t="s">
        <v>8191</v>
      </c>
      <c r="W3687" s="1" t="str">
        <f>HYPERLINK("http://ictvonline.org/taxonomy/p/taxonomy-history?taxnode_id=201902243","ICTVonline=201902243")</f>
        <v>ICTVonline=201902243</v>
      </c>
    </row>
    <row r="3688" spans="1:23">
      <c r="A3688" s="3">
        <v>3687</v>
      </c>
      <c r="B3688" s="1" t="s">
        <v>5910</v>
      </c>
      <c r="D3688" s="1" t="s">
        <v>8187</v>
      </c>
      <c r="F3688" s="1" t="s">
        <v>8208</v>
      </c>
      <c r="H3688" s="1" t="s">
        <v>8209</v>
      </c>
      <c r="J3688" s="1" t="s">
        <v>1161</v>
      </c>
      <c r="L3688" s="1" t="s">
        <v>1162</v>
      </c>
      <c r="M3688" s="1" t="s">
        <v>3611</v>
      </c>
      <c r="N3688" s="1" t="s">
        <v>418</v>
      </c>
      <c r="P3688" s="1" t="s">
        <v>2104</v>
      </c>
      <c r="Q3688" s="3">
        <v>0</v>
      </c>
      <c r="R3688" s="22" t="s">
        <v>2723</v>
      </c>
      <c r="T3688" s="3" t="s">
        <v>4868</v>
      </c>
      <c r="U3688" s="45">
        <v>35</v>
      </c>
      <c r="V3688" t="s">
        <v>8191</v>
      </c>
      <c r="W3688" s="1" t="str">
        <f>HYPERLINK("http://ictvonline.org/taxonomy/p/taxonomy-history?taxnode_id=201902244","ICTVonline=201902244")</f>
        <v>ICTVonline=201902244</v>
      </c>
    </row>
    <row r="3689" spans="1:23">
      <c r="A3689" s="3">
        <v>3688</v>
      </c>
      <c r="B3689" s="1" t="s">
        <v>5910</v>
      </c>
      <c r="D3689" s="1" t="s">
        <v>8187</v>
      </c>
      <c r="F3689" s="1" t="s">
        <v>8208</v>
      </c>
      <c r="H3689" s="1" t="s">
        <v>8209</v>
      </c>
      <c r="J3689" s="1" t="s">
        <v>1161</v>
      </c>
      <c r="L3689" s="1" t="s">
        <v>1162</v>
      </c>
      <c r="M3689" s="1" t="s">
        <v>3611</v>
      </c>
      <c r="N3689" s="1" t="s">
        <v>418</v>
      </c>
      <c r="P3689" s="1" t="s">
        <v>1931</v>
      </c>
      <c r="Q3689" s="3">
        <v>0</v>
      </c>
      <c r="R3689" s="22" t="s">
        <v>2723</v>
      </c>
      <c r="T3689" s="3" t="s">
        <v>4868</v>
      </c>
      <c r="U3689" s="45">
        <v>35</v>
      </c>
      <c r="V3689" t="s">
        <v>8191</v>
      </c>
      <c r="W3689" s="1" t="str">
        <f>HYPERLINK("http://ictvonline.org/taxonomy/p/taxonomy-history?taxnode_id=201902245","ICTVonline=201902245")</f>
        <v>ICTVonline=201902245</v>
      </c>
    </row>
    <row r="3690" spans="1:23">
      <c r="A3690" s="3">
        <v>3689</v>
      </c>
      <c r="B3690" s="1" t="s">
        <v>5910</v>
      </c>
      <c r="D3690" s="1" t="s">
        <v>8187</v>
      </c>
      <c r="F3690" s="1" t="s">
        <v>8208</v>
      </c>
      <c r="H3690" s="1" t="s">
        <v>8209</v>
      </c>
      <c r="J3690" s="1" t="s">
        <v>1161</v>
      </c>
      <c r="L3690" s="1" t="s">
        <v>1162</v>
      </c>
      <c r="M3690" s="1" t="s">
        <v>3611</v>
      </c>
      <c r="N3690" s="1" t="s">
        <v>418</v>
      </c>
      <c r="P3690" s="1" t="s">
        <v>2187</v>
      </c>
      <c r="Q3690" s="3">
        <v>0</v>
      </c>
      <c r="R3690" s="22" t="s">
        <v>2723</v>
      </c>
      <c r="T3690" s="3" t="s">
        <v>4868</v>
      </c>
      <c r="U3690" s="45">
        <v>35</v>
      </c>
      <c r="V3690" t="s">
        <v>8191</v>
      </c>
      <c r="W3690" s="1" t="str">
        <f>HYPERLINK("http://ictvonline.org/taxonomy/p/taxonomy-history?taxnode_id=201902246","ICTVonline=201902246")</f>
        <v>ICTVonline=201902246</v>
      </c>
    </row>
    <row r="3691" spans="1:23">
      <c r="A3691" s="3">
        <v>3690</v>
      </c>
      <c r="B3691" s="1" t="s">
        <v>5910</v>
      </c>
      <c r="D3691" s="1" t="s">
        <v>8187</v>
      </c>
      <c r="F3691" s="1" t="s">
        <v>8208</v>
      </c>
      <c r="H3691" s="1" t="s">
        <v>8209</v>
      </c>
      <c r="J3691" s="1" t="s">
        <v>1161</v>
      </c>
      <c r="L3691" s="1" t="s">
        <v>1162</v>
      </c>
      <c r="M3691" s="1" t="s">
        <v>3611</v>
      </c>
      <c r="N3691" s="1" t="s">
        <v>418</v>
      </c>
      <c r="P3691" s="1" t="s">
        <v>1932</v>
      </c>
      <c r="Q3691" s="3">
        <v>0</v>
      </c>
      <c r="R3691" s="22" t="s">
        <v>2723</v>
      </c>
      <c r="T3691" s="3" t="s">
        <v>4868</v>
      </c>
      <c r="U3691" s="45">
        <v>35</v>
      </c>
      <c r="V3691" t="s">
        <v>8191</v>
      </c>
      <c r="W3691" s="1" t="str">
        <f>HYPERLINK("http://ictvonline.org/taxonomy/p/taxonomy-history?taxnode_id=201902247","ICTVonline=201902247")</f>
        <v>ICTVonline=201902247</v>
      </c>
    </row>
    <row r="3692" spans="1:23">
      <c r="A3692" s="3">
        <v>3691</v>
      </c>
      <c r="B3692" s="1" t="s">
        <v>5910</v>
      </c>
      <c r="D3692" s="1" t="s">
        <v>8187</v>
      </c>
      <c r="F3692" s="1" t="s">
        <v>8208</v>
      </c>
      <c r="H3692" s="1" t="s">
        <v>8209</v>
      </c>
      <c r="J3692" s="1" t="s">
        <v>1161</v>
      </c>
      <c r="L3692" s="1" t="s">
        <v>1162</v>
      </c>
      <c r="M3692" s="1" t="s">
        <v>3611</v>
      </c>
      <c r="N3692" s="1" t="s">
        <v>418</v>
      </c>
      <c r="P3692" s="1" t="s">
        <v>3612</v>
      </c>
      <c r="Q3692" s="3">
        <v>0</v>
      </c>
      <c r="R3692" s="22" t="s">
        <v>2723</v>
      </c>
      <c r="T3692" s="3" t="s">
        <v>4868</v>
      </c>
      <c r="U3692" s="45">
        <v>35</v>
      </c>
      <c r="V3692" t="s">
        <v>8191</v>
      </c>
      <c r="W3692" s="1" t="str">
        <f>HYPERLINK("http://ictvonline.org/taxonomy/p/taxonomy-history?taxnode_id=201902248","ICTVonline=201902248")</f>
        <v>ICTVonline=201902248</v>
      </c>
    </row>
    <row r="3693" spans="1:23">
      <c r="A3693" s="3">
        <v>3692</v>
      </c>
      <c r="B3693" s="1" t="s">
        <v>5910</v>
      </c>
      <c r="D3693" s="1" t="s">
        <v>8187</v>
      </c>
      <c r="F3693" s="1" t="s">
        <v>8208</v>
      </c>
      <c r="H3693" s="1" t="s">
        <v>8209</v>
      </c>
      <c r="J3693" s="1" t="s">
        <v>1161</v>
      </c>
      <c r="L3693" s="1" t="s">
        <v>1162</v>
      </c>
      <c r="M3693" s="1" t="s">
        <v>3611</v>
      </c>
      <c r="N3693" s="1" t="s">
        <v>418</v>
      </c>
      <c r="P3693" s="1" t="s">
        <v>1603</v>
      </c>
      <c r="Q3693" s="3">
        <v>0</v>
      </c>
      <c r="R3693" s="22" t="s">
        <v>2723</v>
      </c>
      <c r="T3693" s="3" t="s">
        <v>4868</v>
      </c>
      <c r="U3693" s="45">
        <v>35</v>
      </c>
      <c r="V3693" t="s">
        <v>8191</v>
      </c>
      <c r="W3693" s="1" t="str">
        <f>HYPERLINK("http://ictvonline.org/taxonomy/p/taxonomy-history?taxnode_id=201902249","ICTVonline=201902249")</f>
        <v>ICTVonline=201902249</v>
      </c>
    </row>
    <row r="3694" spans="1:23">
      <c r="A3694" s="3">
        <v>3693</v>
      </c>
      <c r="B3694" s="1" t="s">
        <v>5910</v>
      </c>
      <c r="D3694" s="1" t="s">
        <v>8187</v>
      </c>
      <c r="F3694" s="1" t="s">
        <v>8208</v>
      </c>
      <c r="H3694" s="1" t="s">
        <v>8209</v>
      </c>
      <c r="J3694" s="1" t="s">
        <v>1161</v>
      </c>
      <c r="L3694" s="1" t="s">
        <v>1162</v>
      </c>
      <c r="M3694" s="1" t="s">
        <v>3611</v>
      </c>
      <c r="N3694" s="1" t="s">
        <v>418</v>
      </c>
      <c r="P3694" s="1" t="s">
        <v>1604</v>
      </c>
      <c r="Q3694" s="3">
        <v>0</v>
      </c>
      <c r="R3694" s="22" t="s">
        <v>2723</v>
      </c>
      <c r="T3694" s="3" t="s">
        <v>4868</v>
      </c>
      <c r="U3694" s="45">
        <v>35</v>
      </c>
      <c r="V3694" t="s">
        <v>8191</v>
      </c>
      <c r="W3694" s="1" t="str">
        <f>HYPERLINK("http://ictvonline.org/taxonomy/p/taxonomy-history?taxnode_id=201902250","ICTVonline=201902250")</f>
        <v>ICTVonline=201902250</v>
      </c>
    </row>
    <row r="3695" spans="1:23">
      <c r="A3695" s="3">
        <v>3694</v>
      </c>
      <c r="B3695" s="1" t="s">
        <v>5910</v>
      </c>
      <c r="D3695" s="1" t="s">
        <v>8187</v>
      </c>
      <c r="F3695" s="1" t="s">
        <v>8208</v>
      </c>
      <c r="H3695" s="1" t="s">
        <v>8209</v>
      </c>
      <c r="J3695" s="1" t="s">
        <v>1161</v>
      </c>
      <c r="L3695" s="1" t="s">
        <v>1162</v>
      </c>
      <c r="M3695" s="1" t="s">
        <v>3611</v>
      </c>
      <c r="N3695" s="1" t="s">
        <v>418</v>
      </c>
      <c r="P3695" s="1" t="s">
        <v>2188</v>
      </c>
      <c r="Q3695" s="3">
        <v>0</v>
      </c>
      <c r="R3695" s="22" t="s">
        <v>2723</v>
      </c>
      <c r="T3695" s="3" t="s">
        <v>4868</v>
      </c>
      <c r="U3695" s="45">
        <v>35</v>
      </c>
      <c r="V3695" t="s">
        <v>8191</v>
      </c>
      <c r="W3695" s="1" t="str">
        <f>HYPERLINK("http://ictvonline.org/taxonomy/p/taxonomy-history?taxnode_id=201902251","ICTVonline=201902251")</f>
        <v>ICTVonline=201902251</v>
      </c>
    </row>
    <row r="3696" spans="1:23">
      <c r="A3696" s="3">
        <v>3695</v>
      </c>
      <c r="B3696" s="1" t="s">
        <v>5910</v>
      </c>
      <c r="D3696" s="1" t="s">
        <v>8187</v>
      </c>
      <c r="F3696" s="1" t="s">
        <v>8208</v>
      </c>
      <c r="H3696" s="1" t="s">
        <v>8209</v>
      </c>
      <c r="J3696" s="1" t="s">
        <v>1161</v>
      </c>
      <c r="L3696" s="1" t="s">
        <v>1162</v>
      </c>
      <c r="M3696" s="1" t="s">
        <v>3611</v>
      </c>
      <c r="N3696" s="1" t="s">
        <v>418</v>
      </c>
      <c r="P3696" s="1" t="s">
        <v>1870</v>
      </c>
      <c r="Q3696" s="3">
        <v>0</v>
      </c>
      <c r="R3696" s="22" t="s">
        <v>2723</v>
      </c>
      <c r="T3696" s="3" t="s">
        <v>4868</v>
      </c>
      <c r="U3696" s="45">
        <v>35</v>
      </c>
      <c r="V3696" t="s">
        <v>8191</v>
      </c>
      <c r="W3696" s="1" t="str">
        <f>HYPERLINK("http://ictvonline.org/taxonomy/p/taxonomy-history?taxnode_id=201902252","ICTVonline=201902252")</f>
        <v>ICTVonline=201902252</v>
      </c>
    </row>
    <row r="3697" spans="1:23">
      <c r="A3697" s="3">
        <v>3696</v>
      </c>
      <c r="B3697" s="1" t="s">
        <v>5910</v>
      </c>
      <c r="D3697" s="1" t="s">
        <v>8187</v>
      </c>
      <c r="F3697" s="1" t="s">
        <v>8208</v>
      </c>
      <c r="H3697" s="1" t="s">
        <v>8209</v>
      </c>
      <c r="J3697" s="1" t="s">
        <v>1161</v>
      </c>
      <c r="L3697" s="1" t="s">
        <v>1162</v>
      </c>
      <c r="M3697" s="1" t="s">
        <v>3611</v>
      </c>
      <c r="N3697" s="1" t="s">
        <v>418</v>
      </c>
      <c r="P3697" s="1" t="s">
        <v>2189</v>
      </c>
      <c r="Q3697" s="3">
        <v>0</v>
      </c>
      <c r="R3697" s="22" t="s">
        <v>2723</v>
      </c>
      <c r="T3697" s="3" t="s">
        <v>4868</v>
      </c>
      <c r="U3697" s="45">
        <v>35</v>
      </c>
      <c r="V3697" t="s">
        <v>8191</v>
      </c>
      <c r="W3697" s="1" t="str">
        <f>HYPERLINK("http://ictvonline.org/taxonomy/p/taxonomy-history?taxnode_id=201902253","ICTVonline=201902253")</f>
        <v>ICTVonline=201902253</v>
      </c>
    </row>
    <row r="3698" spans="1:23">
      <c r="A3698" s="3">
        <v>3697</v>
      </c>
      <c r="B3698" s="1" t="s">
        <v>5910</v>
      </c>
      <c r="D3698" s="1" t="s">
        <v>8187</v>
      </c>
      <c r="F3698" s="1" t="s">
        <v>8208</v>
      </c>
      <c r="H3698" s="1" t="s">
        <v>8209</v>
      </c>
      <c r="J3698" s="1" t="s">
        <v>1161</v>
      </c>
      <c r="L3698" s="1" t="s">
        <v>1162</v>
      </c>
      <c r="M3698" s="1" t="s">
        <v>3611</v>
      </c>
      <c r="N3698" s="1" t="s">
        <v>418</v>
      </c>
      <c r="P3698" s="1" t="s">
        <v>1605</v>
      </c>
      <c r="Q3698" s="3">
        <v>0</v>
      </c>
      <c r="R3698" s="22" t="s">
        <v>2723</v>
      </c>
      <c r="T3698" s="3" t="s">
        <v>4868</v>
      </c>
      <c r="U3698" s="45">
        <v>35</v>
      </c>
      <c r="V3698" t="s">
        <v>8191</v>
      </c>
      <c r="W3698" s="1" t="str">
        <f>HYPERLINK("http://ictvonline.org/taxonomy/p/taxonomy-history?taxnode_id=201902254","ICTVonline=201902254")</f>
        <v>ICTVonline=201902254</v>
      </c>
    </row>
    <row r="3699" spans="1:23">
      <c r="A3699" s="3">
        <v>3698</v>
      </c>
      <c r="B3699" s="1" t="s">
        <v>5910</v>
      </c>
      <c r="D3699" s="1" t="s">
        <v>8187</v>
      </c>
      <c r="F3699" s="1" t="s">
        <v>8208</v>
      </c>
      <c r="H3699" s="1" t="s">
        <v>8209</v>
      </c>
      <c r="J3699" s="1" t="s">
        <v>1161</v>
      </c>
      <c r="L3699" s="1" t="s">
        <v>1162</v>
      </c>
      <c r="M3699" s="1" t="s">
        <v>3611</v>
      </c>
      <c r="N3699" s="1" t="s">
        <v>418</v>
      </c>
      <c r="P3699" s="1" t="s">
        <v>1606</v>
      </c>
      <c r="Q3699" s="3">
        <v>0</v>
      </c>
      <c r="R3699" s="22" t="s">
        <v>2723</v>
      </c>
      <c r="T3699" s="3" t="s">
        <v>4868</v>
      </c>
      <c r="U3699" s="45">
        <v>35</v>
      </c>
      <c r="V3699" t="s">
        <v>8191</v>
      </c>
      <c r="W3699" s="1" t="str">
        <f>HYPERLINK("http://ictvonline.org/taxonomy/p/taxonomy-history?taxnode_id=201902255","ICTVonline=201902255")</f>
        <v>ICTVonline=201902255</v>
      </c>
    </row>
    <row r="3700" spans="1:23">
      <c r="A3700" s="3">
        <v>3699</v>
      </c>
      <c r="B3700" s="1" t="s">
        <v>5910</v>
      </c>
      <c r="D3700" s="1" t="s">
        <v>8187</v>
      </c>
      <c r="F3700" s="1" t="s">
        <v>8208</v>
      </c>
      <c r="H3700" s="1" t="s">
        <v>8209</v>
      </c>
      <c r="J3700" s="1" t="s">
        <v>1161</v>
      </c>
      <c r="L3700" s="1" t="s">
        <v>1162</v>
      </c>
      <c r="M3700" s="1" t="s">
        <v>3611</v>
      </c>
      <c r="N3700" s="1" t="s">
        <v>418</v>
      </c>
      <c r="P3700" s="1" t="s">
        <v>2190</v>
      </c>
      <c r="Q3700" s="3">
        <v>0</v>
      </c>
      <c r="R3700" s="22" t="s">
        <v>2723</v>
      </c>
      <c r="T3700" s="3" t="s">
        <v>4868</v>
      </c>
      <c r="U3700" s="45">
        <v>35</v>
      </c>
      <c r="V3700" t="s">
        <v>8191</v>
      </c>
      <c r="W3700" s="1" t="str">
        <f>HYPERLINK("http://ictvonline.org/taxonomy/p/taxonomy-history?taxnode_id=201902256","ICTVonline=201902256")</f>
        <v>ICTVonline=201902256</v>
      </c>
    </row>
    <row r="3701" spans="1:23">
      <c r="A3701" s="3">
        <v>3700</v>
      </c>
      <c r="B3701" s="1" t="s">
        <v>5910</v>
      </c>
      <c r="D3701" s="1" t="s">
        <v>8187</v>
      </c>
      <c r="F3701" s="1" t="s">
        <v>8208</v>
      </c>
      <c r="H3701" s="1" t="s">
        <v>8209</v>
      </c>
      <c r="J3701" s="1" t="s">
        <v>1161</v>
      </c>
      <c r="L3701" s="1" t="s">
        <v>1162</v>
      </c>
      <c r="M3701" s="1" t="s">
        <v>3611</v>
      </c>
      <c r="N3701" s="1" t="s">
        <v>418</v>
      </c>
      <c r="P3701" s="1" t="s">
        <v>5146</v>
      </c>
      <c r="Q3701" s="3">
        <v>0</v>
      </c>
      <c r="R3701" s="22" t="s">
        <v>2723</v>
      </c>
      <c r="T3701" s="3" t="s">
        <v>4868</v>
      </c>
      <c r="U3701" s="45">
        <v>35</v>
      </c>
      <c r="V3701" t="s">
        <v>8191</v>
      </c>
      <c r="W3701" s="1" t="str">
        <f>HYPERLINK("http://ictvonline.org/taxonomy/p/taxonomy-history?taxnode_id=201902257","ICTVonline=201902257")</f>
        <v>ICTVonline=201902257</v>
      </c>
    </row>
    <row r="3702" spans="1:23">
      <c r="A3702" s="3">
        <v>3701</v>
      </c>
      <c r="B3702" s="1" t="s">
        <v>5910</v>
      </c>
      <c r="D3702" s="1" t="s">
        <v>8187</v>
      </c>
      <c r="F3702" s="1" t="s">
        <v>8208</v>
      </c>
      <c r="H3702" s="1" t="s">
        <v>8209</v>
      </c>
      <c r="J3702" s="1" t="s">
        <v>1161</v>
      </c>
      <c r="L3702" s="1" t="s">
        <v>1162</v>
      </c>
      <c r="M3702" s="1" t="s">
        <v>3611</v>
      </c>
      <c r="N3702" s="1" t="s">
        <v>418</v>
      </c>
      <c r="P3702" s="1" t="s">
        <v>2105</v>
      </c>
      <c r="Q3702" s="3">
        <v>0</v>
      </c>
      <c r="R3702" s="22" t="s">
        <v>2723</v>
      </c>
      <c r="T3702" s="3" t="s">
        <v>4868</v>
      </c>
      <c r="U3702" s="45">
        <v>35</v>
      </c>
      <c r="V3702" t="s">
        <v>8191</v>
      </c>
      <c r="W3702" s="1" t="str">
        <f>HYPERLINK("http://ictvonline.org/taxonomy/p/taxonomy-history?taxnode_id=201902258","ICTVonline=201902258")</f>
        <v>ICTVonline=201902258</v>
      </c>
    </row>
    <row r="3703" spans="1:23">
      <c r="A3703" s="3">
        <v>3702</v>
      </c>
      <c r="B3703" s="1" t="s">
        <v>5910</v>
      </c>
      <c r="D3703" s="1" t="s">
        <v>8187</v>
      </c>
      <c r="F3703" s="1" t="s">
        <v>8208</v>
      </c>
      <c r="H3703" s="1" t="s">
        <v>8209</v>
      </c>
      <c r="J3703" s="1" t="s">
        <v>1161</v>
      </c>
      <c r="L3703" s="1" t="s">
        <v>1162</v>
      </c>
      <c r="M3703" s="1" t="s">
        <v>3611</v>
      </c>
      <c r="N3703" s="1" t="s">
        <v>418</v>
      </c>
      <c r="P3703" s="1" t="s">
        <v>5147</v>
      </c>
      <c r="Q3703" s="3">
        <v>0</v>
      </c>
      <c r="R3703" s="22" t="s">
        <v>2723</v>
      </c>
      <c r="T3703" s="3" t="s">
        <v>4868</v>
      </c>
      <c r="U3703" s="45">
        <v>35</v>
      </c>
      <c r="V3703" t="s">
        <v>8191</v>
      </c>
      <c r="W3703" s="1" t="str">
        <f>HYPERLINK("http://ictvonline.org/taxonomy/p/taxonomy-history?taxnode_id=201905638","ICTVonline=201905638")</f>
        <v>ICTVonline=201905638</v>
      </c>
    </row>
    <row r="3704" spans="1:23">
      <c r="A3704" s="3">
        <v>3703</v>
      </c>
      <c r="B3704" s="1" t="s">
        <v>5910</v>
      </c>
      <c r="D3704" s="1" t="s">
        <v>8187</v>
      </c>
      <c r="F3704" s="1" t="s">
        <v>8208</v>
      </c>
      <c r="H3704" s="1" t="s">
        <v>8209</v>
      </c>
      <c r="J3704" s="1" t="s">
        <v>1161</v>
      </c>
      <c r="L3704" s="1" t="s">
        <v>1162</v>
      </c>
      <c r="M3704" s="1" t="s">
        <v>3611</v>
      </c>
      <c r="N3704" s="1" t="s">
        <v>418</v>
      </c>
      <c r="P3704" s="1" t="s">
        <v>2026</v>
      </c>
      <c r="Q3704" s="3">
        <v>0</v>
      </c>
      <c r="R3704" s="22" t="s">
        <v>2723</v>
      </c>
      <c r="T3704" s="3" t="s">
        <v>4868</v>
      </c>
      <c r="U3704" s="45">
        <v>35</v>
      </c>
      <c r="V3704" t="s">
        <v>8191</v>
      </c>
      <c r="W3704" s="1" t="str">
        <f>HYPERLINK("http://ictvonline.org/taxonomy/p/taxonomy-history?taxnode_id=201902259","ICTVonline=201902259")</f>
        <v>ICTVonline=201902259</v>
      </c>
    </row>
    <row r="3705" spans="1:23">
      <c r="A3705" s="3">
        <v>3704</v>
      </c>
      <c r="B3705" s="1" t="s">
        <v>5910</v>
      </c>
      <c r="D3705" s="1" t="s">
        <v>8187</v>
      </c>
      <c r="F3705" s="1" t="s">
        <v>8208</v>
      </c>
      <c r="H3705" s="1" t="s">
        <v>8209</v>
      </c>
      <c r="J3705" s="1" t="s">
        <v>1161</v>
      </c>
      <c r="L3705" s="1" t="s">
        <v>1162</v>
      </c>
      <c r="M3705" s="1" t="s">
        <v>3611</v>
      </c>
      <c r="N3705" s="1" t="s">
        <v>418</v>
      </c>
      <c r="P3705" s="1" t="s">
        <v>2027</v>
      </c>
      <c r="Q3705" s="3">
        <v>0</v>
      </c>
      <c r="R3705" s="22" t="s">
        <v>2723</v>
      </c>
      <c r="T3705" s="3" t="s">
        <v>4868</v>
      </c>
      <c r="U3705" s="45">
        <v>35</v>
      </c>
      <c r="V3705" t="s">
        <v>8191</v>
      </c>
      <c r="W3705" s="1" t="str">
        <f>HYPERLINK("http://ictvonline.org/taxonomy/p/taxonomy-history?taxnode_id=201902260","ICTVonline=201902260")</f>
        <v>ICTVonline=201902260</v>
      </c>
    </row>
    <row r="3706" spans="1:23">
      <c r="A3706" s="3">
        <v>3705</v>
      </c>
      <c r="B3706" s="1" t="s">
        <v>5910</v>
      </c>
      <c r="D3706" s="1" t="s">
        <v>8187</v>
      </c>
      <c r="F3706" s="1" t="s">
        <v>8208</v>
      </c>
      <c r="H3706" s="1" t="s">
        <v>8209</v>
      </c>
      <c r="J3706" s="1" t="s">
        <v>1161</v>
      </c>
      <c r="L3706" s="1" t="s">
        <v>1162</v>
      </c>
      <c r="M3706" s="1" t="s">
        <v>3611</v>
      </c>
      <c r="N3706" s="1" t="s">
        <v>418</v>
      </c>
      <c r="P3706" s="1" t="s">
        <v>2191</v>
      </c>
      <c r="Q3706" s="3">
        <v>0</v>
      </c>
      <c r="R3706" s="22" t="s">
        <v>2723</v>
      </c>
      <c r="T3706" s="3" t="s">
        <v>4868</v>
      </c>
      <c r="U3706" s="45">
        <v>35</v>
      </c>
      <c r="V3706" t="s">
        <v>8191</v>
      </c>
      <c r="W3706" s="1" t="str">
        <f>HYPERLINK("http://ictvonline.org/taxonomy/p/taxonomy-history?taxnode_id=201902261","ICTVonline=201902261")</f>
        <v>ICTVonline=201902261</v>
      </c>
    </row>
    <row r="3707" spans="1:23">
      <c r="A3707" s="3">
        <v>3706</v>
      </c>
      <c r="B3707" s="1" t="s">
        <v>5910</v>
      </c>
      <c r="D3707" s="1" t="s">
        <v>8187</v>
      </c>
      <c r="F3707" s="1" t="s">
        <v>8208</v>
      </c>
      <c r="H3707" s="1" t="s">
        <v>8209</v>
      </c>
      <c r="J3707" s="1" t="s">
        <v>1161</v>
      </c>
      <c r="L3707" s="1" t="s">
        <v>1162</v>
      </c>
      <c r="M3707" s="1" t="s">
        <v>3611</v>
      </c>
      <c r="N3707" s="1" t="s">
        <v>418</v>
      </c>
      <c r="P3707" s="1" t="s">
        <v>1933</v>
      </c>
      <c r="Q3707" s="3">
        <v>0</v>
      </c>
      <c r="R3707" s="22" t="s">
        <v>2723</v>
      </c>
      <c r="T3707" s="3" t="s">
        <v>4868</v>
      </c>
      <c r="U3707" s="45">
        <v>35</v>
      </c>
      <c r="V3707" t="s">
        <v>8191</v>
      </c>
      <c r="W3707" s="1" t="str">
        <f>HYPERLINK("http://ictvonline.org/taxonomy/p/taxonomy-history?taxnode_id=201902262","ICTVonline=201902262")</f>
        <v>ICTVonline=201902262</v>
      </c>
    </row>
    <row r="3708" spans="1:23">
      <c r="A3708" s="3">
        <v>3707</v>
      </c>
      <c r="B3708" s="1" t="s">
        <v>5910</v>
      </c>
      <c r="D3708" s="1" t="s">
        <v>8187</v>
      </c>
      <c r="F3708" s="1" t="s">
        <v>8208</v>
      </c>
      <c r="H3708" s="1" t="s">
        <v>8209</v>
      </c>
      <c r="J3708" s="1" t="s">
        <v>1161</v>
      </c>
      <c r="L3708" s="1" t="s">
        <v>1162</v>
      </c>
      <c r="M3708" s="1" t="s">
        <v>3611</v>
      </c>
      <c r="N3708" s="1" t="s">
        <v>418</v>
      </c>
      <c r="P3708" s="1" t="s">
        <v>1934</v>
      </c>
      <c r="Q3708" s="3">
        <v>0</v>
      </c>
      <c r="R3708" s="22" t="s">
        <v>2723</v>
      </c>
      <c r="T3708" s="3" t="s">
        <v>4868</v>
      </c>
      <c r="U3708" s="45">
        <v>35</v>
      </c>
      <c r="V3708" t="s">
        <v>8191</v>
      </c>
      <c r="W3708" s="1" t="str">
        <f>HYPERLINK("http://ictvonline.org/taxonomy/p/taxonomy-history?taxnode_id=201902263","ICTVonline=201902263")</f>
        <v>ICTVonline=201902263</v>
      </c>
    </row>
    <row r="3709" spans="1:23">
      <c r="A3709" s="3">
        <v>3708</v>
      </c>
      <c r="B3709" s="1" t="s">
        <v>5910</v>
      </c>
      <c r="D3709" s="1" t="s">
        <v>8187</v>
      </c>
      <c r="F3709" s="1" t="s">
        <v>8208</v>
      </c>
      <c r="H3709" s="1" t="s">
        <v>8209</v>
      </c>
      <c r="J3709" s="1" t="s">
        <v>1161</v>
      </c>
      <c r="L3709" s="1" t="s">
        <v>1162</v>
      </c>
      <c r="M3709" s="1" t="s">
        <v>3611</v>
      </c>
      <c r="N3709" s="1" t="s">
        <v>418</v>
      </c>
      <c r="P3709" s="1" t="s">
        <v>1935</v>
      </c>
      <c r="Q3709" s="3">
        <v>0</v>
      </c>
      <c r="R3709" s="22" t="s">
        <v>2723</v>
      </c>
      <c r="T3709" s="3" t="s">
        <v>4868</v>
      </c>
      <c r="U3709" s="45">
        <v>35</v>
      </c>
      <c r="V3709" t="s">
        <v>8191</v>
      </c>
      <c r="W3709" s="1" t="str">
        <f>HYPERLINK("http://ictvonline.org/taxonomy/p/taxonomy-history?taxnode_id=201902264","ICTVonline=201902264")</f>
        <v>ICTVonline=201902264</v>
      </c>
    </row>
    <row r="3710" spans="1:23">
      <c r="A3710" s="3">
        <v>3709</v>
      </c>
      <c r="B3710" s="1" t="s">
        <v>5910</v>
      </c>
      <c r="D3710" s="1" t="s">
        <v>8187</v>
      </c>
      <c r="F3710" s="1" t="s">
        <v>8208</v>
      </c>
      <c r="H3710" s="1" t="s">
        <v>8209</v>
      </c>
      <c r="J3710" s="1" t="s">
        <v>1161</v>
      </c>
      <c r="L3710" s="1" t="s">
        <v>1162</v>
      </c>
      <c r="M3710" s="1" t="s">
        <v>3611</v>
      </c>
      <c r="N3710" s="1" t="s">
        <v>418</v>
      </c>
      <c r="P3710" s="1" t="s">
        <v>1936</v>
      </c>
      <c r="Q3710" s="3">
        <v>0</v>
      </c>
      <c r="R3710" s="22" t="s">
        <v>2723</v>
      </c>
      <c r="T3710" s="3" t="s">
        <v>4868</v>
      </c>
      <c r="U3710" s="45">
        <v>35</v>
      </c>
      <c r="V3710" t="s">
        <v>8191</v>
      </c>
      <c r="W3710" s="1" t="str">
        <f>HYPERLINK("http://ictvonline.org/taxonomy/p/taxonomy-history?taxnode_id=201902265","ICTVonline=201902265")</f>
        <v>ICTVonline=201902265</v>
      </c>
    </row>
    <row r="3711" spans="1:23">
      <c r="A3711" s="3">
        <v>3710</v>
      </c>
      <c r="B3711" s="1" t="s">
        <v>5910</v>
      </c>
      <c r="D3711" s="1" t="s">
        <v>8187</v>
      </c>
      <c r="F3711" s="1" t="s">
        <v>8208</v>
      </c>
      <c r="H3711" s="1" t="s">
        <v>8209</v>
      </c>
      <c r="J3711" s="1" t="s">
        <v>1161</v>
      </c>
      <c r="L3711" s="1" t="s">
        <v>1162</v>
      </c>
      <c r="M3711" s="1" t="s">
        <v>3611</v>
      </c>
      <c r="N3711" s="1" t="s">
        <v>418</v>
      </c>
      <c r="P3711" s="1" t="s">
        <v>2192</v>
      </c>
      <c r="Q3711" s="3">
        <v>0</v>
      </c>
      <c r="R3711" s="22" t="s">
        <v>2723</v>
      </c>
      <c r="T3711" s="3" t="s">
        <v>4868</v>
      </c>
      <c r="U3711" s="45">
        <v>35</v>
      </c>
      <c r="V3711" t="s">
        <v>8191</v>
      </c>
      <c r="W3711" s="1" t="str">
        <f>HYPERLINK("http://ictvonline.org/taxonomy/p/taxonomy-history?taxnode_id=201902266","ICTVonline=201902266")</f>
        <v>ICTVonline=201902266</v>
      </c>
    </row>
    <row r="3712" spans="1:23">
      <c r="A3712" s="3">
        <v>3711</v>
      </c>
      <c r="B3712" s="1" t="s">
        <v>5910</v>
      </c>
      <c r="D3712" s="1" t="s">
        <v>8187</v>
      </c>
      <c r="F3712" s="1" t="s">
        <v>8208</v>
      </c>
      <c r="H3712" s="1" t="s">
        <v>8209</v>
      </c>
      <c r="J3712" s="1" t="s">
        <v>1161</v>
      </c>
      <c r="L3712" s="1" t="s">
        <v>1162</v>
      </c>
      <c r="M3712" s="1" t="s">
        <v>3611</v>
      </c>
      <c r="N3712" s="1" t="s">
        <v>418</v>
      </c>
      <c r="P3712" s="1" t="s">
        <v>2193</v>
      </c>
      <c r="Q3712" s="3">
        <v>0</v>
      </c>
      <c r="R3712" s="22" t="s">
        <v>2723</v>
      </c>
      <c r="T3712" s="3" t="s">
        <v>4868</v>
      </c>
      <c r="U3712" s="45">
        <v>35</v>
      </c>
      <c r="V3712" t="s">
        <v>8191</v>
      </c>
      <c r="W3712" s="1" t="str">
        <f>HYPERLINK("http://ictvonline.org/taxonomy/p/taxonomy-history?taxnode_id=201902267","ICTVonline=201902267")</f>
        <v>ICTVonline=201902267</v>
      </c>
    </row>
    <row r="3713" spans="1:23">
      <c r="A3713" s="3">
        <v>3712</v>
      </c>
      <c r="B3713" s="1" t="s">
        <v>5910</v>
      </c>
      <c r="D3713" s="1" t="s">
        <v>8187</v>
      </c>
      <c r="F3713" s="1" t="s">
        <v>8208</v>
      </c>
      <c r="H3713" s="1" t="s">
        <v>8209</v>
      </c>
      <c r="J3713" s="1" t="s">
        <v>1161</v>
      </c>
      <c r="L3713" s="1" t="s">
        <v>1162</v>
      </c>
      <c r="M3713" s="1" t="s">
        <v>3611</v>
      </c>
      <c r="N3713" s="1" t="s">
        <v>418</v>
      </c>
      <c r="P3713" s="1" t="s">
        <v>2194</v>
      </c>
      <c r="Q3713" s="3">
        <v>0</v>
      </c>
      <c r="R3713" s="22" t="s">
        <v>2723</v>
      </c>
      <c r="T3713" s="3" t="s">
        <v>4868</v>
      </c>
      <c r="U3713" s="45">
        <v>35</v>
      </c>
      <c r="V3713" t="s">
        <v>8191</v>
      </c>
      <c r="W3713" s="1" t="str">
        <f>HYPERLINK("http://ictvonline.org/taxonomy/p/taxonomy-history?taxnode_id=201902268","ICTVonline=201902268")</f>
        <v>ICTVonline=201902268</v>
      </c>
    </row>
    <row r="3714" spans="1:23">
      <c r="A3714" s="3">
        <v>3713</v>
      </c>
      <c r="B3714" s="1" t="s">
        <v>5910</v>
      </c>
      <c r="D3714" s="1" t="s">
        <v>8187</v>
      </c>
      <c r="F3714" s="1" t="s">
        <v>8208</v>
      </c>
      <c r="H3714" s="1" t="s">
        <v>8209</v>
      </c>
      <c r="J3714" s="1" t="s">
        <v>1161</v>
      </c>
      <c r="L3714" s="1" t="s">
        <v>1162</v>
      </c>
      <c r="M3714" s="1" t="s">
        <v>3611</v>
      </c>
      <c r="N3714" s="1" t="s">
        <v>418</v>
      </c>
      <c r="P3714" s="1" t="s">
        <v>1937</v>
      </c>
      <c r="Q3714" s="3">
        <v>0</v>
      </c>
      <c r="R3714" s="22" t="s">
        <v>2723</v>
      </c>
      <c r="T3714" s="3" t="s">
        <v>4868</v>
      </c>
      <c r="U3714" s="45">
        <v>35</v>
      </c>
      <c r="V3714" t="s">
        <v>8191</v>
      </c>
      <c r="W3714" s="1" t="str">
        <f>HYPERLINK("http://ictvonline.org/taxonomy/p/taxonomy-history?taxnode_id=201902269","ICTVonline=201902269")</f>
        <v>ICTVonline=201902269</v>
      </c>
    </row>
    <row r="3715" spans="1:23">
      <c r="A3715" s="3">
        <v>3714</v>
      </c>
      <c r="B3715" s="1" t="s">
        <v>5910</v>
      </c>
      <c r="D3715" s="1" t="s">
        <v>8187</v>
      </c>
      <c r="F3715" s="1" t="s">
        <v>8208</v>
      </c>
      <c r="H3715" s="1" t="s">
        <v>8209</v>
      </c>
      <c r="J3715" s="1" t="s">
        <v>1161</v>
      </c>
      <c r="L3715" s="1" t="s">
        <v>1162</v>
      </c>
      <c r="M3715" s="1" t="s">
        <v>3611</v>
      </c>
      <c r="N3715" s="1" t="s">
        <v>418</v>
      </c>
      <c r="P3715" s="1" t="s">
        <v>1938</v>
      </c>
      <c r="Q3715" s="3">
        <v>0</v>
      </c>
      <c r="R3715" s="22" t="s">
        <v>2723</v>
      </c>
      <c r="T3715" s="3" t="s">
        <v>4868</v>
      </c>
      <c r="U3715" s="45">
        <v>35</v>
      </c>
      <c r="V3715" t="s">
        <v>8191</v>
      </c>
      <c r="W3715" s="1" t="str">
        <f>HYPERLINK("http://ictvonline.org/taxonomy/p/taxonomy-history?taxnode_id=201902270","ICTVonline=201902270")</f>
        <v>ICTVonline=201902270</v>
      </c>
    </row>
    <row r="3716" spans="1:23">
      <c r="A3716" s="3">
        <v>3715</v>
      </c>
      <c r="B3716" s="1" t="s">
        <v>5910</v>
      </c>
      <c r="D3716" s="1" t="s">
        <v>8187</v>
      </c>
      <c r="F3716" s="1" t="s">
        <v>8208</v>
      </c>
      <c r="H3716" s="1" t="s">
        <v>8209</v>
      </c>
      <c r="J3716" s="1" t="s">
        <v>1161</v>
      </c>
      <c r="L3716" s="1" t="s">
        <v>1162</v>
      </c>
      <c r="M3716" s="1" t="s">
        <v>3611</v>
      </c>
      <c r="N3716" s="1" t="s">
        <v>418</v>
      </c>
      <c r="P3716" s="1" t="s">
        <v>3613</v>
      </c>
      <c r="Q3716" s="3">
        <v>0</v>
      </c>
      <c r="R3716" s="22" t="s">
        <v>2723</v>
      </c>
      <c r="T3716" s="3" t="s">
        <v>4868</v>
      </c>
      <c r="U3716" s="45">
        <v>35</v>
      </c>
      <c r="V3716" t="s">
        <v>8191</v>
      </c>
      <c r="W3716" s="1" t="str">
        <f>HYPERLINK("http://ictvonline.org/taxonomy/p/taxonomy-history?taxnode_id=201902271","ICTVonline=201902271")</f>
        <v>ICTVonline=201902271</v>
      </c>
    </row>
    <row r="3717" spans="1:23">
      <c r="A3717" s="3">
        <v>3716</v>
      </c>
      <c r="B3717" s="1" t="s">
        <v>5910</v>
      </c>
      <c r="D3717" s="1" t="s">
        <v>8187</v>
      </c>
      <c r="F3717" s="1" t="s">
        <v>8208</v>
      </c>
      <c r="H3717" s="1" t="s">
        <v>8209</v>
      </c>
      <c r="J3717" s="1" t="s">
        <v>1161</v>
      </c>
      <c r="L3717" s="1" t="s">
        <v>1162</v>
      </c>
      <c r="M3717" s="1" t="s">
        <v>3611</v>
      </c>
      <c r="N3717" s="1" t="s">
        <v>418</v>
      </c>
      <c r="P3717" s="1" t="s">
        <v>1939</v>
      </c>
      <c r="Q3717" s="3">
        <v>0</v>
      </c>
      <c r="R3717" s="22" t="s">
        <v>2723</v>
      </c>
      <c r="T3717" s="3" t="s">
        <v>4868</v>
      </c>
      <c r="U3717" s="45">
        <v>35</v>
      </c>
      <c r="V3717" t="s">
        <v>8191</v>
      </c>
      <c r="W3717" s="1" t="str">
        <f>HYPERLINK("http://ictvonline.org/taxonomy/p/taxonomy-history?taxnode_id=201902272","ICTVonline=201902272")</f>
        <v>ICTVonline=201902272</v>
      </c>
    </row>
    <row r="3718" spans="1:23">
      <c r="A3718" s="3">
        <v>3717</v>
      </c>
      <c r="B3718" s="1" t="s">
        <v>5910</v>
      </c>
      <c r="D3718" s="1" t="s">
        <v>8187</v>
      </c>
      <c r="F3718" s="1" t="s">
        <v>8208</v>
      </c>
      <c r="H3718" s="1" t="s">
        <v>8209</v>
      </c>
      <c r="J3718" s="1" t="s">
        <v>1161</v>
      </c>
      <c r="L3718" s="1" t="s">
        <v>1162</v>
      </c>
      <c r="M3718" s="1" t="s">
        <v>3611</v>
      </c>
      <c r="N3718" s="1" t="s">
        <v>418</v>
      </c>
      <c r="P3718" s="1" t="s">
        <v>1940</v>
      </c>
      <c r="Q3718" s="3">
        <v>0</v>
      </c>
      <c r="R3718" s="22" t="s">
        <v>2723</v>
      </c>
      <c r="T3718" s="3" t="s">
        <v>4868</v>
      </c>
      <c r="U3718" s="45">
        <v>35</v>
      </c>
      <c r="V3718" t="s">
        <v>8191</v>
      </c>
      <c r="W3718" s="1" t="str">
        <f>HYPERLINK("http://ictvonline.org/taxonomy/p/taxonomy-history?taxnode_id=201902273","ICTVonline=201902273")</f>
        <v>ICTVonline=201902273</v>
      </c>
    </row>
    <row r="3719" spans="1:23">
      <c r="A3719" s="3">
        <v>3718</v>
      </c>
      <c r="B3719" s="1" t="s">
        <v>5910</v>
      </c>
      <c r="D3719" s="1" t="s">
        <v>8187</v>
      </c>
      <c r="F3719" s="1" t="s">
        <v>8208</v>
      </c>
      <c r="H3719" s="1" t="s">
        <v>8209</v>
      </c>
      <c r="J3719" s="1" t="s">
        <v>1161</v>
      </c>
      <c r="L3719" s="1" t="s">
        <v>1162</v>
      </c>
      <c r="M3719" s="1" t="s">
        <v>3611</v>
      </c>
      <c r="N3719" s="1" t="s">
        <v>418</v>
      </c>
      <c r="P3719" s="1" t="s">
        <v>1941</v>
      </c>
      <c r="Q3719" s="3">
        <v>0</v>
      </c>
      <c r="R3719" s="22" t="s">
        <v>2723</v>
      </c>
      <c r="T3719" s="3" t="s">
        <v>4868</v>
      </c>
      <c r="U3719" s="45">
        <v>35</v>
      </c>
      <c r="V3719" t="s">
        <v>8191</v>
      </c>
      <c r="W3719" s="1" t="str">
        <f>HYPERLINK("http://ictvonline.org/taxonomy/p/taxonomy-history?taxnode_id=201902274","ICTVonline=201902274")</f>
        <v>ICTVonline=201902274</v>
      </c>
    </row>
    <row r="3720" spans="1:23">
      <c r="A3720" s="3">
        <v>3719</v>
      </c>
      <c r="B3720" s="1" t="s">
        <v>5910</v>
      </c>
      <c r="D3720" s="1" t="s">
        <v>8187</v>
      </c>
      <c r="F3720" s="1" t="s">
        <v>8208</v>
      </c>
      <c r="H3720" s="1" t="s">
        <v>8209</v>
      </c>
      <c r="J3720" s="1" t="s">
        <v>1161</v>
      </c>
      <c r="L3720" s="1" t="s">
        <v>1162</v>
      </c>
      <c r="M3720" s="1" t="s">
        <v>3611</v>
      </c>
      <c r="N3720" s="1" t="s">
        <v>418</v>
      </c>
      <c r="P3720" s="1" t="s">
        <v>1942</v>
      </c>
      <c r="Q3720" s="3">
        <v>0</v>
      </c>
      <c r="R3720" s="22" t="s">
        <v>2723</v>
      </c>
      <c r="T3720" s="3" t="s">
        <v>4868</v>
      </c>
      <c r="U3720" s="45">
        <v>35</v>
      </c>
      <c r="V3720" t="s">
        <v>8191</v>
      </c>
      <c r="W3720" s="1" t="str">
        <f>HYPERLINK("http://ictvonline.org/taxonomy/p/taxonomy-history?taxnode_id=201902275","ICTVonline=201902275")</f>
        <v>ICTVonline=201902275</v>
      </c>
    </row>
    <row r="3721" spans="1:23">
      <c r="A3721" s="3">
        <v>3720</v>
      </c>
      <c r="B3721" s="1" t="s">
        <v>5910</v>
      </c>
      <c r="D3721" s="1" t="s">
        <v>8187</v>
      </c>
      <c r="F3721" s="1" t="s">
        <v>8208</v>
      </c>
      <c r="H3721" s="1" t="s">
        <v>8209</v>
      </c>
      <c r="J3721" s="1" t="s">
        <v>1161</v>
      </c>
      <c r="L3721" s="1" t="s">
        <v>1162</v>
      </c>
      <c r="M3721" s="1" t="s">
        <v>3611</v>
      </c>
      <c r="N3721" s="1" t="s">
        <v>418</v>
      </c>
      <c r="P3721" s="1" t="s">
        <v>5148</v>
      </c>
      <c r="Q3721" s="3">
        <v>0</v>
      </c>
      <c r="R3721" s="22" t="s">
        <v>2723</v>
      </c>
      <c r="T3721" s="3" t="s">
        <v>4868</v>
      </c>
      <c r="U3721" s="45">
        <v>35</v>
      </c>
      <c r="V3721" t="s">
        <v>8191</v>
      </c>
      <c r="W3721" s="1" t="str">
        <f>HYPERLINK("http://ictvonline.org/taxonomy/p/taxonomy-history?taxnode_id=201905639","ICTVonline=201905639")</f>
        <v>ICTVonline=201905639</v>
      </c>
    </row>
    <row r="3722" spans="1:23">
      <c r="A3722" s="3">
        <v>3721</v>
      </c>
      <c r="B3722" s="1" t="s">
        <v>5910</v>
      </c>
      <c r="D3722" s="1" t="s">
        <v>8187</v>
      </c>
      <c r="F3722" s="1" t="s">
        <v>8208</v>
      </c>
      <c r="H3722" s="1" t="s">
        <v>8209</v>
      </c>
      <c r="J3722" s="1" t="s">
        <v>1161</v>
      </c>
      <c r="L3722" s="1" t="s">
        <v>1162</v>
      </c>
      <c r="M3722" s="1" t="s">
        <v>3611</v>
      </c>
      <c r="N3722" s="1" t="s">
        <v>418</v>
      </c>
      <c r="P3722" s="1" t="s">
        <v>5149</v>
      </c>
      <c r="Q3722" s="3">
        <v>0</v>
      </c>
      <c r="R3722" s="22" t="s">
        <v>2723</v>
      </c>
      <c r="T3722" s="3" t="s">
        <v>4868</v>
      </c>
      <c r="U3722" s="45">
        <v>35</v>
      </c>
      <c r="V3722" t="s">
        <v>8191</v>
      </c>
      <c r="W3722" s="1" t="str">
        <f>HYPERLINK("http://ictvonline.org/taxonomy/p/taxonomy-history?taxnode_id=201905640","ICTVonline=201905640")</f>
        <v>ICTVonline=201905640</v>
      </c>
    </row>
    <row r="3723" spans="1:23">
      <c r="A3723" s="3">
        <v>3722</v>
      </c>
      <c r="B3723" s="1" t="s">
        <v>5910</v>
      </c>
      <c r="D3723" s="1" t="s">
        <v>8187</v>
      </c>
      <c r="F3723" s="1" t="s">
        <v>8208</v>
      </c>
      <c r="H3723" s="1" t="s">
        <v>8209</v>
      </c>
      <c r="J3723" s="1" t="s">
        <v>1161</v>
      </c>
      <c r="L3723" s="1" t="s">
        <v>1162</v>
      </c>
      <c r="M3723" s="1" t="s">
        <v>3611</v>
      </c>
      <c r="N3723" s="1" t="s">
        <v>418</v>
      </c>
      <c r="P3723" s="1" t="s">
        <v>5150</v>
      </c>
      <c r="Q3723" s="3">
        <v>0</v>
      </c>
      <c r="R3723" s="22" t="s">
        <v>2723</v>
      </c>
      <c r="T3723" s="3" t="s">
        <v>4868</v>
      </c>
      <c r="U3723" s="45">
        <v>35</v>
      </c>
      <c r="V3723" t="s">
        <v>8191</v>
      </c>
      <c r="W3723" s="1" t="str">
        <f>HYPERLINK("http://ictvonline.org/taxonomy/p/taxonomy-history?taxnode_id=201905641","ICTVonline=201905641")</f>
        <v>ICTVonline=201905641</v>
      </c>
    </row>
    <row r="3724" spans="1:23">
      <c r="A3724" s="3">
        <v>3723</v>
      </c>
      <c r="B3724" s="1" t="s">
        <v>5910</v>
      </c>
      <c r="D3724" s="1" t="s">
        <v>8187</v>
      </c>
      <c r="F3724" s="1" t="s">
        <v>8208</v>
      </c>
      <c r="H3724" s="1" t="s">
        <v>8209</v>
      </c>
      <c r="J3724" s="1" t="s">
        <v>1161</v>
      </c>
      <c r="L3724" s="1" t="s">
        <v>1162</v>
      </c>
      <c r="M3724" s="1" t="s">
        <v>3611</v>
      </c>
      <c r="N3724" s="1" t="s">
        <v>418</v>
      </c>
      <c r="P3724" s="1" t="s">
        <v>1943</v>
      </c>
      <c r="Q3724" s="3">
        <v>0</v>
      </c>
      <c r="R3724" s="22" t="s">
        <v>2723</v>
      </c>
      <c r="T3724" s="3" t="s">
        <v>4868</v>
      </c>
      <c r="U3724" s="45">
        <v>35</v>
      </c>
      <c r="V3724" t="s">
        <v>8191</v>
      </c>
      <c r="W3724" s="1" t="str">
        <f>HYPERLINK("http://ictvonline.org/taxonomy/p/taxonomy-history?taxnode_id=201902276","ICTVonline=201902276")</f>
        <v>ICTVonline=201902276</v>
      </c>
    </row>
    <row r="3725" spans="1:23">
      <c r="A3725" s="3">
        <v>3724</v>
      </c>
      <c r="B3725" s="1" t="s">
        <v>5910</v>
      </c>
      <c r="D3725" s="1" t="s">
        <v>8187</v>
      </c>
      <c r="F3725" s="1" t="s">
        <v>8208</v>
      </c>
      <c r="H3725" s="1" t="s">
        <v>8209</v>
      </c>
      <c r="J3725" s="1" t="s">
        <v>1161</v>
      </c>
      <c r="L3725" s="1" t="s">
        <v>1162</v>
      </c>
      <c r="M3725" s="1" t="s">
        <v>3611</v>
      </c>
      <c r="N3725" s="1" t="s">
        <v>418</v>
      </c>
      <c r="P3725" s="1" t="s">
        <v>5151</v>
      </c>
      <c r="Q3725" s="3">
        <v>0</v>
      </c>
      <c r="R3725" s="22" t="s">
        <v>2723</v>
      </c>
      <c r="T3725" s="3" t="s">
        <v>4868</v>
      </c>
      <c r="U3725" s="45">
        <v>35</v>
      </c>
      <c r="V3725" t="s">
        <v>8191</v>
      </c>
      <c r="W3725" s="1" t="str">
        <f>HYPERLINK("http://ictvonline.org/taxonomy/p/taxonomy-history?taxnode_id=201902277","ICTVonline=201902277")</f>
        <v>ICTVonline=201902277</v>
      </c>
    </row>
    <row r="3726" spans="1:23">
      <c r="A3726" s="3">
        <v>3725</v>
      </c>
      <c r="B3726" s="1" t="s">
        <v>5910</v>
      </c>
      <c r="D3726" s="1" t="s">
        <v>8187</v>
      </c>
      <c r="F3726" s="1" t="s">
        <v>8208</v>
      </c>
      <c r="H3726" s="1" t="s">
        <v>8209</v>
      </c>
      <c r="J3726" s="1" t="s">
        <v>1161</v>
      </c>
      <c r="L3726" s="1" t="s">
        <v>1162</v>
      </c>
      <c r="M3726" s="1" t="s">
        <v>3611</v>
      </c>
      <c r="N3726" s="1" t="s">
        <v>418</v>
      </c>
      <c r="P3726" s="1" t="s">
        <v>215</v>
      </c>
      <c r="Q3726" s="3">
        <v>0</v>
      </c>
      <c r="R3726" s="22" t="s">
        <v>2723</v>
      </c>
      <c r="T3726" s="3" t="s">
        <v>4868</v>
      </c>
      <c r="U3726" s="45">
        <v>35</v>
      </c>
      <c r="V3726" t="s">
        <v>8191</v>
      </c>
      <c r="W3726" s="1" t="str">
        <f>HYPERLINK("http://ictvonline.org/taxonomy/p/taxonomy-history?taxnode_id=201902278","ICTVonline=201902278")</f>
        <v>ICTVonline=201902278</v>
      </c>
    </row>
    <row r="3727" spans="1:23">
      <c r="A3727" s="3">
        <v>3726</v>
      </c>
      <c r="B3727" s="1" t="s">
        <v>5910</v>
      </c>
      <c r="D3727" s="1" t="s">
        <v>8187</v>
      </c>
      <c r="F3727" s="1" t="s">
        <v>8208</v>
      </c>
      <c r="H3727" s="1" t="s">
        <v>8209</v>
      </c>
      <c r="J3727" s="1" t="s">
        <v>1161</v>
      </c>
      <c r="L3727" s="1" t="s">
        <v>1162</v>
      </c>
      <c r="M3727" s="1" t="s">
        <v>3611</v>
      </c>
      <c r="N3727" s="1" t="s">
        <v>418</v>
      </c>
      <c r="P3727" s="1" t="s">
        <v>2195</v>
      </c>
      <c r="Q3727" s="3">
        <v>0</v>
      </c>
      <c r="R3727" s="22" t="s">
        <v>2723</v>
      </c>
      <c r="T3727" s="3" t="s">
        <v>4868</v>
      </c>
      <c r="U3727" s="45">
        <v>35</v>
      </c>
      <c r="V3727" t="s">
        <v>8191</v>
      </c>
      <c r="W3727" s="1" t="str">
        <f>HYPERLINK("http://ictvonline.org/taxonomy/p/taxonomy-history?taxnode_id=201902279","ICTVonline=201902279")</f>
        <v>ICTVonline=201902279</v>
      </c>
    </row>
    <row r="3728" spans="1:23">
      <c r="A3728" s="3">
        <v>3727</v>
      </c>
      <c r="B3728" s="1" t="s">
        <v>5910</v>
      </c>
      <c r="D3728" s="1" t="s">
        <v>8187</v>
      </c>
      <c r="F3728" s="1" t="s">
        <v>8208</v>
      </c>
      <c r="H3728" s="1" t="s">
        <v>8209</v>
      </c>
      <c r="J3728" s="1" t="s">
        <v>1161</v>
      </c>
      <c r="L3728" s="1" t="s">
        <v>1162</v>
      </c>
      <c r="M3728" s="1" t="s">
        <v>3611</v>
      </c>
      <c r="N3728" s="1" t="s">
        <v>418</v>
      </c>
      <c r="P3728" s="1" t="s">
        <v>216</v>
      </c>
      <c r="Q3728" s="3">
        <v>0</v>
      </c>
      <c r="R3728" s="22" t="s">
        <v>2723</v>
      </c>
      <c r="T3728" s="3" t="s">
        <v>4868</v>
      </c>
      <c r="U3728" s="45">
        <v>35</v>
      </c>
      <c r="V3728" t="s">
        <v>8191</v>
      </c>
      <c r="W3728" s="1" t="str">
        <f>HYPERLINK("http://ictvonline.org/taxonomy/p/taxonomy-history?taxnode_id=201902280","ICTVonline=201902280")</f>
        <v>ICTVonline=201902280</v>
      </c>
    </row>
    <row r="3729" spans="1:23">
      <c r="A3729" s="3">
        <v>3728</v>
      </c>
      <c r="B3729" s="1" t="s">
        <v>5910</v>
      </c>
      <c r="D3729" s="1" t="s">
        <v>8187</v>
      </c>
      <c r="F3729" s="1" t="s">
        <v>8208</v>
      </c>
      <c r="H3729" s="1" t="s">
        <v>8209</v>
      </c>
      <c r="J3729" s="1" t="s">
        <v>1161</v>
      </c>
      <c r="L3729" s="1" t="s">
        <v>1162</v>
      </c>
      <c r="M3729" s="1" t="s">
        <v>3611</v>
      </c>
      <c r="N3729" s="1" t="s">
        <v>418</v>
      </c>
      <c r="P3729" s="1" t="s">
        <v>217</v>
      </c>
      <c r="Q3729" s="3">
        <v>0</v>
      </c>
      <c r="R3729" s="22" t="s">
        <v>2723</v>
      </c>
      <c r="T3729" s="3" t="s">
        <v>4868</v>
      </c>
      <c r="U3729" s="45">
        <v>35</v>
      </c>
      <c r="V3729" t="s">
        <v>8191</v>
      </c>
      <c r="W3729" s="1" t="str">
        <f>HYPERLINK("http://ictvonline.org/taxonomy/p/taxonomy-history?taxnode_id=201902281","ICTVonline=201902281")</f>
        <v>ICTVonline=201902281</v>
      </c>
    </row>
    <row r="3730" spans="1:23">
      <c r="A3730" s="3">
        <v>3729</v>
      </c>
      <c r="B3730" s="1" t="s">
        <v>5910</v>
      </c>
      <c r="D3730" s="1" t="s">
        <v>8187</v>
      </c>
      <c r="F3730" s="1" t="s">
        <v>8208</v>
      </c>
      <c r="H3730" s="1" t="s">
        <v>8209</v>
      </c>
      <c r="J3730" s="1" t="s">
        <v>1161</v>
      </c>
      <c r="L3730" s="1" t="s">
        <v>1162</v>
      </c>
      <c r="M3730" s="1" t="s">
        <v>3611</v>
      </c>
      <c r="N3730" s="1" t="s">
        <v>418</v>
      </c>
      <c r="P3730" s="1" t="s">
        <v>5152</v>
      </c>
      <c r="Q3730" s="3">
        <v>0</v>
      </c>
      <c r="R3730" s="22" t="s">
        <v>2723</v>
      </c>
      <c r="T3730" s="3" t="s">
        <v>4868</v>
      </c>
      <c r="U3730" s="45">
        <v>35</v>
      </c>
      <c r="V3730" t="s">
        <v>8191</v>
      </c>
      <c r="W3730" s="1" t="str">
        <f>HYPERLINK("http://ictvonline.org/taxonomy/p/taxonomy-history?taxnode_id=201905642","ICTVonline=201905642")</f>
        <v>ICTVonline=201905642</v>
      </c>
    </row>
    <row r="3731" spans="1:23">
      <c r="A3731" s="3">
        <v>3730</v>
      </c>
      <c r="B3731" s="1" t="s">
        <v>5910</v>
      </c>
      <c r="D3731" s="1" t="s">
        <v>8187</v>
      </c>
      <c r="F3731" s="1" t="s">
        <v>8208</v>
      </c>
      <c r="H3731" s="1" t="s">
        <v>8209</v>
      </c>
      <c r="J3731" s="1" t="s">
        <v>1161</v>
      </c>
      <c r="L3731" s="1" t="s">
        <v>1162</v>
      </c>
      <c r="M3731" s="1" t="s">
        <v>3611</v>
      </c>
      <c r="N3731" s="1" t="s">
        <v>220</v>
      </c>
      <c r="P3731" s="1" t="s">
        <v>221</v>
      </c>
      <c r="Q3731" s="3">
        <v>1</v>
      </c>
      <c r="R3731" s="22" t="s">
        <v>2723</v>
      </c>
      <c r="T3731" s="3" t="s">
        <v>4868</v>
      </c>
      <c r="U3731" s="45">
        <v>35</v>
      </c>
      <c r="V3731" t="s">
        <v>8191</v>
      </c>
      <c r="W3731" s="1" t="str">
        <f>HYPERLINK("http://ictvonline.org/taxonomy/p/taxonomy-history?taxnode_id=201902283","ICTVonline=201902283")</f>
        <v>ICTVonline=201902283</v>
      </c>
    </row>
    <row r="3732" spans="1:23">
      <c r="A3732" s="3">
        <v>3731</v>
      </c>
      <c r="B3732" s="1" t="s">
        <v>5910</v>
      </c>
      <c r="D3732" s="1" t="s">
        <v>8187</v>
      </c>
      <c r="F3732" s="1" t="s">
        <v>8208</v>
      </c>
      <c r="H3732" s="1" t="s">
        <v>8209</v>
      </c>
      <c r="J3732" s="1" t="s">
        <v>1161</v>
      </c>
      <c r="L3732" s="1" t="s">
        <v>1162</v>
      </c>
      <c r="M3732" s="1" t="s">
        <v>3611</v>
      </c>
      <c r="N3732" s="1" t="s">
        <v>220</v>
      </c>
      <c r="P3732" s="1" t="s">
        <v>222</v>
      </c>
      <c r="Q3732" s="3">
        <v>0</v>
      </c>
      <c r="R3732" s="22" t="s">
        <v>2723</v>
      </c>
      <c r="T3732" s="3" t="s">
        <v>4868</v>
      </c>
      <c r="U3732" s="45">
        <v>35</v>
      </c>
      <c r="V3732" t="s">
        <v>8191</v>
      </c>
      <c r="W3732" s="1" t="str">
        <f>HYPERLINK("http://ictvonline.org/taxonomy/p/taxonomy-history?taxnode_id=201902284","ICTVonline=201902284")</f>
        <v>ICTVonline=201902284</v>
      </c>
    </row>
    <row r="3733" spans="1:23">
      <c r="A3733" s="3">
        <v>3732</v>
      </c>
      <c r="B3733" s="1" t="s">
        <v>5910</v>
      </c>
      <c r="D3733" s="1" t="s">
        <v>8187</v>
      </c>
      <c r="F3733" s="1" t="s">
        <v>8208</v>
      </c>
      <c r="H3733" s="1" t="s">
        <v>8209</v>
      </c>
      <c r="J3733" s="1" t="s">
        <v>1161</v>
      </c>
      <c r="L3733" s="1" t="s">
        <v>1162</v>
      </c>
      <c r="M3733" s="1" t="s">
        <v>3611</v>
      </c>
      <c r="N3733" s="1" t="s">
        <v>220</v>
      </c>
      <c r="P3733" s="1" t="s">
        <v>2196</v>
      </c>
      <c r="Q3733" s="3">
        <v>0</v>
      </c>
      <c r="R3733" s="22" t="s">
        <v>2723</v>
      </c>
      <c r="T3733" s="3" t="s">
        <v>4868</v>
      </c>
      <c r="U3733" s="45">
        <v>35</v>
      </c>
      <c r="V3733" t="s">
        <v>8191</v>
      </c>
      <c r="W3733" s="1" t="str">
        <f>HYPERLINK("http://ictvonline.org/taxonomy/p/taxonomy-history?taxnode_id=201902285","ICTVonline=201902285")</f>
        <v>ICTVonline=201902285</v>
      </c>
    </row>
    <row r="3734" spans="1:23">
      <c r="A3734" s="3">
        <v>3733</v>
      </c>
      <c r="B3734" s="1" t="s">
        <v>5910</v>
      </c>
      <c r="D3734" s="1" t="s">
        <v>8187</v>
      </c>
      <c r="F3734" s="1" t="s">
        <v>8208</v>
      </c>
      <c r="H3734" s="1" t="s">
        <v>8209</v>
      </c>
      <c r="J3734" s="1" t="s">
        <v>1161</v>
      </c>
      <c r="L3734" s="1" t="s">
        <v>1162</v>
      </c>
      <c r="M3734" s="1" t="s">
        <v>3611</v>
      </c>
      <c r="N3734" s="1" t="s">
        <v>220</v>
      </c>
      <c r="P3734" s="1" t="s">
        <v>5153</v>
      </c>
      <c r="Q3734" s="3">
        <v>0</v>
      </c>
      <c r="R3734" s="22" t="s">
        <v>2723</v>
      </c>
      <c r="T3734" s="3" t="s">
        <v>4868</v>
      </c>
      <c r="U3734" s="45">
        <v>35</v>
      </c>
      <c r="V3734" t="s">
        <v>8191</v>
      </c>
      <c r="W3734" s="1" t="str">
        <f>HYPERLINK("http://ictvonline.org/taxonomy/p/taxonomy-history?taxnode_id=201905643","ICTVonline=201905643")</f>
        <v>ICTVonline=201905643</v>
      </c>
    </row>
    <row r="3735" spans="1:23">
      <c r="A3735" s="3">
        <v>3734</v>
      </c>
      <c r="B3735" s="1" t="s">
        <v>5910</v>
      </c>
      <c r="D3735" s="1" t="s">
        <v>8187</v>
      </c>
      <c r="F3735" s="1" t="s">
        <v>8208</v>
      </c>
      <c r="H3735" s="1" t="s">
        <v>8209</v>
      </c>
      <c r="J3735" s="1" t="s">
        <v>1161</v>
      </c>
      <c r="L3735" s="1" t="s">
        <v>1162</v>
      </c>
      <c r="M3735" s="1" t="s">
        <v>3611</v>
      </c>
      <c r="N3735" s="1" t="s">
        <v>220</v>
      </c>
      <c r="P3735" s="1" t="s">
        <v>343</v>
      </c>
      <c r="Q3735" s="3">
        <v>0</v>
      </c>
      <c r="R3735" s="22" t="s">
        <v>2723</v>
      </c>
      <c r="T3735" s="3" t="s">
        <v>4868</v>
      </c>
      <c r="U3735" s="45">
        <v>35</v>
      </c>
      <c r="V3735" t="s">
        <v>8191</v>
      </c>
      <c r="W3735" s="1" t="str">
        <f>HYPERLINK("http://ictvonline.org/taxonomy/p/taxonomy-history?taxnode_id=201902286","ICTVonline=201902286")</f>
        <v>ICTVonline=201902286</v>
      </c>
    </row>
    <row r="3736" spans="1:23">
      <c r="A3736" s="3">
        <v>3735</v>
      </c>
      <c r="B3736" s="1" t="s">
        <v>5910</v>
      </c>
      <c r="D3736" s="1" t="s">
        <v>8187</v>
      </c>
      <c r="F3736" s="1" t="s">
        <v>8208</v>
      </c>
      <c r="H3736" s="1" t="s">
        <v>8209</v>
      </c>
      <c r="J3736" s="1" t="s">
        <v>1161</v>
      </c>
      <c r="L3736" s="1" t="s">
        <v>1162</v>
      </c>
      <c r="M3736" s="1" t="s">
        <v>3611</v>
      </c>
      <c r="N3736" s="1" t="s">
        <v>220</v>
      </c>
      <c r="P3736" s="1" t="s">
        <v>6121</v>
      </c>
      <c r="Q3736" s="3">
        <v>0</v>
      </c>
      <c r="R3736" s="22" t="s">
        <v>2723</v>
      </c>
      <c r="T3736" s="3" t="s">
        <v>4868</v>
      </c>
      <c r="U3736" s="45">
        <v>35</v>
      </c>
      <c r="V3736" t="s">
        <v>8191</v>
      </c>
      <c r="W3736" s="1" t="str">
        <f>HYPERLINK("http://ictvonline.org/taxonomy/p/taxonomy-history?taxnode_id=201906339","ICTVonline=201906339")</f>
        <v>ICTVonline=201906339</v>
      </c>
    </row>
    <row r="3737" spans="1:23">
      <c r="A3737" s="3">
        <v>3736</v>
      </c>
      <c r="B3737" s="1" t="s">
        <v>5910</v>
      </c>
      <c r="D3737" s="1" t="s">
        <v>8187</v>
      </c>
      <c r="F3737" s="1" t="s">
        <v>8208</v>
      </c>
      <c r="H3737" s="1" t="s">
        <v>8209</v>
      </c>
      <c r="J3737" s="1" t="s">
        <v>1161</v>
      </c>
      <c r="L3737" s="1" t="s">
        <v>1162</v>
      </c>
      <c r="M3737" s="1" t="s">
        <v>3611</v>
      </c>
      <c r="N3737" s="1" t="s">
        <v>220</v>
      </c>
      <c r="P3737" s="1" t="s">
        <v>2102</v>
      </c>
      <c r="Q3737" s="3">
        <v>0</v>
      </c>
      <c r="R3737" s="22" t="s">
        <v>2723</v>
      </c>
      <c r="T3737" s="3" t="s">
        <v>4868</v>
      </c>
      <c r="U3737" s="45">
        <v>35</v>
      </c>
      <c r="V3737" t="s">
        <v>8191</v>
      </c>
      <c r="W3737" s="1" t="str">
        <f>HYPERLINK("http://ictvonline.org/taxonomy/p/taxonomy-history?taxnode_id=201902287","ICTVonline=201902287")</f>
        <v>ICTVonline=201902287</v>
      </c>
    </row>
    <row r="3738" spans="1:23">
      <c r="A3738" s="3">
        <v>3737</v>
      </c>
      <c r="B3738" s="1" t="s">
        <v>5910</v>
      </c>
      <c r="D3738" s="1" t="s">
        <v>8187</v>
      </c>
      <c r="F3738" s="1" t="s">
        <v>8208</v>
      </c>
      <c r="H3738" s="1" t="s">
        <v>8209</v>
      </c>
      <c r="J3738" s="1" t="s">
        <v>1161</v>
      </c>
      <c r="L3738" s="1" t="s">
        <v>1162</v>
      </c>
      <c r="M3738" s="1" t="s">
        <v>3611</v>
      </c>
      <c r="N3738" s="1" t="s">
        <v>220</v>
      </c>
      <c r="P3738" s="1" t="s">
        <v>2310</v>
      </c>
      <c r="Q3738" s="3">
        <v>0</v>
      </c>
      <c r="R3738" s="22" t="s">
        <v>2723</v>
      </c>
      <c r="T3738" s="3" t="s">
        <v>4868</v>
      </c>
      <c r="U3738" s="45">
        <v>35</v>
      </c>
      <c r="V3738" t="s">
        <v>8191</v>
      </c>
      <c r="W3738" s="1" t="str">
        <f>HYPERLINK("http://ictvonline.org/taxonomy/p/taxonomy-history?taxnode_id=201902288","ICTVonline=201902288")</f>
        <v>ICTVonline=201902288</v>
      </c>
    </row>
    <row r="3739" spans="1:23">
      <c r="A3739" s="3">
        <v>3738</v>
      </c>
      <c r="B3739" s="1" t="s">
        <v>5910</v>
      </c>
      <c r="D3739" s="1" t="s">
        <v>8187</v>
      </c>
      <c r="F3739" s="1" t="s">
        <v>8208</v>
      </c>
      <c r="H3739" s="1" t="s">
        <v>8209</v>
      </c>
      <c r="J3739" s="1" t="s">
        <v>1161</v>
      </c>
      <c r="L3739" s="1" t="s">
        <v>1162</v>
      </c>
      <c r="M3739" s="1" t="s">
        <v>3611</v>
      </c>
      <c r="N3739" s="1" t="s">
        <v>3614</v>
      </c>
      <c r="P3739" s="1" t="s">
        <v>1502</v>
      </c>
      <c r="Q3739" s="3">
        <v>0</v>
      </c>
      <c r="R3739" s="22" t="s">
        <v>2723</v>
      </c>
      <c r="T3739" s="3" t="s">
        <v>4868</v>
      </c>
      <c r="U3739" s="45">
        <v>35</v>
      </c>
      <c r="V3739" t="s">
        <v>8191</v>
      </c>
      <c r="W3739" s="1" t="str">
        <f>HYPERLINK("http://ictvonline.org/taxonomy/p/taxonomy-history?taxnode_id=201902290","ICTVonline=201902290")</f>
        <v>ICTVonline=201902290</v>
      </c>
    </row>
    <row r="3740" spans="1:23">
      <c r="A3740" s="3">
        <v>3739</v>
      </c>
      <c r="B3740" s="1" t="s">
        <v>5910</v>
      </c>
      <c r="D3740" s="1" t="s">
        <v>8187</v>
      </c>
      <c r="F3740" s="1" t="s">
        <v>8208</v>
      </c>
      <c r="H3740" s="1" t="s">
        <v>8209</v>
      </c>
      <c r="J3740" s="1" t="s">
        <v>1161</v>
      </c>
      <c r="L3740" s="1" t="s">
        <v>1162</v>
      </c>
      <c r="M3740" s="1" t="s">
        <v>3611</v>
      </c>
      <c r="N3740" s="1" t="s">
        <v>3614</v>
      </c>
      <c r="P3740" s="1" t="s">
        <v>1967</v>
      </c>
      <c r="Q3740" s="3">
        <v>0</v>
      </c>
      <c r="R3740" s="22" t="s">
        <v>2723</v>
      </c>
      <c r="T3740" s="3" t="s">
        <v>4868</v>
      </c>
      <c r="U3740" s="45">
        <v>35</v>
      </c>
      <c r="V3740" t="s">
        <v>8191</v>
      </c>
      <c r="W3740" s="1" t="str">
        <f>HYPERLINK("http://ictvonline.org/taxonomy/p/taxonomy-history?taxnode_id=201902291","ICTVonline=201902291")</f>
        <v>ICTVonline=201902291</v>
      </c>
    </row>
    <row r="3741" spans="1:23">
      <c r="A3741" s="3">
        <v>3740</v>
      </c>
      <c r="B3741" s="1" t="s">
        <v>5910</v>
      </c>
      <c r="D3741" s="1" t="s">
        <v>8187</v>
      </c>
      <c r="F3741" s="1" t="s">
        <v>8208</v>
      </c>
      <c r="H3741" s="1" t="s">
        <v>8209</v>
      </c>
      <c r="J3741" s="1" t="s">
        <v>1161</v>
      </c>
      <c r="L3741" s="1" t="s">
        <v>1162</v>
      </c>
      <c r="M3741" s="1" t="s">
        <v>3611</v>
      </c>
      <c r="N3741" s="1" t="s">
        <v>3614</v>
      </c>
      <c r="P3741" s="1" t="s">
        <v>1968</v>
      </c>
      <c r="Q3741" s="3">
        <v>1</v>
      </c>
      <c r="R3741" s="22" t="s">
        <v>2723</v>
      </c>
      <c r="T3741" s="3" t="s">
        <v>4868</v>
      </c>
      <c r="U3741" s="45">
        <v>35</v>
      </c>
      <c r="V3741" t="s">
        <v>8191</v>
      </c>
      <c r="W3741" s="1" t="str">
        <f>HYPERLINK("http://ictvonline.org/taxonomy/p/taxonomy-history?taxnode_id=201902292","ICTVonline=201902292")</f>
        <v>ICTVonline=201902292</v>
      </c>
    </row>
    <row r="3742" spans="1:23">
      <c r="A3742" s="3">
        <v>3741</v>
      </c>
      <c r="B3742" s="1" t="s">
        <v>5910</v>
      </c>
      <c r="D3742" s="1" t="s">
        <v>8187</v>
      </c>
      <c r="F3742" s="1" t="s">
        <v>8208</v>
      </c>
      <c r="H3742" s="1" t="s">
        <v>8209</v>
      </c>
      <c r="J3742" s="1" t="s">
        <v>1161</v>
      </c>
      <c r="L3742" s="1" t="s">
        <v>1162</v>
      </c>
      <c r="M3742" s="1" t="s">
        <v>3611</v>
      </c>
      <c r="N3742" s="1" t="s">
        <v>3614</v>
      </c>
      <c r="P3742" s="1" t="s">
        <v>3615</v>
      </c>
      <c r="Q3742" s="3">
        <v>0</v>
      </c>
      <c r="R3742" s="22" t="s">
        <v>2723</v>
      </c>
      <c r="T3742" s="3" t="s">
        <v>4868</v>
      </c>
      <c r="U3742" s="45">
        <v>35</v>
      </c>
      <c r="V3742" t="s">
        <v>8191</v>
      </c>
      <c r="W3742" s="1" t="str">
        <f>HYPERLINK("http://ictvonline.org/taxonomy/p/taxonomy-history?taxnode_id=201902293","ICTVonline=201902293")</f>
        <v>ICTVonline=201902293</v>
      </c>
    </row>
    <row r="3743" spans="1:23">
      <c r="A3743" s="3">
        <v>3742</v>
      </c>
      <c r="B3743" s="1" t="s">
        <v>5910</v>
      </c>
      <c r="D3743" s="1" t="s">
        <v>8187</v>
      </c>
      <c r="F3743" s="1" t="s">
        <v>8208</v>
      </c>
      <c r="H3743" s="1" t="s">
        <v>8209</v>
      </c>
      <c r="J3743" s="1" t="s">
        <v>1161</v>
      </c>
      <c r="L3743" s="1" t="s">
        <v>1162</v>
      </c>
      <c r="M3743" s="1" t="s">
        <v>3611</v>
      </c>
      <c r="N3743" s="1" t="s">
        <v>3614</v>
      </c>
      <c r="P3743" s="1" t="s">
        <v>3616</v>
      </c>
      <c r="Q3743" s="3">
        <v>0</v>
      </c>
      <c r="R3743" s="22" t="s">
        <v>2723</v>
      </c>
      <c r="T3743" s="3" t="s">
        <v>4868</v>
      </c>
      <c r="U3743" s="45">
        <v>35</v>
      </c>
      <c r="V3743" t="s">
        <v>8191</v>
      </c>
      <c r="W3743" s="1" t="str">
        <f>HYPERLINK("http://ictvonline.org/taxonomy/p/taxonomy-history?taxnode_id=201902294","ICTVonline=201902294")</f>
        <v>ICTVonline=201902294</v>
      </c>
    </row>
    <row r="3744" spans="1:23">
      <c r="A3744" s="3">
        <v>3743</v>
      </c>
      <c r="B3744" s="1" t="s">
        <v>5910</v>
      </c>
      <c r="D3744" s="1" t="s">
        <v>8187</v>
      </c>
      <c r="F3744" s="1" t="s">
        <v>8208</v>
      </c>
      <c r="H3744" s="1" t="s">
        <v>8209</v>
      </c>
      <c r="J3744" s="1" t="s">
        <v>1161</v>
      </c>
      <c r="L3744" s="1" t="s">
        <v>1162</v>
      </c>
      <c r="M3744" s="1" t="s">
        <v>3611</v>
      </c>
      <c r="P3744" s="1" t="s">
        <v>2074</v>
      </c>
      <c r="Q3744" s="3">
        <v>0</v>
      </c>
      <c r="R3744" s="22" t="s">
        <v>2723</v>
      </c>
      <c r="T3744" s="3" t="s">
        <v>4868</v>
      </c>
      <c r="U3744" s="45">
        <v>35</v>
      </c>
      <c r="V3744" t="s">
        <v>8191</v>
      </c>
      <c r="W3744" s="1" t="str">
        <f>HYPERLINK("http://ictvonline.org/taxonomy/p/taxonomy-history?taxnode_id=201902296","ICTVonline=201902296")</f>
        <v>ICTVonline=201902296</v>
      </c>
    </row>
    <row r="3745" spans="1:23">
      <c r="A3745" s="3">
        <v>3744</v>
      </c>
      <c r="B3745" s="1" t="s">
        <v>5910</v>
      </c>
      <c r="D3745" s="1" t="s">
        <v>8187</v>
      </c>
      <c r="F3745" s="1" t="s">
        <v>8208</v>
      </c>
      <c r="H3745" s="1" t="s">
        <v>8209</v>
      </c>
      <c r="J3745" s="1" t="s">
        <v>1161</v>
      </c>
      <c r="L3745" s="1" t="s">
        <v>1162</v>
      </c>
      <c r="M3745" s="1" t="s">
        <v>3611</v>
      </c>
      <c r="P3745" s="1" t="s">
        <v>2199</v>
      </c>
      <c r="Q3745" s="3">
        <v>0</v>
      </c>
      <c r="R3745" s="22" t="s">
        <v>2723</v>
      </c>
      <c r="T3745" s="3" t="s">
        <v>4868</v>
      </c>
      <c r="U3745" s="45">
        <v>35</v>
      </c>
      <c r="V3745" t="s">
        <v>8191</v>
      </c>
      <c r="W3745" s="1" t="str">
        <f>HYPERLINK("http://ictvonline.org/taxonomy/p/taxonomy-history?taxnode_id=201902297","ICTVonline=201902297")</f>
        <v>ICTVonline=201902297</v>
      </c>
    </row>
    <row r="3746" spans="1:23">
      <c r="A3746" s="3">
        <v>3745</v>
      </c>
      <c r="B3746" s="1" t="s">
        <v>5910</v>
      </c>
      <c r="D3746" s="1" t="s">
        <v>8187</v>
      </c>
      <c r="F3746" s="1" t="s">
        <v>8208</v>
      </c>
      <c r="H3746" s="1" t="s">
        <v>8209</v>
      </c>
      <c r="J3746" s="1" t="s">
        <v>1161</v>
      </c>
      <c r="L3746" s="1" t="s">
        <v>1162</v>
      </c>
      <c r="M3746" s="1" t="s">
        <v>3611</v>
      </c>
      <c r="P3746" s="1" t="s">
        <v>1503</v>
      </c>
      <c r="Q3746" s="3">
        <v>0</v>
      </c>
      <c r="R3746" s="22" t="s">
        <v>2723</v>
      </c>
      <c r="T3746" s="3" t="s">
        <v>4868</v>
      </c>
      <c r="U3746" s="45">
        <v>35</v>
      </c>
      <c r="V3746" t="s">
        <v>8191</v>
      </c>
      <c r="W3746" s="1" t="str">
        <f>HYPERLINK("http://ictvonline.org/taxonomy/p/taxonomy-history?taxnode_id=201902298","ICTVonline=201902298")</f>
        <v>ICTVonline=201902298</v>
      </c>
    </row>
    <row r="3747" spans="1:23">
      <c r="A3747" s="3">
        <v>3746</v>
      </c>
      <c r="B3747" s="1" t="s">
        <v>5910</v>
      </c>
      <c r="D3747" s="1" t="s">
        <v>8187</v>
      </c>
      <c r="F3747" s="1" t="s">
        <v>8208</v>
      </c>
      <c r="H3747" s="1" t="s">
        <v>8209</v>
      </c>
      <c r="J3747" s="1" t="s">
        <v>1161</v>
      </c>
      <c r="L3747" s="1" t="s">
        <v>1162</v>
      </c>
      <c r="M3747" s="1" t="s">
        <v>3617</v>
      </c>
      <c r="N3747" s="1" t="s">
        <v>288</v>
      </c>
      <c r="P3747" s="1" t="s">
        <v>416</v>
      </c>
      <c r="Q3747" s="3">
        <v>1</v>
      </c>
      <c r="R3747" s="22" t="s">
        <v>2723</v>
      </c>
      <c r="T3747" s="3" t="s">
        <v>4868</v>
      </c>
      <c r="U3747" s="45">
        <v>35</v>
      </c>
      <c r="V3747" t="s">
        <v>8191</v>
      </c>
      <c r="W3747" s="1" t="str">
        <f>HYPERLINK("http://ictvonline.org/taxonomy/p/taxonomy-history?taxnode_id=201902301","ICTVonline=201902301")</f>
        <v>ICTVonline=201902301</v>
      </c>
    </row>
    <row r="3748" spans="1:23">
      <c r="A3748" s="3">
        <v>3747</v>
      </c>
      <c r="B3748" s="1" t="s">
        <v>5910</v>
      </c>
      <c r="D3748" s="1" t="s">
        <v>8187</v>
      </c>
      <c r="F3748" s="1" t="s">
        <v>8208</v>
      </c>
      <c r="H3748" s="1" t="s">
        <v>8209</v>
      </c>
      <c r="J3748" s="1" t="s">
        <v>1161</v>
      </c>
      <c r="L3748" s="1" t="s">
        <v>1162</v>
      </c>
      <c r="M3748" s="1" t="s">
        <v>3617</v>
      </c>
      <c r="N3748" s="1" t="s">
        <v>288</v>
      </c>
      <c r="P3748" s="1" t="s">
        <v>417</v>
      </c>
      <c r="Q3748" s="3">
        <v>0</v>
      </c>
      <c r="R3748" s="22" t="s">
        <v>2723</v>
      </c>
      <c r="T3748" s="3" t="s">
        <v>4868</v>
      </c>
      <c r="U3748" s="45">
        <v>35</v>
      </c>
      <c r="V3748" t="s">
        <v>8191</v>
      </c>
      <c r="W3748" s="1" t="str">
        <f>HYPERLINK("http://ictvonline.org/taxonomy/p/taxonomy-history?taxnode_id=201902302","ICTVonline=201902302")</f>
        <v>ICTVonline=201902302</v>
      </c>
    </row>
    <row r="3749" spans="1:23">
      <c r="A3749" s="3">
        <v>3748</v>
      </c>
      <c r="B3749" s="1" t="s">
        <v>5910</v>
      </c>
      <c r="D3749" s="1" t="s">
        <v>8187</v>
      </c>
      <c r="F3749" s="1" t="s">
        <v>8208</v>
      </c>
      <c r="H3749" s="1" t="s">
        <v>8209</v>
      </c>
      <c r="J3749" s="1" t="s">
        <v>1161</v>
      </c>
      <c r="L3749" s="1" t="s">
        <v>1162</v>
      </c>
      <c r="M3749" s="1" t="s">
        <v>3617</v>
      </c>
      <c r="N3749" s="1" t="s">
        <v>288</v>
      </c>
      <c r="P3749" s="1" t="s">
        <v>6122</v>
      </c>
      <c r="Q3749" s="3">
        <v>0</v>
      </c>
      <c r="R3749" s="22" t="s">
        <v>2723</v>
      </c>
      <c r="T3749" s="3" t="s">
        <v>4868</v>
      </c>
      <c r="U3749" s="45">
        <v>35</v>
      </c>
      <c r="V3749" t="s">
        <v>8191</v>
      </c>
      <c r="W3749" s="1" t="str">
        <f>HYPERLINK("http://ictvonline.org/taxonomy/p/taxonomy-history?taxnode_id=201906329","ICTVonline=201906329")</f>
        <v>ICTVonline=201906329</v>
      </c>
    </row>
    <row r="3750" spans="1:23">
      <c r="A3750" s="3">
        <v>3749</v>
      </c>
      <c r="B3750" s="1" t="s">
        <v>5910</v>
      </c>
      <c r="D3750" s="1" t="s">
        <v>8187</v>
      </c>
      <c r="F3750" s="1" t="s">
        <v>8208</v>
      </c>
      <c r="H3750" s="1" t="s">
        <v>8209</v>
      </c>
      <c r="J3750" s="1" t="s">
        <v>1161</v>
      </c>
      <c r="L3750" s="1" t="s">
        <v>1162</v>
      </c>
      <c r="M3750" s="1" t="s">
        <v>3617</v>
      </c>
      <c r="N3750" s="1" t="s">
        <v>288</v>
      </c>
      <c r="P3750" s="1" t="s">
        <v>6123</v>
      </c>
      <c r="Q3750" s="3">
        <v>0</v>
      </c>
      <c r="R3750" s="22" t="s">
        <v>2723</v>
      </c>
      <c r="T3750" s="3" t="s">
        <v>4868</v>
      </c>
      <c r="U3750" s="45">
        <v>35</v>
      </c>
      <c r="V3750" t="s">
        <v>8191</v>
      </c>
      <c r="W3750" s="1" t="str">
        <f>HYPERLINK("http://ictvonline.org/taxonomy/p/taxonomy-history?taxnode_id=201906322","ICTVonline=201906322")</f>
        <v>ICTVonline=201906322</v>
      </c>
    </row>
    <row r="3751" spans="1:23">
      <c r="A3751" s="3">
        <v>3750</v>
      </c>
      <c r="B3751" s="1" t="s">
        <v>5910</v>
      </c>
      <c r="D3751" s="1" t="s">
        <v>8187</v>
      </c>
      <c r="F3751" s="1" t="s">
        <v>8208</v>
      </c>
      <c r="H3751" s="1" t="s">
        <v>8209</v>
      </c>
      <c r="J3751" s="1" t="s">
        <v>1161</v>
      </c>
      <c r="L3751" s="1" t="s">
        <v>1162</v>
      </c>
      <c r="M3751" s="1" t="s">
        <v>3617</v>
      </c>
      <c r="N3751" s="1" t="s">
        <v>3618</v>
      </c>
      <c r="P3751" s="1" t="s">
        <v>3619</v>
      </c>
      <c r="Q3751" s="3">
        <v>1</v>
      </c>
      <c r="R3751" s="22" t="s">
        <v>2723</v>
      </c>
      <c r="T3751" s="3" t="s">
        <v>4868</v>
      </c>
      <c r="U3751" s="45">
        <v>35</v>
      </c>
      <c r="V3751" t="s">
        <v>8191</v>
      </c>
      <c r="W3751" s="1" t="str">
        <f>HYPERLINK("http://ictvonline.org/taxonomy/p/taxonomy-history?taxnode_id=201902304","ICTVonline=201902304")</f>
        <v>ICTVonline=201902304</v>
      </c>
    </row>
    <row r="3752" spans="1:23">
      <c r="A3752" s="3">
        <v>3751</v>
      </c>
      <c r="B3752" s="1" t="s">
        <v>5910</v>
      </c>
      <c r="D3752" s="1" t="s">
        <v>8187</v>
      </c>
      <c r="F3752" s="1" t="s">
        <v>8208</v>
      </c>
      <c r="H3752" s="1" t="s">
        <v>8209</v>
      </c>
      <c r="J3752" s="1" t="s">
        <v>1161</v>
      </c>
      <c r="L3752" s="1" t="s">
        <v>1162</v>
      </c>
      <c r="M3752" s="1" t="s">
        <v>3617</v>
      </c>
      <c r="N3752" s="1" t="s">
        <v>3618</v>
      </c>
      <c r="P3752" s="1" t="s">
        <v>3620</v>
      </c>
      <c r="Q3752" s="3">
        <v>0</v>
      </c>
      <c r="R3752" s="22" t="s">
        <v>2723</v>
      </c>
      <c r="T3752" s="3" t="s">
        <v>4868</v>
      </c>
      <c r="U3752" s="45">
        <v>35</v>
      </c>
      <c r="V3752" t="s">
        <v>8191</v>
      </c>
      <c r="W3752" s="1" t="str">
        <f>HYPERLINK("http://ictvonline.org/taxonomy/p/taxonomy-history?taxnode_id=201902305","ICTVonline=201902305")</f>
        <v>ICTVonline=201902305</v>
      </c>
    </row>
    <row r="3753" spans="1:23">
      <c r="A3753" s="3">
        <v>3752</v>
      </c>
      <c r="B3753" s="1" t="s">
        <v>5910</v>
      </c>
      <c r="D3753" s="1" t="s">
        <v>8187</v>
      </c>
      <c r="F3753" s="1" t="s">
        <v>8208</v>
      </c>
      <c r="H3753" s="1" t="s">
        <v>8209</v>
      </c>
      <c r="J3753" s="1" t="s">
        <v>1161</v>
      </c>
      <c r="L3753" s="1" t="s">
        <v>1162</v>
      </c>
      <c r="M3753" s="1" t="s">
        <v>3617</v>
      </c>
      <c r="N3753" s="1" t="s">
        <v>218</v>
      </c>
      <c r="P3753" s="1" t="s">
        <v>219</v>
      </c>
      <c r="Q3753" s="3">
        <v>1</v>
      </c>
      <c r="R3753" s="22" t="s">
        <v>2723</v>
      </c>
      <c r="T3753" s="3" t="s">
        <v>4868</v>
      </c>
      <c r="U3753" s="45">
        <v>35</v>
      </c>
      <c r="V3753" t="s">
        <v>8191</v>
      </c>
      <c r="W3753" s="1" t="str">
        <f>HYPERLINK("http://ictvonline.org/taxonomy/p/taxonomy-history?taxnode_id=201902307","ICTVonline=201902307")</f>
        <v>ICTVonline=201902307</v>
      </c>
    </row>
    <row r="3754" spans="1:23">
      <c r="A3754" s="3">
        <v>3753</v>
      </c>
      <c r="B3754" s="1" t="s">
        <v>5910</v>
      </c>
      <c r="D3754" s="1" t="s">
        <v>8187</v>
      </c>
      <c r="F3754" s="1" t="s">
        <v>8208</v>
      </c>
      <c r="H3754" s="1" t="s">
        <v>8209</v>
      </c>
      <c r="J3754" s="1" t="s">
        <v>1161</v>
      </c>
      <c r="L3754" s="1" t="s">
        <v>1162</v>
      </c>
      <c r="M3754" s="1" t="s">
        <v>3617</v>
      </c>
      <c r="N3754" s="1" t="s">
        <v>3621</v>
      </c>
      <c r="P3754" s="1" t="s">
        <v>2311</v>
      </c>
      <c r="Q3754" s="3">
        <v>1</v>
      </c>
      <c r="R3754" s="22" t="s">
        <v>2723</v>
      </c>
      <c r="T3754" s="3" t="s">
        <v>4868</v>
      </c>
      <c r="U3754" s="45">
        <v>35</v>
      </c>
      <c r="V3754" t="s">
        <v>8191</v>
      </c>
      <c r="W3754" s="1" t="str">
        <f>HYPERLINK("http://ictvonline.org/taxonomy/p/taxonomy-history?taxnode_id=201902309","ICTVonline=201902309")</f>
        <v>ICTVonline=201902309</v>
      </c>
    </row>
    <row r="3755" spans="1:23">
      <c r="A3755" s="3">
        <v>3754</v>
      </c>
      <c r="B3755" s="1" t="s">
        <v>5910</v>
      </c>
      <c r="D3755" s="1" t="s">
        <v>8187</v>
      </c>
      <c r="F3755" s="1" t="s">
        <v>8208</v>
      </c>
      <c r="H3755" s="1" t="s">
        <v>8209</v>
      </c>
      <c r="J3755" s="1" t="s">
        <v>1161</v>
      </c>
      <c r="L3755" s="1" t="s">
        <v>1162</v>
      </c>
      <c r="M3755" s="1" t="s">
        <v>3617</v>
      </c>
      <c r="N3755" s="1" t="s">
        <v>3621</v>
      </c>
      <c r="P3755" s="1" t="s">
        <v>2312</v>
      </c>
      <c r="Q3755" s="3">
        <v>0</v>
      </c>
      <c r="R3755" s="22" t="s">
        <v>2723</v>
      </c>
      <c r="T3755" s="3" t="s">
        <v>4868</v>
      </c>
      <c r="U3755" s="45">
        <v>35</v>
      </c>
      <c r="V3755" t="s">
        <v>8191</v>
      </c>
      <c r="W3755" s="1" t="str">
        <f>HYPERLINK("http://ictvonline.org/taxonomy/p/taxonomy-history?taxnode_id=201902310","ICTVonline=201902310")</f>
        <v>ICTVonline=201902310</v>
      </c>
    </row>
    <row r="3756" spans="1:23">
      <c r="A3756" s="3">
        <v>3755</v>
      </c>
      <c r="B3756" s="1" t="s">
        <v>5910</v>
      </c>
      <c r="D3756" s="1" t="s">
        <v>8187</v>
      </c>
      <c r="F3756" s="1" t="s">
        <v>8208</v>
      </c>
      <c r="H3756" s="1" t="s">
        <v>8209</v>
      </c>
      <c r="J3756" s="1" t="s">
        <v>1161</v>
      </c>
      <c r="L3756" s="1" t="s">
        <v>1162</v>
      </c>
      <c r="M3756" s="1" t="s">
        <v>3617</v>
      </c>
      <c r="N3756" s="1" t="s">
        <v>3621</v>
      </c>
      <c r="P3756" s="1" t="s">
        <v>2200</v>
      </c>
      <c r="Q3756" s="3">
        <v>0</v>
      </c>
      <c r="R3756" s="22" t="s">
        <v>2723</v>
      </c>
      <c r="T3756" s="3" t="s">
        <v>4868</v>
      </c>
      <c r="U3756" s="45">
        <v>35</v>
      </c>
      <c r="V3756" t="s">
        <v>8191</v>
      </c>
      <c r="W3756" s="1" t="str">
        <f>HYPERLINK("http://ictvonline.org/taxonomy/p/taxonomy-history?taxnode_id=201902311","ICTVonline=201902311")</f>
        <v>ICTVonline=201902311</v>
      </c>
    </row>
    <row r="3757" spans="1:23">
      <c r="A3757" s="3">
        <v>3756</v>
      </c>
      <c r="B3757" s="1" t="s">
        <v>5910</v>
      </c>
      <c r="D3757" s="1" t="s">
        <v>8187</v>
      </c>
      <c r="F3757" s="1" t="s">
        <v>8208</v>
      </c>
      <c r="H3757" s="1" t="s">
        <v>8209</v>
      </c>
      <c r="J3757" s="1" t="s">
        <v>1161</v>
      </c>
      <c r="L3757" s="1" t="s">
        <v>1162</v>
      </c>
      <c r="M3757" s="1" t="s">
        <v>3617</v>
      </c>
      <c r="N3757" s="1" t="s">
        <v>3622</v>
      </c>
      <c r="P3757" s="1" t="s">
        <v>6124</v>
      </c>
      <c r="Q3757" s="3">
        <v>0</v>
      </c>
      <c r="R3757" s="22" t="s">
        <v>2723</v>
      </c>
      <c r="T3757" s="3" t="s">
        <v>4868</v>
      </c>
      <c r="U3757" s="45">
        <v>35</v>
      </c>
      <c r="V3757" t="s">
        <v>8191</v>
      </c>
      <c r="W3757" s="1" t="str">
        <f>HYPERLINK("http://ictvonline.org/taxonomy/p/taxonomy-history?taxnode_id=201906390","ICTVonline=201906390")</f>
        <v>ICTVonline=201906390</v>
      </c>
    </row>
    <row r="3758" spans="1:23">
      <c r="A3758" s="3">
        <v>3757</v>
      </c>
      <c r="B3758" s="1" t="s">
        <v>5910</v>
      </c>
      <c r="D3758" s="1" t="s">
        <v>8187</v>
      </c>
      <c r="F3758" s="1" t="s">
        <v>8208</v>
      </c>
      <c r="H3758" s="1" t="s">
        <v>8209</v>
      </c>
      <c r="J3758" s="1" t="s">
        <v>1161</v>
      </c>
      <c r="L3758" s="1" t="s">
        <v>1162</v>
      </c>
      <c r="M3758" s="1" t="s">
        <v>3617</v>
      </c>
      <c r="N3758" s="1" t="s">
        <v>3622</v>
      </c>
      <c r="P3758" s="1" t="s">
        <v>3623</v>
      </c>
      <c r="Q3758" s="3">
        <v>1</v>
      </c>
      <c r="R3758" s="22" t="s">
        <v>2723</v>
      </c>
      <c r="T3758" s="3" t="s">
        <v>4868</v>
      </c>
      <c r="U3758" s="45">
        <v>35</v>
      </c>
      <c r="V3758" t="s">
        <v>8191</v>
      </c>
      <c r="W3758" s="1" t="str">
        <f>HYPERLINK("http://ictvonline.org/taxonomy/p/taxonomy-history?taxnode_id=201902313","ICTVonline=201902313")</f>
        <v>ICTVonline=201902313</v>
      </c>
    </row>
    <row r="3759" spans="1:23">
      <c r="A3759" s="3">
        <v>3758</v>
      </c>
      <c r="B3759" s="1" t="s">
        <v>5910</v>
      </c>
      <c r="D3759" s="1" t="s">
        <v>8187</v>
      </c>
      <c r="F3759" s="1" t="s">
        <v>8208</v>
      </c>
      <c r="H3759" s="1" t="s">
        <v>8209</v>
      </c>
      <c r="J3759" s="1" t="s">
        <v>1161</v>
      </c>
      <c r="L3759" s="1" t="s">
        <v>1162</v>
      </c>
      <c r="M3759" s="1" t="s">
        <v>3617</v>
      </c>
      <c r="N3759" s="1" t="s">
        <v>3622</v>
      </c>
      <c r="P3759" s="1" t="s">
        <v>3624</v>
      </c>
      <c r="Q3759" s="3">
        <v>0</v>
      </c>
      <c r="R3759" s="22" t="s">
        <v>2723</v>
      </c>
      <c r="T3759" s="3" t="s">
        <v>4868</v>
      </c>
      <c r="U3759" s="45">
        <v>35</v>
      </c>
      <c r="V3759" t="s">
        <v>8191</v>
      </c>
      <c r="W3759" s="1" t="str">
        <f>HYPERLINK("http://ictvonline.org/taxonomy/p/taxonomy-history?taxnode_id=201902314","ICTVonline=201902314")</f>
        <v>ICTVonline=201902314</v>
      </c>
    </row>
    <row r="3760" spans="1:23">
      <c r="A3760" s="3">
        <v>3759</v>
      </c>
      <c r="B3760" s="1" t="s">
        <v>5910</v>
      </c>
      <c r="D3760" s="1" t="s">
        <v>8187</v>
      </c>
      <c r="F3760" s="1" t="s">
        <v>8208</v>
      </c>
      <c r="H3760" s="1" t="s">
        <v>8209</v>
      </c>
      <c r="J3760" s="1" t="s">
        <v>1161</v>
      </c>
      <c r="L3760" s="1" t="s">
        <v>1162</v>
      </c>
      <c r="M3760" s="1" t="s">
        <v>3617</v>
      </c>
      <c r="N3760" s="1" t="s">
        <v>8232</v>
      </c>
      <c r="P3760" s="1" t="s">
        <v>8233</v>
      </c>
      <c r="Q3760" s="3">
        <v>1</v>
      </c>
      <c r="R3760" s="22" t="s">
        <v>2723</v>
      </c>
      <c r="T3760" s="3" t="s">
        <v>4866</v>
      </c>
      <c r="U3760" s="45">
        <v>35</v>
      </c>
      <c r="V3760" t="s">
        <v>8234</v>
      </c>
      <c r="W3760" s="1" t="str">
        <f>HYPERLINK("http://ictvonline.org/taxonomy/p/taxonomy-history?taxnode_id=201907396","ICTVonline=201907396")</f>
        <v>ICTVonline=201907396</v>
      </c>
    </row>
    <row r="3761" spans="1:23">
      <c r="A3761" s="3">
        <v>3760</v>
      </c>
      <c r="B3761" s="1" t="s">
        <v>5910</v>
      </c>
      <c r="D3761" s="1" t="s">
        <v>8187</v>
      </c>
      <c r="F3761" s="1" t="s">
        <v>8208</v>
      </c>
      <c r="H3761" s="1" t="s">
        <v>8209</v>
      </c>
      <c r="J3761" s="1" t="s">
        <v>1161</v>
      </c>
      <c r="L3761" s="1" t="s">
        <v>1162</v>
      </c>
      <c r="M3761" s="1" t="s">
        <v>3617</v>
      </c>
      <c r="N3761" s="1" t="s">
        <v>11</v>
      </c>
      <c r="P3761" s="1" t="s">
        <v>1969</v>
      </c>
      <c r="Q3761" s="3">
        <v>1</v>
      </c>
      <c r="R3761" s="22" t="s">
        <v>2723</v>
      </c>
      <c r="T3761" s="3" t="s">
        <v>4868</v>
      </c>
      <c r="U3761" s="45">
        <v>35</v>
      </c>
      <c r="V3761" t="s">
        <v>8191</v>
      </c>
      <c r="W3761" s="1" t="str">
        <f>HYPERLINK("http://ictvonline.org/taxonomy/p/taxonomy-history?taxnode_id=201902316","ICTVonline=201902316")</f>
        <v>ICTVonline=201902316</v>
      </c>
    </row>
    <row r="3762" spans="1:23">
      <c r="A3762" s="3">
        <v>3761</v>
      </c>
      <c r="B3762" s="1" t="s">
        <v>5910</v>
      </c>
      <c r="D3762" s="1" t="s">
        <v>8187</v>
      </c>
      <c r="F3762" s="1" t="s">
        <v>8208</v>
      </c>
      <c r="H3762" s="1" t="s">
        <v>8209</v>
      </c>
      <c r="J3762" s="1" t="s">
        <v>1161</v>
      </c>
      <c r="L3762" s="1" t="s">
        <v>1162</v>
      </c>
      <c r="M3762" s="1" t="s">
        <v>3617</v>
      </c>
      <c r="N3762" s="1" t="s">
        <v>11</v>
      </c>
      <c r="P3762" s="1" t="s">
        <v>3625</v>
      </c>
      <c r="Q3762" s="3">
        <v>0</v>
      </c>
      <c r="R3762" s="22" t="s">
        <v>2723</v>
      </c>
      <c r="T3762" s="3" t="s">
        <v>4868</v>
      </c>
      <c r="U3762" s="45">
        <v>35</v>
      </c>
      <c r="V3762" t="s">
        <v>8191</v>
      </c>
      <c r="W3762" s="1" t="str">
        <f>HYPERLINK("http://ictvonline.org/taxonomy/p/taxonomy-history?taxnode_id=201902317","ICTVonline=201902317")</f>
        <v>ICTVonline=201902317</v>
      </c>
    </row>
    <row r="3763" spans="1:23">
      <c r="A3763" s="3">
        <v>3762</v>
      </c>
      <c r="B3763" s="1" t="s">
        <v>5910</v>
      </c>
      <c r="D3763" s="1" t="s">
        <v>8187</v>
      </c>
      <c r="F3763" s="1" t="s">
        <v>8208</v>
      </c>
      <c r="H3763" s="1" t="s">
        <v>8209</v>
      </c>
      <c r="J3763" s="1" t="s">
        <v>1161</v>
      </c>
      <c r="L3763" s="1" t="s">
        <v>1162</v>
      </c>
      <c r="M3763" s="1" t="s">
        <v>3617</v>
      </c>
      <c r="N3763" s="1" t="s">
        <v>348</v>
      </c>
      <c r="P3763" s="1" t="s">
        <v>1445</v>
      </c>
      <c r="Q3763" s="3">
        <v>1</v>
      </c>
      <c r="R3763" s="22" t="s">
        <v>2723</v>
      </c>
      <c r="T3763" s="3" t="s">
        <v>4868</v>
      </c>
      <c r="U3763" s="45">
        <v>35</v>
      </c>
      <c r="V3763" t="s">
        <v>8191</v>
      </c>
      <c r="W3763" s="1" t="str">
        <f>HYPERLINK("http://ictvonline.org/taxonomy/p/taxonomy-history?taxnode_id=201902319","ICTVonline=201902319")</f>
        <v>ICTVonline=201902319</v>
      </c>
    </row>
    <row r="3764" spans="1:23">
      <c r="A3764" s="3">
        <v>3763</v>
      </c>
      <c r="B3764" s="1" t="s">
        <v>5910</v>
      </c>
      <c r="D3764" s="1" t="s">
        <v>8187</v>
      </c>
      <c r="F3764" s="1" t="s">
        <v>8208</v>
      </c>
      <c r="H3764" s="1" t="s">
        <v>8209</v>
      </c>
      <c r="J3764" s="1" t="s">
        <v>1161</v>
      </c>
      <c r="L3764" s="1" t="s">
        <v>1162</v>
      </c>
      <c r="M3764" s="1" t="s">
        <v>3617</v>
      </c>
      <c r="N3764" s="1" t="s">
        <v>348</v>
      </c>
      <c r="P3764" s="1" t="s">
        <v>2070</v>
      </c>
      <c r="Q3764" s="3">
        <v>0</v>
      </c>
      <c r="R3764" s="22" t="s">
        <v>2723</v>
      </c>
      <c r="T3764" s="3" t="s">
        <v>4868</v>
      </c>
      <c r="U3764" s="45">
        <v>35</v>
      </c>
      <c r="V3764" t="s">
        <v>8191</v>
      </c>
      <c r="W3764" s="1" t="str">
        <f>HYPERLINK("http://ictvonline.org/taxonomy/p/taxonomy-history?taxnode_id=201902320","ICTVonline=201902320")</f>
        <v>ICTVonline=201902320</v>
      </c>
    </row>
    <row r="3765" spans="1:23">
      <c r="A3765" s="3">
        <v>3764</v>
      </c>
      <c r="B3765" s="1" t="s">
        <v>5910</v>
      </c>
      <c r="D3765" s="1" t="s">
        <v>8187</v>
      </c>
      <c r="F3765" s="1" t="s">
        <v>8208</v>
      </c>
      <c r="H3765" s="1" t="s">
        <v>8209</v>
      </c>
      <c r="J3765" s="1" t="s">
        <v>1161</v>
      </c>
      <c r="L3765" s="1" t="s">
        <v>1162</v>
      </c>
      <c r="M3765" s="1" t="s">
        <v>3617</v>
      </c>
      <c r="N3765" s="1" t="s">
        <v>348</v>
      </c>
      <c r="P3765" s="1" t="s">
        <v>2071</v>
      </c>
      <c r="Q3765" s="3">
        <v>0</v>
      </c>
      <c r="R3765" s="22" t="s">
        <v>2723</v>
      </c>
      <c r="T3765" s="3" t="s">
        <v>4868</v>
      </c>
      <c r="U3765" s="45">
        <v>35</v>
      </c>
      <c r="V3765" t="s">
        <v>8191</v>
      </c>
      <c r="W3765" s="1" t="str">
        <f>HYPERLINK("http://ictvonline.org/taxonomy/p/taxonomy-history?taxnode_id=201902321","ICTVonline=201902321")</f>
        <v>ICTVonline=201902321</v>
      </c>
    </row>
    <row r="3766" spans="1:23">
      <c r="A3766" s="3">
        <v>3765</v>
      </c>
      <c r="B3766" s="1" t="s">
        <v>5910</v>
      </c>
      <c r="D3766" s="1" t="s">
        <v>8187</v>
      </c>
      <c r="F3766" s="1" t="s">
        <v>8208</v>
      </c>
      <c r="H3766" s="1" t="s">
        <v>8209</v>
      </c>
      <c r="J3766" s="1" t="s">
        <v>1161</v>
      </c>
      <c r="L3766" s="1" t="s">
        <v>1162</v>
      </c>
      <c r="M3766" s="1" t="s">
        <v>3617</v>
      </c>
      <c r="N3766" s="1" t="s">
        <v>348</v>
      </c>
      <c r="P3766" s="1" t="s">
        <v>2072</v>
      </c>
      <c r="Q3766" s="3">
        <v>0</v>
      </c>
      <c r="R3766" s="22" t="s">
        <v>2723</v>
      </c>
      <c r="T3766" s="3" t="s">
        <v>4868</v>
      </c>
      <c r="U3766" s="45">
        <v>35</v>
      </c>
      <c r="V3766" t="s">
        <v>8191</v>
      </c>
      <c r="W3766" s="1" t="str">
        <f>HYPERLINK("http://ictvonline.org/taxonomy/p/taxonomy-history?taxnode_id=201902322","ICTVonline=201902322")</f>
        <v>ICTVonline=201902322</v>
      </c>
    </row>
    <row r="3767" spans="1:23">
      <c r="A3767" s="3">
        <v>3766</v>
      </c>
      <c r="B3767" s="1" t="s">
        <v>5910</v>
      </c>
      <c r="D3767" s="1" t="s">
        <v>8187</v>
      </c>
      <c r="F3767" s="1" t="s">
        <v>8208</v>
      </c>
      <c r="H3767" s="1" t="s">
        <v>8209</v>
      </c>
      <c r="J3767" s="1" t="s">
        <v>1161</v>
      </c>
      <c r="L3767" s="1" t="s">
        <v>1162</v>
      </c>
      <c r="M3767" s="1" t="s">
        <v>3617</v>
      </c>
      <c r="N3767" s="1" t="s">
        <v>348</v>
      </c>
      <c r="P3767" s="1" t="s">
        <v>2197</v>
      </c>
      <c r="Q3767" s="3">
        <v>0</v>
      </c>
      <c r="R3767" s="22" t="s">
        <v>2723</v>
      </c>
      <c r="T3767" s="3" t="s">
        <v>4868</v>
      </c>
      <c r="U3767" s="45">
        <v>35</v>
      </c>
      <c r="V3767" t="s">
        <v>8191</v>
      </c>
      <c r="W3767" s="1" t="str">
        <f>HYPERLINK("http://ictvonline.org/taxonomy/p/taxonomy-history?taxnode_id=201902323","ICTVonline=201902323")</f>
        <v>ICTVonline=201902323</v>
      </c>
    </row>
    <row r="3768" spans="1:23">
      <c r="A3768" s="3">
        <v>3767</v>
      </c>
      <c r="B3768" s="1" t="s">
        <v>5910</v>
      </c>
      <c r="D3768" s="1" t="s">
        <v>8187</v>
      </c>
      <c r="F3768" s="1" t="s">
        <v>8208</v>
      </c>
      <c r="H3768" s="1" t="s">
        <v>8209</v>
      </c>
      <c r="J3768" s="1" t="s">
        <v>1161</v>
      </c>
      <c r="L3768" s="1" t="s">
        <v>1162</v>
      </c>
      <c r="M3768" s="1" t="s">
        <v>3617</v>
      </c>
      <c r="N3768" s="1" t="s">
        <v>348</v>
      </c>
      <c r="P3768" s="1" t="s">
        <v>2073</v>
      </c>
      <c r="Q3768" s="3">
        <v>0</v>
      </c>
      <c r="R3768" s="22" t="s">
        <v>2723</v>
      </c>
      <c r="T3768" s="3" t="s">
        <v>4868</v>
      </c>
      <c r="U3768" s="45">
        <v>35</v>
      </c>
      <c r="V3768" t="s">
        <v>8191</v>
      </c>
      <c r="W3768" s="1" t="str">
        <f>HYPERLINK("http://ictvonline.org/taxonomy/p/taxonomy-history?taxnode_id=201902324","ICTVonline=201902324")</f>
        <v>ICTVonline=201902324</v>
      </c>
    </row>
    <row r="3769" spans="1:23">
      <c r="A3769" s="3">
        <v>3768</v>
      </c>
      <c r="B3769" s="1" t="s">
        <v>5910</v>
      </c>
      <c r="D3769" s="1" t="s">
        <v>8187</v>
      </c>
      <c r="F3769" s="1" t="s">
        <v>8208</v>
      </c>
      <c r="H3769" s="1" t="s">
        <v>8209</v>
      </c>
      <c r="J3769" s="1" t="s">
        <v>1161</v>
      </c>
      <c r="L3769" s="1" t="s">
        <v>1162</v>
      </c>
      <c r="M3769" s="1" t="s">
        <v>3617</v>
      </c>
      <c r="N3769" s="1" t="s">
        <v>348</v>
      </c>
      <c r="P3769" s="1" t="s">
        <v>2198</v>
      </c>
      <c r="Q3769" s="3">
        <v>0</v>
      </c>
      <c r="R3769" s="22" t="s">
        <v>2723</v>
      </c>
      <c r="T3769" s="3" t="s">
        <v>4868</v>
      </c>
      <c r="U3769" s="45">
        <v>35</v>
      </c>
      <c r="V3769" t="s">
        <v>8191</v>
      </c>
      <c r="W3769" s="1" t="str">
        <f>HYPERLINK("http://ictvonline.org/taxonomy/p/taxonomy-history?taxnode_id=201902325","ICTVonline=201902325")</f>
        <v>ICTVonline=201902325</v>
      </c>
    </row>
    <row r="3770" spans="1:23">
      <c r="A3770" s="3">
        <v>3769</v>
      </c>
      <c r="B3770" s="1" t="s">
        <v>5910</v>
      </c>
      <c r="D3770" s="1" t="s">
        <v>8187</v>
      </c>
      <c r="F3770" s="1" t="s">
        <v>8208</v>
      </c>
      <c r="H3770" s="1" t="s">
        <v>8209</v>
      </c>
      <c r="J3770" s="1" t="s">
        <v>1161</v>
      </c>
      <c r="L3770" s="1" t="s">
        <v>1162</v>
      </c>
      <c r="M3770" s="1" t="s">
        <v>3617</v>
      </c>
      <c r="N3770" s="1" t="s">
        <v>1631</v>
      </c>
      <c r="P3770" s="1" t="s">
        <v>2201</v>
      </c>
      <c r="Q3770" s="3">
        <v>0</v>
      </c>
      <c r="R3770" s="22" t="s">
        <v>2723</v>
      </c>
      <c r="T3770" s="3" t="s">
        <v>4868</v>
      </c>
      <c r="U3770" s="45">
        <v>35</v>
      </c>
      <c r="V3770" t="s">
        <v>8191</v>
      </c>
      <c r="W3770" s="1" t="str">
        <f>HYPERLINK("http://ictvonline.org/taxonomy/p/taxonomy-history?taxnode_id=201902327","ICTVonline=201902327")</f>
        <v>ICTVonline=201902327</v>
      </c>
    </row>
    <row r="3771" spans="1:23">
      <c r="A3771" s="3">
        <v>3770</v>
      </c>
      <c r="B3771" s="1" t="s">
        <v>5910</v>
      </c>
      <c r="D3771" s="1" t="s">
        <v>8187</v>
      </c>
      <c r="F3771" s="1" t="s">
        <v>8208</v>
      </c>
      <c r="H3771" s="1" t="s">
        <v>8209</v>
      </c>
      <c r="J3771" s="1" t="s">
        <v>1161</v>
      </c>
      <c r="L3771" s="1" t="s">
        <v>1162</v>
      </c>
      <c r="M3771" s="1" t="s">
        <v>3617</v>
      </c>
      <c r="N3771" s="1" t="s">
        <v>1631</v>
      </c>
      <c r="P3771" s="1" t="s">
        <v>2277</v>
      </c>
      <c r="Q3771" s="3">
        <v>0</v>
      </c>
      <c r="R3771" s="22" t="s">
        <v>2723</v>
      </c>
      <c r="T3771" s="3" t="s">
        <v>4868</v>
      </c>
      <c r="U3771" s="45">
        <v>35</v>
      </c>
      <c r="V3771" t="s">
        <v>8191</v>
      </c>
      <c r="W3771" s="1" t="str">
        <f>HYPERLINK("http://ictvonline.org/taxonomy/p/taxonomy-history?taxnode_id=201902328","ICTVonline=201902328")</f>
        <v>ICTVonline=201902328</v>
      </c>
    </row>
    <row r="3772" spans="1:23">
      <c r="A3772" s="3">
        <v>3771</v>
      </c>
      <c r="B3772" s="1" t="s">
        <v>5910</v>
      </c>
      <c r="D3772" s="1" t="s">
        <v>8187</v>
      </c>
      <c r="F3772" s="1" t="s">
        <v>8208</v>
      </c>
      <c r="H3772" s="1" t="s">
        <v>8209</v>
      </c>
      <c r="J3772" s="1" t="s">
        <v>1161</v>
      </c>
      <c r="L3772" s="1" t="s">
        <v>1162</v>
      </c>
      <c r="M3772" s="1" t="s">
        <v>3617</v>
      </c>
      <c r="N3772" s="1" t="s">
        <v>1631</v>
      </c>
      <c r="P3772" s="1" t="s">
        <v>5154</v>
      </c>
      <c r="Q3772" s="3">
        <v>0</v>
      </c>
      <c r="R3772" s="22" t="s">
        <v>2723</v>
      </c>
      <c r="T3772" s="3" t="s">
        <v>4868</v>
      </c>
      <c r="U3772" s="45">
        <v>35</v>
      </c>
      <c r="V3772" t="s">
        <v>8191</v>
      </c>
      <c r="W3772" s="1" t="str">
        <f>HYPERLINK("http://ictvonline.org/taxonomy/p/taxonomy-history?taxnode_id=201905644","ICTVonline=201905644")</f>
        <v>ICTVonline=201905644</v>
      </c>
    </row>
    <row r="3773" spans="1:23">
      <c r="A3773" s="3">
        <v>3772</v>
      </c>
      <c r="B3773" s="1" t="s">
        <v>5910</v>
      </c>
      <c r="D3773" s="1" t="s">
        <v>8187</v>
      </c>
      <c r="F3773" s="1" t="s">
        <v>8208</v>
      </c>
      <c r="H3773" s="1" t="s">
        <v>8209</v>
      </c>
      <c r="J3773" s="1" t="s">
        <v>1161</v>
      </c>
      <c r="L3773" s="1" t="s">
        <v>1162</v>
      </c>
      <c r="M3773" s="1" t="s">
        <v>3617</v>
      </c>
      <c r="N3773" s="1" t="s">
        <v>1631</v>
      </c>
      <c r="P3773" s="1" t="s">
        <v>6125</v>
      </c>
      <c r="Q3773" s="3">
        <v>0</v>
      </c>
      <c r="R3773" s="22" t="s">
        <v>2723</v>
      </c>
      <c r="T3773" s="3" t="s">
        <v>4868</v>
      </c>
      <c r="U3773" s="45">
        <v>35</v>
      </c>
      <c r="V3773" t="s">
        <v>8191</v>
      </c>
      <c r="W3773" s="1" t="str">
        <f>HYPERLINK("http://ictvonline.org/taxonomy/p/taxonomy-history?taxnode_id=201906439","ICTVonline=201906439")</f>
        <v>ICTVonline=201906439</v>
      </c>
    </row>
    <row r="3774" spans="1:23">
      <c r="A3774" s="3">
        <v>3773</v>
      </c>
      <c r="B3774" s="1" t="s">
        <v>5910</v>
      </c>
      <c r="D3774" s="1" t="s">
        <v>8187</v>
      </c>
      <c r="F3774" s="1" t="s">
        <v>8208</v>
      </c>
      <c r="H3774" s="1" t="s">
        <v>8209</v>
      </c>
      <c r="J3774" s="1" t="s">
        <v>1161</v>
      </c>
      <c r="L3774" s="1" t="s">
        <v>1162</v>
      </c>
      <c r="M3774" s="1" t="s">
        <v>3617</v>
      </c>
      <c r="N3774" s="1" t="s">
        <v>1631</v>
      </c>
      <c r="P3774" s="1" t="s">
        <v>1632</v>
      </c>
      <c r="Q3774" s="3">
        <v>1</v>
      </c>
      <c r="R3774" s="22" t="s">
        <v>2723</v>
      </c>
      <c r="T3774" s="3" t="s">
        <v>4868</v>
      </c>
      <c r="U3774" s="45">
        <v>35</v>
      </c>
      <c r="V3774" t="s">
        <v>8191</v>
      </c>
      <c r="W3774" s="1" t="str">
        <f>HYPERLINK("http://ictvonline.org/taxonomy/p/taxonomy-history?taxnode_id=201902329","ICTVonline=201902329")</f>
        <v>ICTVonline=201902329</v>
      </c>
    </row>
    <row r="3775" spans="1:23">
      <c r="A3775" s="3">
        <v>3774</v>
      </c>
      <c r="B3775" s="1" t="s">
        <v>5910</v>
      </c>
      <c r="D3775" s="1" t="s">
        <v>8187</v>
      </c>
      <c r="F3775" s="1" t="s">
        <v>8208</v>
      </c>
      <c r="H3775" s="1" t="s">
        <v>8209</v>
      </c>
      <c r="J3775" s="1" t="s">
        <v>1161</v>
      </c>
      <c r="L3775" s="1" t="s">
        <v>1162</v>
      </c>
      <c r="M3775" s="1" t="s">
        <v>3617</v>
      </c>
      <c r="N3775" s="1" t="s">
        <v>1631</v>
      </c>
      <c r="P3775" s="1" t="s">
        <v>508</v>
      </c>
      <c r="Q3775" s="3">
        <v>0</v>
      </c>
      <c r="R3775" s="22" t="s">
        <v>2723</v>
      </c>
      <c r="T3775" s="3" t="s">
        <v>4868</v>
      </c>
      <c r="U3775" s="45">
        <v>35</v>
      </c>
      <c r="V3775" t="s">
        <v>8191</v>
      </c>
      <c r="W3775" s="1" t="str">
        <f>HYPERLINK("http://ictvonline.org/taxonomy/p/taxonomy-history?taxnode_id=201902330","ICTVonline=201902330")</f>
        <v>ICTVonline=201902330</v>
      </c>
    </row>
    <row r="3776" spans="1:23">
      <c r="A3776" s="3">
        <v>3775</v>
      </c>
      <c r="B3776" s="1" t="s">
        <v>5910</v>
      </c>
      <c r="D3776" s="1" t="s">
        <v>8187</v>
      </c>
      <c r="F3776" s="1" t="s">
        <v>8208</v>
      </c>
      <c r="H3776" s="1" t="s">
        <v>8209</v>
      </c>
      <c r="J3776" s="1" t="s">
        <v>1161</v>
      </c>
      <c r="L3776" s="1" t="s">
        <v>1162</v>
      </c>
      <c r="M3776" s="1" t="s">
        <v>3617</v>
      </c>
      <c r="N3776" s="1" t="s">
        <v>1631</v>
      </c>
      <c r="P3776" s="1" t="s">
        <v>509</v>
      </c>
      <c r="Q3776" s="3">
        <v>0</v>
      </c>
      <c r="R3776" s="22" t="s">
        <v>2723</v>
      </c>
      <c r="T3776" s="3" t="s">
        <v>4868</v>
      </c>
      <c r="U3776" s="45">
        <v>35</v>
      </c>
      <c r="V3776" t="s">
        <v>8191</v>
      </c>
      <c r="W3776" s="1" t="str">
        <f>HYPERLINK("http://ictvonline.org/taxonomy/p/taxonomy-history?taxnode_id=201902331","ICTVonline=201902331")</f>
        <v>ICTVonline=201902331</v>
      </c>
    </row>
    <row r="3777" spans="1:23">
      <c r="A3777" s="3">
        <v>3776</v>
      </c>
      <c r="B3777" s="1" t="s">
        <v>5910</v>
      </c>
      <c r="D3777" s="1" t="s">
        <v>8187</v>
      </c>
      <c r="F3777" s="1" t="s">
        <v>8208</v>
      </c>
      <c r="H3777" s="1" t="s">
        <v>8209</v>
      </c>
      <c r="J3777" s="1" t="s">
        <v>1161</v>
      </c>
      <c r="L3777" s="1" t="s">
        <v>1162</v>
      </c>
      <c r="M3777" s="1" t="s">
        <v>3617</v>
      </c>
      <c r="N3777" s="1" t="s">
        <v>1631</v>
      </c>
      <c r="P3777" s="1" t="s">
        <v>1516</v>
      </c>
      <c r="Q3777" s="3">
        <v>0</v>
      </c>
      <c r="R3777" s="22" t="s">
        <v>2723</v>
      </c>
      <c r="T3777" s="3" t="s">
        <v>4868</v>
      </c>
      <c r="U3777" s="45">
        <v>35</v>
      </c>
      <c r="V3777" t="s">
        <v>8191</v>
      </c>
      <c r="W3777" s="1" t="str">
        <f>HYPERLINK("http://ictvonline.org/taxonomy/p/taxonomy-history?taxnode_id=201902332","ICTVonline=201902332")</f>
        <v>ICTVonline=201902332</v>
      </c>
    </row>
    <row r="3778" spans="1:23">
      <c r="A3778" s="3">
        <v>3777</v>
      </c>
      <c r="B3778" s="1" t="s">
        <v>5910</v>
      </c>
      <c r="D3778" s="1" t="s">
        <v>8187</v>
      </c>
      <c r="F3778" s="1" t="s">
        <v>8208</v>
      </c>
      <c r="H3778" s="1" t="s">
        <v>8209</v>
      </c>
      <c r="J3778" s="1" t="s">
        <v>1161</v>
      </c>
      <c r="L3778" s="1" t="s">
        <v>1162</v>
      </c>
      <c r="M3778" s="1" t="s">
        <v>3617</v>
      </c>
      <c r="N3778" s="1" t="s">
        <v>1631</v>
      </c>
      <c r="P3778" s="1" t="s">
        <v>2313</v>
      </c>
      <c r="Q3778" s="3">
        <v>0</v>
      </c>
      <c r="R3778" s="22" t="s">
        <v>2723</v>
      </c>
      <c r="T3778" s="3" t="s">
        <v>4868</v>
      </c>
      <c r="U3778" s="45">
        <v>35</v>
      </c>
      <c r="V3778" t="s">
        <v>8191</v>
      </c>
      <c r="W3778" s="1" t="str">
        <f>HYPERLINK("http://ictvonline.org/taxonomy/p/taxonomy-history?taxnode_id=201902333","ICTVonline=201902333")</f>
        <v>ICTVonline=201902333</v>
      </c>
    </row>
    <row r="3779" spans="1:23">
      <c r="A3779" s="3">
        <v>3778</v>
      </c>
      <c r="B3779" s="1" t="s">
        <v>5910</v>
      </c>
      <c r="D3779" s="1" t="s">
        <v>8187</v>
      </c>
      <c r="F3779" s="1" t="s">
        <v>8208</v>
      </c>
      <c r="H3779" s="1" t="s">
        <v>8209</v>
      </c>
      <c r="J3779" s="1" t="s">
        <v>1161</v>
      </c>
      <c r="L3779" s="1" t="s">
        <v>1162</v>
      </c>
      <c r="M3779" s="1" t="s">
        <v>3617</v>
      </c>
      <c r="N3779" s="1" t="s">
        <v>1631</v>
      </c>
      <c r="P3779" s="1" t="s">
        <v>6126</v>
      </c>
      <c r="Q3779" s="3">
        <v>0</v>
      </c>
      <c r="R3779" s="22" t="s">
        <v>2723</v>
      </c>
      <c r="T3779" s="3" t="s">
        <v>4868</v>
      </c>
      <c r="U3779" s="45">
        <v>35</v>
      </c>
      <c r="V3779" t="s">
        <v>8191</v>
      </c>
      <c r="W3779" s="1" t="str">
        <f>HYPERLINK("http://ictvonline.org/taxonomy/p/taxonomy-history?taxnode_id=201906476","ICTVonline=201906476")</f>
        <v>ICTVonline=201906476</v>
      </c>
    </row>
    <row r="3780" spans="1:23">
      <c r="A3780" s="3">
        <v>3779</v>
      </c>
      <c r="B3780" s="1" t="s">
        <v>5910</v>
      </c>
      <c r="D3780" s="1" t="s">
        <v>8187</v>
      </c>
      <c r="F3780" s="1" t="s">
        <v>8208</v>
      </c>
      <c r="H3780" s="1" t="s">
        <v>8209</v>
      </c>
      <c r="J3780" s="1" t="s">
        <v>1161</v>
      </c>
      <c r="L3780" s="1" t="s">
        <v>1162</v>
      </c>
      <c r="M3780" s="1" t="s">
        <v>3617</v>
      </c>
      <c r="N3780" s="1" t="s">
        <v>1631</v>
      </c>
      <c r="P3780" s="1" t="s">
        <v>6127</v>
      </c>
      <c r="Q3780" s="3">
        <v>0</v>
      </c>
      <c r="R3780" s="22" t="s">
        <v>2723</v>
      </c>
      <c r="T3780" s="3" t="s">
        <v>4868</v>
      </c>
      <c r="U3780" s="45">
        <v>35</v>
      </c>
      <c r="V3780" t="s">
        <v>8191</v>
      </c>
      <c r="W3780" s="1" t="str">
        <f>HYPERLINK("http://ictvonline.org/taxonomy/p/taxonomy-history?taxnode_id=201906481","ICTVonline=201906481")</f>
        <v>ICTVonline=201906481</v>
      </c>
    </row>
    <row r="3781" spans="1:23">
      <c r="A3781" s="3">
        <v>3780</v>
      </c>
      <c r="B3781" s="1" t="s">
        <v>5910</v>
      </c>
      <c r="D3781" s="1" t="s">
        <v>8187</v>
      </c>
      <c r="F3781" s="1" t="s">
        <v>8208</v>
      </c>
      <c r="H3781" s="1" t="s">
        <v>8209</v>
      </c>
      <c r="J3781" s="1" t="s">
        <v>1161</v>
      </c>
      <c r="L3781" s="1" t="s">
        <v>1162</v>
      </c>
      <c r="M3781" s="1" t="s">
        <v>3617</v>
      </c>
      <c r="N3781" s="1" t="s">
        <v>1631</v>
      </c>
      <c r="P3781" s="1" t="s">
        <v>6128</v>
      </c>
      <c r="Q3781" s="3">
        <v>0</v>
      </c>
      <c r="R3781" s="22" t="s">
        <v>2723</v>
      </c>
      <c r="T3781" s="3" t="s">
        <v>4868</v>
      </c>
      <c r="U3781" s="45">
        <v>35</v>
      </c>
      <c r="V3781" t="s">
        <v>8191</v>
      </c>
      <c r="W3781" s="1" t="str">
        <f>HYPERLINK("http://ictvonline.org/taxonomy/p/taxonomy-history?taxnode_id=201906487","ICTVonline=201906487")</f>
        <v>ICTVonline=201906487</v>
      </c>
    </row>
    <row r="3782" spans="1:23">
      <c r="A3782" s="3">
        <v>3781</v>
      </c>
      <c r="B3782" s="1" t="s">
        <v>5910</v>
      </c>
      <c r="D3782" s="1" t="s">
        <v>8187</v>
      </c>
      <c r="F3782" s="1" t="s">
        <v>8208</v>
      </c>
      <c r="H3782" s="1" t="s">
        <v>8209</v>
      </c>
      <c r="J3782" s="1" t="s">
        <v>1161</v>
      </c>
      <c r="L3782" s="1" t="s">
        <v>1162</v>
      </c>
      <c r="M3782" s="1" t="s">
        <v>3617</v>
      </c>
      <c r="N3782" s="1" t="s">
        <v>1631</v>
      </c>
      <c r="P3782" s="1" t="s">
        <v>6129</v>
      </c>
      <c r="Q3782" s="3">
        <v>0</v>
      </c>
      <c r="R3782" s="22" t="s">
        <v>2723</v>
      </c>
      <c r="T3782" s="3" t="s">
        <v>4868</v>
      </c>
      <c r="U3782" s="45">
        <v>35</v>
      </c>
      <c r="V3782" t="s">
        <v>8191</v>
      </c>
      <c r="W3782" s="1" t="str">
        <f>HYPERLINK("http://ictvonline.org/taxonomy/p/taxonomy-history?taxnode_id=201906493","ICTVonline=201906493")</f>
        <v>ICTVonline=201906493</v>
      </c>
    </row>
    <row r="3783" spans="1:23">
      <c r="A3783" s="3">
        <v>3782</v>
      </c>
      <c r="B3783" s="1" t="s">
        <v>5910</v>
      </c>
      <c r="D3783" s="1" t="s">
        <v>8187</v>
      </c>
      <c r="F3783" s="1" t="s">
        <v>8208</v>
      </c>
      <c r="H3783" s="1" t="s">
        <v>8209</v>
      </c>
      <c r="J3783" s="1" t="s">
        <v>1161</v>
      </c>
      <c r="L3783" s="1" t="s">
        <v>1162</v>
      </c>
      <c r="M3783" s="1" t="s">
        <v>3617</v>
      </c>
      <c r="N3783" s="1" t="s">
        <v>1631</v>
      </c>
      <c r="P3783" s="1" t="s">
        <v>2075</v>
      </c>
      <c r="Q3783" s="3">
        <v>0</v>
      </c>
      <c r="R3783" s="22" t="s">
        <v>2723</v>
      </c>
      <c r="T3783" s="3" t="s">
        <v>4868</v>
      </c>
      <c r="U3783" s="45">
        <v>35</v>
      </c>
      <c r="V3783" t="s">
        <v>8191</v>
      </c>
      <c r="W3783" s="1" t="str">
        <f>HYPERLINK("http://ictvonline.org/taxonomy/p/taxonomy-history?taxnode_id=201902334","ICTVonline=201902334")</f>
        <v>ICTVonline=201902334</v>
      </c>
    </row>
    <row r="3784" spans="1:23">
      <c r="A3784" s="3">
        <v>3783</v>
      </c>
      <c r="B3784" s="1" t="s">
        <v>5910</v>
      </c>
      <c r="D3784" s="1" t="s">
        <v>8187</v>
      </c>
      <c r="F3784" s="1" t="s">
        <v>8208</v>
      </c>
      <c r="H3784" s="1" t="s">
        <v>8209</v>
      </c>
      <c r="J3784" s="1" t="s">
        <v>1161</v>
      </c>
      <c r="L3784" s="1" t="s">
        <v>1162</v>
      </c>
      <c r="M3784" s="1" t="s">
        <v>3617</v>
      </c>
      <c r="N3784" s="1" t="s">
        <v>1631</v>
      </c>
      <c r="P3784" s="1" t="s">
        <v>2103</v>
      </c>
      <c r="Q3784" s="3">
        <v>0</v>
      </c>
      <c r="R3784" s="22" t="s">
        <v>2723</v>
      </c>
      <c r="T3784" s="3" t="s">
        <v>4868</v>
      </c>
      <c r="U3784" s="45">
        <v>35</v>
      </c>
      <c r="V3784" t="s">
        <v>8191</v>
      </c>
      <c r="W3784" s="1" t="str">
        <f>HYPERLINK("http://ictvonline.org/taxonomy/p/taxonomy-history?taxnode_id=201902335","ICTVonline=201902335")</f>
        <v>ICTVonline=201902335</v>
      </c>
    </row>
    <row r="3785" spans="1:23">
      <c r="A3785" s="3">
        <v>3784</v>
      </c>
      <c r="B3785" s="1" t="s">
        <v>5910</v>
      </c>
      <c r="D3785" s="1" t="s">
        <v>8187</v>
      </c>
      <c r="F3785" s="1" t="s">
        <v>8208</v>
      </c>
      <c r="H3785" s="1" t="s">
        <v>8209</v>
      </c>
      <c r="J3785" s="1" t="s">
        <v>1161</v>
      </c>
      <c r="L3785" s="1" t="s">
        <v>1162</v>
      </c>
      <c r="M3785" s="1" t="s">
        <v>3617</v>
      </c>
      <c r="N3785" s="1" t="s">
        <v>6130</v>
      </c>
      <c r="P3785" s="1" t="s">
        <v>6131</v>
      </c>
      <c r="Q3785" s="3">
        <v>1</v>
      </c>
      <c r="R3785" s="22" t="s">
        <v>2723</v>
      </c>
      <c r="T3785" s="3" t="s">
        <v>4868</v>
      </c>
      <c r="U3785" s="45">
        <v>35</v>
      </c>
      <c r="V3785" t="s">
        <v>8191</v>
      </c>
      <c r="W3785" s="1" t="str">
        <f>HYPERLINK("http://ictvonline.org/taxonomy/p/taxonomy-history?taxnode_id=201906419","ICTVonline=201906419")</f>
        <v>ICTVonline=201906419</v>
      </c>
    </row>
    <row r="3786" spans="1:23">
      <c r="A3786" s="3">
        <v>3785</v>
      </c>
      <c r="B3786" s="1" t="s">
        <v>5910</v>
      </c>
      <c r="D3786" s="1" t="s">
        <v>8187</v>
      </c>
      <c r="F3786" s="1" t="s">
        <v>8208</v>
      </c>
      <c r="H3786" s="1" t="s">
        <v>8209</v>
      </c>
      <c r="J3786" s="1" t="s">
        <v>1161</v>
      </c>
      <c r="L3786" s="1" t="s">
        <v>5155</v>
      </c>
      <c r="N3786" s="1" t="s">
        <v>5156</v>
      </c>
      <c r="P3786" s="1" t="s">
        <v>5157</v>
      </c>
      <c r="Q3786" s="3">
        <v>0</v>
      </c>
      <c r="R3786" s="22" t="s">
        <v>2723</v>
      </c>
      <c r="T3786" s="3" t="s">
        <v>4868</v>
      </c>
      <c r="U3786" s="45">
        <v>35</v>
      </c>
      <c r="V3786" t="s">
        <v>8191</v>
      </c>
      <c r="W3786" s="1" t="str">
        <f>HYPERLINK("http://ictvonline.org/taxonomy/p/taxonomy-history?taxnode_id=201905645","ICTVonline=201905645")</f>
        <v>ICTVonline=201905645</v>
      </c>
    </row>
    <row r="3787" spans="1:23">
      <c r="A3787" s="3">
        <v>3786</v>
      </c>
      <c r="B3787" s="1" t="s">
        <v>5910</v>
      </c>
      <c r="D3787" s="1" t="s">
        <v>8187</v>
      </c>
      <c r="F3787" s="1" t="s">
        <v>8208</v>
      </c>
      <c r="H3787" s="1" t="s">
        <v>8209</v>
      </c>
      <c r="J3787" s="1" t="s">
        <v>1161</v>
      </c>
      <c r="L3787" s="1" t="s">
        <v>5155</v>
      </c>
      <c r="N3787" s="1" t="s">
        <v>5156</v>
      </c>
      <c r="P3787" s="1" t="s">
        <v>5158</v>
      </c>
      <c r="Q3787" s="3">
        <v>1</v>
      </c>
      <c r="R3787" s="22" t="s">
        <v>2723</v>
      </c>
      <c r="T3787" s="3" t="s">
        <v>4868</v>
      </c>
      <c r="U3787" s="45">
        <v>35</v>
      </c>
      <c r="V3787" t="s">
        <v>8191</v>
      </c>
      <c r="W3787" s="1" t="str">
        <f>HYPERLINK("http://ictvonline.org/taxonomy/p/taxonomy-history?taxnode_id=201905646","ICTVonline=201905646")</f>
        <v>ICTVonline=201905646</v>
      </c>
    </row>
    <row r="3788" spans="1:23">
      <c r="A3788" s="3">
        <v>3787</v>
      </c>
      <c r="B3788" s="1" t="s">
        <v>5910</v>
      </c>
      <c r="D3788" s="1" t="s">
        <v>8187</v>
      </c>
      <c r="F3788" s="1" t="s">
        <v>8208</v>
      </c>
      <c r="H3788" s="1" t="s">
        <v>8209</v>
      </c>
      <c r="J3788" s="1" t="s">
        <v>1161</v>
      </c>
      <c r="L3788" s="1" t="s">
        <v>5155</v>
      </c>
      <c r="N3788" s="1" t="s">
        <v>5156</v>
      </c>
      <c r="P3788" s="1" t="s">
        <v>5159</v>
      </c>
      <c r="Q3788" s="3">
        <v>0</v>
      </c>
      <c r="R3788" s="22" t="s">
        <v>2723</v>
      </c>
      <c r="T3788" s="3" t="s">
        <v>4868</v>
      </c>
      <c r="U3788" s="45">
        <v>35</v>
      </c>
      <c r="V3788" t="s">
        <v>8191</v>
      </c>
      <c r="W3788" s="1" t="str">
        <f>HYPERLINK("http://ictvonline.org/taxonomy/p/taxonomy-history?taxnode_id=201905647","ICTVonline=201905647")</f>
        <v>ICTVonline=201905647</v>
      </c>
    </row>
    <row r="3789" spans="1:23">
      <c r="A3789" s="3">
        <v>3788</v>
      </c>
      <c r="B3789" s="1" t="s">
        <v>5910</v>
      </c>
      <c r="D3789" s="1" t="s">
        <v>8187</v>
      </c>
      <c r="F3789" s="1" t="s">
        <v>8208</v>
      </c>
      <c r="H3789" s="1" t="s">
        <v>8209</v>
      </c>
      <c r="J3789" s="1" t="s">
        <v>1161</v>
      </c>
      <c r="L3789" s="1" t="s">
        <v>1677</v>
      </c>
      <c r="N3789" s="1" t="s">
        <v>295</v>
      </c>
      <c r="P3789" s="1" t="s">
        <v>292</v>
      </c>
      <c r="Q3789" s="3">
        <v>1</v>
      </c>
      <c r="R3789" s="22" t="s">
        <v>2723</v>
      </c>
      <c r="T3789" s="3" t="s">
        <v>4868</v>
      </c>
      <c r="U3789" s="45">
        <v>35</v>
      </c>
      <c r="V3789" t="s">
        <v>8191</v>
      </c>
      <c r="W3789" s="1" t="str">
        <f>HYPERLINK("http://ictvonline.org/taxonomy/p/taxonomy-history?taxnode_id=201902340","ICTVonline=201902340")</f>
        <v>ICTVonline=201902340</v>
      </c>
    </row>
    <row r="3790" spans="1:23">
      <c r="A3790" s="3">
        <v>3789</v>
      </c>
      <c r="B3790" s="1" t="s">
        <v>5910</v>
      </c>
      <c r="D3790" s="1" t="s">
        <v>8187</v>
      </c>
      <c r="F3790" s="1" t="s">
        <v>8208</v>
      </c>
      <c r="H3790" s="1" t="s">
        <v>8209</v>
      </c>
      <c r="J3790" s="1" t="s">
        <v>1161</v>
      </c>
      <c r="L3790" s="1" t="s">
        <v>1329</v>
      </c>
      <c r="N3790" s="1" t="s">
        <v>1330</v>
      </c>
      <c r="P3790" s="1" t="s">
        <v>1331</v>
      </c>
      <c r="Q3790" s="3">
        <v>1</v>
      </c>
      <c r="R3790" s="22" t="s">
        <v>2723</v>
      </c>
      <c r="T3790" s="3" t="s">
        <v>4868</v>
      </c>
      <c r="U3790" s="45">
        <v>35</v>
      </c>
      <c r="V3790" t="s">
        <v>8191</v>
      </c>
      <c r="W3790" s="1" t="str">
        <f>HYPERLINK("http://ictvonline.org/taxonomy/p/taxonomy-history?taxnode_id=201902344","ICTVonline=201902344")</f>
        <v>ICTVonline=201902344</v>
      </c>
    </row>
    <row r="3791" spans="1:23">
      <c r="A3791" s="3">
        <v>3790</v>
      </c>
      <c r="B3791" s="1" t="s">
        <v>5910</v>
      </c>
      <c r="D3791" s="1" t="s">
        <v>8187</v>
      </c>
      <c r="F3791" s="1" t="s">
        <v>8208</v>
      </c>
      <c r="H3791" s="1" t="s">
        <v>8209</v>
      </c>
      <c r="J3791" s="1" t="s">
        <v>1161</v>
      </c>
      <c r="L3791" s="1" t="s">
        <v>1329</v>
      </c>
      <c r="N3791" s="1" t="s">
        <v>1332</v>
      </c>
      <c r="P3791" s="1" t="s">
        <v>1320</v>
      </c>
      <c r="Q3791" s="3">
        <v>0</v>
      </c>
      <c r="R3791" s="22" t="s">
        <v>2723</v>
      </c>
      <c r="T3791" s="3" t="s">
        <v>4868</v>
      </c>
      <c r="U3791" s="45">
        <v>35</v>
      </c>
      <c r="V3791" t="s">
        <v>8191</v>
      </c>
      <c r="W3791" s="1" t="str">
        <f>HYPERLINK("http://ictvonline.org/taxonomy/p/taxonomy-history?taxnode_id=201902346","ICTVonline=201902346")</f>
        <v>ICTVonline=201902346</v>
      </c>
    </row>
    <row r="3792" spans="1:23">
      <c r="A3792" s="3">
        <v>3791</v>
      </c>
      <c r="B3792" s="1" t="s">
        <v>5910</v>
      </c>
      <c r="D3792" s="1" t="s">
        <v>8187</v>
      </c>
      <c r="F3792" s="1" t="s">
        <v>8208</v>
      </c>
      <c r="H3792" s="1" t="s">
        <v>8209</v>
      </c>
      <c r="J3792" s="1" t="s">
        <v>1161</v>
      </c>
      <c r="L3792" s="1" t="s">
        <v>1329</v>
      </c>
      <c r="N3792" s="1" t="s">
        <v>1332</v>
      </c>
      <c r="P3792" s="1" t="s">
        <v>14</v>
      </c>
      <c r="Q3792" s="3">
        <v>0</v>
      </c>
      <c r="R3792" s="22" t="s">
        <v>2723</v>
      </c>
      <c r="T3792" s="3" t="s">
        <v>4868</v>
      </c>
      <c r="U3792" s="45">
        <v>35</v>
      </c>
      <c r="V3792" t="s">
        <v>8191</v>
      </c>
      <c r="W3792" s="1" t="str">
        <f>HYPERLINK("http://ictvonline.org/taxonomy/p/taxonomy-history?taxnode_id=201902347","ICTVonline=201902347")</f>
        <v>ICTVonline=201902347</v>
      </c>
    </row>
    <row r="3793" spans="1:23">
      <c r="A3793" s="3">
        <v>3792</v>
      </c>
      <c r="B3793" s="1" t="s">
        <v>5910</v>
      </c>
      <c r="D3793" s="1" t="s">
        <v>8187</v>
      </c>
      <c r="F3793" s="1" t="s">
        <v>8208</v>
      </c>
      <c r="H3793" s="1" t="s">
        <v>8209</v>
      </c>
      <c r="J3793" s="1" t="s">
        <v>1161</v>
      </c>
      <c r="L3793" s="1" t="s">
        <v>1329</v>
      </c>
      <c r="N3793" s="1" t="s">
        <v>1332</v>
      </c>
      <c r="P3793" s="1" t="s">
        <v>1321</v>
      </c>
      <c r="Q3793" s="3">
        <v>0</v>
      </c>
      <c r="R3793" s="22" t="s">
        <v>2723</v>
      </c>
      <c r="T3793" s="3" t="s">
        <v>4868</v>
      </c>
      <c r="U3793" s="45">
        <v>35</v>
      </c>
      <c r="V3793" t="s">
        <v>8191</v>
      </c>
      <c r="W3793" s="1" t="str">
        <f>HYPERLINK("http://ictvonline.org/taxonomy/p/taxonomy-history?taxnode_id=201902348","ICTVonline=201902348")</f>
        <v>ICTVonline=201902348</v>
      </c>
    </row>
    <row r="3794" spans="1:23">
      <c r="A3794" s="3">
        <v>3793</v>
      </c>
      <c r="B3794" s="1" t="s">
        <v>5910</v>
      </c>
      <c r="D3794" s="1" t="s">
        <v>8187</v>
      </c>
      <c r="F3794" s="1" t="s">
        <v>8208</v>
      </c>
      <c r="H3794" s="1" t="s">
        <v>8209</v>
      </c>
      <c r="J3794" s="1" t="s">
        <v>1161</v>
      </c>
      <c r="L3794" s="1" t="s">
        <v>1329</v>
      </c>
      <c r="N3794" s="1" t="s">
        <v>1332</v>
      </c>
      <c r="P3794" s="1" t="s">
        <v>5160</v>
      </c>
      <c r="Q3794" s="3">
        <v>0</v>
      </c>
      <c r="R3794" s="22" t="s">
        <v>2723</v>
      </c>
      <c r="T3794" s="3" t="s">
        <v>4868</v>
      </c>
      <c r="U3794" s="45">
        <v>35</v>
      </c>
      <c r="V3794" t="s">
        <v>8191</v>
      </c>
      <c r="W3794" s="1" t="str">
        <f>HYPERLINK("http://ictvonline.org/taxonomy/p/taxonomy-history?taxnode_id=201905650","ICTVonline=201905650")</f>
        <v>ICTVonline=201905650</v>
      </c>
    </row>
    <row r="3795" spans="1:23">
      <c r="A3795" s="3">
        <v>3794</v>
      </c>
      <c r="B3795" s="1" t="s">
        <v>5910</v>
      </c>
      <c r="D3795" s="1" t="s">
        <v>8187</v>
      </c>
      <c r="F3795" s="1" t="s">
        <v>8208</v>
      </c>
      <c r="H3795" s="1" t="s">
        <v>8209</v>
      </c>
      <c r="J3795" s="1" t="s">
        <v>1161</v>
      </c>
      <c r="L3795" s="1" t="s">
        <v>1329</v>
      </c>
      <c r="N3795" s="1" t="s">
        <v>1332</v>
      </c>
      <c r="P3795" s="1" t="s">
        <v>15</v>
      </c>
      <c r="Q3795" s="3">
        <v>0</v>
      </c>
      <c r="R3795" s="22" t="s">
        <v>2723</v>
      </c>
      <c r="T3795" s="3" t="s">
        <v>4868</v>
      </c>
      <c r="U3795" s="45">
        <v>35</v>
      </c>
      <c r="V3795" t="s">
        <v>8191</v>
      </c>
      <c r="W3795" s="1" t="str">
        <f>HYPERLINK("http://ictvonline.org/taxonomy/p/taxonomy-history?taxnode_id=201902349","ICTVonline=201902349")</f>
        <v>ICTVonline=201902349</v>
      </c>
    </row>
    <row r="3796" spans="1:23">
      <c r="A3796" s="3">
        <v>3795</v>
      </c>
      <c r="B3796" s="1" t="s">
        <v>5910</v>
      </c>
      <c r="D3796" s="1" t="s">
        <v>8187</v>
      </c>
      <c r="F3796" s="1" t="s">
        <v>8208</v>
      </c>
      <c r="H3796" s="1" t="s">
        <v>8209</v>
      </c>
      <c r="J3796" s="1" t="s">
        <v>1161</v>
      </c>
      <c r="L3796" s="1" t="s">
        <v>1329</v>
      </c>
      <c r="N3796" s="1" t="s">
        <v>1332</v>
      </c>
      <c r="P3796" s="1" t="s">
        <v>1322</v>
      </c>
      <c r="Q3796" s="3">
        <v>1</v>
      </c>
      <c r="R3796" s="22" t="s">
        <v>2723</v>
      </c>
      <c r="T3796" s="3" t="s">
        <v>4868</v>
      </c>
      <c r="U3796" s="45">
        <v>35</v>
      </c>
      <c r="V3796" t="s">
        <v>8191</v>
      </c>
      <c r="W3796" s="1" t="str">
        <f>HYPERLINK("http://ictvonline.org/taxonomy/p/taxonomy-history?taxnode_id=201902350","ICTVonline=201902350")</f>
        <v>ICTVonline=201902350</v>
      </c>
    </row>
    <row r="3797" spans="1:23">
      <c r="A3797" s="3">
        <v>3796</v>
      </c>
      <c r="B3797" s="1" t="s">
        <v>5910</v>
      </c>
      <c r="D3797" s="1" t="s">
        <v>8187</v>
      </c>
      <c r="F3797" s="1" t="s">
        <v>8208</v>
      </c>
      <c r="H3797" s="1" t="s">
        <v>8209</v>
      </c>
      <c r="J3797" s="1" t="s">
        <v>1161</v>
      </c>
      <c r="L3797" s="1" t="s">
        <v>1329</v>
      </c>
      <c r="N3797" s="1" t="s">
        <v>1332</v>
      </c>
      <c r="P3797" s="1" t="s">
        <v>4558</v>
      </c>
      <c r="Q3797" s="3">
        <v>0</v>
      </c>
      <c r="R3797" s="22" t="s">
        <v>2723</v>
      </c>
      <c r="T3797" s="3" t="s">
        <v>4868</v>
      </c>
      <c r="U3797" s="45">
        <v>35</v>
      </c>
      <c r="V3797" t="s">
        <v>8191</v>
      </c>
      <c r="W3797" s="1" t="str">
        <f>HYPERLINK("http://ictvonline.org/taxonomy/p/taxonomy-history?taxnode_id=201902351","ICTVonline=201902351")</f>
        <v>ICTVonline=201902351</v>
      </c>
    </row>
    <row r="3798" spans="1:23">
      <c r="A3798" s="3">
        <v>3797</v>
      </c>
      <c r="B3798" s="1" t="s">
        <v>5910</v>
      </c>
      <c r="D3798" s="1" t="s">
        <v>8187</v>
      </c>
      <c r="F3798" s="1" t="s">
        <v>8208</v>
      </c>
      <c r="H3798" s="1" t="s">
        <v>8209</v>
      </c>
      <c r="J3798" s="1" t="s">
        <v>1161</v>
      </c>
      <c r="L3798" s="1" t="s">
        <v>1329</v>
      </c>
      <c r="N3798" s="1" t="s">
        <v>1332</v>
      </c>
      <c r="P3798" s="1" t="s">
        <v>1323</v>
      </c>
      <c r="Q3798" s="3">
        <v>0</v>
      </c>
      <c r="R3798" s="22" t="s">
        <v>2723</v>
      </c>
      <c r="T3798" s="3" t="s">
        <v>4868</v>
      </c>
      <c r="U3798" s="45">
        <v>35</v>
      </c>
      <c r="V3798" t="s">
        <v>8191</v>
      </c>
      <c r="W3798" s="1" t="str">
        <f>HYPERLINK("http://ictvonline.org/taxonomy/p/taxonomy-history?taxnode_id=201902352","ICTVonline=201902352")</f>
        <v>ICTVonline=201902352</v>
      </c>
    </row>
    <row r="3799" spans="1:23">
      <c r="A3799" s="3">
        <v>3798</v>
      </c>
      <c r="B3799" s="1" t="s">
        <v>5910</v>
      </c>
      <c r="D3799" s="1" t="s">
        <v>8187</v>
      </c>
      <c r="F3799" s="1" t="s">
        <v>8208</v>
      </c>
      <c r="H3799" s="1" t="s">
        <v>8209</v>
      </c>
      <c r="J3799" s="1" t="s">
        <v>1161</v>
      </c>
      <c r="L3799" s="1" t="s">
        <v>1329</v>
      </c>
      <c r="N3799" s="1" t="s">
        <v>1332</v>
      </c>
      <c r="P3799" s="1" t="s">
        <v>16</v>
      </c>
      <c r="Q3799" s="3">
        <v>0</v>
      </c>
      <c r="R3799" s="22" t="s">
        <v>2723</v>
      </c>
      <c r="T3799" s="3" t="s">
        <v>4868</v>
      </c>
      <c r="U3799" s="45">
        <v>35</v>
      </c>
      <c r="V3799" t="s">
        <v>8191</v>
      </c>
      <c r="W3799" s="1" t="str">
        <f>HYPERLINK("http://ictvonline.org/taxonomy/p/taxonomy-history?taxnode_id=201902353","ICTVonline=201902353")</f>
        <v>ICTVonline=201902353</v>
      </c>
    </row>
    <row r="3800" spans="1:23">
      <c r="A3800" s="3">
        <v>3799</v>
      </c>
      <c r="B3800" s="1" t="s">
        <v>5910</v>
      </c>
      <c r="D3800" s="1" t="s">
        <v>8187</v>
      </c>
      <c r="F3800" s="1" t="s">
        <v>8208</v>
      </c>
      <c r="H3800" s="1" t="s">
        <v>8209</v>
      </c>
      <c r="J3800" s="1" t="s">
        <v>1161</v>
      </c>
      <c r="L3800" s="1" t="s">
        <v>1329</v>
      </c>
      <c r="N3800" s="1" t="s">
        <v>1332</v>
      </c>
      <c r="P3800" s="1" t="s">
        <v>5161</v>
      </c>
      <c r="Q3800" s="3">
        <v>0</v>
      </c>
      <c r="R3800" s="22" t="s">
        <v>2723</v>
      </c>
      <c r="T3800" s="3" t="s">
        <v>4868</v>
      </c>
      <c r="U3800" s="45">
        <v>35</v>
      </c>
      <c r="V3800" t="s">
        <v>8191</v>
      </c>
      <c r="W3800" s="1" t="str">
        <f>HYPERLINK("http://ictvonline.org/taxonomy/p/taxonomy-history?taxnode_id=201905651","ICTVonline=201905651")</f>
        <v>ICTVonline=201905651</v>
      </c>
    </row>
    <row r="3801" spans="1:23">
      <c r="A3801" s="3">
        <v>3800</v>
      </c>
      <c r="B3801" s="1" t="s">
        <v>5910</v>
      </c>
      <c r="D3801" s="1" t="s">
        <v>8187</v>
      </c>
      <c r="F3801" s="1" t="s">
        <v>8208</v>
      </c>
      <c r="H3801" s="1" t="s">
        <v>8209</v>
      </c>
      <c r="J3801" s="1" t="s">
        <v>1161</v>
      </c>
      <c r="L3801" s="1" t="s">
        <v>1329</v>
      </c>
      <c r="N3801" s="1" t="s">
        <v>1468</v>
      </c>
      <c r="P3801" s="1" t="s">
        <v>1469</v>
      </c>
      <c r="Q3801" s="3">
        <v>0</v>
      </c>
      <c r="R3801" s="22" t="s">
        <v>2723</v>
      </c>
      <c r="T3801" s="3" t="s">
        <v>4868</v>
      </c>
      <c r="U3801" s="45">
        <v>35</v>
      </c>
      <c r="V3801" t="s">
        <v>8191</v>
      </c>
      <c r="W3801" s="1" t="str">
        <f>HYPERLINK("http://ictvonline.org/taxonomy/p/taxonomy-history?taxnode_id=201902355","ICTVonline=201902355")</f>
        <v>ICTVonline=201902355</v>
      </c>
    </row>
    <row r="3802" spans="1:23">
      <c r="A3802" s="3">
        <v>3801</v>
      </c>
      <c r="B3802" s="1" t="s">
        <v>5910</v>
      </c>
      <c r="D3802" s="1" t="s">
        <v>8187</v>
      </c>
      <c r="F3802" s="1" t="s">
        <v>8208</v>
      </c>
      <c r="H3802" s="1" t="s">
        <v>8209</v>
      </c>
      <c r="J3802" s="1" t="s">
        <v>1161</v>
      </c>
      <c r="L3802" s="1" t="s">
        <v>1329</v>
      </c>
      <c r="N3802" s="1" t="s">
        <v>1468</v>
      </c>
      <c r="P3802" s="1" t="s">
        <v>1470</v>
      </c>
      <c r="Q3802" s="3">
        <v>0</v>
      </c>
      <c r="R3802" s="22" t="s">
        <v>2723</v>
      </c>
      <c r="T3802" s="3" t="s">
        <v>4868</v>
      </c>
      <c r="U3802" s="45">
        <v>35</v>
      </c>
      <c r="V3802" t="s">
        <v>8191</v>
      </c>
      <c r="W3802" s="1" t="str">
        <f>HYPERLINK("http://ictvonline.org/taxonomy/p/taxonomy-history?taxnode_id=201902356","ICTVonline=201902356")</f>
        <v>ICTVonline=201902356</v>
      </c>
    </row>
    <row r="3803" spans="1:23">
      <c r="A3803" s="3">
        <v>3802</v>
      </c>
      <c r="B3803" s="1" t="s">
        <v>5910</v>
      </c>
      <c r="D3803" s="1" t="s">
        <v>8187</v>
      </c>
      <c r="F3803" s="1" t="s">
        <v>8208</v>
      </c>
      <c r="H3803" s="1" t="s">
        <v>8209</v>
      </c>
      <c r="J3803" s="1" t="s">
        <v>1161</v>
      </c>
      <c r="L3803" s="1" t="s">
        <v>1329</v>
      </c>
      <c r="N3803" s="1" t="s">
        <v>1468</v>
      </c>
      <c r="P3803" s="1" t="s">
        <v>2314</v>
      </c>
      <c r="Q3803" s="3">
        <v>0</v>
      </c>
      <c r="R3803" s="22" t="s">
        <v>2723</v>
      </c>
      <c r="T3803" s="3" t="s">
        <v>4868</v>
      </c>
      <c r="U3803" s="45">
        <v>35</v>
      </c>
      <c r="V3803" t="s">
        <v>8191</v>
      </c>
      <c r="W3803" s="1" t="str">
        <f>HYPERLINK("http://ictvonline.org/taxonomy/p/taxonomy-history?taxnode_id=201902357","ICTVonline=201902357")</f>
        <v>ICTVonline=201902357</v>
      </c>
    </row>
    <row r="3804" spans="1:23">
      <c r="A3804" s="3">
        <v>3803</v>
      </c>
      <c r="B3804" s="1" t="s">
        <v>5910</v>
      </c>
      <c r="D3804" s="1" t="s">
        <v>8187</v>
      </c>
      <c r="F3804" s="1" t="s">
        <v>8208</v>
      </c>
      <c r="H3804" s="1" t="s">
        <v>8209</v>
      </c>
      <c r="J3804" s="1" t="s">
        <v>1161</v>
      </c>
      <c r="L3804" s="1" t="s">
        <v>1329</v>
      </c>
      <c r="N3804" s="1" t="s">
        <v>1468</v>
      </c>
      <c r="P3804" s="1" t="s">
        <v>1471</v>
      </c>
      <c r="Q3804" s="3">
        <v>0</v>
      </c>
      <c r="R3804" s="22" t="s">
        <v>2723</v>
      </c>
      <c r="T3804" s="3" t="s">
        <v>4868</v>
      </c>
      <c r="U3804" s="45">
        <v>35</v>
      </c>
      <c r="V3804" t="s">
        <v>8191</v>
      </c>
      <c r="W3804" s="1" t="str">
        <f>HYPERLINK("http://ictvonline.org/taxonomy/p/taxonomy-history?taxnode_id=201902358","ICTVonline=201902358")</f>
        <v>ICTVonline=201902358</v>
      </c>
    </row>
    <row r="3805" spans="1:23">
      <c r="A3805" s="3">
        <v>3804</v>
      </c>
      <c r="B3805" s="1" t="s">
        <v>5910</v>
      </c>
      <c r="D3805" s="1" t="s">
        <v>8187</v>
      </c>
      <c r="F3805" s="1" t="s">
        <v>8208</v>
      </c>
      <c r="H3805" s="1" t="s">
        <v>8209</v>
      </c>
      <c r="J3805" s="1" t="s">
        <v>1161</v>
      </c>
      <c r="L3805" s="1" t="s">
        <v>1329</v>
      </c>
      <c r="N3805" s="1" t="s">
        <v>1468</v>
      </c>
      <c r="P3805" s="1" t="s">
        <v>1472</v>
      </c>
      <c r="Q3805" s="3">
        <v>0</v>
      </c>
      <c r="R3805" s="22" t="s">
        <v>2723</v>
      </c>
      <c r="T3805" s="3" t="s">
        <v>4868</v>
      </c>
      <c r="U3805" s="45">
        <v>35</v>
      </c>
      <c r="V3805" t="s">
        <v>8191</v>
      </c>
      <c r="W3805" s="1" t="str">
        <f>HYPERLINK("http://ictvonline.org/taxonomy/p/taxonomy-history?taxnode_id=201902359","ICTVonline=201902359")</f>
        <v>ICTVonline=201902359</v>
      </c>
    </row>
    <row r="3806" spans="1:23">
      <c r="A3806" s="3">
        <v>3805</v>
      </c>
      <c r="B3806" s="1" t="s">
        <v>5910</v>
      </c>
      <c r="D3806" s="1" t="s">
        <v>8187</v>
      </c>
      <c r="F3806" s="1" t="s">
        <v>8208</v>
      </c>
      <c r="H3806" s="1" t="s">
        <v>8209</v>
      </c>
      <c r="J3806" s="1" t="s">
        <v>1161</v>
      </c>
      <c r="L3806" s="1" t="s">
        <v>1329</v>
      </c>
      <c r="N3806" s="1" t="s">
        <v>1468</v>
      </c>
      <c r="P3806" s="1" t="s">
        <v>1473</v>
      </c>
      <c r="Q3806" s="3">
        <v>0</v>
      </c>
      <c r="R3806" s="22" t="s">
        <v>2723</v>
      </c>
      <c r="T3806" s="3" t="s">
        <v>4868</v>
      </c>
      <c r="U3806" s="45">
        <v>35</v>
      </c>
      <c r="V3806" t="s">
        <v>8191</v>
      </c>
      <c r="W3806" s="1" t="str">
        <f>HYPERLINK("http://ictvonline.org/taxonomy/p/taxonomy-history?taxnode_id=201902360","ICTVonline=201902360")</f>
        <v>ICTVonline=201902360</v>
      </c>
    </row>
    <row r="3807" spans="1:23">
      <c r="A3807" s="3">
        <v>3806</v>
      </c>
      <c r="B3807" s="1" t="s">
        <v>5910</v>
      </c>
      <c r="D3807" s="1" t="s">
        <v>8187</v>
      </c>
      <c r="F3807" s="1" t="s">
        <v>8208</v>
      </c>
      <c r="H3807" s="1" t="s">
        <v>8209</v>
      </c>
      <c r="J3807" s="1" t="s">
        <v>1161</v>
      </c>
      <c r="L3807" s="1" t="s">
        <v>1329</v>
      </c>
      <c r="N3807" s="1" t="s">
        <v>1468</v>
      </c>
      <c r="P3807" s="1" t="s">
        <v>1474</v>
      </c>
      <c r="Q3807" s="3">
        <v>0</v>
      </c>
      <c r="R3807" s="22" t="s">
        <v>2723</v>
      </c>
      <c r="T3807" s="3" t="s">
        <v>4868</v>
      </c>
      <c r="U3807" s="45">
        <v>35</v>
      </c>
      <c r="V3807" t="s">
        <v>8191</v>
      </c>
      <c r="W3807" s="1" t="str">
        <f>HYPERLINK("http://ictvonline.org/taxonomy/p/taxonomy-history?taxnode_id=201902361","ICTVonline=201902361")</f>
        <v>ICTVonline=201902361</v>
      </c>
    </row>
    <row r="3808" spans="1:23">
      <c r="A3808" s="3">
        <v>3807</v>
      </c>
      <c r="B3808" s="1" t="s">
        <v>5910</v>
      </c>
      <c r="D3808" s="1" t="s">
        <v>8187</v>
      </c>
      <c r="F3808" s="1" t="s">
        <v>8208</v>
      </c>
      <c r="H3808" s="1" t="s">
        <v>8209</v>
      </c>
      <c r="J3808" s="1" t="s">
        <v>1161</v>
      </c>
      <c r="L3808" s="1" t="s">
        <v>1329</v>
      </c>
      <c r="N3808" s="1" t="s">
        <v>1468</v>
      </c>
      <c r="P3808" s="1" t="s">
        <v>17</v>
      </c>
      <c r="Q3808" s="3">
        <v>0</v>
      </c>
      <c r="R3808" s="22" t="s">
        <v>2723</v>
      </c>
      <c r="T3808" s="3" t="s">
        <v>4868</v>
      </c>
      <c r="U3808" s="45">
        <v>35</v>
      </c>
      <c r="V3808" t="s">
        <v>8191</v>
      </c>
      <c r="W3808" s="1" t="str">
        <f>HYPERLINK("http://ictvonline.org/taxonomy/p/taxonomy-history?taxnode_id=201902362","ICTVonline=201902362")</f>
        <v>ICTVonline=201902362</v>
      </c>
    </row>
    <row r="3809" spans="1:23">
      <c r="A3809" s="3">
        <v>3808</v>
      </c>
      <c r="B3809" s="1" t="s">
        <v>5910</v>
      </c>
      <c r="D3809" s="1" t="s">
        <v>8187</v>
      </c>
      <c r="F3809" s="1" t="s">
        <v>8208</v>
      </c>
      <c r="H3809" s="1" t="s">
        <v>8209</v>
      </c>
      <c r="J3809" s="1" t="s">
        <v>1161</v>
      </c>
      <c r="L3809" s="1" t="s">
        <v>1329</v>
      </c>
      <c r="N3809" s="1" t="s">
        <v>1468</v>
      </c>
      <c r="P3809" s="1" t="s">
        <v>1475</v>
      </c>
      <c r="Q3809" s="3">
        <v>0</v>
      </c>
      <c r="R3809" s="22" t="s">
        <v>2723</v>
      </c>
      <c r="T3809" s="3" t="s">
        <v>4868</v>
      </c>
      <c r="U3809" s="45">
        <v>35</v>
      </c>
      <c r="V3809" t="s">
        <v>8191</v>
      </c>
      <c r="W3809" s="1" t="str">
        <f>HYPERLINK("http://ictvonline.org/taxonomy/p/taxonomy-history?taxnode_id=201902363","ICTVonline=201902363")</f>
        <v>ICTVonline=201902363</v>
      </c>
    </row>
    <row r="3810" spans="1:23">
      <c r="A3810" s="3">
        <v>3809</v>
      </c>
      <c r="B3810" s="1" t="s">
        <v>5910</v>
      </c>
      <c r="D3810" s="1" t="s">
        <v>8187</v>
      </c>
      <c r="F3810" s="1" t="s">
        <v>8208</v>
      </c>
      <c r="H3810" s="1" t="s">
        <v>8209</v>
      </c>
      <c r="J3810" s="1" t="s">
        <v>1161</v>
      </c>
      <c r="L3810" s="1" t="s">
        <v>1329</v>
      </c>
      <c r="N3810" s="1" t="s">
        <v>1468</v>
      </c>
      <c r="P3810" s="1" t="s">
        <v>1446</v>
      </c>
      <c r="Q3810" s="3">
        <v>0</v>
      </c>
      <c r="R3810" s="22" t="s">
        <v>2723</v>
      </c>
      <c r="T3810" s="3" t="s">
        <v>4868</v>
      </c>
      <c r="U3810" s="45">
        <v>35</v>
      </c>
      <c r="V3810" t="s">
        <v>8191</v>
      </c>
      <c r="W3810" s="1" t="str">
        <f>HYPERLINK("http://ictvonline.org/taxonomy/p/taxonomy-history?taxnode_id=201902364","ICTVonline=201902364")</f>
        <v>ICTVonline=201902364</v>
      </c>
    </row>
    <row r="3811" spans="1:23">
      <c r="A3811" s="3">
        <v>3810</v>
      </c>
      <c r="B3811" s="1" t="s">
        <v>5910</v>
      </c>
      <c r="D3811" s="1" t="s">
        <v>8187</v>
      </c>
      <c r="F3811" s="1" t="s">
        <v>8208</v>
      </c>
      <c r="H3811" s="1" t="s">
        <v>8209</v>
      </c>
      <c r="J3811" s="1" t="s">
        <v>1161</v>
      </c>
      <c r="L3811" s="1" t="s">
        <v>1329</v>
      </c>
      <c r="N3811" s="1" t="s">
        <v>1468</v>
      </c>
      <c r="P3811" s="1" t="s">
        <v>1447</v>
      </c>
      <c r="Q3811" s="3">
        <v>0</v>
      </c>
      <c r="R3811" s="22" t="s">
        <v>2723</v>
      </c>
      <c r="T3811" s="3" t="s">
        <v>4868</v>
      </c>
      <c r="U3811" s="45">
        <v>35</v>
      </c>
      <c r="V3811" t="s">
        <v>8191</v>
      </c>
      <c r="W3811" s="1" t="str">
        <f>HYPERLINK("http://ictvonline.org/taxonomy/p/taxonomy-history?taxnode_id=201902365","ICTVonline=201902365")</f>
        <v>ICTVonline=201902365</v>
      </c>
    </row>
    <row r="3812" spans="1:23">
      <c r="A3812" s="3">
        <v>3811</v>
      </c>
      <c r="B3812" s="1" t="s">
        <v>5910</v>
      </c>
      <c r="D3812" s="1" t="s">
        <v>8187</v>
      </c>
      <c r="F3812" s="1" t="s">
        <v>8208</v>
      </c>
      <c r="H3812" s="1" t="s">
        <v>8209</v>
      </c>
      <c r="J3812" s="1" t="s">
        <v>1161</v>
      </c>
      <c r="L3812" s="1" t="s">
        <v>1329</v>
      </c>
      <c r="N3812" s="1" t="s">
        <v>1468</v>
      </c>
      <c r="P3812" s="1" t="s">
        <v>1448</v>
      </c>
      <c r="Q3812" s="3">
        <v>0</v>
      </c>
      <c r="R3812" s="22" t="s">
        <v>2723</v>
      </c>
      <c r="T3812" s="3" t="s">
        <v>4868</v>
      </c>
      <c r="U3812" s="45">
        <v>35</v>
      </c>
      <c r="V3812" t="s">
        <v>8191</v>
      </c>
      <c r="W3812" s="1" t="str">
        <f>HYPERLINK("http://ictvonline.org/taxonomy/p/taxonomy-history?taxnode_id=201902366","ICTVonline=201902366")</f>
        <v>ICTVonline=201902366</v>
      </c>
    </row>
    <row r="3813" spans="1:23">
      <c r="A3813" s="3">
        <v>3812</v>
      </c>
      <c r="B3813" s="1" t="s">
        <v>5910</v>
      </c>
      <c r="D3813" s="1" t="s">
        <v>8187</v>
      </c>
      <c r="F3813" s="1" t="s">
        <v>8208</v>
      </c>
      <c r="H3813" s="1" t="s">
        <v>8209</v>
      </c>
      <c r="J3813" s="1" t="s">
        <v>1161</v>
      </c>
      <c r="L3813" s="1" t="s">
        <v>1329</v>
      </c>
      <c r="N3813" s="1" t="s">
        <v>1468</v>
      </c>
      <c r="P3813" s="1" t="s">
        <v>1449</v>
      </c>
      <c r="Q3813" s="3">
        <v>0</v>
      </c>
      <c r="R3813" s="22" t="s">
        <v>2723</v>
      </c>
      <c r="T3813" s="3" t="s">
        <v>4868</v>
      </c>
      <c r="U3813" s="45">
        <v>35</v>
      </c>
      <c r="V3813" t="s">
        <v>8191</v>
      </c>
      <c r="W3813" s="1" t="str">
        <f>HYPERLINK("http://ictvonline.org/taxonomy/p/taxonomy-history?taxnode_id=201902367","ICTVonline=201902367")</f>
        <v>ICTVonline=201902367</v>
      </c>
    </row>
    <row r="3814" spans="1:23">
      <c r="A3814" s="3">
        <v>3813</v>
      </c>
      <c r="B3814" s="1" t="s">
        <v>5910</v>
      </c>
      <c r="D3814" s="1" t="s">
        <v>8187</v>
      </c>
      <c r="F3814" s="1" t="s">
        <v>8208</v>
      </c>
      <c r="H3814" s="1" t="s">
        <v>8209</v>
      </c>
      <c r="J3814" s="1" t="s">
        <v>1161</v>
      </c>
      <c r="L3814" s="1" t="s">
        <v>1329</v>
      </c>
      <c r="N3814" s="1" t="s">
        <v>1468</v>
      </c>
      <c r="P3814" s="1" t="s">
        <v>360</v>
      </c>
      <c r="Q3814" s="3">
        <v>0</v>
      </c>
      <c r="R3814" s="22" t="s">
        <v>2723</v>
      </c>
      <c r="T3814" s="3" t="s">
        <v>4868</v>
      </c>
      <c r="U3814" s="45">
        <v>35</v>
      </c>
      <c r="V3814" t="s">
        <v>8191</v>
      </c>
      <c r="W3814" s="1" t="str">
        <f>HYPERLINK("http://ictvonline.org/taxonomy/p/taxonomy-history?taxnode_id=201902368","ICTVonline=201902368")</f>
        <v>ICTVonline=201902368</v>
      </c>
    </row>
    <row r="3815" spans="1:23">
      <c r="A3815" s="3">
        <v>3814</v>
      </c>
      <c r="B3815" s="1" t="s">
        <v>5910</v>
      </c>
      <c r="D3815" s="1" t="s">
        <v>8187</v>
      </c>
      <c r="F3815" s="1" t="s">
        <v>8208</v>
      </c>
      <c r="H3815" s="1" t="s">
        <v>8209</v>
      </c>
      <c r="J3815" s="1" t="s">
        <v>1161</v>
      </c>
      <c r="L3815" s="1" t="s">
        <v>1329</v>
      </c>
      <c r="N3815" s="1" t="s">
        <v>1468</v>
      </c>
      <c r="P3815" s="1" t="s">
        <v>361</v>
      </c>
      <c r="Q3815" s="3">
        <v>0</v>
      </c>
      <c r="R3815" s="22" t="s">
        <v>2723</v>
      </c>
      <c r="T3815" s="3" t="s">
        <v>4868</v>
      </c>
      <c r="U3815" s="45">
        <v>35</v>
      </c>
      <c r="V3815" t="s">
        <v>8191</v>
      </c>
      <c r="W3815" s="1" t="str">
        <f>HYPERLINK("http://ictvonline.org/taxonomy/p/taxonomy-history?taxnode_id=201902369","ICTVonline=201902369")</f>
        <v>ICTVonline=201902369</v>
      </c>
    </row>
    <row r="3816" spans="1:23">
      <c r="A3816" s="3">
        <v>3815</v>
      </c>
      <c r="B3816" s="1" t="s">
        <v>5910</v>
      </c>
      <c r="D3816" s="1" t="s">
        <v>8187</v>
      </c>
      <c r="F3816" s="1" t="s">
        <v>8208</v>
      </c>
      <c r="H3816" s="1" t="s">
        <v>8209</v>
      </c>
      <c r="J3816" s="1" t="s">
        <v>1161</v>
      </c>
      <c r="L3816" s="1" t="s">
        <v>1329</v>
      </c>
      <c r="N3816" s="1" t="s">
        <v>1468</v>
      </c>
      <c r="P3816" s="1" t="s">
        <v>362</v>
      </c>
      <c r="Q3816" s="3">
        <v>0</v>
      </c>
      <c r="R3816" s="22" t="s">
        <v>2723</v>
      </c>
      <c r="T3816" s="3" t="s">
        <v>4868</v>
      </c>
      <c r="U3816" s="45">
        <v>35</v>
      </c>
      <c r="V3816" t="s">
        <v>8191</v>
      </c>
      <c r="W3816" s="1" t="str">
        <f>HYPERLINK("http://ictvonline.org/taxonomy/p/taxonomy-history?taxnode_id=201902370","ICTVonline=201902370")</f>
        <v>ICTVonline=201902370</v>
      </c>
    </row>
    <row r="3817" spans="1:23">
      <c r="A3817" s="3">
        <v>3816</v>
      </c>
      <c r="B3817" s="1" t="s">
        <v>5910</v>
      </c>
      <c r="D3817" s="1" t="s">
        <v>8187</v>
      </c>
      <c r="F3817" s="1" t="s">
        <v>8208</v>
      </c>
      <c r="H3817" s="1" t="s">
        <v>8209</v>
      </c>
      <c r="J3817" s="1" t="s">
        <v>1161</v>
      </c>
      <c r="L3817" s="1" t="s">
        <v>1329</v>
      </c>
      <c r="N3817" s="1" t="s">
        <v>1468</v>
      </c>
      <c r="P3817" s="1" t="s">
        <v>1453</v>
      </c>
      <c r="Q3817" s="3">
        <v>0</v>
      </c>
      <c r="R3817" s="22" t="s">
        <v>2723</v>
      </c>
      <c r="T3817" s="3" t="s">
        <v>4868</v>
      </c>
      <c r="U3817" s="45">
        <v>35</v>
      </c>
      <c r="V3817" t="s">
        <v>8191</v>
      </c>
      <c r="W3817" s="1" t="str">
        <f>HYPERLINK("http://ictvonline.org/taxonomy/p/taxonomy-history?taxnode_id=201902371","ICTVonline=201902371")</f>
        <v>ICTVonline=201902371</v>
      </c>
    </row>
    <row r="3818" spans="1:23">
      <c r="A3818" s="3">
        <v>3817</v>
      </c>
      <c r="B3818" s="1" t="s">
        <v>5910</v>
      </c>
      <c r="D3818" s="1" t="s">
        <v>8187</v>
      </c>
      <c r="F3818" s="1" t="s">
        <v>8208</v>
      </c>
      <c r="H3818" s="1" t="s">
        <v>8209</v>
      </c>
      <c r="J3818" s="1" t="s">
        <v>1161</v>
      </c>
      <c r="L3818" s="1" t="s">
        <v>1329</v>
      </c>
      <c r="N3818" s="1" t="s">
        <v>1468</v>
      </c>
      <c r="P3818" s="1" t="s">
        <v>1454</v>
      </c>
      <c r="Q3818" s="3">
        <v>0</v>
      </c>
      <c r="R3818" s="22" t="s">
        <v>2723</v>
      </c>
      <c r="T3818" s="3" t="s">
        <v>4868</v>
      </c>
      <c r="U3818" s="45">
        <v>35</v>
      </c>
      <c r="V3818" t="s">
        <v>8191</v>
      </c>
      <c r="W3818" s="1" t="str">
        <f>HYPERLINK("http://ictvonline.org/taxonomy/p/taxonomy-history?taxnode_id=201902372","ICTVonline=201902372")</f>
        <v>ICTVonline=201902372</v>
      </c>
    </row>
    <row r="3819" spans="1:23">
      <c r="A3819" s="3">
        <v>3818</v>
      </c>
      <c r="B3819" s="1" t="s">
        <v>5910</v>
      </c>
      <c r="D3819" s="1" t="s">
        <v>8187</v>
      </c>
      <c r="F3819" s="1" t="s">
        <v>8208</v>
      </c>
      <c r="H3819" s="1" t="s">
        <v>8209</v>
      </c>
      <c r="J3819" s="1" t="s">
        <v>1161</v>
      </c>
      <c r="L3819" s="1" t="s">
        <v>1329</v>
      </c>
      <c r="N3819" s="1" t="s">
        <v>1468</v>
      </c>
      <c r="P3819" s="1" t="s">
        <v>364</v>
      </c>
      <c r="Q3819" s="3">
        <v>0</v>
      </c>
      <c r="R3819" s="22" t="s">
        <v>2723</v>
      </c>
      <c r="T3819" s="3" t="s">
        <v>4868</v>
      </c>
      <c r="U3819" s="45">
        <v>35</v>
      </c>
      <c r="V3819" t="s">
        <v>8191</v>
      </c>
      <c r="W3819" s="1" t="str">
        <f>HYPERLINK("http://ictvonline.org/taxonomy/p/taxonomy-history?taxnode_id=201902373","ICTVonline=201902373")</f>
        <v>ICTVonline=201902373</v>
      </c>
    </row>
    <row r="3820" spans="1:23">
      <c r="A3820" s="3">
        <v>3819</v>
      </c>
      <c r="B3820" s="1" t="s">
        <v>5910</v>
      </c>
      <c r="D3820" s="1" t="s">
        <v>8187</v>
      </c>
      <c r="F3820" s="1" t="s">
        <v>8208</v>
      </c>
      <c r="H3820" s="1" t="s">
        <v>8209</v>
      </c>
      <c r="J3820" s="1" t="s">
        <v>1161</v>
      </c>
      <c r="L3820" s="1" t="s">
        <v>1329</v>
      </c>
      <c r="N3820" s="1" t="s">
        <v>1468</v>
      </c>
      <c r="P3820" s="1" t="s">
        <v>365</v>
      </c>
      <c r="Q3820" s="3">
        <v>0</v>
      </c>
      <c r="R3820" s="22" t="s">
        <v>2723</v>
      </c>
      <c r="T3820" s="3" t="s">
        <v>4868</v>
      </c>
      <c r="U3820" s="45">
        <v>35</v>
      </c>
      <c r="V3820" t="s">
        <v>8191</v>
      </c>
      <c r="W3820" s="1" t="str">
        <f>HYPERLINK("http://ictvonline.org/taxonomy/p/taxonomy-history?taxnode_id=201902374","ICTVonline=201902374")</f>
        <v>ICTVonline=201902374</v>
      </c>
    </row>
    <row r="3821" spans="1:23">
      <c r="A3821" s="3">
        <v>3820</v>
      </c>
      <c r="B3821" s="1" t="s">
        <v>5910</v>
      </c>
      <c r="D3821" s="1" t="s">
        <v>8187</v>
      </c>
      <c r="F3821" s="1" t="s">
        <v>8208</v>
      </c>
      <c r="H3821" s="1" t="s">
        <v>8209</v>
      </c>
      <c r="J3821" s="1" t="s">
        <v>1161</v>
      </c>
      <c r="L3821" s="1" t="s">
        <v>1329</v>
      </c>
      <c r="N3821" s="1" t="s">
        <v>1468</v>
      </c>
      <c r="P3821" s="1" t="s">
        <v>366</v>
      </c>
      <c r="Q3821" s="3">
        <v>0</v>
      </c>
      <c r="R3821" s="22" t="s">
        <v>2723</v>
      </c>
      <c r="T3821" s="3" t="s">
        <v>4868</v>
      </c>
      <c r="U3821" s="45">
        <v>35</v>
      </c>
      <c r="V3821" t="s">
        <v>8191</v>
      </c>
      <c r="W3821" s="1" t="str">
        <f>HYPERLINK("http://ictvonline.org/taxonomy/p/taxonomy-history?taxnode_id=201902375","ICTVonline=201902375")</f>
        <v>ICTVonline=201902375</v>
      </c>
    </row>
    <row r="3822" spans="1:23">
      <c r="A3822" s="3">
        <v>3821</v>
      </c>
      <c r="B3822" s="1" t="s">
        <v>5910</v>
      </c>
      <c r="D3822" s="1" t="s">
        <v>8187</v>
      </c>
      <c r="F3822" s="1" t="s">
        <v>8208</v>
      </c>
      <c r="H3822" s="1" t="s">
        <v>8209</v>
      </c>
      <c r="J3822" s="1" t="s">
        <v>1161</v>
      </c>
      <c r="L3822" s="1" t="s">
        <v>1329</v>
      </c>
      <c r="N3822" s="1" t="s">
        <v>1468</v>
      </c>
      <c r="P3822" s="1" t="s">
        <v>367</v>
      </c>
      <c r="Q3822" s="3">
        <v>0</v>
      </c>
      <c r="R3822" s="22" t="s">
        <v>2723</v>
      </c>
      <c r="T3822" s="3" t="s">
        <v>4868</v>
      </c>
      <c r="U3822" s="45">
        <v>35</v>
      </c>
      <c r="V3822" t="s">
        <v>8191</v>
      </c>
      <c r="W3822" s="1" t="str">
        <f>HYPERLINK("http://ictvonline.org/taxonomy/p/taxonomy-history?taxnode_id=201902376","ICTVonline=201902376")</f>
        <v>ICTVonline=201902376</v>
      </c>
    </row>
    <row r="3823" spans="1:23">
      <c r="A3823" s="3">
        <v>3822</v>
      </c>
      <c r="B3823" s="1" t="s">
        <v>5910</v>
      </c>
      <c r="D3823" s="1" t="s">
        <v>8187</v>
      </c>
      <c r="F3823" s="1" t="s">
        <v>8208</v>
      </c>
      <c r="H3823" s="1" t="s">
        <v>8209</v>
      </c>
      <c r="J3823" s="1" t="s">
        <v>1161</v>
      </c>
      <c r="L3823" s="1" t="s">
        <v>1329</v>
      </c>
      <c r="N3823" s="1" t="s">
        <v>1468</v>
      </c>
      <c r="P3823" s="1" t="s">
        <v>368</v>
      </c>
      <c r="Q3823" s="3">
        <v>0</v>
      </c>
      <c r="R3823" s="22" t="s">
        <v>2723</v>
      </c>
      <c r="T3823" s="3" t="s">
        <v>4868</v>
      </c>
      <c r="U3823" s="45">
        <v>35</v>
      </c>
      <c r="V3823" t="s">
        <v>8191</v>
      </c>
      <c r="W3823" s="1" t="str">
        <f>HYPERLINK("http://ictvonline.org/taxonomy/p/taxonomy-history?taxnode_id=201902377","ICTVonline=201902377")</f>
        <v>ICTVonline=201902377</v>
      </c>
    </row>
    <row r="3824" spans="1:23">
      <c r="A3824" s="3">
        <v>3823</v>
      </c>
      <c r="B3824" s="1" t="s">
        <v>5910</v>
      </c>
      <c r="D3824" s="1" t="s">
        <v>8187</v>
      </c>
      <c r="F3824" s="1" t="s">
        <v>8208</v>
      </c>
      <c r="H3824" s="1" t="s">
        <v>8209</v>
      </c>
      <c r="J3824" s="1" t="s">
        <v>1161</v>
      </c>
      <c r="L3824" s="1" t="s">
        <v>1329</v>
      </c>
      <c r="N3824" s="1" t="s">
        <v>1468</v>
      </c>
      <c r="P3824" s="1" t="s">
        <v>243</v>
      </c>
      <c r="Q3824" s="3">
        <v>0</v>
      </c>
      <c r="R3824" s="22" t="s">
        <v>2723</v>
      </c>
      <c r="T3824" s="3" t="s">
        <v>4868</v>
      </c>
      <c r="U3824" s="45">
        <v>35</v>
      </c>
      <c r="V3824" t="s">
        <v>8191</v>
      </c>
      <c r="W3824" s="1" t="str">
        <f>HYPERLINK("http://ictvonline.org/taxonomy/p/taxonomy-history?taxnode_id=201902378","ICTVonline=201902378")</f>
        <v>ICTVonline=201902378</v>
      </c>
    </row>
    <row r="3825" spans="1:23">
      <c r="A3825" s="3">
        <v>3824</v>
      </c>
      <c r="B3825" s="1" t="s">
        <v>5910</v>
      </c>
      <c r="D3825" s="1" t="s">
        <v>8187</v>
      </c>
      <c r="F3825" s="1" t="s">
        <v>8208</v>
      </c>
      <c r="H3825" s="1" t="s">
        <v>8209</v>
      </c>
      <c r="J3825" s="1" t="s">
        <v>1161</v>
      </c>
      <c r="L3825" s="1" t="s">
        <v>1329</v>
      </c>
      <c r="N3825" s="1" t="s">
        <v>1468</v>
      </c>
      <c r="P3825" s="1" t="s">
        <v>4559</v>
      </c>
      <c r="Q3825" s="3">
        <v>0</v>
      </c>
      <c r="R3825" s="22" t="s">
        <v>2723</v>
      </c>
      <c r="T3825" s="3" t="s">
        <v>4868</v>
      </c>
      <c r="U3825" s="45">
        <v>35</v>
      </c>
      <c r="V3825" t="s">
        <v>8191</v>
      </c>
      <c r="W3825" s="1" t="str">
        <f>HYPERLINK("http://ictvonline.org/taxonomy/p/taxonomy-history?taxnode_id=201902379","ICTVonline=201902379")</f>
        <v>ICTVonline=201902379</v>
      </c>
    </row>
    <row r="3826" spans="1:23">
      <c r="A3826" s="3">
        <v>3825</v>
      </c>
      <c r="B3826" s="1" t="s">
        <v>5910</v>
      </c>
      <c r="D3826" s="1" t="s">
        <v>8187</v>
      </c>
      <c r="F3826" s="1" t="s">
        <v>8208</v>
      </c>
      <c r="H3826" s="1" t="s">
        <v>8209</v>
      </c>
      <c r="J3826" s="1" t="s">
        <v>1161</v>
      </c>
      <c r="L3826" s="1" t="s">
        <v>1329</v>
      </c>
      <c r="N3826" s="1" t="s">
        <v>1468</v>
      </c>
      <c r="P3826" s="1" t="s">
        <v>1244</v>
      </c>
      <c r="Q3826" s="3">
        <v>1</v>
      </c>
      <c r="R3826" s="22" t="s">
        <v>2723</v>
      </c>
      <c r="T3826" s="3" t="s">
        <v>4868</v>
      </c>
      <c r="U3826" s="45">
        <v>35</v>
      </c>
      <c r="V3826" t="s">
        <v>8191</v>
      </c>
      <c r="W3826" s="1" t="str">
        <f>HYPERLINK("http://ictvonline.org/taxonomy/p/taxonomy-history?taxnode_id=201902380","ICTVonline=201902380")</f>
        <v>ICTVonline=201902380</v>
      </c>
    </row>
    <row r="3827" spans="1:23">
      <c r="A3827" s="3">
        <v>3826</v>
      </c>
      <c r="B3827" s="1" t="s">
        <v>5910</v>
      </c>
      <c r="D3827" s="1" t="s">
        <v>8187</v>
      </c>
      <c r="F3827" s="1" t="s">
        <v>8208</v>
      </c>
      <c r="H3827" s="1" t="s">
        <v>8209</v>
      </c>
      <c r="J3827" s="1" t="s">
        <v>1161</v>
      </c>
      <c r="L3827" s="1" t="s">
        <v>1329</v>
      </c>
      <c r="N3827" s="1" t="s">
        <v>1468</v>
      </c>
      <c r="P3827" s="1" t="s">
        <v>1245</v>
      </c>
      <c r="Q3827" s="3">
        <v>0</v>
      </c>
      <c r="R3827" s="22" t="s">
        <v>2723</v>
      </c>
      <c r="T3827" s="3" t="s">
        <v>4868</v>
      </c>
      <c r="U3827" s="45">
        <v>35</v>
      </c>
      <c r="V3827" t="s">
        <v>8191</v>
      </c>
      <c r="W3827" s="1" t="str">
        <f>HYPERLINK("http://ictvonline.org/taxonomy/p/taxonomy-history?taxnode_id=201902381","ICTVonline=201902381")</f>
        <v>ICTVonline=201902381</v>
      </c>
    </row>
    <row r="3828" spans="1:23">
      <c r="A3828" s="3">
        <v>3827</v>
      </c>
      <c r="B3828" s="1" t="s">
        <v>5910</v>
      </c>
      <c r="D3828" s="1" t="s">
        <v>8187</v>
      </c>
      <c r="F3828" s="1" t="s">
        <v>8208</v>
      </c>
      <c r="H3828" s="1" t="s">
        <v>8209</v>
      </c>
      <c r="J3828" s="1" t="s">
        <v>1161</v>
      </c>
      <c r="L3828" s="1" t="s">
        <v>1329</v>
      </c>
      <c r="N3828" s="1" t="s">
        <v>1468</v>
      </c>
      <c r="P3828" s="1" t="s">
        <v>1246</v>
      </c>
      <c r="Q3828" s="3">
        <v>0</v>
      </c>
      <c r="R3828" s="22" t="s">
        <v>2723</v>
      </c>
      <c r="T3828" s="3" t="s">
        <v>4868</v>
      </c>
      <c r="U3828" s="45">
        <v>35</v>
      </c>
      <c r="V3828" t="s">
        <v>8191</v>
      </c>
      <c r="W3828" s="1" t="str">
        <f>HYPERLINK("http://ictvonline.org/taxonomy/p/taxonomy-history?taxnode_id=201902382","ICTVonline=201902382")</f>
        <v>ICTVonline=201902382</v>
      </c>
    </row>
    <row r="3829" spans="1:23">
      <c r="A3829" s="3">
        <v>3828</v>
      </c>
      <c r="B3829" s="1" t="s">
        <v>5910</v>
      </c>
      <c r="D3829" s="1" t="s">
        <v>8187</v>
      </c>
      <c r="F3829" s="1" t="s">
        <v>8208</v>
      </c>
      <c r="H3829" s="1" t="s">
        <v>8209</v>
      </c>
      <c r="J3829" s="1" t="s">
        <v>1161</v>
      </c>
      <c r="L3829" s="1" t="s">
        <v>1329</v>
      </c>
      <c r="P3829" s="1" t="s">
        <v>12</v>
      </c>
      <c r="Q3829" s="3">
        <v>0</v>
      </c>
      <c r="R3829" s="22" t="s">
        <v>2723</v>
      </c>
      <c r="T3829" s="3" t="s">
        <v>4868</v>
      </c>
      <c r="U3829" s="45">
        <v>35</v>
      </c>
      <c r="V3829" t="s">
        <v>8191</v>
      </c>
      <c r="W3829" s="1" t="str">
        <f>HYPERLINK("http://ictvonline.org/taxonomy/p/taxonomy-history?taxnode_id=201902384","ICTVonline=201902384")</f>
        <v>ICTVonline=201902384</v>
      </c>
    </row>
    <row r="3830" spans="1:23">
      <c r="A3830" s="3">
        <v>3829</v>
      </c>
      <c r="B3830" s="1" t="s">
        <v>5910</v>
      </c>
      <c r="D3830" s="1" t="s">
        <v>8187</v>
      </c>
      <c r="F3830" s="1" t="s">
        <v>8208</v>
      </c>
      <c r="H3830" s="1" t="s">
        <v>8209</v>
      </c>
      <c r="J3830" s="1" t="s">
        <v>1161</v>
      </c>
      <c r="L3830" s="1" t="s">
        <v>1329</v>
      </c>
      <c r="P3830" s="1" t="s">
        <v>13</v>
      </c>
      <c r="Q3830" s="3">
        <v>0</v>
      </c>
      <c r="R3830" s="22" t="s">
        <v>2723</v>
      </c>
      <c r="T3830" s="3" t="s">
        <v>4868</v>
      </c>
      <c r="U3830" s="45">
        <v>35</v>
      </c>
      <c r="V3830" t="s">
        <v>8191</v>
      </c>
      <c r="W3830" s="1" t="str">
        <f>HYPERLINK("http://ictvonline.org/taxonomy/p/taxonomy-history?taxnode_id=201902385","ICTVonline=201902385")</f>
        <v>ICTVonline=201902385</v>
      </c>
    </row>
    <row r="3831" spans="1:23">
      <c r="A3831" s="3">
        <v>3830</v>
      </c>
      <c r="B3831" s="1" t="s">
        <v>5910</v>
      </c>
      <c r="D3831" s="1" t="s">
        <v>8187</v>
      </c>
      <c r="F3831" s="1" t="s">
        <v>8208</v>
      </c>
      <c r="H3831" s="1" t="s">
        <v>8235</v>
      </c>
      <c r="J3831" s="1" t="s">
        <v>8236</v>
      </c>
      <c r="L3831" s="1" t="s">
        <v>1126</v>
      </c>
      <c r="N3831" s="1" t="s">
        <v>1127</v>
      </c>
      <c r="P3831" s="1" t="s">
        <v>1128</v>
      </c>
      <c r="Q3831" s="3">
        <v>0</v>
      </c>
      <c r="R3831" s="22" t="s">
        <v>2723</v>
      </c>
      <c r="T3831" s="3" t="s">
        <v>4868</v>
      </c>
      <c r="U3831" s="45">
        <v>35</v>
      </c>
      <c r="V3831" t="s">
        <v>8191</v>
      </c>
      <c r="W3831" s="1" t="str">
        <f>HYPERLINK("http://ictvonline.org/taxonomy/p/taxonomy-history?taxnode_id=201903071","ICTVonline=201903071")</f>
        <v>ICTVonline=201903071</v>
      </c>
    </row>
    <row r="3832" spans="1:23">
      <c r="A3832" s="3">
        <v>3831</v>
      </c>
      <c r="B3832" s="1" t="s">
        <v>5910</v>
      </c>
      <c r="D3832" s="1" t="s">
        <v>8187</v>
      </c>
      <c r="F3832" s="1" t="s">
        <v>8208</v>
      </c>
      <c r="H3832" s="1" t="s">
        <v>8235</v>
      </c>
      <c r="J3832" s="1" t="s">
        <v>8236</v>
      </c>
      <c r="L3832" s="1" t="s">
        <v>1126</v>
      </c>
      <c r="N3832" s="1" t="s">
        <v>1127</v>
      </c>
      <c r="P3832" s="1" t="s">
        <v>1129</v>
      </c>
      <c r="Q3832" s="3">
        <v>0</v>
      </c>
      <c r="R3832" s="22" t="s">
        <v>2723</v>
      </c>
      <c r="T3832" s="3" t="s">
        <v>4868</v>
      </c>
      <c r="U3832" s="45">
        <v>35</v>
      </c>
      <c r="V3832" t="s">
        <v>8191</v>
      </c>
      <c r="W3832" s="1" t="str">
        <f>HYPERLINK("http://ictvonline.org/taxonomy/p/taxonomy-history?taxnode_id=201903072","ICTVonline=201903072")</f>
        <v>ICTVonline=201903072</v>
      </c>
    </row>
    <row r="3833" spans="1:23">
      <c r="A3833" s="3">
        <v>3832</v>
      </c>
      <c r="B3833" s="1" t="s">
        <v>5910</v>
      </c>
      <c r="D3833" s="1" t="s">
        <v>8187</v>
      </c>
      <c r="F3833" s="1" t="s">
        <v>8208</v>
      </c>
      <c r="H3833" s="1" t="s">
        <v>8235</v>
      </c>
      <c r="J3833" s="1" t="s">
        <v>8236</v>
      </c>
      <c r="L3833" s="1" t="s">
        <v>1126</v>
      </c>
      <c r="N3833" s="1" t="s">
        <v>1127</v>
      </c>
      <c r="P3833" s="1" t="s">
        <v>1130</v>
      </c>
      <c r="Q3833" s="3">
        <v>0</v>
      </c>
      <c r="R3833" s="22" t="s">
        <v>2723</v>
      </c>
      <c r="T3833" s="3" t="s">
        <v>4868</v>
      </c>
      <c r="U3833" s="45">
        <v>35</v>
      </c>
      <c r="V3833" t="s">
        <v>8191</v>
      </c>
      <c r="W3833" s="1" t="str">
        <f>HYPERLINK("http://ictvonline.org/taxonomy/p/taxonomy-history?taxnode_id=201903073","ICTVonline=201903073")</f>
        <v>ICTVonline=201903073</v>
      </c>
    </row>
    <row r="3834" spans="1:23">
      <c r="A3834" s="3">
        <v>3833</v>
      </c>
      <c r="B3834" s="1" t="s">
        <v>5910</v>
      </c>
      <c r="D3834" s="1" t="s">
        <v>8187</v>
      </c>
      <c r="F3834" s="1" t="s">
        <v>8208</v>
      </c>
      <c r="H3834" s="1" t="s">
        <v>8235</v>
      </c>
      <c r="J3834" s="1" t="s">
        <v>8236</v>
      </c>
      <c r="L3834" s="1" t="s">
        <v>1126</v>
      </c>
      <c r="N3834" s="1" t="s">
        <v>1127</v>
      </c>
      <c r="P3834" s="1" t="s">
        <v>1131</v>
      </c>
      <c r="Q3834" s="3">
        <v>0</v>
      </c>
      <c r="R3834" s="22" t="s">
        <v>2723</v>
      </c>
      <c r="T3834" s="3" t="s">
        <v>4868</v>
      </c>
      <c r="U3834" s="45">
        <v>35</v>
      </c>
      <c r="V3834" t="s">
        <v>8191</v>
      </c>
      <c r="W3834" s="1" t="str">
        <f>HYPERLINK("http://ictvonline.org/taxonomy/p/taxonomy-history?taxnode_id=201903074","ICTVonline=201903074")</f>
        <v>ICTVonline=201903074</v>
      </c>
    </row>
    <row r="3835" spans="1:23">
      <c r="A3835" s="3">
        <v>3834</v>
      </c>
      <c r="B3835" s="1" t="s">
        <v>5910</v>
      </c>
      <c r="D3835" s="1" t="s">
        <v>8187</v>
      </c>
      <c r="F3835" s="1" t="s">
        <v>8208</v>
      </c>
      <c r="H3835" s="1" t="s">
        <v>8235</v>
      </c>
      <c r="J3835" s="1" t="s">
        <v>8236</v>
      </c>
      <c r="L3835" s="1" t="s">
        <v>1126</v>
      </c>
      <c r="N3835" s="1" t="s">
        <v>1127</v>
      </c>
      <c r="P3835" s="1" t="s">
        <v>1132</v>
      </c>
      <c r="Q3835" s="3">
        <v>0</v>
      </c>
      <c r="R3835" s="22" t="s">
        <v>2723</v>
      </c>
      <c r="T3835" s="3" t="s">
        <v>4868</v>
      </c>
      <c r="U3835" s="45">
        <v>35</v>
      </c>
      <c r="V3835" t="s">
        <v>8191</v>
      </c>
      <c r="W3835" s="1" t="str">
        <f>HYPERLINK("http://ictvonline.org/taxonomy/p/taxonomy-history?taxnode_id=201903075","ICTVonline=201903075")</f>
        <v>ICTVonline=201903075</v>
      </c>
    </row>
    <row r="3836" spans="1:23">
      <c r="A3836" s="3">
        <v>3835</v>
      </c>
      <c r="B3836" s="1" t="s">
        <v>5910</v>
      </c>
      <c r="D3836" s="1" t="s">
        <v>8187</v>
      </c>
      <c r="F3836" s="1" t="s">
        <v>8208</v>
      </c>
      <c r="H3836" s="1" t="s">
        <v>8235</v>
      </c>
      <c r="J3836" s="1" t="s">
        <v>8236</v>
      </c>
      <c r="L3836" s="1" t="s">
        <v>1126</v>
      </c>
      <c r="N3836" s="1" t="s">
        <v>1127</v>
      </c>
      <c r="P3836" s="1" t="s">
        <v>1133</v>
      </c>
      <c r="Q3836" s="3">
        <v>0</v>
      </c>
      <c r="R3836" s="22" t="s">
        <v>2723</v>
      </c>
      <c r="T3836" s="3" t="s">
        <v>4868</v>
      </c>
      <c r="U3836" s="45">
        <v>35</v>
      </c>
      <c r="V3836" t="s">
        <v>8191</v>
      </c>
      <c r="W3836" s="1" t="str">
        <f>HYPERLINK("http://ictvonline.org/taxonomy/p/taxonomy-history?taxnode_id=201903076","ICTVonline=201903076")</f>
        <v>ICTVonline=201903076</v>
      </c>
    </row>
    <row r="3837" spans="1:23">
      <c r="A3837" s="3">
        <v>3836</v>
      </c>
      <c r="B3837" s="1" t="s">
        <v>5910</v>
      </c>
      <c r="D3837" s="1" t="s">
        <v>8187</v>
      </c>
      <c r="F3837" s="1" t="s">
        <v>8208</v>
      </c>
      <c r="H3837" s="1" t="s">
        <v>8235</v>
      </c>
      <c r="J3837" s="1" t="s">
        <v>8236</v>
      </c>
      <c r="L3837" s="1" t="s">
        <v>1126</v>
      </c>
      <c r="N3837" s="1" t="s">
        <v>1127</v>
      </c>
      <c r="P3837" s="1" t="s">
        <v>1633</v>
      </c>
      <c r="Q3837" s="3">
        <v>0</v>
      </c>
      <c r="R3837" s="22" t="s">
        <v>2723</v>
      </c>
      <c r="T3837" s="3" t="s">
        <v>4868</v>
      </c>
      <c r="U3837" s="45">
        <v>35</v>
      </c>
      <c r="V3837" t="s">
        <v>8191</v>
      </c>
      <c r="W3837" s="1" t="str">
        <f>HYPERLINK("http://ictvonline.org/taxonomy/p/taxonomy-history?taxnode_id=201903077","ICTVonline=201903077")</f>
        <v>ICTVonline=201903077</v>
      </c>
    </row>
    <row r="3838" spans="1:23">
      <c r="A3838" s="3">
        <v>3837</v>
      </c>
      <c r="B3838" s="1" t="s">
        <v>5910</v>
      </c>
      <c r="D3838" s="1" t="s">
        <v>8187</v>
      </c>
      <c r="F3838" s="1" t="s">
        <v>8208</v>
      </c>
      <c r="H3838" s="1" t="s">
        <v>8235</v>
      </c>
      <c r="J3838" s="1" t="s">
        <v>8236</v>
      </c>
      <c r="L3838" s="1" t="s">
        <v>1126</v>
      </c>
      <c r="N3838" s="1" t="s">
        <v>1127</v>
      </c>
      <c r="P3838" s="1" t="s">
        <v>1634</v>
      </c>
      <c r="Q3838" s="3">
        <v>0</v>
      </c>
      <c r="R3838" s="22" t="s">
        <v>2723</v>
      </c>
      <c r="T3838" s="3" t="s">
        <v>4868</v>
      </c>
      <c r="U3838" s="45">
        <v>35</v>
      </c>
      <c r="V3838" t="s">
        <v>8191</v>
      </c>
      <c r="W3838" s="1" t="str">
        <f>HYPERLINK("http://ictvonline.org/taxonomy/p/taxonomy-history?taxnode_id=201903078","ICTVonline=201903078")</f>
        <v>ICTVonline=201903078</v>
      </c>
    </row>
    <row r="3839" spans="1:23">
      <c r="A3839" s="3">
        <v>3838</v>
      </c>
      <c r="B3839" s="1" t="s">
        <v>5910</v>
      </c>
      <c r="D3839" s="1" t="s">
        <v>8187</v>
      </c>
      <c r="F3839" s="1" t="s">
        <v>8208</v>
      </c>
      <c r="H3839" s="1" t="s">
        <v>8235</v>
      </c>
      <c r="J3839" s="1" t="s">
        <v>8236</v>
      </c>
      <c r="L3839" s="1" t="s">
        <v>1126</v>
      </c>
      <c r="N3839" s="1" t="s">
        <v>1127</v>
      </c>
      <c r="P3839" s="1" t="s">
        <v>1635</v>
      </c>
      <c r="Q3839" s="3">
        <v>0</v>
      </c>
      <c r="R3839" s="22" t="s">
        <v>2723</v>
      </c>
      <c r="T3839" s="3" t="s">
        <v>4868</v>
      </c>
      <c r="U3839" s="45">
        <v>35</v>
      </c>
      <c r="V3839" t="s">
        <v>8191</v>
      </c>
      <c r="W3839" s="1" t="str">
        <f>HYPERLINK("http://ictvonline.org/taxonomy/p/taxonomy-history?taxnode_id=201903079","ICTVonline=201903079")</f>
        <v>ICTVonline=201903079</v>
      </c>
    </row>
    <row r="3840" spans="1:23">
      <c r="A3840" s="3">
        <v>3839</v>
      </c>
      <c r="B3840" s="1" t="s">
        <v>5910</v>
      </c>
      <c r="D3840" s="1" t="s">
        <v>8187</v>
      </c>
      <c r="F3840" s="1" t="s">
        <v>8208</v>
      </c>
      <c r="H3840" s="1" t="s">
        <v>8235</v>
      </c>
      <c r="J3840" s="1" t="s">
        <v>8236</v>
      </c>
      <c r="L3840" s="1" t="s">
        <v>1126</v>
      </c>
      <c r="N3840" s="1" t="s">
        <v>1127</v>
      </c>
      <c r="P3840" s="1" t="s">
        <v>1636</v>
      </c>
      <c r="Q3840" s="3">
        <v>0</v>
      </c>
      <c r="R3840" s="22" t="s">
        <v>2723</v>
      </c>
      <c r="T3840" s="3" t="s">
        <v>4868</v>
      </c>
      <c r="U3840" s="45">
        <v>35</v>
      </c>
      <c r="V3840" t="s">
        <v>8191</v>
      </c>
      <c r="W3840" s="1" t="str">
        <f>HYPERLINK("http://ictvonline.org/taxonomy/p/taxonomy-history?taxnode_id=201903080","ICTVonline=201903080")</f>
        <v>ICTVonline=201903080</v>
      </c>
    </row>
    <row r="3841" spans="1:23">
      <c r="A3841" s="3">
        <v>3840</v>
      </c>
      <c r="B3841" s="1" t="s">
        <v>5910</v>
      </c>
      <c r="D3841" s="1" t="s">
        <v>8187</v>
      </c>
      <c r="F3841" s="1" t="s">
        <v>8208</v>
      </c>
      <c r="H3841" s="1" t="s">
        <v>8235</v>
      </c>
      <c r="J3841" s="1" t="s">
        <v>8236</v>
      </c>
      <c r="L3841" s="1" t="s">
        <v>1126</v>
      </c>
      <c r="N3841" s="1" t="s">
        <v>1127</v>
      </c>
      <c r="P3841" s="1" t="s">
        <v>1637</v>
      </c>
      <c r="Q3841" s="3">
        <v>0</v>
      </c>
      <c r="R3841" s="22" t="s">
        <v>2723</v>
      </c>
      <c r="T3841" s="3" t="s">
        <v>4868</v>
      </c>
      <c r="U3841" s="45">
        <v>35</v>
      </c>
      <c r="V3841" t="s">
        <v>8191</v>
      </c>
      <c r="W3841" s="1" t="str">
        <f>HYPERLINK("http://ictvonline.org/taxonomy/p/taxonomy-history?taxnode_id=201903081","ICTVonline=201903081")</f>
        <v>ICTVonline=201903081</v>
      </c>
    </row>
    <row r="3842" spans="1:23">
      <c r="A3842" s="3">
        <v>3841</v>
      </c>
      <c r="B3842" s="1" t="s">
        <v>5910</v>
      </c>
      <c r="D3842" s="1" t="s">
        <v>8187</v>
      </c>
      <c r="F3842" s="1" t="s">
        <v>8208</v>
      </c>
      <c r="H3842" s="1" t="s">
        <v>8235</v>
      </c>
      <c r="J3842" s="1" t="s">
        <v>8236</v>
      </c>
      <c r="L3842" s="1" t="s">
        <v>1126</v>
      </c>
      <c r="N3842" s="1" t="s">
        <v>1127</v>
      </c>
      <c r="P3842" s="1" t="s">
        <v>1638</v>
      </c>
      <c r="Q3842" s="3">
        <v>0</v>
      </c>
      <c r="R3842" s="22" t="s">
        <v>2723</v>
      </c>
      <c r="T3842" s="3" t="s">
        <v>4868</v>
      </c>
      <c r="U3842" s="45">
        <v>35</v>
      </c>
      <c r="V3842" t="s">
        <v>8191</v>
      </c>
      <c r="W3842" s="1" t="str">
        <f>HYPERLINK("http://ictvonline.org/taxonomy/p/taxonomy-history?taxnode_id=201903082","ICTVonline=201903082")</f>
        <v>ICTVonline=201903082</v>
      </c>
    </row>
    <row r="3843" spans="1:23">
      <c r="A3843" s="3">
        <v>3842</v>
      </c>
      <c r="B3843" s="1" t="s">
        <v>5910</v>
      </c>
      <c r="D3843" s="1" t="s">
        <v>8187</v>
      </c>
      <c r="F3843" s="1" t="s">
        <v>8208</v>
      </c>
      <c r="H3843" s="1" t="s">
        <v>8235</v>
      </c>
      <c r="J3843" s="1" t="s">
        <v>8236</v>
      </c>
      <c r="L3843" s="1" t="s">
        <v>1126</v>
      </c>
      <c r="N3843" s="1" t="s">
        <v>1127</v>
      </c>
      <c r="P3843" s="1" t="s">
        <v>1639</v>
      </c>
      <c r="Q3843" s="3">
        <v>0</v>
      </c>
      <c r="R3843" s="22" t="s">
        <v>2723</v>
      </c>
      <c r="T3843" s="3" t="s">
        <v>4868</v>
      </c>
      <c r="U3843" s="45">
        <v>35</v>
      </c>
      <c r="V3843" t="s">
        <v>8191</v>
      </c>
      <c r="W3843" s="1" t="str">
        <f>HYPERLINK("http://ictvonline.org/taxonomy/p/taxonomy-history?taxnode_id=201903083","ICTVonline=201903083")</f>
        <v>ICTVonline=201903083</v>
      </c>
    </row>
    <row r="3844" spans="1:23">
      <c r="A3844" s="3">
        <v>3843</v>
      </c>
      <c r="B3844" s="1" t="s">
        <v>5910</v>
      </c>
      <c r="D3844" s="1" t="s">
        <v>8187</v>
      </c>
      <c r="F3844" s="1" t="s">
        <v>8208</v>
      </c>
      <c r="H3844" s="1" t="s">
        <v>8235</v>
      </c>
      <c r="J3844" s="1" t="s">
        <v>8236</v>
      </c>
      <c r="L3844" s="1" t="s">
        <v>1126</v>
      </c>
      <c r="N3844" s="1" t="s">
        <v>1127</v>
      </c>
      <c r="P3844" s="1" t="s">
        <v>1640</v>
      </c>
      <c r="Q3844" s="3">
        <v>0</v>
      </c>
      <c r="R3844" s="22" t="s">
        <v>2723</v>
      </c>
      <c r="T3844" s="3" t="s">
        <v>4868</v>
      </c>
      <c r="U3844" s="45">
        <v>35</v>
      </c>
      <c r="V3844" t="s">
        <v>8191</v>
      </c>
      <c r="W3844" s="1" t="str">
        <f>HYPERLINK("http://ictvonline.org/taxonomy/p/taxonomy-history?taxnode_id=201903084","ICTVonline=201903084")</f>
        <v>ICTVonline=201903084</v>
      </c>
    </row>
    <row r="3845" spans="1:23">
      <c r="A3845" s="3">
        <v>3844</v>
      </c>
      <c r="B3845" s="1" t="s">
        <v>5910</v>
      </c>
      <c r="D3845" s="1" t="s">
        <v>8187</v>
      </c>
      <c r="F3845" s="1" t="s">
        <v>8208</v>
      </c>
      <c r="H3845" s="1" t="s">
        <v>8235</v>
      </c>
      <c r="J3845" s="1" t="s">
        <v>8236</v>
      </c>
      <c r="L3845" s="1" t="s">
        <v>1126</v>
      </c>
      <c r="N3845" s="1" t="s">
        <v>1127</v>
      </c>
      <c r="P3845" s="1" t="s">
        <v>1641</v>
      </c>
      <c r="Q3845" s="3">
        <v>0</v>
      </c>
      <c r="R3845" s="22" t="s">
        <v>2723</v>
      </c>
      <c r="T3845" s="3" t="s">
        <v>4868</v>
      </c>
      <c r="U3845" s="45">
        <v>35</v>
      </c>
      <c r="V3845" t="s">
        <v>8191</v>
      </c>
      <c r="W3845" s="1" t="str">
        <f>HYPERLINK("http://ictvonline.org/taxonomy/p/taxonomy-history?taxnode_id=201903085","ICTVonline=201903085")</f>
        <v>ICTVonline=201903085</v>
      </c>
    </row>
    <row r="3846" spans="1:23">
      <c r="A3846" s="3">
        <v>3845</v>
      </c>
      <c r="B3846" s="1" t="s">
        <v>5910</v>
      </c>
      <c r="D3846" s="1" t="s">
        <v>8187</v>
      </c>
      <c r="F3846" s="1" t="s">
        <v>8208</v>
      </c>
      <c r="H3846" s="1" t="s">
        <v>8235</v>
      </c>
      <c r="J3846" s="1" t="s">
        <v>8236</v>
      </c>
      <c r="L3846" s="1" t="s">
        <v>1126</v>
      </c>
      <c r="N3846" s="1" t="s">
        <v>1127</v>
      </c>
      <c r="P3846" s="1" t="s">
        <v>1642</v>
      </c>
      <c r="Q3846" s="3">
        <v>0</v>
      </c>
      <c r="R3846" s="22" t="s">
        <v>2723</v>
      </c>
      <c r="T3846" s="3" t="s">
        <v>4868</v>
      </c>
      <c r="U3846" s="45">
        <v>35</v>
      </c>
      <c r="V3846" t="s">
        <v>8191</v>
      </c>
      <c r="W3846" s="1" t="str">
        <f>HYPERLINK("http://ictvonline.org/taxonomy/p/taxonomy-history?taxnode_id=201903086","ICTVonline=201903086")</f>
        <v>ICTVonline=201903086</v>
      </c>
    </row>
    <row r="3847" spans="1:23">
      <c r="A3847" s="3">
        <v>3846</v>
      </c>
      <c r="B3847" s="1" t="s">
        <v>5910</v>
      </c>
      <c r="D3847" s="1" t="s">
        <v>8187</v>
      </c>
      <c r="F3847" s="1" t="s">
        <v>8208</v>
      </c>
      <c r="H3847" s="1" t="s">
        <v>8235</v>
      </c>
      <c r="J3847" s="1" t="s">
        <v>8236</v>
      </c>
      <c r="L3847" s="1" t="s">
        <v>1126</v>
      </c>
      <c r="N3847" s="1" t="s">
        <v>1127</v>
      </c>
      <c r="P3847" s="1" t="s">
        <v>1643</v>
      </c>
      <c r="Q3847" s="3">
        <v>0</v>
      </c>
      <c r="R3847" s="22" t="s">
        <v>2723</v>
      </c>
      <c r="T3847" s="3" t="s">
        <v>4868</v>
      </c>
      <c r="U3847" s="45">
        <v>35</v>
      </c>
      <c r="V3847" t="s">
        <v>8191</v>
      </c>
      <c r="W3847" s="1" t="str">
        <f>HYPERLINK("http://ictvonline.org/taxonomy/p/taxonomy-history?taxnode_id=201903087","ICTVonline=201903087")</f>
        <v>ICTVonline=201903087</v>
      </c>
    </row>
    <row r="3848" spans="1:23">
      <c r="A3848" s="3">
        <v>3847</v>
      </c>
      <c r="B3848" s="1" t="s">
        <v>5910</v>
      </c>
      <c r="D3848" s="1" t="s">
        <v>8187</v>
      </c>
      <c r="F3848" s="1" t="s">
        <v>8208</v>
      </c>
      <c r="H3848" s="1" t="s">
        <v>8235</v>
      </c>
      <c r="J3848" s="1" t="s">
        <v>8236</v>
      </c>
      <c r="L3848" s="1" t="s">
        <v>1126</v>
      </c>
      <c r="N3848" s="1" t="s">
        <v>1127</v>
      </c>
      <c r="P3848" s="1" t="s">
        <v>1644</v>
      </c>
      <c r="Q3848" s="3">
        <v>0</v>
      </c>
      <c r="R3848" s="22" t="s">
        <v>2723</v>
      </c>
      <c r="T3848" s="3" t="s">
        <v>4868</v>
      </c>
      <c r="U3848" s="45">
        <v>35</v>
      </c>
      <c r="V3848" t="s">
        <v>8191</v>
      </c>
      <c r="W3848" s="1" t="str">
        <f>HYPERLINK("http://ictvonline.org/taxonomy/p/taxonomy-history?taxnode_id=201903088","ICTVonline=201903088")</f>
        <v>ICTVonline=201903088</v>
      </c>
    </row>
    <row r="3849" spans="1:23">
      <c r="A3849" s="3">
        <v>3848</v>
      </c>
      <c r="B3849" s="1" t="s">
        <v>5910</v>
      </c>
      <c r="D3849" s="1" t="s">
        <v>8187</v>
      </c>
      <c r="F3849" s="1" t="s">
        <v>8208</v>
      </c>
      <c r="H3849" s="1" t="s">
        <v>8235</v>
      </c>
      <c r="J3849" s="1" t="s">
        <v>8236</v>
      </c>
      <c r="L3849" s="1" t="s">
        <v>1126</v>
      </c>
      <c r="N3849" s="1" t="s">
        <v>1127</v>
      </c>
      <c r="P3849" s="1" t="s">
        <v>1645</v>
      </c>
      <c r="Q3849" s="3">
        <v>0</v>
      </c>
      <c r="R3849" s="22" t="s">
        <v>2723</v>
      </c>
      <c r="T3849" s="3" t="s">
        <v>4868</v>
      </c>
      <c r="U3849" s="45">
        <v>35</v>
      </c>
      <c r="V3849" t="s">
        <v>8191</v>
      </c>
      <c r="W3849" s="1" t="str">
        <f>HYPERLINK("http://ictvonline.org/taxonomy/p/taxonomy-history?taxnode_id=201903089","ICTVonline=201903089")</f>
        <v>ICTVonline=201903089</v>
      </c>
    </row>
    <row r="3850" spans="1:23">
      <c r="A3850" s="3">
        <v>3849</v>
      </c>
      <c r="B3850" s="1" t="s">
        <v>5910</v>
      </c>
      <c r="D3850" s="1" t="s">
        <v>8187</v>
      </c>
      <c r="F3850" s="1" t="s">
        <v>8208</v>
      </c>
      <c r="H3850" s="1" t="s">
        <v>8235</v>
      </c>
      <c r="J3850" s="1" t="s">
        <v>8236</v>
      </c>
      <c r="L3850" s="1" t="s">
        <v>1126</v>
      </c>
      <c r="N3850" s="1" t="s">
        <v>1127</v>
      </c>
      <c r="P3850" s="1" t="s">
        <v>1646</v>
      </c>
      <c r="Q3850" s="3">
        <v>0</v>
      </c>
      <c r="R3850" s="22" t="s">
        <v>2723</v>
      </c>
      <c r="T3850" s="3" t="s">
        <v>4868</v>
      </c>
      <c r="U3850" s="45">
        <v>35</v>
      </c>
      <c r="V3850" t="s">
        <v>8191</v>
      </c>
      <c r="W3850" s="1" t="str">
        <f>HYPERLINK("http://ictvonline.org/taxonomy/p/taxonomy-history?taxnode_id=201903090","ICTVonline=201903090")</f>
        <v>ICTVonline=201903090</v>
      </c>
    </row>
    <row r="3851" spans="1:23">
      <c r="A3851" s="3">
        <v>3850</v>
      </c>
      <c r="B3851" s="1" t="s">
        <v>5910</v>
      </c>
      <c r="D3851" s="1" t="s">
        <v>8187</v>
      </c>
      <c r="F3851" s="1" t="s">
        <v>8208</v>
      </c>
      <c r="H3851" s="1" t="s">
        <v>8235</v>
      </c>
      <c r="J3851" s="1" t="s">
        <v>8236</v>
      </c>
      <c r="L3851" s="1" t="s">
        <v>1126</v>
      </c>
      <c r="N3851" s="1" t="s">
        <v>1127</v>
      </c>
      <c r="P3851" s="1" t="s">
        <v>1647</v>
      </c>
      <c r="Q3851" s="3">
        <v>0</v>
      </c>
      <c r="R3851" s="22" t="s">
        <v>2723</v>
      </c>
      <c r="T3851" s="3" t="s">
        <v>4868</v>
      </c>
      <c r="U3851" s="45">
        <v>35</v>
      </c>
      <c r="V3851" t="s">
        <v>8191</v>
      </c>
      <c r="W3851" s="1" t="str">
        <f>HYPERLINK("http://ictvonline.org/taxonomy/p/taxonomy-history?taxnode_id=201903091","ICTVonline=201903091")</f>
        <v>ICTVonline=201903091</v>
      </c>
    </row>
    <row r="3852" spans="1:23">
      <c r="A3852" s="3">
        <v>3851</v>
      </c>
      <c r="B3852" s="1" t="s">
        <v>5910</v>
      </c>
      <c r="D3852" s="1" t="s">
        <v>8187</v>
      </c>
      <c r="F3852" s="1" t="s">
        <v>8208</v>
      </c>
      <c r="H3852" s="1" t="s">
        <v>8235</v>
      </c>
      <c r="J3852" s="1" t="s">
        <v>8236</v>
      </c>
      <c r="L3852" s="1" t="s">
        <v>1126</v>
      </c>
      <c r="N3852" s="1" t="s">
        <v>1127</v>
      </c>
      <c r="P3852" s="1" t="s">
        <v>1648</v>
      </c>
      <c r="Q3852" s="3">
        <v>0</v>
      </c>
      <c r="R3852" s="22" t="s">
        <v>2723</v>
      </c>
      <c r="T3852" s="3" t="s">
        <v>4868</v>
      </c>
      <c r="U3852" s="45">
        <v>35</v>
      </c>
      <c r="V3852" t="s">
        <v>8191</v>
      </c>
      <c r="W3852" s="1" t="str">
        <f>HYPERLINK("http://ictvonline.org/taxonomy/p/taxonomy-history?taxnode_id=201903092","ICTVonline=201903092")</f>
        <v>ICTVonline=201903092</v>
      </c>
    </row>
    <row r="3853" spans="1:23">
      <c r="A3853" s="3">
        <v>3852</v>
      </c>
      <c r="B3853" s="1" t="s">
        <v>5910</v>
      </c>
      <c r="D3853" s="1" t="s">
        <v>8187</v>
      </c>
      <c r="F3853" s="1" t="s">
        <v>8208</v>
      </c>
      <c r="H3853" s="1" t="s">
        <v>8235</v>
      </c>
      <c r="J3853" s="1" t="s">
        <v>8236</v>
      </c>
      <c r="L3853" s="1" t="s">
        <v>1126</v>
      </c>
      <c r="N3853" s="1" t="s">
        <v>1127</v>
      </c>
      <c r="P3853" s="1" t="s">
        <v>1649</v>
      </c>
      <c r="Q3853" s="3">
        <v>0</v>
      </c>
      <c r="R3853" s="22" t="s">
        <v>2723</v>
      </c>
      <c r="T3853" s="3" t="s">
        <v>4868</v>
      </c>
      <c r="U3853" s="45">
        <v>35</v>
      </c>
      <c r="V3853" t="s">
        <v>8191</v>
      </c>
      <c r="W3853" s="1" t="str">
        <f>HYPERLINK("http://ictvonline.org/taxonomy/p/taxonomy-history?taxnode_id=201903093","ICTVonline=201903093")</f>
        <v>ICTVonline=201903093</v>
      </c>
    </row>
    <row r="3854" spans="1:23">
      <c r="A3854" s="3">
        <v>3853</v>
      </c>
      <c r="B3854" s="1" t="s">
        <v>5910</v>
      </c>
      <c r="D3854" s="1" t="s">
        <v>8187</v>
      </c>
      <c r="F3854" s="1" t="s">
        <v>8208</v>
      </c>
      <c r="H3854" s="1" t="s">
        <v>8235</v>
      </c>
      <c r="J3854" s="1" t="s">
        <v>8236</v>
      </c>
      <c r="L3854" s="1" t="s">
        <v>1126</v>
      </c>
      <c r="N3854" s="1" t="s">
        <v>1127</v>
      </c>
      <c r="P3854" s="1" t="s">
        <v>1650</v>
      </c>
      <c r="Q3854" s="3">
        <v>0</v>
      </c>
      <c r="R3854" s="22" t="s">
        <v>2723</v>
      </c>
      <c r="T3854" s="3" t="s">
        <v>4868</v>
      </c>
      <c r="U3854" s="45">
        <v>35</v>
      </c>
      <c r="V3854" t="s">
        <v>8191</v>
      </c>
      <c r="W3854" s="1" t="str">
        <f>HYPERLINK("http://ictvonline.org/taxonomy/p/taxonomy-history?taxnode_id=201903094","ICTVonline=201903094")</f>
        <v>ICTVonline=201903094</v>
      </c>
    </row>
    <row r="3855" spans="1:23">
      <c r="A3855" s="3">
        <v>3854</v>
      </c>
      <c r="B3855" s="1" t="s">
        <v>5910</v>
      </c>
      <c r="D3855" s="1" t="s">
        <v>8187</v>
      </c>
      <c r="F3855" s="1" t="s">
        <v>8208</v>
      </c>
      <c r="H3855" s="1" t="s">
        <v>8235</v>
      </c>
      <c r="J3855" s="1" t="s">
        <v>8236</v>
      </c>
      <c r="L3855" s="1" t="s">
        <v>1126</v>
      </c>
      <c r="N3855" s="1" t="s">
        <v>1127</v>
      </c>
      <c r="P3855" s="1" t="s">
        <v>1651</v>
      </c>
      <c r="Q3855" s="3">
        <v>0</v>
      </c>
      <c r="R3855" s="22" t="s">
        <v>2723</v>
      </c>
      <c r="T3855" s="3" t="s">
        <v>4868</v>
      </c>
      <c r="U3855" s="45">
        <v>35</v>
      </c>
      <c r="V3855" t="s">
        <v>8191</v>
      </c>
      <c r="W3855" s="1" t="str">
        <f>HYPERLINK("http://ictvonline.org/taxonomy/p/taxonomy-history?taxnode_id=201903095","ICTVonline=201903095")</f>
        <v>ICTVonline=201903095</v>
      </c>
    </row>
    <row r="3856" spans="1:23">
      <c r="A3856" s="3">
        <v>3855</v>
      </c>
      <c r="B3856" s="1" t="s">
        <v>5910</v>
      </c>
      <c r="D3856" s="1" t="s">
        <v>8187</v>
      </c>
      <c r="F3856" s="1" t="s">
        <v>8208</v>
      </c>
      <c r="H3856" s="1" t="s">
        <v>8235</v>
      </c>
      <c r="J3856" s="1" t="s">
        <v>8236</v>
      </c>
      <c r="L3856" s="1" t="s">
        <v>1126</v>
      </c>
      <c r="N3856" s="1" t="s">
        <v>1127</v>
      </c>
      <c r="P3856" s="1" t="s">
        <v>1652</v>
      </c>
      <c r="Q3856" s="3">
        <v>0</v>
      </c>
      <c r="R3856" s="22" t="s">
        <v>2723</v>
      </c>
      <c r="T3856" s="3" t="s">
        <v>4868</v>
      </c>
      <c r="U3856" s="45">
        <v>35</v>
      </c>
      <c r="V3856" t="s">
        <v>8191</v>
      </c>
      <c r="W3856" s="1" t="str">
        <f>HYPERLINK("http://ictvonline.org/taxonomy/p/taxonomy-history?taxnode_id=201903096","ICTVonline=201903096")</f>
        <v>ICTVonline=201903096</v>
      </c>
    </row>
    <row r="3857" spans="1:23">
      <c r="A3857" s="3">
        <v>3856</v>
      </c>
      <c r="B3857" s="1" t="s">
        <v>5910</v>
      </c>
      <c r="D3857" s="1" t="s">
        <v>8187</v>
      </c>
      <c r="F3857" s="1" t="s">
        <v>8208</v>
      </c>
      <c r="H3857" s="1" t="s">
        <v>8235</v>
      </c>
      <c r="J3857" s="1" t="s">
        <v>8236</v>
      </c>
      <c r="L3857" s="1" t="s">
        <v>1126</v>
      </c>
      <c r="N3857" s="1" t="s">
        <v>1127</v>
      </c>
      <c r="P3857" s="1" t="s">
        <v>1653</v>
      </c>
      <c r="Q3857" s="3">
        <v>0</v>
      </c>
      <c r="R3857" s="22" t="s">
        <v>2723</v>
      </c>
      <c r="T3857" s="3" t="s">
        <v>4868</v>
      </c>
      <c r="U3857" s="45">
        <v>35</v>
      </c>
      <c r="V3857" t="s">
        <v>8191</v>
      </c>
      <c r="W3857" s="1" t="str">
        <f>HYPERLINK("http://ictvonline.org/taxonomy/p/taxonomy-history?taxnode_id=201903097","ICTVonline=201903097")</f>
        <v>ICTVonline=201903097</v>
      </c>
    </row>
    <row r="3858" spans="1:23">
      <c r="A3858" s="3">
        <v>3857</v>
      </c>
      <c r="B3858" s="1" t="s">
        <v>5910</v>
      </c>
      <c r="D3858" s="1" t="s">
        <v>8187</v>
      </c>
      <c r="F3858" s="1" t="s">
        <v>8208</v>
      </c>
      <c r="H3858" s="1" t="s">
        <v>8235</v>
      </c>
      <c r="J3858" s="1" t="s">
        <v>8236</v>
      </c>
      <c r="L3858" s="1" t="s">
        <v>1126</v>
      </c>
      <c r="N3858" s="1" t="s">
        <v>1127</v>
      </c>
      <c r="P3858" s="1" t="s">
        <v>1654</v>
      </c>
      <c r="Q3858" s="3">
        <v>0</v>
      </c>
      <c r="R3858" s="22" t="s">
        <v>2723</v>
      </c>
      <c r="T3858" s="3" t="s">
        <v>4868</v>
      </c>
      <c r="U3858" s="45">
        <v>35</v>
      </c>
      <c r="V3858" t="s">
        <v>8191</v>
      </c>
      <c r="W3858" s="1" t="str">
        <f>HYPERLINK("http://ictvonline.org/taxonomy/p/taxonomy-history?taxnode_id=201903098","ICTVonline=201903098")</f>
        <v>ICTVonline=201903098</v>
      </c>
    </row>
    <row r="3859" spans="1:23">
      <c r="A3859" s="3">
        <v>3858</v>
      </c>
      <c r="B3859" s="1" t="s">
        <v>5910</v>
      </c>
      <c r="D3859" s="1" t="s">
        <v>8187</v>
      </c>
      <c r="F3859" s="1" t="s">
        <v>8208</v>
      </c>
      <c r="H3859" s="1" t="s">
        <v>8235</v>
      </c>
      <c r="J3859" s="1" t="s">
        <v>8236</v>
      </c>
      <c r="L3859" s="1" t="s">
        <v>1126</v>
      </c>
      <c r="N3859" s="1" t="s">
        <v>1127</v>
      </c>
      <c r="P3859" s="1" t="s">
        <v>1979</v>
      </c>
      <c r="Q3859" s="3">
        <v>0</v>
      </c>
      <c r="R3859" s="22" t="s">
        <v>2723</v>
      </c>
      <c r="T3859" s="3" t="s">
        <v>4868</v>
      </c>
      <c r="U3859" s="45">
        <v>35</v>
      </c>
      <c r="V3859" t="s">
        <v>8191</v>
      </c>
      <c r="W3859" s="1" t="str">
        <f>HYPERLINK("http://ictvonline.org/taxonomy/p/taxonomy-history?taxnode_id=201903099","ICTVonline=201903099")</f>
        <v>ICTVonline=201903099</v>
      </c>
    </row>
    <row r="3860" spans="1:23">
      <c r="A3860" s="3">
        <v>3859</v>
      </c>
      <c r="B3860" s="1" t="s">
        <v>5910</v>
      </c>
      <c r="D3860" s="1" t="s">
        <v>8187</v>
      </c>
      <c r="F3860" s="1" t="s">
        <v>8208</v>
      </c>
      <c r="H3860" s="1" t="s">
        <v>8235</v>
      </c>
      <c r="J3860" s="1" t="s">
        <v>8236</v>
      </c>
      <c r="L3860" s="1" t="s">
        <v>1126</v>
      </c>
      <c r="N3860" s="1" t="s">
        <v>1127</v>
      </c>
      <c r="P3860" s="1" t="s">
        <v>1163</v>
      </c>
      <c r="Q3860" s="3">
        <v>0</v>
      </c>
      <c r="R3860" s="22" t="s">
        <v>2723</v>
      </c>
      <c r="T3860" s="3" t="s">
        <v>4868</v>
      </c>
      <c r="U3860" s="45">
        <v>35</v>
      </c>
      <c r="V3860" t="s">
        <v>8191</v>
      </c>
      <c r="W3860" s="1" t="str">
        <f>HYPERLINK("http://ictvonline.org/taxonomy/p/taxonomy-history?taxnode_id=201903100","ICTVonline=201903100")</f>
        <v>ICTVonline=201903100</v>
      </c>
    </row>
    <row r="3861" spans="1:23">
      <c r="A3861" s="3">
        <v>3860</v>
      </c>
      <c r="B3861" s="1" t="s">
        <v>5910</v>
      </c>
      <c r="D3861" s="1" t="s">
        <v>8187</v>
      </c>
      <c r="F3861" s="1" t="s">
        <v>8208</v>
      </c>
      <c r="H3861" s="1" t="s">
        <v>8235</v>
      </c>
      <c r="J3861" s="1" t="s">
        <v>8236</v>
      </c>
      <c r="L3861" s="1" t="s">
        <v>1126</v>
      </c>
      <c r="N3861" s="1" t="s">
        <v>1127</v>
      </c>
      <c r="P3861" s="1" t="s">
        <v>1164</v>
      </c>
      <c r="Q3861" s="3">
        <v>0</v>
      </c>
      <c r="R3861" s="22" t="s">
        <v>2723</v>
      </c>
      <c r="T3861" s="3" t="s">
        <v>4868</v>
      </c>
      <c r="U3861" s="45">
        <v>35</v>
      </c>
      <c r="V3861" t="s">
        <v>8191</v>
      </c>
      <c r="W3861" s="1" t="str">
        <f>HYPERLINK("http://ictvonline.org/taxonomy/p/taxonomy-history?taxnode_id=201903101","ICTVonline=201903101")</f>
        <v>ICTVonline=201903101</v>
      </c>
    </row>
    <row r="3862" spans="1:23">
      <c r="A3862" s="3">
        <v>3861</v>
      </c>
      <c r="B3862" s="1" t="s">
        <v>5910</v>
      </c>
      <c r="D3862" s="1" t="s">
        <v>8187</v>
      </c>
      <c r="F3862" s="1" t="s">
        <v>8208</v>
      </c>
      <c r="H3862" s="1" t="s">
        <v>8235</v>
      </c>
      <c r="J3862" s="1" t="s">
        <v>8236</v>
      </c>
      <c r="L3862" s="1" t="s">
        <v>1126</v>
      </c>
      <c r="N3862" s="1" t="s">
        <v>1127</v>
      </c>
      <c r="P3862" s="1" t="s">
        <v>1165</v>
      </c>
      <c r="Q3862" s="3">
        <v>0</v>
      </c>
      <c r="R3862" s="22" t="s">
        <v>2723</v>
      </c>
      <c r="T3862" s="3" t="s">
        <v>4868</v>
      </c>
      <c r="U3862" s="45">
        <v>35</v>
      </c>
      <c r="V3862" t="s">
        <v>8191</v>
      </c>
      <c r="W3862" s="1" t="str">
        <f>HYPERLINK("http://ictvonline.org/taxonomy/p/taxonomy-history?taxnode_id=201903102","ICTVonline=201903102")</f>
        <v>ICTVonline=201903102</v>
      </c>
    </row>
    <row r="3863" spans="1:23">
      <c r="A3863" s="3">
        <v>3862</v>
      </c>
      <c r="B3863" s="1" t="s">
        <v>5910</v>
      </c>
      <c r="D3863" s="1" t="s">
        <v>8187</v>
      </c>
      <c r="F3863" s="1" t="s">
        <v>8208</v>
      </c>
      <c r="H3863" s="1" t="s">
        <v>8235</v>
      </c>
      <c r="J3863" s="1" t="s">
        <v>8236</v>
      </c>
      <c r="L3863" s="1" t="s">
        <v>1126</v>
      </c>
      <c r="N3863" s="1" t="s">
        <v>1127</v>
      </c>
      <c r="P3863" s="1" t="s">
        <v>716</v>
      </c>
      <c r="Q3863" s="3">
        <v>0</v>
      </c>
      <c r="R3863" s="22" t="s">
        <v>2723</v>
      </c>
      <c r="T3863" s="3" t="s">
        <v>4868</v>
      </c>
      <c r="U3863" s="45">
        <v>35</v>
      </c>
      <c r="V3863" t="s">
        <v>8191</v>
      </c>
      <c r="W3863" s="1" t="str">
        <f>HYPERLINK("http://ictvonline.org/taxonomy/p/taxonomy-history?taxnode_id=201903103","ICTVonline=201903103")</f>
        <v>ICTVonline=201903103</v>
      </c>
    </row>
    <row r="3864" spans="1:23">
      <c r="A3864" s="3">
        <v>3863</v>
      </c>
      <c r="B3864" s="1" t="s">
        <v>5910</v>
      </c>
      <c r="D3864" s="1" t="s">
        <v>8187</v>
      </c>
      <c r="F3864" s="1" t="s">
        <v>8208</v>
      </c>
      <c r="H3864" s="1" t="s">
        <v>8235</v>
      </c>
      <c r="J3864" s="1" t="s">
        <v>8236</v>
      </c>
      <c r="L3864" s="1" t="s">
        <v>1126</v>
      </c>
      <c r="N3864" s="1" t="s">
        <v>1127</v>
      </c>
      <c r="P3864" s="1" t="s">
        <v>717</v>
      </c>
      <c r="Q3864" s="3">
        <v>0</v>
      </c>
      <c r="R3864" s="22" t="s">
        <v>2723</v>
      </c>
      <c r="T3864" s="3" t="s">
        <v>4868</v>
      </c>
      <c r="U3864" s="45">
        <v>35</v>
      </c>
      <c r="V3864" t="s">
        <v>8191</v>
      </c>
      <c r="W3864" s="1" t="str">
        <f>HYPERLINK("http://ictvonline.org/taxonomy/p/taxonomy-history?taxnode_id=201903104","ICTVonline=201903104")</f>
        <v>ICTVonline=201903104</v>
      </c>
    </row>
    <row r="3865" spans="1:23">
      <c r="A3865" s="3">
        <v>3864</v>
      </c>
      <c r="B3865" s="1" t="s">
        <v>5910</v>
      </c>
      <c r="D3865" s="1" t="s">
        <v>8187</v>
      </c>
      <c r="F3865" s="1" t="s">
        <v>8208</v>
      </c>
      <c r="H3865" s="1" t="s">
        <v>8235</v>
      </c>
      <c r="J3865" s="1" t="s">
        <v>8236</v>
      </c>
      <c r="L3865" s="1" t="s">
        <v>1126</v>
      </c>
      <c r="N3865" s="1" t="s">
        <v>1127</v>
      </c>
      <c r="P3865" s="1" t="s">
        <v>718</v>
      </c>
      <c r="Q3865" s="3">
        <v>0</v>
      </c>
      <c r="R3865" s="22" t="s">
        <v>2723</v>
      </c>
      <c r="T3865" s="3" t="s">
        <v>4868</v>
      </c>
      <c r="U3865" s="45">
        <v>35</v>
      </c>
      <c r="V3865" t="s">
        <v>8191</v>
      </c>
      <c r="W3865" s="1" t="str">
        <f>HYPERLINK("http://ictvonline.org/taxonomy/p/taxonomy-history?taxnode_id=201903105","ICTVonline=201903105")</f>
        <v>ICTVonline=201903105</v>
      </c>
    </row>
    <row r="3866" spans="1:23">
      <c r="A3866" s="3">
        <v>3865</v>
      </c>
      <c r="B3866" s="1" t="s">
        <v>5910</v>
      </c>
      <c r="D3866" s="1" t="s">
        <v>8187</v>
      </c>
      <c r="F3866" s="1" t="s">
        <v>8208</v>
      </c>
      <c r="H3866" s="1" t="s">
        <v>8235</v>
      </c>
      <c r="J3866" s="1" t="s">
        <v>8236</v>
      </c>
      <c r="L3866" s="1" t="s">
        <v>1126</v>
      </c>
      <c r="N3866" s="1" t="s">
        <v>1127</v>
      </c>
      <c r="P3866" s="1" t="s">
        <v>719</v>
      </c>
      <c r="Q3866" s="3">
        <v>0</v>
      </c>
      <c r="R3866" s="22" t="s">
        <v>2723</v>
      </c>
      <c r="T3866" s="3" t="s">
        <v>4868</v>
      </c>
      <c r="U3866" s="45">
        <v>35</v>
      </c>
      <c r="V3866" t="s">
        <v>8191</v>
      </c>
      <c r="W3866" s="1" t="str">
        <f>HYPERLINK("http://ictvonline.org/taxonomy/p/taxonomy-history?taxnode_id=201903106","ICTVonline=201903106")</f>
        <v>ICTVonline=201903106</v>
      </c>
    </row>
    <row r="3867" spans="1:23">
      <c r="A3867" s="3">
        <v>3866</v>
      </c>
      <c r="B3867" s="1" t="s">
        <v>5910</v>
      </c>
      <c r="D3867" s="1" t="s">
        <v>8187</v>
      </c>
      <c r="F3867" s="1" t="s">
        <v>8208</v>
      </c>
      <c r="H3867" s="1" t="s">
        <v>8235</v>
      </c>
      <c r="J3867" s="1" t="s">
        <v>8236</v>
      </c>
      <c r="L3867" s="1" t="s">
        <v>1126</v>
      </c>
      <c r="N3867" s="1" t="s">
        <v>1127</v>
      </c>
      <c r="P3867" s="1" t="s">
        <v>720</v>
      </c>
      <c r="Q3867" s="3">
        <v>0</v>
      </c>
      <c r="R3867" s="22" t="s">
        <v>2723</v>
      </c>
      <c r="T3867" s="3" t="s">
        <v>4868</v>
      </c>
      <c r="U3867" s="45">
        <v>35</v>
      </c>
      <c r="V3867" t="s">
        <v>8191</v>
      </c>
      <c r="W3867" s="1" t="str">
        <f>HYPERLINK("http://ictvonline.org/taxonomy/p/taxonomy-history?taxnode_id=201903107","ICTVonline=201903107")</f>
        <v>ICTVonline=201903107</v>
      </c>
    </row>
    <row r="3868" spans="1:23">
      <c r="A3868" s="3">
        <v>3867</v>
      </c>
      <c r="B3868" s="1" t="s">
        <v>5910</v>
      </c>
      <c r="D3868" s="1" t="s">
        <v>8187</v>
      </c>
      <c r="F3868" s="1" t="s">
        <v>8208</v>
      </c>
      <c r="H3868" s="1" t="s">
        <v>8235</v>
      </c>
      <c r="J3868" s="1" t="s">
        <v>8236</v>
      </c>
      <c r="L3868" s="1" t="s">
        <v>1126</v>
      </c>
      <c r="N3868" s="1" t="s">
        <v>1127</v>
      </c>
      <c r="P3868" s="1" t="s">
        <v>5325</v>
      </c>
      <c r="Q3868" s="3">
        <v>0</v>
      </c>
      <c r="R3868" s="22" t="s">
        <v>2723</v>
      </c>
      <c r="T3868" s="3" t="s">
        <v>4868</v>
      </c>
      <c r="U3868" s="45">
        <v>35</v>
      </c>
      <c r="V3868" t="s">
        <v>8191</v>
      </c>
      <c r="W3868" s="1" t="str">
        <f>HYPERLINK("http://ictvonline.org/taxonomy/p/taxonomy-history?taxnode_id=201903112","ICTVonline=201903112")</f>
        <v>ICTVonline=201903112</v>
      </c>
    </row>
    <row r="3869" spans="1:23">
      <c r="A3869" s="3">
        <v>3868</v>
      </c>
      <c r="B3869" s="1" t="s">
        <v>5910</v>
      </c>
      <c r="D3869" s="1" t="s">
        <v>8187</v>
      </c>
      <c r="F3869" s="1" t="s">
        <v>8208</v>
      </c>
      <c r="H3869" s="1" t="s">
        <v>8235</v>
      </c>
      <c r="J3869" s="1" t="s">
        <v>8236</v>
      </c>
      <c r="L3869" s="1" t="s">
        <v>1126</v>
      </c>
      <c r="N3869" s="1" t="s">
        <v>1127</v>
      </c>
      <c r="P3869" s="1" t="s">
        <v>721</v>
      </c>
      <c r="Q3869" s="3">
        <v>0</v>
      </c>
      <c r="R3869" s="22" t="s">
        <v>2723</v>
      </c>
      <c r="T3869" s="3" t="s">
        <v>4868</v>
      </c>
      <c r="U3869" s="45">
        <v>35</v>
      </c>
      <c r="V3869" t="s">
        <v>8191</v>
      </c>
      <c r="W3869" s="1" t="str">
        <f>HYPERLINK("http://ictvonline.org/taxonomy/p/taxonomy-history?taxnode_id=201903108","ICTVonline=201903108")</f>
        <v>ICTVonline=201903108</v>
      </c>
    </row>
    <row r="3870" spans="1:23">
      <c r="A3870" s="3">
        <v>3869</v>
      </c>
      <c r="B3870" s="1" t="s">
        <v>5910</v>
      </c>
      <c r="D3870" s="1" t="s">
        <v>8187</v>
      </c>
      <c r="F3870" s="1" t="s">
        <v>8208</v>
      </c>
      <c r="H3870" s="1" t="s">
        <v>8235</v>
      </c>
      <c r="J3870" s="1" t="s">
        <v>8236</v>
      </c>
      <c r="L3870" s="1" t="s">
        <v>1126</v>
      </c>
      <c r="N3870" s="1" t="s">
        <v>1127</v>
      </c>
      <c r="P3870" s="1" t="s">
        <v>722</v>
      </c>
      <c r="Q3870" s="3">
        <v>0</v>
      </c>
      <c r="R3870" s="22" t="s">
        <v>2723</v>
      </c>
      <c r="T3870" s="3" t="s">
        <v>4868</v>
      </c>
      <c r="U3870" s="45">
        <v>35</v>
      </c>
      <c r="V3870" t="s">
        <v>8191</v>
      </c>
      <c r="W3870" s="1" t="str">
        <f>HYPERLINK("http://ictvonline.org/taxonomy/p/taxonomy-history?taxnode_id=201903109","ICTVonline=201903109")</f>
        <v>ICTVonline=201903109</v>
      </c>
    </row>
    <row r="3871" spans="1:23">
      <c r="A3871" s="3">
        <v>3870</v>
      </c>
      <c r="B3871" s="1" t="s">
        <v>5910</v>
      </c>
      <c r="D3871" s="1" t="s">
        <v>8187</v>
      </c>
      <c r="F3871" s="1" t="s">
        <v>8208</v>
      </c>
      <c r="H3871" s="1" t="s">
        <v>8235</v>
      </c>
      <c r="J3871" s="1" t="s">
        <v>8236</v>
      </c>
      <c r="L3871" s="1" t="s">
        <v>1126</v>
      </c>
      <c r="N3871" s="1" t="s">
        <v>1127</v>
      </c>
      <c r="P3871" s="1" t="s">
        <v>1171</v>
      </c>
      <c r="Q3871" s="3">
        <v>0</v>
      </c>
      <c r="R3871" s="22" t="s">
        <v>2723</v>
      </c>
      <c r="T3871" s="3" t="s">
        <v>4868</v>
      </c>
      <c r="U3871" s="45">
        <v>35</v>
      </c>
      <c r="V3871" t="s">
        <v>8191</v>
      </c>
      <c r="W3871" s="1" t="str">
        <f>HYPERLINK("http://ictvonline.org/taxonomy/p/taxonomy-history?taxnode_id=201903110","ICTVonline=201903110")</f>
        <v>ICTVonline=201903110</v>
      </c>
    </row>
    <row r="3872" spans="1:23">
      <c r="A3872" s="3">
        <v>3871</v>
      </c>
      <c r="B3872" s="1" t="s">
        <v>5910</v>
      </c>
      <c r="D3872" s="1" t="s">
        <v>8187</v>
      </c>
      <c r="F3872" s="1" t="s">
        <v>8208</v>
      </c>
      <c r="H3872" s="1" t="s">
        <v>8235</v>
      </c>
      <c r="J3872" s="1" t="s">
        <v>8236</v>
      </c>
      <c r="L3872" s="1" t="s">
        <v>1126</v>
      </c>
      <c r="N3872" s="1" t="s">
        <v>1127</v>
      </c>
      <c r="P3872" s="1" t="s">
        <v>1172</v>
      </c>
      <c r="Q3872" s="3">
        <v>0</v>
      </c>
      <c r="R3872" s="22" t="s">
        <v>2723</v>
      </c>
      <c r="T3872" s="3" t="s">
        <v>4868</v>
      </c>
      <c r="U3872" s="45">
        <v>35</v>
      </c>
      <c r="V3872" t="s">
        <v>8191</v>
      </c>
      <c r="W3872" s="1" t="str">
        <f>HYPERLINK("http://ictvonline.org/taxonomy/p/taxonomy-history?taxnode_id=201903111","ICTVonline=201903111")</f>
        <v>ICTVonline=201903111</v>
      </c>
    </row>
    <row r="3873" spans="1:23">
      <c r="A3873" s="3">
        <v>3872</v>
      </c>
      <c r="B3873" s="1" t="s">
        <v>5910</v>
      </c>
      <c r="D3873" s="1" t="s">
        <v>8187</v>
      </c>
      <c r="F3873" s="1" t="s">
        <v>8208</v>
      </c>
      <c r="H3873" s="1" t="s">
        <v>8235</v>
      </c>
      <c r="J3873" s="1" t="s">
        <v>8236</v>
      </c>
      <c r="L3873" s="1" t="s">
        <v>1126</v>
      </c>
      <c r="N3873" s="1" t="s">
        <v>1127</v>
      </c>
      <c r="P3873" s="1" t="s">
        <v>1173</v>
      </c>
      <c r="Q3873" s="3">
        <v>0</v>
      </c>
      <c r="R3873" s="22" t="s">
        <v>2723</v>
      </c>
      <c r="T3873" s="3" t="s">
        <v>4868</v>
      </c>
      <c r="U3873" s="45">
        <v>35</v>
      </c>
      <c r="V3873" t="s">
        <v>8191</v>
      </c>
      <c r="W3873" s="1" t="str">
        <f>HYPERLINK("http://ictvonline.org/taxonomy/p/taxonomy-history?taxnode_id=201903113","ICTVonline=201903113")</f>
        <v>ICTVonline=201903113</v>
      </c>
    </row>
    <row r="3874" spans="1:23">
      <c r="A3874" s="3">
        <v>3873</v>
      </c>
      <c r="B3874" s="1" t="s">
        <v>5910</v>
      </c>
      <c r="D3874" s="1" t="s">
        <v>8187</v>
      </c>
      <c r="F3874" s="1" t="s">
        <v>8208</v>
      </c>
      <c r="H3874" s="1" t="s">
        <v>8235</v>
      </c>
      <c r="J3874" s="1" t="s">
        <v>8236</v>
      </c>
      <c r="L3874" s="1" t="s">
        <v>1126</v>
      </c>
      <c r="N3874" s="1" t="s">
        <v>1127</v>
      </c>
      <c r="P3874" s="1" t="s">
        <v>1174</v>
      </c>
      <c r="Q3874" s="3">
        <v>0</v>
      </c>
      <c r="R3874" s="22" t="s">
        <v>2723</v>
      </c>
      <c r="T3874" s="3" t="s">
        <v>4868</v>
      </c>
      <c r="U3874" s="45">
        <v>35</v>
      </c>
      <c r="V3874" t="s">
        <v>8191</v>
      </c>
      <c r="W3874" s="1" t="str">
        <f>HYPERLINK("http://ictvonline.org/taxonomy/p/taxonomy-history?taxnode_id=201903114","ICTVonline=201903114")</f>
        <v>ICTVonline=201903114</v>
      </c>
    </row>
    <row r="3875" spans="1:23">
      <c r="A3875" s="3">
        <v>3874</v>
      </c>
      <c r="B3875" s="1" t="s">
        <v>5910</v>
      </c>
      <c r="D3875" s="1" t="s">
        <v>8187</v>
      </c>
      <c r="F3875" s="1" t="s">
        <v>8208</v>
      </c>
      <c r="H3875" s="1" t="s">
        <v>8235</v>
      </c>
      <c r="J3875" s="1" t="s">
        <v>8236</v>
      </c>
      <c r="L3875" s="1" t="s">
        <v>1126</v>
      </c>
      <c r="N3875" s="1" t="s">
        <v>1127</v>
      </c>
      <c r="P3875" s="1" t="s">
        <v>1175</v>
      </c>
      <c r="Q3875" s="3">
        <v>0</v>
      </c>
      <c r="R3875" s="22" t="s">
        <v>2723</v>
      </c>
      <c r="T3875" s="3" t="s">
        <v>4868</v>
      </c>
      <c r="U3875" s="45">
        <v>35</v>
      </c>
      <c r="V3875" t="s">
        <v>8191</v>
      </c>
      <c r="W3875" s="1" t="str">
        <f>HYPERLINK("http://ictvonline.org/taxonomy/p/taxonomy-history?taxnode_id=201903115","ICTVonline=201903115")</f>
        <v>ICTVonline=201903115</v>
      </c>
    </row>
    <row r="3876" spans="1:23">
      <c r="A3876" s="3">
        <v>3875</v>
      </c>
      <c r="B3876" s="1" t="s">
        <v>5910</v>
      </c>
      <c r="D3876" s="1" t="s">
        <v>8187</v>
      </c>
      <c r="F3876" s="1" t="s">
        <v>8208</v>
      </c>
      <c r="H3876" s="1" t="s">
        <v>8235</v>
      </c>
      <c r="J3876" s="1" t="s">
        <v>8236</v>
      </c>
      <c r="L3876" s="1" t="s">
        <v>1126</v>
      </c>
      <c r="N3876" s="1" t="s">
        <v>1127</v>
      </c>
      <c r="P3876" s="1" t="s">
        <v>1176</v>
      </c>
      <c r="Q3876" s="3">
        <v>0</v>
      </c>
      <c r="R3876" s="22" t="s">
        <v>2723</v>
      </c>
      <c r="T3876" s="3" t="s">
        <v>4868</v>
      </c>
      <c r="U3876" s="45">
        <v>35</v>
      </c>
      <c r="V3876" t="s">
        <v>8191</v>
      </c>
      <c r="W3876" s="1" t="str">
        <f>HYPERLINK("http://ictvonline.org/taxonomy/p/taxonomy-history?taxnode_id=201903116","ICTVonline=201903116")</f>
        <v>ICTVonline=201903116</v>
      </c>
    </row>
    <row r="3877" spans="1:23">
      <c r="A3877" s="3">
        <v>3876</v>
      </c>
      <c r="B3877" s="1" t="s">
        <v>5910</v>
      </c>
      <c r="D3877" s="1" t="s">
        <v>8187</v>
      </c>
      <c r="F3877" s="1" t="s">
        <v>8208</v>
      </c>
      <c r="H3877" s="1" t="s">
        <v>8235</v>
      </c>
      <c r="J3877" s="1" t="s">
        <v>8236</v>
      </c>
      <c r="L3877" s="1" t="s">
        <v>1126</v>
      </c>
      <c r="N3877" s="1" t="s">
        <v>1127</v>
      </c>
      <c r="P3877" s="1" t="s">
        <v>1177</v>
      </c>
      <c r="Q3877" s="3">
        <v>0</v>
      </c>
      <c r="R3877" s="22" t="s">
        <v>2723</v>
      </c>
      <c r="T3877" s="3" t="s">
        <v>4868</v>
      </c>
      <c r="U3877" s="45">
        <v>35</v>
      </c>
      <c r="V3877" t="s">
        <v>8191</v>
      </c>
      <c r="W3877" s="1" t="str">
        <f>HYPERLINK("http://ictvonline.org/taxonomy/p/taxonomy-history?taxnode_id=201903117","ICTVonline=201903117")</f>
        <v>ICTVonline=201903117</v>
      </c>
    </row>
    <row r="3878" spans="1:23">
      <c r="A3878" s="3">
        <v>3877</v>
      </c>
      <c r="B3878" s="1" t="s">
        <v>5910</v>
      </c>
      <c r="D3878" s="1" t="s">
        <v>8187</v>
      </c>
      <c r="F3878" s="1" t="s">
        <v>8208</v>
      </c>
      <c r="H3878" s="1" t="s">
        <v>8235</v>
      </c>
      <c r="J3878" s="1" t="s">
        <v>8236</v>
      </c>
      <c r="L3878" s="1" t="s">
        <v>1126</v>
      </c>
      <c r="N3878" s="1" t="s">
        <v>1127</v>
      </c>
      <c r="P3878" s="1" t="s">
        <v>1178</v>
      </c>
      <c r="Q3878" s="3">
        <v>0</v>
      </c>
      <c r="R3878" s="22" t="s">
        <v>2723</v>
      </c>
      <c r="T3878" s="3" t="s">
        <v>4868</v>
      </c>
      <c r="U3878" s="45">
        <v>35</v>
      </c>
      <c r="V3878" t="s">
        <v>8191</v>
      </c>
      <c r="W3878" s="1" t="str">
        <f>HYPERLINK("http://ictvonline.org/taxonomy/p/taxonomy-history?taxnode_id=201903118","ICTVonline=201903118")</f>
        <v>ICTVonline=201903118</v>
      </c>
    </row>
    <row r="3879" spans="1:23">
      <c r="A3879" s="3">
        <v>3878</v>
      </c>
      <c r="B3879" s="1" t="s">
        <v>5910</v>
      </c>
      <c r="D3879" s="1" t="s">
        <v>8187</v>
      </c>
      <c r="F3879" s="1" t="s">
        <v>8208</v>
      </c>
      <c r="H3879" s="1" t="s">
        <v>8235</v>
      </c>
      <c r="J3879" s="1" t="s">
        <v>8236</v>
      </c>
      <c r="L3879" s="1" t="s">
        <v>1126</v>
      </c>
      <c r="N3879" s="1" t="s">
        <v>1127</v>
      </c>
      <c r="P3879" s="1" t="s">
        <v>1179</v>
      </c>
      <c r="Q3879" s="3">
        <v>0</v>
      </c>
      <c r="R3879" s="22" t="s">
        <v>2723</v>
      </c>
      <c r="T3879" s="3" t="s">
        <v>4868</v>
      </c>
      <c r="U3879" s="45">
        <v>35</v>
      </c>
      <c r="V3879" t="s">
        <v>8191</v>
      </c>
      <c r="W3879" s="1" t="str">
        <f>HYPERLINK("http://ictvonline.org/taxonomy/p/taxonomy-history?taxnode_id=201903119","ICTVonline=201903119")</f>
        <v>ICTVonline=201903119</v>
      </c>
    </row>
    <row r="3880" spans="1:23">
      <c r="A3880" s="3">
        <v>3879</v>
      </c>
      <c r="B3880" s="1" t="s">
        <v>5910</v>
      </c>
      <c r="D3880" s="1" t="s">
        <v>8187</v>
      </c>
      <c r="F3880" s="1" t="s">
        <v>8208</v>
      </c>
      <c r="H3880" s="1" t="s">
        <v>8235</v>
      </c>
      <c r="J3880" s="1" t="s">
        <v>8236</v>
      </c>
      <c r="L3880" s="1" t="s">
        <v>1126</v>
      </c>
      <c r="N3880" s="1" t="s">
        <v>1127</v>
      </c>
      <c r="P3880" s="1" t="s">
        <v>1180</v>
      </c>
      <c r="Q3880" s="3">
        <v>0</v>
      </c>
      <c r="R3880" s="22" t="s">
        <v>2723</v>
      </c>
      <c r="T3880" s="3" t="s">
        <v>4868</v>
      </c>
      <c r="U3880" s="45">
        <v>35</v>
      </c>
      <c r="V3880" t="s">
        <v>8191</v>
      </c>
      <c r="W3880" s="1" t="str">
        <f>HYPERLINK("http://ictvonline.org/taxonomy/p/taxonomy-history?taxnode_id=201903120","ICTVonline=201903120")</f>
        <v>ICTVonline=201903120</v>
      </c>
    </row>
    <row r="3881" spans="1:23">
      <c r="A3881" s="3">
        <v>3880</v>
      </c>
      <c r="B3881" s="1" t="s">
        <v>5910</v>
      </c>
      <c r="D3881" s="1" t="s">
        <v>8187</v>
      </c>
      <c r="F3881" s="1" t="s">
        <v>8208</v>
      </c>
      <c r="H3881" s="1" t="s">
        <v>8235</v>
      </c>
      <c r="J3881" s="1" t="s">
        <v>8236</v>
      </c>
      <c r="L3881" s="1" t="s">
        <v>1126</v>
      </c>
      <c r="N3881" s="1" t="s">
        <v>1127</v>
      </c>
      <c r="P3881" s="1" t="s">
        <v>1181</v>
      </c>
      <c r="Q3881" s="3">
        <v>1</v>
      </c>
      <c r="R3881" s="22" t="s">
        <v>2723</v>
      </c>
      <c r="T3881" s="3" t="s">
        <v>4868</v>
      </c>
      <c r="U3881" s="45">
        <v>35</v>
      </c>
      <c r="V3881" t="s">
        <v>8191</v>
      </c>
      <c r="W3881" s="1" t="str">
        <f>HYPERLINK("http://ictvonline.org/taxonomy/p/taxonomy-history?taxnode_id=201903121","ICTVonline=201903121")</f>
        <v>ICTVonline=201903121</v>
      </c>
    </row>
    <row r="3882" spans="1:23">
      <c r="A3882" s="3">
        <v>3881</v>
      </c>
      <c r="B3882" s="1" t="s">
        <v>5910</v>
      </c>
      <c r="D3882" s="1" t="s">
        <v>8187</v>
      </c>
      <c r="F3882" s="1" t="s">
        <v>8208</v>
      </c>
      <c r="H3882" s="1" t="s">
        <v>8235</v>
      </c>
      <c r="J3882" s="1" t="s">
        <v>8236</v>
      </c>
      <c r="L3882" s="1" t="s">
        <v>1126</v>
      </c>
      <c r="N3882" s="1" t="s">
        <v>1127</v>
      </c>
      <c r="P3882" s="1" t="s">
        <v>1182</v>
      </c>
      <c r="Q3882" s="3">
        <v>0</v>
      </c>
      <c r="R3882" s="22" t="s">
        <v>2723</v>
      </c>
      <c r="T3882" s="3" t="s">
        <v>4868</v>
      </c>
      <c r="U3882" s="45">
        <v>35</v>
      </c>
      <c r="V3882" t="s">
        <v>8191</v>
      </c>
      <c r="W3882" s="1" t="str">
        <f>HYPERLINK("http://ictvonline.org/taxonomy/p/taxonomy-history?taxnode_id=201903122","ICTVonline=201903122")</f>
        <v>ICTVonline=201903122</v>
      </c>
    </row>
    <row r="3883" spans="1:23">
      <c r="A3883" s="3">
        <v>3882</v>
      </c>
      <c r="B3883" s="1" t="s">
        <v>5910</v>
      </c>
      <c r="D3883" s="1" t="s">
        <v>8187</v>
      </c>
      <c r="F3883" s="1" t="s">
        <v>8208</v>
      </c>
      <c r="H3883" s="1" t="s">
        <v>8235</v>
      </c>
      <c r="J3883" s="1" t="s">
        <v>8236</v>
      </c>
      <c r="L3883" s="1" t="s">
        <v>1126</v>
      </c>
      <c r="N3883" s="1" t="s">
        <v>1127</v>
      </c>
      <c r="P3883" s="1" t="s">
        <v>1183</v>
      </c>
      <c r="Q3883" s="3">
        <v>0</v>
      </c>
      <c r="R3883" s="22" t="s">
        <v>2723</v>
      </c>
      <c r="T3883" s="3" t="s">
        <v>4868</v>
      </c>
      <c r="U3883" s="45">
        <v>35</v>
      </c>
      <c r="V3883" t="s">
        <v>8191</v>
      </c>
      <c r="W3883" s="1" t="str">
        <f>HYPERLINK("http://ictvonline.org/taxonomy/p/taxonomy-history?taxnode_id=201903123","ICTVonline=201903123")</f>
        <v>ICTVonline=201903123</v>
      </c>
    </row>
    <row r="3884" spans="1:23">
      <c r="A3884" s="3">
        <v>3883</v>
      </c>
      <c r="B3884" s="1" t="s">
        <v>5910</v>
      </c>
      <c r="D3884" s="1" t="s">
        <v>8187</v>
      </c>
      <c r="F3884" s="1" t="s">
        <v>8208</v>
      </c>
      <c r="H3884" s="1" t="s">
        <v>8235</v>
      </c>
      <c r="J3884" s="1" t="s">
        <v>8236</v>
      </c>
      <c r="L3884" s="1" t="s">
        <v>1126</v>
      </c>
      <c r="N3884" s="1" t="s">
        <v>1184</v>
      </c>
      <c r="P3884" s="1" t="s">
        <v>4624</v>
      </c>
      <c r="Q3884" s="3">
        <v>0</v>
      </c>
      <c r="R3884" s="22" t="s">
        <v>2723</v>
      </c>
      <c r="T3884" s="3" t="s">
        <v>4868</v>
      </c>
      <c r="U3884" s="45">
        <v>35</v>
      </c>
      <c r="V3884" t="s">
        <v>8191</v>
      </c>
      <c r="W3884" s="1" t="str">
        <f>HYPERLINK("http://ictvonline.org/taxonomy/p/taxonomy-history?taxnode_id=201903125","ICTVonline=201903125")</f>
        <v>ICTVonline=201903125</v>
      </c>
    </row>
    <row r="3885" spans="1:23">
      <c r="A3885" s="3">
        <v>3884</v>
      </c>
      <c r="B3885" s="1" t="s">
        <v>5910</v>
      </c>
      <c r="D3885" s="1" t="s">
        <v>8187</v>
      </c>
      <c r="F3885" s="1" t="s">
        <v>8208</v>
      </c>
      <c r="H3885" s="1" t="s">
        <v>8235</v>
      </c>
      <c r="J3885" s="1" t="s">
        <v>8236</v>
      </c>
      <c r="L3885" s="1" t="s">
        <v>1126</v>
      </c>
      <c r="N3885" s="1" t="s">
        <v>1184</v>
      </c>
      <c r="P3885" s="1" t="s">
        <v>4625</v>
      </c>
      <c r="Q3885" s="3">
        <v>0</v>
      </c>
      <c r="R3885" s="22" t="s">
        <v>2723</v>
      </c>
      <c r="T3885" s="3" t="s">
        <v>4868</v>
      </c>
      <c r="U3885" s="45">
        <v>35</v>
      </c>
      <c r="V3885" t="s">
        <v>8191</v>
      </c>
      <c r="W3885" s="1" t="str">
        <f>HYPERLINK("http://ictvonline.org/taxonomy/p/taxonomy-history?taxnode_id=201903126","ICTVonline=201903126")</f>
        <v>ICTVonline=201903126</v>
      </c>
    </row>
    <row r="3886" spans="1:23">
      <c r="A3886" s="3">
        <v>3885</v>
      </c>
      <c r="B3886" s="1" t="s">
        <v>5910</v>
      </c>
      <c r="D3886" s="1" t="s">
        <v>8187</v>
      </c>
      <c r="F3886" s="1" t="s">
        <v>8208</v>
      </c>
      <c r="H3886" s="1" t="s">
        <v>8235</v>
      </c>
      <c r="J3886" s="1" t="s">
        <v>8236</v>
      </c>
      <c r="L3886" s="1" t="s">
        <v>1126</v>
      </c>
      <c r="N3886" s="1" t="s">
        <v>1184</v>
      </c>
      <c r="P3886" s="1" t="s">
        <v>4931</v>
      </c>
      <c r="Q3886" s="3">
        <v>1</v>
      </c>
      <c r="R3886" s="22" t="s">
        <v>2723</v>
      </c>
      <c r="T3886" s="3" t="s">
        <v>4868</v>
      </c>
      <c r="U3886" s="45">
        <v>35</v>
      </c>
      <c r="V3886" t="s">
        <v>8191</v>
      </c>
      <c r="W3886" s="1" t="str">
        <f>HYPERLINK("http://ictvonline.org/taxonomy/p/taxonomy-history?taxnode_id=201903127","ICTVonline=201903127")</f>
        <v>ICTVonline=201903127</v>
      </c>
    </row>
    <row r="3887" spans="1:23">
      <c r="A3887" s="3">
        <v>3886</v>
      </c>
      <c r="B3887" s="1" t="s">
        <v>5910</v>
      </c>
      <c r="D3887" s="1" t="s">
        <v>8187</v>
      </c>
      <c r="F3887" s="1" t="s">
        <v>8208</v>
      </c>
      <c r="H3887" s="1" t="s">
        <v>8235</v>
      </c>
      <c r="J3887" s="1" t="s">
        <v>8236</v>
      </c>
      <c r="L3887" s="1" t="s">
        <v>1126</v>
      </c>
      <c r="N3887" s="1" t="s">
        <v>1184</v>
      </c>
      <c r="P3887" s="1" t="s">
        <v>4626</v>
      </c>
      <c r="Q3887" s="3">
        <v>0</v>
      </c>
      <c r="R3887" s="22" t="s">
        <v>2723</v>
      </c>
      <c r="T3887" s="3" t="s">
        <v>4868</v>
      </c>
      <c r="U3887" s="45">
        <v>35</v>
      </c>
      <c r="V3887" t="s">
        <v>8191</v>
      </c>
      <c r="W3887" s="1" t="str">
        <f>HYPERLINK("http://ictvonline.org/taxonomy/p/taxonomy-history?taxnode_id=201903128","ICTVonline=201903128")</f>
        <v>ICTVonline=201903128</v>
      </c>
    </row>
    <row r="3888" spans="1:23">
      <c r="A3888" s="3">
        <v>3887</v>
      </c>
      <c r="B3888" s="1" t="s">
        <v>5910</v>
      </c>
      <c r="D3888" s="1" t="s">
        <v>8187</v>
      </c>
      <c r="F3888" s="1" t="s">
        <v>8208</v>
      </c>
      <c r="H3888" s="1" t="s">
        <v>8235</v>
      </c>
      <c r="J3888" s="1" t="s">
        <v>8236</v>
      </c>
      <c r="L3888" s="1" t="s">
        <v>1126</v>
      </c>
      <c r="N3888" s="1" t="s">
        <v>1184</v>
      </c>
      <c r="P3888" s="1" t="s">
        <v>4627</v>
      </c>
      <c r="Q3888" s="3">
        <v>0</v>
      </c>
      <c r="R3888" s="22" t="s">
        <v>2723</v>
      </c>
      <c r="T3888" s="3" t="s">
        <v>4868</v>
      </c>
      <c r="U3888" s="45">
        <v>35</v>
      </c>
      <c r="V3888" t="s">
        <v>8191</v>
      </c>
      <c r="W3888" s="1" t="str">
        <f>HYPERLINK("http://ictvonline.org/taxonomy/p/taxonomy-history?taxnode_id=201903129","ICTVonline=201903129")</f>
        <v>ICTVonline=201903129</v>
      </c>
    </row>
    <row r="3889" spans="1:23">
      <c r="A3889" s="3">
        <v>3888</v>
      </c>
      <c r="B3889" s="1" t="s">
        <v>5910</v>
      </c>
      <c r="D3889" s="1" t="s">
        <v>8187</v>
      </c>
      <c r="F3889" s="1" t="s">
        <v>8208</v>
      </c>
      <c r="H3889" s="1" t="s">
        <v>8235</v>
      </c>
      <c r="J3889" s="1" t="s">
        <v>8236</v>
      </c>
      <c r="L3889" s="1" t="s">
        <v>1126</v>
      </c>
      <c r="N3889" s="1" t="s">
        <v>1184</v>
      </c>
      <c r="P3889" s="1" t="s">
        <v>4628</v>
      </c>
      <c r="Q3889" s="3">
        <v>0</v>
      </c>
      <c r="R3889" s="22" t="s">
        <v>2723</v>
      </c>
      <c r="T3889" s="3" t="s">
        <v>4868</v>
      </c>
      <c r="U3889" s="45">
        <v>35</v>
      </c>
      <c r="V3889" t="s">
        <v>8191</v>
      </c>
      <c r="W3889" s="1" t="str">
        <f>HYPERLINK("http://ictvonline.org/taxonomy/p/taxonomy-history?taxnode_id=201903130","ICTVonline=201903130")</f>
        <v>ICTVonline=201903130</v>
      </c>
    </row>
    <row r="3890" spans="1:23">
      <c r="A3890" s="3">
        <v>3889</v>
      </c>
      <c r="B3890" s="1" t="s">
        <v>5910</v>
      </c>
      <c r="D3890" s="1" t="s">
        <v>8187</v>
      </c>
      <c r="F3890" s="1" t="s">
        <v>8208</v>
      </c>
      <c r="H3890" s="1" t="s">
        <v>8235</v>
      </c>
      <c r="J3890" s="1" t="s">
        <v>8236</v>
      </c>
      <c r="L3890" s="1" t="s">
        <v>1126</v>
      </c>
      <c r="N3890" s="1" t="s">
        <v>1184</v>
      </c>
      <c r="P3890" s="1" t="s">
        <v>4629</v>
      </c>
      <c r="Q3890" s="3">
        <v>0</v>
      </c>
      <c r="R3890" s="22" t="s">
        <v>2723</v>
      </c>
      <c r="T3890" s="3" t="s">
        <v>4868</v>
      </c>
      <c r="U3890" s="45">
        <v>35</v>
      </c>
      <c r="V3890" t="s">
        <v>8191</v>
      </c>
      <c r="W3890" s="1" t="str">
        <f>HYPERLINK("http://ictvonline.org/taxonomy/p/taxonomy-history?taxnode_id=201903131","ICTVonline=201903131")</f>
        <v>ICTVonline=201903131</v>
      </c>
    </row>
    <row r="3891" spans="1:23">
      <c r="A3891" s="3">
        <v>3890</v>
      </c>
      <c r="B3891" s="1" t="s">
        <v>5910</v>
      </c>
      <c r="D3891" s="1" t="s">
        <v>8187</v>
      </c>
      <c r="F3891" s="1" t="s">
        <v>8208</v>
      </c>
      <c r="H3891" s="1" t="s">
        <v>8235</v>
      </c>
      <c r="J3891" s="1" t="s">
        <v>8236</v>
      </c>
      <c r="L3891" s="1" t="s">
        <v>1126</v>
      </c>
      <c r="N3891" s="1" t="s">
        <v>1184</v>
      </c>
      <c r="P3891" s="1" t="s">
        <v>4630</v>
      </c>
      <c r="Q3891" s="3">
        <v>0</v>
      </c>
      <c r="R3891" s="22" t="s">
        <v>2723</v>
      </c>
      <c r="T3891" s="3" t="s">
        <v>4868</v>
      </c>
      <c r="U3891" s="45">
        <v>35</v>
      </c>
      <c r="V3891" t="s">
        <v>8191</v>
      </c>
      <c r="W3891" s="1" t="str">
        <f>HYPERLINK("http://ictvonline.org/taxonomy/p/taxonomy-history?taxnode_id=201903132","ICTVonline=201903132")</f>
        <v>ICTVonline=201903132</v>
      </c>
    </row>
    <row r="3892" spans="1:23">
      <c r="A3892" s="3">
        <v>3891</v>
      </c>
      <c r="B3892" s="1" t="s">
        <v>5910</v>
      </c>
      <c r="D3892" s="1" t="s">
        <v>8187</v>
      </c>
      <c r="F3892" s="1" t="s">
        <v>8208</v>
      </c>
      <c r="H3892" s="1" t="s">
        <v>8235</v>
      </c>
      <c r="J3892" s="1" t="s">
        <v>8236</v>
      </c>
      <c r="L3892" s="1" t="s">
        <v>1126</v>
      </c>
      <c r="N3892" s="1" t="s">
        <v>1184</v>
      </c>
      <c r="P3892" s="1" t="s">
        <v>4631</v>
      </c>
      <c r="Q3892" s="3">
        <v>0</v>
      </c>
      <c r="R3892" s="22" t="s">
        <v>2723</v>
      </c>
      <c r="T3892" s="3" t="s">
        <v>4868</v>
      </c>
      <c r="U3892" s="45">
        <v>35</v>
      </c>
      <c r="V3892" t="s">
        <v>8191</v>
      </c>
      <c r="W3892" s="1" t="str">
        <f>HYPERLINK("http://ictvonline.org/taxonomy/p/taxonomy-history?taxnode_id=201903133","ICTVonline=201903133")</f>
        <v>ICTVonline=201903133</v>
      </c>
    </row>
    <row r="3893" spans="1:23">
      <c r="A3893" s="3">
        <v>3892</v>
      </c>
      <c r="B3893" s="1" t="s">
        <v>5910</v>
      </c>
      <c r="D3893" s="1" t="s">
        <v>8187</v>
      </c>
      <c r="F3893" s="1" t="s">
        <v>8208</v>
      </c>
      <c r="H3893" s="1" t="s">
        <v>8235</v>
      </c>
      <c r="J3893" s="1" t="s">
        <v>8236</v>
      </c>
      <c r="L3893" s="1" t="s">
        <v>1126</v>
      </c>
      <c r="N3893" s="1" t="s">
        <v>1184</v>
      </c>
      <c r="P3893" s="1" t="s">
        <v>4632</v>
      </c>
      <c r="Q3893" s="3">
        <v>0</v>
      </c>
      <c r="R3893" s="22" t="s">
        <v>2723</v>
      </c>
      <c r="T3893" s="3" t="s">
        <v>4868</v>
      </c>
      <c r="U3893" s="45">
        <v>35</v>
      </c>
      <c r="V3893" t="s">
        <v>8191</v>
      </c>
      <c r="W3893" s="1" t="str">
        <f>HYPERLINK("http://ictvonline.org/taxonomy/p/taxonomy-history?taxnode_id=201903134","ICTVonline=201903134")</f>
        <v>ICTVonline=201903134</v>
      </c>
    </row>
    <row r="3894" spans="1:23">
      <c r="A3894" s="3">
        <v>3893</v>
      </c>
      <c r="B3894" s="1" t="s">
        <v>5910</v>
      </c>
      <c r="D3894" s="1" t="s">
        <v>8187</v>
      </c>
      <c r="F3894" s="1" t="s">
        <v>8208</v>
      </c>
      <c r="H3894" s="1" t="s">
        <v>8235</v>
      </c>
      <c r="J3894" s="1" t="s">
        <v>8236</v>
      </c>
      <c r="L3894" s="1" t="s">
        <v>1126</v>
      </c>
      <c r="N3894" s="1" t="s">
        <v>1184</v>
      </c>
      <c r="P3894" s="1" t="s">
        <v>4633</v>
      </c>
      <c r="Q3894" s="3">
        <v>0</v>
      </c>
      <c r="R3894" s="22" t="s">
        <v>2723</v>
      </c>
      <c r="T3894" s="3" t="s">
        <v>4868</v>
      </c>
      <c r="U3894" s="45">
        <v>35</v>
      </c>
      <c r="V3894" t="s">
        <v>8191</v>
      </c>
      <c r="W3894" s="1" t="str">
        <f>HYPERLINK("http://ictvonline.org/taxonomy/p/taxonomy-history?taxnode_id=201903135","ICTVonline=201903135")</f>
        <v>ICTVonline=201903135</v>
      </c>
    </row>
    <row r="3895" spans="1:23">
      <c r="A3895" s="3">
        <v>3894</v>
      </c>
      <c r="B3895" s="1" t="s">
        <v>5910</v>
      </c>
      <c r="D3895" s="1" t="s">
        <v>8187</v>
      </c>
      <c r="F3895" s="1" t="s">
        <v>8208</v>
      </c>
      <c r="H3895" s="1" t="s">
        <v>8235</v>
      </c>
      <c r="J3895" s="1" t="s">
        <v>8236</v>
      </c>
      <c r="L3895" s="1" t="s">
        <v>1126</v>
      </c>
      <c r="N3895" s="1" t="s">
        <v>1184</v>
      </c>
      <c r="P3895" s="1" t="s">
        <v>4634</v>
      </c>
      <c r="Q3895" s="3">
        <v>0</v>
      </c>
      <c r="R3895" s="22" t="s">
        <v>2723</v>
      </c>
      <c r="T3895" s="3" t="s">
        <v>4868</v>
      </c>
      <c r="U3895" s="45">
        <v>35</v>
      </c>
      <c r="V3895" t="s">
        <v>8191</v>
      </c>
      <c r="W3895" s="1" t="str">
        <f>HYPERLINK("http://ictvonline.org/taxonomy/p/taxonomy-history?taxnode_id=201903136","ICTVonline=201903136")</f>
        <v>ICTVonline=201903136</v>
      </c>
    </row>
    <row r="3896" spans="1:23">
      <c r="A3896" s="3">
        <v>3895</v>
      </c>
      <c r="B3896" s="1" t="s">
        <v>5910</v>
      </c>
      <c r="D3896" s="1" t="s">
        <v>8187</v>
      </c>
      <c r="F3896" s="1" t="s">
        <v>8208</v>
      </c>
      <c r="H3896" s="1" t="s">
        <v>8235</v>
      </c>
      <c r="J3896" s="1" t="s">
        <v>8236</v>
      </c>
      <c r="L3896" s="1" t="s">
        <v>1126</v>
      </c>
      <c r="N3896" s="1" t="s">
        <v>1184</v>
      </c>
      <c r="P3896" s="1" t="s">
        <v>4635</v>
      </c>
      <c r="Q3896" s="3">
        <v>0</v>
      </c>
      <c r="R3896" s="22" t="s">
        <v>2723</v>
      </c>
      <c r="T3896" s="3" t="s">
        <v>4868</v>
      </c>
      <c r="U3896" s="45">
        <v>35</v>
      </c>
      <c r="V3896" t="s">
        <v>8191</v>
      </c>
      <c r="W3896" s="1" t="str">
        <f>HYPERLINK("http://ictvonline.org/taxonomy/p/taxonomy-history?taxnode_id=201903137","ICTVonline=201903137")</f>
        <v>ICTVonline=201903137</v>
      </c>
    </row>
    <row r="3897" spans="1:23">
      <c r="A3897" s="3">
        <v>3896</v>
      </c>
      <c r="B3897" s="1" t="s">
        <v>5910</v>
      </c>
      <c r="D3897" s="1" t="s">
        <v>8187</v>
      </c>
      <c r="F3897" s="1" t="s">
        <v>8208</v>
      </c>
      <c r="H3897" s="1" t="s">
        <v>8235</v>
      </c>
      <c r="J3897" s="1" t="s">
        <v>8236</v>
      </c>
      <c r="L3897" s="1" t="s">
        <v>1126</v>
      </c>
      <c r="N3897" s="1" t="s">
        <v>1184</v>
      </c>
      <c r="P3897" s="1" t="s">
        <v>4636</v>
      </c>
      <c r="Q3897" s="3">
        <v>0</v>
      </c>
      <c r="R3897" s="22" t="s">
        <v>2723</v>
      </c>
      <c r="T3897" s="3" t="s">
        <v>4868</v>
      </c>
      <c r="U3897" s="45">
        <v>35</v>
      </c>
      <c r="V3897" t="s">
        <v>8191</v>
      </c>
      <c r="W3897" s="1" t="str">
        <f>HYPERLINK("http://ictvonline.org/taxonomy/p/taxonomy-history?taxnode_id=201903138","ICTVonline=201903138")</f>
        <v>ICTVonline=201903138</v>
      </c>
    </row>
    <row r="3898" spans="1:23">
      <c r="A3898" s="3">
        <v>3897</v>
      </c>
      <c r="B3898" s="1" t="s">
        <v>5910</v>
      </c>
      <c r="D3898" s="1" t="s">
        <v>8187</v>
      </c>
      <c r="F3898" s="1" t="s">
        <v>8208</v>
      </c>
      <c r="H3898" s="1" t="s">
        <v>8235</v>
      </c>
      <c r="J3898" s="1" t="s">
        <v>8236</v>
      </c>
      <c r="L3898" s="1" t="s">
        <v>1126</v>
      </c>
      <c r="N3898" s="1" t="s">
        <v>2216</v>
      </c>
      <c r="P3898" s="1" t="s">
        <v>2217</v>
      </c>
      <c r="Q3898" s="3">
        <v>1</v>
      </c>
      <c r="R3898" s="22" t="s">
        <v>2723</v>
      </c>
      <c r="T3898" s="3" t="s">
        <v>4868</v>
      </c>
      <c r="U3898" s="45">
        <v>35</v>
      </c>
      <c r="V3898" t="s">
        <v>8191</v>
      </c>
      <c r="W3898" s="1" t="str">
        <f>HYPERLINK("http://ictvonline.org/taxonomy/p/taxonomy-history?taxnode_id=201903140","ICTVonline=201903140")</f>
        <v>ICTVonline=201903140</v>
      </c>
    </row>
    <row r="3899" spans="1:23">
      <c r="A3899" s="3">
        <v>3898</v>
      </c>
      <c r="B3899" s="1" t="s">
        <v>5910</v>
      </c>
      <c r="D3899" s="1" t="s">
        <v>8187</v>
      </c>
      <c r="F3899" s="1" t="s">
        <v>8208</v>
      </c>
      <c r="H3899" s="1" t="s">
        <v>8235</v>
      </c>
      <c r="J3899" s="1" t="s">
        <v>8236</v>
      </c>
      <c r="L3899" s="1" t="s">
        <v>1126</v>
      </c>
      <c r="N3899" s="1" t="s">
        <v>2216</v>
      </c>
      <c r="P3899" s="1" t="s">
        <v>2218</v>
      </c>
      <c r="Q3899" s="3">
        <v>0</v>
      </c>
      <c r="R3899" s="22" t="s">
        <v>2723</v>
      </c>
      <c r="T3899" s="3" t="s">
        <v>4868</v>
      </c>
      <c r="U3899" s="45">
        <v>35</v>
      </c>
      <c r="V3899" t="s">
        <v>8191</v>
      </c>
      <c r="W3899" s="1" t="str">
        <f>HYPERLINK("http://ictvonline.org/taxonomy/p/taxonomy-history?taxnode_id=201903141","ICTVonline=201903141")</f>
        <v>ICTVonline=201903141</v>
      </c>
    </row>
    <row r="3900" spans="1:23">
      <c r="A3900" s="3">
        <v>3899</v>
      </c>
      <c r="B3900" s="1" t="s">
        <v>5910</v>
      </c>
      <c r="D3900" s="1" t="s">
        <v>8187</v>
      </c>
      <c r="F3900" s="1" t="s">
        <v>8208</v>
      </c>
      <c r="H3900" s="1" t="s">
        <v>8235</v>
      </c>
      <c r="J3900" s="1" t="s">
        <v>8236</v>
      </c>
      <c r="L3900" s="1" t="s">
        <v>1126</v>
      </c>
      <c r="N3900" s="1" t="s">
        <v>2216</v>
      </c>
      <c r="P3900" s="1" t="s">
        <v>4637</v>
      </c>
      <c r="Q3900" s="3">
        <v>0</v>
      </c>
      <c r="R3900" s="22" t="s">
        <v>2723</v>
      </c>
      <c r="T3900" s="3" t="s">
        <v>4868</v>
      </c>
      <c r="U3900" s="45">
        <v>35</v>
      </c>
      <c r="V3900" t="s">
        <v>8191</v>
      </c>
      <c r="W3900" s="1" t="str">
        <f>HYPERLINK("http://ictvonline.org/taxonomy/p/taxonomy-history?taxnode_id=201903142","ICTVonline=201903142")</f>
        <v>ICTVonline=201903142</v>
      </c>
    </row>
    <row r="3901" spans="1:23">
      <c r="A3901" s="3">
        <v>3900</v>
      </c>
      <c r="B3901" s="1" t="s">
        <v>5910</v>
      </c>
      <c r="D3901" s="1" t="s">
        <v>8187</v>
      </c>
      <c r="F3901" s="1" t="s">
        <v>8208</v>
      </c>
      <c r="H3901" s="1" t="s">
        <v>8235</v>
      </c>
      <c r="J3901" s="1" t="s">
        <v>8236</v>
      </c>
      <c r="L3901" s="1" t="s">
        <v>1126</v>
      </c>
      <c r="N3901" s="1" t="s">
        <v>2216</v>
      </c>
      <c r="P3901" s="1" t="s">
        <v>4638</v>
      </c>
      <c r="Q3901" s="3">
        <v>0</v>
      </c>
      <c r="R3901" s="22" t="s">
        <v>2723</v>
      </c>
      <c r="T3901" s="3" t="s">
        <v>4868</v>
      </c>
      <c r="U3901" s="45">
        <v>35</v>
      </c>
      <c r="V3901" t="s">
        <v>8191</v>
      </c>
      <c r="W3901" s="1" t="str">
        <f>HYPERLINK("http://ictvonline.org/taxonomy/p/taxonomy-history?taxnode_id=201903143","ICTVonline=201903143")</f>
        <v>ICTVonline=201903143</v>
      </c>
    </row>
    <row r="3902" spans="1:23">
      <c r="A3902" s="3">
        <v>3901</v>
      </c>
      <c r="B3902" s="1" t="s">
        <v>5910</v>
      </c>
      <c r="D3902" s="1" t="s">
        <v>8187</v>
      </c>
      <c r="F3902" s="1" t="s">
        <v>8208</v>
      </c>
      <c r="H3902" s="1" t="s">
        <v>8235</v>
      </c>
      <c r="J3902" s="1" t="s">
        <v>8236</v>
      </c>
      <c r="L3902" s="1" t="s">
        <v>1126</v>
      </c>
      <c r="N3902" s="1" t="s">
        <v>2216</v>
      </c>
      <c r="P3902" s="1" t="s">
        <v>4639</v>
      </c>
      <c r="Q3902" s="3">
        <v>0</v>
      </c>
      <c r="R3902" s="22" t="s">
        <v>2723</v>
      </c>
      <c r="T3902" s="3" t="s">
        <v>4868</v>
      </c>
      <c r="U3902" s="45">
        <v>35</v>
      </c>
      <c r="V3902" t="s">
        <v>8191</v>
      </c>
      <c r="W3902" s="1" t="str">
        <f>HYPERLINK("http://ictvonline.org/taxonomy/p/taxonomy-history?taxnode_id=201903144","ICTVonline=201903144")</f>
        <v>ICTVonline=201903144</v>
      </c>
    </row>
    <row r="3903" spans="1:23">
      <c r="A3903" s="3">
        <v>3902</v>
      </c>
      <c r="B3903" s="1" t="s">
        <v>5910</v>
      </c>
      <c r="D3903" s="1" t="s">
        <v>8187</v>
      </c>
      <c r="F3903" s="1" t="s">
        <v>8208</v>
      </c>
      <c r="H3903" s="1" t="s">
        <v>8235</v>
      </c>
      <c r="J3903" s="1" t="s">
        <v>8236</v>
      </c>
      <c r="L3903" s="1" t="s">
        <v>1126</v>
      </c>
      <c r="N3903" s="1" t="s">
        <v>2216</v>
      </c>
      <c r="P3903" s="1" t="s">
        <v>4640</v>
      </c>
      <c r="Q3903" s="3">
        <v>0</v>
      </c>
      <c r="R3903" s="22" t="s">
        <v>2723</v>
      </c>
      <c r="T3903" s="3" t="s">
        <v>4868</v>
      </c>
      <c r="U3903" s="45">
        <v>35</v>
      </c>
      <c r="V3903" t="s">
        <v>8191</v>
      </c>
      <c r="W3903" s="1" t="str">
        <f>HYPERLINK("http://ictvonline.org/taxonomy/p/taxonomy-history?taxnode_id=201903145","ICTVonline=201903145")</f>
        <v>ICTVonline=201903145</v>
      </c>
    </row>
    <row r="3904" spans="1:23">
      <c r="A3904" s="3">
        <v>3903</v>
      </c>
      <c r="B3904" s="1" t="s">
        <v>5910</v>
      </c>
      <c r="D3904" s="1" t="s">
        <v>8187</v>
      </c>
      <c r="F3904" s="1" t="s">
        <v>8208</v>
      </c>
      <c r="H3904" s="1" t="s">
        <v>8235</v>
      </c>
      <c r="J3904" s="1" t="s">
        <v>8236</v>
      </c>
      <c r="L3904" s="1" t="s">
        <v>1126</v>
      </c>
      <c r="N3904" s="1" t="s">
        <v>2216</v>
      </c>
      <c r="P3904" s="1" t="s">
        <v>4641</v>
      </c>
      <c r="Q3904" s="3">
        <v>0</v>
      </c>
      <c r="R3904" s="22" t="s">
        <v>2723</v>
      </c>
      <c r="T3904" s="3" t="s">
        <v>4868</v>
      </c>
      <c r="U3904" s="45">
        <v>35</v>
      </c>
      <c r="V3904" t="s">
        <v>8191</v>
      </c>
      <c r="W3904" s="1" t="str">
        <f>HYPERLINK("http://ictvonline.org/taxonomy/p/taxonomy-history?taxnode_id=201903146","ICTVonline=201903146")</f>
        <v>ICTVonline=201903146</v>
      </c>
    </row>
    <row r="3905" spans="1:23">
      <c r="A3905" s="3">
        <v>3904</v>
      </c>
      <c r="B3905" s="1" t="s">
        <v>5910</v>
      </c>
      <c r="D3905" s="1" t="s">
        <v>8187</v>
      </c>
      <c r="F3905" s="1" t="s">
        <v>8208</v>
      </c>
      <c r="H3905" s="1" t="s">
        <v>8235</v>
      </c>
      <c r="J3905" s="1" t="s">
        <v>8236</v>
      </c>
      <c r="L3905" s="1" t="s">
        <v>1126</v>
      </c>
      <c r="N3905" s="1" t="s">
        <v>2216</v>
      </c>
      <c r="P3905" s="1" t="s">
        <v>4642</v>
      </c>
      <c r="Q3905" s="3">
        <v>0</v>
      </c>
      <c r="R3905" s="22" t="s">
        <v>2723</v>
      </c>
      <c r="T3905" s="3" t="s">
        <v>4868</v>
      </c>
      <c r="U3905" s="45">
        <v>35</v>
      </c>
      <c r="V3905" t="s">
        <v>8191</v>
      </c>
      <c r="W3905" s="1" t="str">
        <f>HYPERLINK("http://ictvonline.org/taxonomy/p/taxonomy-history?taxnode_id=201903147","ICTVonline=201903147")</f>
        <v>ICTVonline=201903147</v>
      </c>
    </row>
    <row r="3906" spans="1:23">
      <c r="A3906" s="3">
        <v>3905</v>
      </c>
      <c r="B3906" s="1" t="s">
        <v>5910</v>
      </c>
      <c r="D3906" s="1" t="s">
        <v>8187</v>
      </c>
      <c r="F3906" s="1" t="s">
        <v>8208</v>
      </c>
      <c r="H3906" s="1" t="s">
        <v>8235</v>
      </c>
      <c r="J3906" s="1" t="s">
        <v>8236</v>
      </c>
      <c r="L3906" s="1" t="s">
        <v>1126</v>
      </c>
      <c r="N3906" s="1" t="s">
        <v>2216</v>
      </c>
      <c r="P3906" s="1" t="s">
        <v>4643</v>
      </c>
      <c r="Q3906" s="3">
        <v>0</v>
      </c>
      <c r="R3906" s="22" t="s">
        <v>2723</v>
      </c>
      <c r="T3906" s="3" t="s">
        <v>4868</v>
      </c>
      <c r="U3906" s="45">
        <v>35</v>
      </c>
      <c r="V3906" t="s">
        <v>8191</v>
      </c>
      <c r="W3906" s="1" t="str">
        <f>HYPERLINK("http://ictvonline.org/taxonomy/p/taxonomy-history?taxnode_id=201903148","ICTVonline=201903148")</f>
        <v>ICTVonline=201903148</v>
      </c>
    </row>
    <row r="3907" spans="1:23">
      <c r="A3907" s="3">
        <v>3906</v>
      </c>
      <c r="B3907" s="1" t="s">
        <v>5910</v>
      </c>
      <c r="D3907" s="1" t="s">
        <v>8187</v>
      </c>
      <c r="F3907" s="1" t="s">
        <v>8208</v>
      </c>
      <c r="H3907" s="1" t="s">
        <v>8235</v>
      </c>
      <c r="J3907" s="1" t="s">
        <v>8236</v>
      </c>
      <c r="L3907" s="1" t="s">
        <v>1126</v>
      </c>
      <c r="N3907" s="1" t="s">
        <v>2216</v>
      </c>
      <c r="P3907" s="1" t="s">
        <v>4644</v>
      </c>
      <c r="Q3907" s="3">
        <v>0</v>
      </c>
      <c r="R3907" s="22" t="s">
        <v>2723</v>
      </c>
      <c r="T3907" s="3" t="s">
        <v>4868</v>
      </c>
      <c r="U3907" s="45">
        <v>35</v>
      </c>
      <c r="V3907" t="s">
        <v>8191</v>
      </c>
      <c r="W3907" s="1" t="str">
        <f>HYPERLINK("http://ictvonline.org/taxonomy/p/taxonomy-history?taxnode_id=201903149","ICTVonline=201903149")</f>
        <v>ICTVonline=201903149</v>
      </c>
    </row>
    <row r="3908" spans="1:23">
      <c r="A3908" s="3">
        <v>3907</v>
      </c>
      <c r="B3908" s="1" t="s">
        <v>5910</v>
      </c>
      <c r="D3908" s="1" t="s">
        <v>8187</v>
      </c>
      <c r="F3908" s="1" t="s">
        <v>8208</v>
      </c>
      <c r="H3908" s="1" t="s">
        <v>8235</v>
      </c>
      <c r="J3908" s="1" t="s">
        <v>8236</v>
      </c>
      <c r="L3908" s="1" t="s">
        <v>1126</v>
      </c>
      <c r="N3908" s="1" t="s">
        <v>2216</v>
      </c>
      <c r="P3908" s="1" t="s">
        <v>4645</v>
      </c>
      <c r="Q3908" s="3">
        <v>0</v>
      </c>
      <c r="R3908" s="22" t="s">
        <v>2723</v>
      </c>
      <c r="T3908" s="3" t="s">
        <v>4868</v>
      </c>
      <c r="U3908" s="45">
        <v>35</v>
      </c>
      <c r="V3908" t="s">
        <v>8191</v>
      </c>
      <c r="W3908" s="1" t="str">
        <f>HYPERLINK("http://ictvonline.org/taxonomy/p/taxonomy-history?taxnode_id=201903150","ICTVonline=201903150")</f>
        <v>ICTVonline=201903150</v>
      </c>
    </row>
    <row r="3909" spans="1:23">
      <c r="A3909" s="3">
        <v>3908</v>
      </c>
      <c r="B3909" s="1" t="s">
        <v>5910</v>
      </c>
      <c r="D3909" s="1" t="s">
        <v>8187</v>
      </c>
      <c r="F3909" s="1" t="s">
        <v>8208</v>
      </c>
      <c r="H3909" s="1" t="s">
        <v>8235</v>
      </c>
      <c r="J3909" s="1" t="s">
        <v>8236</v>
      </c>
      <c r="L3909" s="1" t="s">
        <v>1126</v>
      </c>
      <c r="N3909" s="1" t="s">
        <v>1185</v>
      </c>
      <c r="P3909" s="1" t="s">
        <v>5326</v>
      </c>
      <c r="Q3909" s="3">
        <v>1</v>
      </c>
      <c r="R3909" s="22" t="s">
        <v>2723</v>
      </c>
      <c r="T3909" s="3" t="s">
        <v>4868</v>
      </c>
      <c r="U3909" s="45">
        <v>35</v>
      </c>
      <c r="V3909" t="s">
        <v>8191</v>
      </c>
      <c r="W3909" s="1" t="str">
        <f>HYPERLINK("http://ictvonline.org/taxonomy/p/taxonomy-history?taxnode_id=201903153","ICTVonline=201903153")</f>
        <v>ICTVonline=201903153</v>
      </c>
    </row>
    <row r="3910" spans="1:23">
      <c r="A3910" s="3">
        <v>3909</v>
      </c>
      <c r="B3910" s="1" t="s">
        <v>5910</v>
      </c>
      <c r="D3910" s="1" t="s">
        <v>8187</v>
      </c>
      <c r="F3910" s="1" t="s">
        <v>8208</v>
      </c>
      <c r="H3910" s="1" t="s">
        <v>8235</v>
      </c>
      <c r="J3910" s="1" t="s">
        <v>8236</v>
      </c>
      <c r="L3910" s="1" t="s">
        <v>1126</v>
      </c>
      <c r="N3910" s="1" t="s">
        <v>1185</v>
      </c>
      <c r="P3910" s="1" t="s">
        <v>5327</v>
      </c>
      <c r="Q3910" s="3">
        <v>0</v>
      </c>
      <c r="R3910" s="22" t="s">
        <v>2723</v>
      </c>
      <c r="T3910" s="3" t="s">
        <v>4868</v>
      </c>
      <c r="U3910" s="45">
        <v>35</v>
      </c>
      <c r="V3910" t="s">
        <v>8191</v>
      </c>
      <c r="W3910" s="1" t="str">
        <f>HYPERLINK("http://ictvonline.org/taxonomy/p/taxonomy-history?taxnode_id=201903154","ICTVonline=201903154")</f>
        <v>ICTVonline=201903154</v>
      </c>
    </row>
    <row r="3911" spans="1:23">
      <c r="A3911" s="3">
        <v>3910</v>
      </c>
      <c r="B3911" s="1" t="s">
        <v>5910</v>
      </c>
      <c r="D3911" s="1" t="s">
        <v>8187</v>
      </c>
      <c r="F3911" s="1" t="s">
        <v>8208</v>
      </c>
      <c r="H3911" s="1" t="s">
        <v>8235</v>
      </c>
      <c r="J3911" s="1" t="s">
        <v>8236</v>
      </c>
      <c r="L3911" s="1" t="s">
        <v>1126</v>
      </c>
      <c r="N3911" s="1" t="s">
        <v>1185</v>
      </c>
      <c r="P3911" s="1" t="s">
        <v>5328</v>
      </c>
      <c r="Q3911" s="3">
        <v>0</v>
      </c>
      <c r="R3911" s="22" t="s">
        <v>2723</v>
      </c>
      <c r="T3911" s="3" t="s">
        <v>4868</v>
      </c>
      <c r="U3911" s="45">
        <v>35</v>
      </c>
      <c r="V3911" t="s">
        <v>8191</v>
      </c>
      <c r="W3911" s="1" t="str">
        <f>HYPERLINK("http://ictvonline.org/taxonomy/p/taxonomy-history?taxnode_id=201903155","ICTVonline=201903155")</f>
        <v>ICTVonline=201903155</v>
      </c>
    </row>
    <row r="3912" spans="1:23">
      <c r="A3912" s="3">
        <v>3911</v>
      </c>
      <c r="B3912" s="1" t="s">
        <v>5910</v>
      </c>
      <c r="D3912" s="1" t="s">
        <v>8187</v>
      </c>
      <c r="F3912" s="1" t="s">
        <v>8208</v>
      </c>
      <c r="H3912" s="1" t="s">
        <v>8235</v>
      </c>
      <c r="J3912" s="1" t="s">
        <v>8236</v>
      </c>
      <c r="L3912" s="1" t="s">
        <v>1126</v>
      </c>
      <c r="N3912" s="1" t="s">
        <v>1185</v>
      </c>
      <c r="P3912" s="1" t="s">
        <v>5329</v>
      </c>
      <c r="Q3912" s="3">
        <v>0</v>
      </c>
      <c r="R3912" s="22" t="s">
        <v>2723</v>
      </c>
      <c r="T3912" s="3" t="s">
        <v>4868</v>
      </c>
      <c r="U3912" s="45">
        <v>35</v>
      </c>
      <c r="V3912" t="s">
        <v>8191</v>
      </c>
      <c r="W3912" s="1" t="str">
        <f>HYPERLINK("http://ictvonline.org/taxonomy/p/taxonomy-history?taxnode_id=201903152","ICTVonline=201903152")</f>
        <v>ICTVonline=201903152</v>
      </c>
    </row>
    <row r="3913" spans="1:23">
      <c r="A3913" s="3">
        <v>3912</v>
      </c>
      <c r="B3913" s="1" t="s">
        <v>5910</v>
      </c>
      <c r="D3913" s="1" t="s">
        <v>8187</v>
      </c>
      <c r="F3913" s="1" t="s">
        <v>8208</v>
      </c>
      <c r="H3913" s="1" t="s">
        <v>8235</v>
      </c>
      <c r="J3913" s="1" t="s">
        <v>8236</v>
      </c>
      <c r="L3913" s="1" t="s">
        <v>1126</v>
      </c>
      <c r="N3913" s="1" t="s">
        <v>1185</v>
      </c>
      <c r="P3913" s="1" t="s">
        <v>5330</v>
      </c>
      <c r="Q3913" s="3">
        <v>0</v>
      </c>
      <c r="R3913" s="22" t="s">
        <v>2723</v>
      </c>
      <c r="T3913" s="3" t="s">
        <v>4868</v>
      </c>
      <c r="U3913" s="45">
        <v>35</v>
      </c>
      <c r="V3913" t="s">
        <v>8191</v>
      </c>
      <c r="W3913" s="1" t="str">
        <f>HYPERLINK("http://ictvonline.org/taxonomy/p/taxonomy-history?taxnode_id=201905780","ICTVonline=201905780")</f>
        <v>ICTVonline=201905780</v>
      </c>
    </row>
    <row r="3914" spans="1:23">
      <c r="A3914" s="3">
        <v>3913</v>
      </c>
      <c r="B3914" s="1" t="s">
        <v>5910</v>
      </c>
      <c r="D3914" s="1" t="s">
        <v>8187</v>
      </c>
      <c r="F3914" s="1" t="s">
        <v>8208</v>
      </c>
      <c r="H3914" s="1" t="s">
        <v>8235</v>
      </c>
      <c r="J3914" s="1" t="s">
        <v>8236</v>
      </c>
      <c r="L3914" s="1" t="s">
        <v>1126</v>
      </c>
      <c r="N3914" s="1" t="s">
        <v>1185</v>
      </c>
      <c r="P3914" s="1" t="s">
        <v>5331</v>
      </c>
      <c r="Q3914" s="3">
        <v>0</v>
      </c>
      <c r="R3914" s="22" t="s">
        <v>2723</v>
      </c>
      <c r="T3914" s="3" t="s">
        <v>4868</v>
      </c>
      <c r="U3914" s="45">
        <v>35</v>
      </c>
      <c r="V3914" t="s">
        <v>8191</v>
      </c>
      <c r="W3914" s="1" t="str">
        <f>HYPERLINK("http://ictvonline.org/taxonomy/p/taxonomy-history?taxnode_id=201905781","ICTVonline=201905781")</f>
        <v>ICTVonline=201905781</v>
      </c>
    </row>
    <row r="3915" spans="1:23">
      <c r="A3915" s="3">
        <v>3914</v>
      </c>
      <c r="B3915" s="1" t="s">
        <v>5910</v>
      </c>
      <c r="D3915" s="1" t="s">
        <v>8187</v>
      </c>
      <c r="F3915" s="1" t="s">
        <v>8208</v>
      </c>
      <c r="H3915" s="1" t="s">
        <v>8235</v>
      </c>
      <c r="J3915" s="1" t="s">
        <v>8236</v>
      </c>
      <c r="L3915" s="1" t="s">
        <v>1126</v>
      </c>
      <c r="N3915" s="1" t="s">
        <v>1185</v>
      </c>
      <c r="P3915" s="1" t="s">
        <v>5332</v>
      </c>
      <c r="Q3915" s="3">
        <v>0</v>
      </c>
      <c r="R3915" s="22" t="s">
        <v>2723</v>
      </c>
      <c r="T3915" s="3" t="s">
        <v>4868</v>
      </c>
      <c r="U3915" s="45">
        <v>35</v>
      </c>
      <c r="V3915" t="s">
        <v>8191</v>
      </c>
      <c r="W3915" s="1" t="str">
        <f>HYPERLINK("http://ictvonline.org/taxonomy/p/taxonomy-history?taxnode_id=201905782","ICTVonline=201905782")</f>
        <v>ICTVonline=201905782</v>
      </c>
    </row>
    <row r="3916" spans="1:23">
      <c r="A3916" s="3">
        <v>3915</v>
      </c>
      <c r="B3916" s="1" t="s">
        <v>5910</v>
      </c>
      <c r="D3916" s="1" t="s">
        <v>8187</v>
      </c>
      <c r="F3916" s="1" t="s">
        <v>8208</v>
      </c>
      <c r="H3916" s="1" t="s">
        <v>8235</v>
      </c>
      <c r="J3916" s="1" t="s">
        <v>8236</v>
      </c>
      <c r="L3916" s="1" t="s">
        <v>1126</v>
      </c>
      <c r="N3916" s="1" t="s">
        <v>1185</v>
      </c>
      <c r="P3916" s="1" t="s">
        <v>5333</v>
      </c>
      <c r="Q3916" s="3">
        <v>0</v>
      </c>
      <c r="R3916" s="22" t="s">
        <v>2723</v>
      </c>
      <c r="T3916" s="3" t="s">
        <v>4868</v>
      </c>
      <c r="U3916" s="45">
        <v>35</v>
      </c>
      <c r="V3916" t="s">
        <v>8191</v>
      </c>
      <c r="W3916" s="1" t="str">
        <f>HYPERLINK("http://ictvonline.org/taxonomy/p/taxonomy-history?taxnode_id=201905783","ICTVonline=201905783")</f>
        <v>ICTVonline=201905783</v>
      </c>
    </row>
    <row r="3917" spans="1:23">
      <c r="A3917" s="3">
        <v>3916</v>
      </c>
      <c r="B3917" s="1" t="s">
        <v>5910</v>
      </c>
      <c r="D3917" s="1" t="s">
        <v>8187</v>
      </c>
      <c r="F3917" s="1" t="s">
        <v>8208</v>
      </c>
      <c r="H3917" s="1" t="s">
        <v>8235</v>
      </c>
      <c r="J3917" s="1" t="s">
        <v>8236</v>
      </c>
      <c r="L3917" s="1" t="s">
        <v>1126</v>
      </c>
      <c r="N3917" s="1" t="s">
        <v>1185</v>
      </c>
      <c r="P3917" s="1" t="s">
        <v>5334</v>
      </c>
      <c r="Q3917" s="3">
        <v>0</v>
      </c>
      <c r="R3917" s="22" t="s">
        <v>2723</v>
      </c>
      <c r="T3917" s="3" t="s">
        <v>4868</v>
      </c>
      <c r="U3917" s="45">
        <v>35</v>
      </c>
      <c r="V3917" t="s">
        <v>8191</v>
      </c>
      <c r="W3917" s="1" t="str">
        <f>HYPERLINK("http://ictvonline.org/taxonomy/p/taxonomy-history?taxnode_id=201905784","ICTVonline=201905784")</f>
        <v>ICTVonline=201905784</v>
      </c>
    </row>
    <row r="3918" spans="1:23">
      <c r="A3918" s="3">
        <v>3917</v>
      </c>
      <c r="B3918" s="1" t="s">
        <v>5910</v>
      </c>
      <c r="D3918" s="1" t="s">
        <v>8187</v>
      </c>
      <c r="F3918" s="1" t="s">
        <v>8208</v>
      </c>
      <c r="H3918" s="1" t="s">
        <v>8235</v>
      </c>
      <c r="J3918" s="1" t="s">
        <v>8236</v>
      </c>
      <c r="L3918" s="1" t="s">
        <v>1126</v>
      </c>
      <c r="N3918" s="1" t="s">
        <v>1185</v>
      </c>
      <c r="P3918" s="1" t="s">
        <v>5335</v>
      </c>
      <c r="Q3918" s="3">
        <v>0</v>
      </c>
      <c r="R3918" s="22" t="s">
        <v>2723</v>
      </c>
      <c r="T3918" s="3" t="s">
        <v>4868</v>
      </c>
      <c r="U3918" s="45">
        <v>35</v>
      </c>
      <c r="V3918" t="s">
        <v>8191</v>
      </c>
      <c r="W3918" s="1" t="str">
        <f>HYPERLINK("http://ictvonline.org/taxonomy/p/taxonomy-history?taxnode_id=201905785","ICTVonline=201905785")</f>
        <v>ICTVonline=201905785</v>
      </c>
    </row>
    <row r="3919" spans="1:23">
      <c r="A3919" s="3">
        <v>3918</v>
      </c>
      <c r="B3919" s="1" t="s">
        <v>5910</v>
      </c>
      <c r="D3919" s="1" t="s">
        <v>8187</v>
      </c>
      <c r="F3919" s="1" t="s">
        <v>8208</v>
      </c>
      <c r="H3919" s="1" t="s">
        <v>8235</v>
      </c>
      <c r="J3919" s="1" t="s">
        <v>8236</v>
      </c>
      <c r="L3919" s="1" t="s">
        <v>1126</v>
      </c>
      <c r="N3919" s="1" t="s">
        <v>1185</v>
      </c>
      <c r="P3919" s="1" t="s">
        <v>5336</v>
      </c>
      <c r="Q3919" s="3">
        <v>0</v>
      </c>
      <c r="R3919" s="22" t="s">
        <v>2723</v>
      </c>
      <c r="T3919" s="3" t="s">
        <v>4868</v>
      </c>
      <c r="U3919" s="45">
        <v>35</v>
      </c>
      <c r="V3919" t="s">
        <v>8191</v>
      </c>
      <c r="W3919" s="1" t="str">
        <f>HYPERLINK("http://ictvonline.org/taxonomy/p/taxonomy-history?taxnode_id=201905786","ICTVonline=201905786")</f>
        <v>ICTVonline=201905786</v>
      </c>
    </row>
    <row r="3920" spans="1:23">
      <c r="A3920" s="3">
        <v>3919</v>
      </c>
      <c r="B3920" s="1" t="s">
        <v>5910</v>
      </c>
      <c r="D3920" s="1" t="s">
        <v>8187</v>
      </c>
      <c r="F3920" s="1" t="s">
        <v>8208</v>
      </c>
      <c r="H3920" s="1" t="s">
        <v>8237</v>
      </c>
      <c r="J3920" s="1" t="s">
        <v>8238</v>
      </c>
      <c r="L3920" s="1" t="s">
        <v>1088</v>
      </c>
      <c r="N3920" s="1" t="s">
        <v>1089</v>
      </c>
      <c r="P3920" s="1" t="s">
        <v>1090</v>
      </c>
      <c r="Q3920" s="3">
        <v>0</v>
      </c>
      <c r="R3920" s="22" t="s">
        <v>2723</v>
      </c>
      <c r="T3920" s="3" t="s">
        <v>4868</v>
      </c>
      <c r="U3920" s="45">
        <v>35</v>
      </c>
      <c r="V3920" t="s">
        <v>8191</v>
      </c>
      <c r="W3920" s="1" t="str">
        <f>HYPERLINK("http://ictvonline.org/taxonomy/p/taxonomy-history?taxnode_id=201903926","ICTVonline=201903926")</f>
        <v>ICTVonline=201903926</v>
      </c>
    </row>
    <row r="3921" spans="1:23">
      <c r="A3921" s="3">
        <v>3920</v>
      </c>
      <c r="B3921" s="1" t="s">
        <v>5910</v>
      </c>
      <c r="D3921" s="1" t="s">
        <v>8187</v>
      </c>
      <c r="F3921" s="1" t="s">
        <v>8208</v>
      </c>
      <c r="H3921" s="1" t="s">
        <v>8237</v>
      </c>
      <c r="J3921" s="1" t="s">
        <v>8238</v>
      </c>
      <c r="L3921" s="1" t="s">
        <v>1088</v>
      </c>
      <c r="N3921" s="1" t="s">
        <v>1089</v>
      </c>
      <c r="P3921" s="1" t="s">
        <v>1091</v>
      </c>
      <c r="Q3921" s="3">
        <v>0</v>
      </c>
      <c r="R3921" s="22" t="s">
        <v>2723</v>
      </c>
      <c r="T3921" s="3" t="s">
        <v>4868</v>
      </c>
      <c r="U3921" s="45">
        <v>35</v>
      </c>
      <c r="V3921" t="s">
        <v>8191</v>
      </c>
      <c r="W3921" s="1" t="str">
        <f>HYPERLINK("http://ictvonline.org/taxonomy/p/taxonomy-history?taxnode_id=201903927","ICTVonline=201903927")</f>
        <v>ICTVonline=201903927</v>
      </c>
    </row>
    <row r="3922" spans="1:23">
      <c r="A3922" s="3">
        <v>3921</v>
      </c>
      <c r="B3922" s="1" t="s">
        <v>5910</v>
      </c>
      <c r="D3922" s="1" t="s">
        <v>8187</v>
      </c>
      <c r="F3922" s="1" t="s">
        <v>8208</v>
      </c>
      <c r="H3922" s="1" t="s">
        <v>8237</v>
      </c>
      <c r="J3922" s="1" t="s">
        <v>8238</v>
      </c>
      <c r="L3922" s="1" t="s">
        <v>1088</v>
      </c>
      <c r="N3922" s="1" t="s">
        <v>1089</v>
      </c>
      <c r="P3922" s="1" t="s">
        <v>1092</v>
      </c>
      <c r="Q3922" s="3">
        <v>0</v>
      </c>
      <c r="R3922" s="22" t="s">
        <v>2723</v>
      </c>
      <c r="T3922" s="3" t="s">
        <v>4868</v>
      </c>
      <c r="U3922" s="45">
        <v>35</v>
      </c>
      <c r="V3922" t="s">
        <v>8191</v>
      </c>
      <c r="W3922" s="1" t="str">
        <f>HYPERLINK("http://ictvonline.org/taxonomy/p/taxonomy-history?taxnode_id=201903928","ICTVonline=201903928")</f>
        <v>ICTVonline=201903928</v>
      </c>
    </row>
    <row r="3923" spans="1:23">
      <c r="A3923" s="3">
        <v>3922</v>
      </c>
      <c r="B3923" s="1" t="s">
        <v>5910</v>
      </c>
      <c r="D3923" s="1" t="s">
        <v>8187</v>
      </c>
      <c r="F3923" s="1" t="s">
        <v>8208</v>
      </c>
      <c r="H3923" s="1" t="s">
        <v>8237</v>
      </c>
      <c r="J3923" s="1" t="s">
        <v>8238</v>
      </c>
      <c r="L3923" s="1" t="s">
        <v>1088</v>
      </c>
      <c r="N3923" s="1" t="s">
        <v>1089</v>
      </c>
      <c r="P3923" s="1" t="s">
        <v>1093</v>
      </c>
      <c r="Q3923" s="3">
        <v>1</v>
      </c>
      <c r="R3923" s="22" t="s">
        <v>2723</v>
      </c>
      <c r="T3923" s="3" t="s">
        <v>4868</v>
      </c>
      <c r="U3923" s="45">
        <v>35</v>
      </c>
      <c r="V3923" t="s">
        <v>8191</v>
      </c>
      <c r="W3923" s="1" t="str">
        <f>HYPERLINK("http://ictvonline.org/taxonomy/p/taxonomy-history?taxnode_id=201903929","ICTVonline=201903929")</f>
        <v>ICTVonline=201903929</v>
      </c>
    </row>
    <row r="3924" spans="1:23">
      <c r="A3924" s="3">
        <v>3923</v>
      </c>
      <c r="B3924" s="1" t="s">
        <v>5910</v>
      </c>
      <c r="D3924" s="1" t="s">
        <v>8187</v>
      </c>
      <c r="F3924" s="1" t="s">
        <v>8208</v>
      </c>
      <c r="H3924" s="1" t="s">
        <v>8237</v>
      </c>
      <c r="J3924" s="1" t="s">
        <v>8238</v>
      </c>
      <c r="L3924" s="1" t="s">
        <v>1088</v>
      </c>
      <c r="N3924" s="1" t="s">
        <v>1089</v>
      </c>
      <c r="P3924" s="1" t="s">
        <v>1094</v>
      </c>
      <c r="Q3924" s="3">
        <v>0</v>
      </c>
      <c r="R3924" s="22" t="s">
        <v>2723</v>
      </c>
      <c r="T3924" s="3" t="s">
        <v>4868</v>
      </c>
      <c r="U3924" s="45">
        <v>35</v>
      </c>
      <c r="V3924" t="s">
        <v>8191</v>
      </c>
      <c r="W3924" s="1" t="str">
        <f>HYPERLINK("http://ictvonline.org/taxonomy/p/taxonomy-history?taxnode_id=201903930","ICTVonline=201903930")</f>
        <v>ICTVonline=201903930</v>
      </c>
    </row>
    <row r="3925" spans="1:23">
      <c r="A3925" s="3">
        <v>3924</v>
      </c>
      <c r="B3925" s="1" t="s">
        <v>5910</v>
      </c>
      <c r="D3925" s="1" t="s">
        <v>8187</v>
      </c>
      <c r="F3925" s="1" t="s">
        <v>8208</v>
      </c>
      <c r="H3925" s="1" t="s">
        <v>8237</v>
      </c>
      <c r="J3925" s="1" t="s">
        <v>8238</v>
      </c>
      <c r="L3925" s="1" t="s">
        <v>1088</v>
      </c>
      <c r="N3925" s="1" t="s">
        <v>1095</v>
      </c>
      <c r="P3925" s="1" t="s">
        <v>1096</v>
      </c>
      <c r="Q3925" s="3">
        <v>0</v>
      </c>
      <c r="R3925" s="22" t="s">
        <v>2723</v>
      </c>
      <c r="T3925" s="3" t="s">
        <v>4868</v>
      </c>
      <c r="U3925" s="45">
        <v>35</v>
      </c>
      <c r="V3925" t="s">
        <v>8191</v>
      </c>
      <c r="W3925" s="1" t="str">
        <f>HYPERLINK("http://ictvonline.org/taxonomy/p/taxonomy-history?taxnode_id=201903932","ICTVonline=201903932")</f>
        <v>ICTVonline=201903932</v>
      </c>
    </row>
    <row r="3926" spans="1:23">
      <c r="A3926" s="3">
        <v>3925</v>
      </c>
      <c r="B3926" s="1" t="s">
        <v>5910</v>
      </c>
      <c r="D3926" s="1" t="s">
        <v>8187</v>
      </c>
      <c r="F3926" s="1" t="s">
        <v>8208</v>
      </c>
      <c r="H3926" s="1" t="s">
        <v>8237</v>
      </c>
      <c r="J3926" s="1" t="s">
        <v>8238</v>
      </c>
      <c r="L3926" s="1" t="s">
        <v>1088</v>
      </c>
      <c r="N3926" s="1" t="s">
        <v>1095</v>
      </c>
      <c r="P3926" s="1" t="s">
        <v>1608</v>
      </c>
      <c r="Q3926" s="3">
        <v>0</v>
      </c>
      <c r="R3926" s="22" t="s">
        <v>2723</v>
      </c>
      <c r="T3926" s="3" t="s">
        <v>4868</v>
      </c>
      <c r="U3926" s="45">
        <v>35</v>
      </c>
      <c r="V3926" t="s">
        <v>8191</v>
      </c>
      <c r="W3926" s="1" t="str">
        <f>HYPERLINK("http://ictvonline.org/taxonomy/p/taxonomy-history?taxnode_id=201903933","ICTVonline=201903933")</f>
        <v>ICTVonline=201903933</v>
      </c>
    </row>
    <row r="3927" spans="1:23">
      <c r="A3927" s="3">
        <v>3926</v>
      </c>
      <c r="B3927" s="1" t="s">
        <v>5910</v>
      </c>
      <c r="D3927" s="1" t="s">
        <v>8187</v>
      </c>
      <c r="F3927" s="1" t="s">
        <v>8208</v>
      </c>
      <c r="H3927" s="1" t="s">
        <v>8237</v>
      </c>
      <c r="J3927" s="1" t="s">
        <v>8238</v>
      </c>
      <c r="L3927" s="1" t="s">
        <v>1088</v>
      </c>
      <c r="N3927" s="1" t="s">
        <v>1095</v>
      </c>
      <c r="P3927" s="1" t="s">
        <v>1609</v>
      </c>
      <c r="Q3927" s="3">
        <v>1</v>
      </c>
      <c r="R3927" s="22" t="s">
        <v>2723</v>
      </c>
      <c r="T3927" s="3" t="s">
        <v>4868</v>
      </c>
      <c r="U3927" s="45">
        <v>35</v>
      </c>
      <c r="V3927" t="s">
        <v>8191</v>
      </c>
      <c r="W3927" s="1" t="str">
        <f>HYPERLINK("http://ictvonline.org/taxonomy/p/taxonomy-history?taxnode_id=201903934","ICTVonline=201903934")</f>
        <v>ICTVonline=201903934</v>
      </c>
    </row>
    <row r="3928" spans="1:23">
      <c r="A3928" s="3">
        <v>3927</v>
      </c>
      <c r="B3928" s="1" t="s">
        <v>5910</v>
      </c>
      <c r="D3928" s="1" t="s">
        <v>8187</v>
      </c>
      <c r="F3928" s="1" t="s">
        <v>8208</v>
      </c>
      <c r="H3928" s="1" t="s">
        <v>8237</v>
      </c>
      <c r="J3928" s="1" t="s">
        <v>8238</v>
      </c>
      <c r="L3928" s="1" t="s">
        <v>1088</v>
      </c>
      <c r="N3928" s="1" t="s">
        <v>1095</v>
      </c>
      <c r="P3928" s="1" t="s">
        <v>1610</v>
      </c>
      <c r="Q3928" s="3">
        <v>0</v>
      </c>
      <c r="R3928" s="22" t="s">
        <v>2723</v>
      </c>
      <c r="T3928" s="3" t="s">
        <v>4868</v>
      </c>
      <c r="U3928" s="45">
        <v>35</v>
      </c>
      <c r="V3928" t="s">
        <v>8191</v>
      </c>
      <c r="W3928" s="1" t="str">
        <f>HYPERLINK("http://ictvonline.org/taxonomy/p/taxonomy-history?taxnode_id=201903935","ICTVonline=201903935")</f>
        <v>ICTVonline=201903935</v>
      </c>
    </row>
    <row r="3929" spans="1:23">
      <c r="A3929" s="3">
        <v>3928</v>
      </c>
      <c r="B3929" s="1" t="s">
        <v>5910</v>
      </c>
      <c r="D3929" s="1" t="s">
        <v>8187</v>
      </c>
      <c r="F3929" s="1" t="s">
        <v>8208</v>
      </c>
      <c r="H3929" s="1" t="s">
        <v>8237</v>
      </c>
      <c r="J3929" s="1" t="s">
        <v>8238</v>
      </c>
      <c r="L3929" s="1" t="s">
        <v>8239</v>
      </c>
      <c r="N3929" s="1" t="s">
        <v>3982</v>
      </c>
      <c r="P3929" s="1" t="s">
        <v>3983</v>
      </c>
      <c r="Q3929" s="3">
        <v>0</v>
      </c>
      <c r="R3929" s="22" t="s">
        <v>2723</v>
      </c>
      <c r="T3929" s="3" t="s">
        <v>4868</v>
      </c>
      <c r="U3929" s="45">
        <v>35</v>
      </c>
      <c r="V3929" t="s">
        <v>8191</v>
      </c>
      <c r="W3929" s="1" t="str">
        <f>HYPERLINK("http://ictvonline.org/taxonomy/p/taxonomy-history?taxnode_id=201905368","ICTVonline=201905368")</f>
        <v>ICTVonline=201905368</v>
      </c>
    </row>
    <row r="3930" spans="1:23">
      <c r="A3930" s="3">
        <v>3929</v>
      </c>
      <c r="B3930" s="1" t="s">
        <v>5910</v>
      </c>
      <c r="D3930" s="1" t="s">
        <v>8187</v>
      </c>
      <c r="F3930" s="1" t="s">
        <v>8208</v>
      </c>
      <c r="H3930" s="1" t="s">
        <v>8237</v>
      </c>
      <c r="J3930" s="1" t="s">
        <v>8238</v>
      </c>
      <c r="L3930" s="1" t="s">
        <v>8239</v>
      </c>
      <c r="N3930" s="1" t="s">
        <v>3982</v>
      </c>
      <c r="P3930" s="1" t="s">
        <v>3984</v>
      </c>
      <c r="Q3930" s="3">
        <v>1</v>
      </c>
      <c r="R3930" s="22" t="s">
        <v>2723</v>
      </c>
      <c r="T3930" s="3" t="s">
        <v>4868</v>
      </c>
      <c r="U3930" s="45">
        <v>35</v>
      </c>
      <c r="V3930" t="s">
        <v>8191</v>
      </c>
      <c r="W3930" s="1" t="str">
        <f>HYPERLINK("http://ictvonline.org/taxonomy/p/taxonomy-history?taxnode_id=201905369","ICTVonline=201905369")</f>
        <v>ICTVonline=201905369</v>
      </c>
    </row>
    <row r="3931" spans="1:23">
      <c r="A3931" s="3">
        <v>3930</v>
      </c>
      <c r="B3931" s="1" t="s">
        <v>5910</v>
      </c>
      <c r="D3931" s="1" t="s">
        <v>8187</v>
      </c>
      <c r="F3931" s="1" t="s">
        <v>8208</v>
      </c>
      <c r="H3931" s="1" t="s">
        <v>8240</v>
      </c>
      <c r="J3931" s="1" t="s">
        <v>8241</v>
      </c>
      <c r="L3931" s="1" t="s">
        <v>73</v>
      </c>
      <c r="N3931" s="1" t="s">
        <v>74</v>
      </c>
      <c r="P3931" s="1" t="s">
        <v>1560</v>
      </c>
      <c r="Q3931" s="3">
        <v>1</v>
      </c>
      <c r="R3931" s="22" t="s">
        <v>2723</v>
      </c>
      <c r="T3931" s="3" t="s">
        <v>4868</v>
      </c>
      <c r="U3931" s="45">
        <v>35</v>
      </c>
      <c r="V3931" t="s">
        <v>8191</v>
      </c>
      <c r="W3931" s="1" t="str">
        <f>HYPERLINK("http://ictvonline.org/taxonomy/p/taxonomy-history?taxnode_id=201902815","ICTVonline=201902815")</f>
        <v>ICTVonline=201902815</v>
      </c>
    </row>
    <row r="3932" spans="1:23">
      <c r="A3932" s="3">
        <v>3931</v>
      </c>
      <c r="B3932" s="1" t="s">
        <v>5910</v>
      </c>
      <c r="D3932" s="1" t="s">
        <v>8187</v>
      </c>
      <c r="F3932" s="1" t="s">
        <v>8208</v>
      </c>
      <c r="H3932" s="1" t="s">
        <v>8240</v>
      </c>
      <c r="J3932" s="1" t="s">
        <v>8241</v>
      </c>
      <c r="L3932" s="1" t="s">
        <v>1956</v>
      </c>
      <c r="N3932" s="1" t="s">
        <v>1118</v>
      </c>
      <c r="P3932" s="1" t="s">
        <v>4757</v>
      </c>
      <c r="Q3932" s="3">
        <v>0</v>
      </c>
      <c r="R3932" s="22" t="s">
        <v>2723</v>
      </c>
      <c r="T3932" s="3" t="s">
        <v>4868</v>
      </c>
      <c r="U3932" s="45">
        <v>35</v>
      </c>
      <c r="V3932" t="s">
        <v>8191</v>
      </c>
      <c r="W3932" s="1" t="str">
        <f>HYPERLINK("http://ictvonline.org/taxonomy/p/taxonomy-history?taxnode_id=201903762","ICTVonline=201903762")</f>
        <v>ICTVonline=201903762</v>
      </c>
    </row>
    <row r="3933" spans="1:23">
      <c r="A3933" s="3">
        <v>3932</v>
      </c>
      <c r="B3933" s="1" t="s">
        <v>5910</v>
      </c>
      <c r="D3933" s="1" t="s">
        <v>8187</v>
      </c>
      <c r="F3933" s="1" t="s">
        <v>8208</v>
      </c>
      <c r="H3933" s="1" t="s">
        <v>8240</v>
      </c>
      <c r="J3933" s="1" t="s">
        <v>8241</v>
      </c>
      <c r="L3933" s="1" t="s">
        <v>1956</v>
      </c>
      <c r="N3933" s="1" t="s">
        <v>1118</v>
      </c>
      <c r="P3933" s="1" t="s">
        <v>8242</v>
      </c>
      <c r="Q3933" s="3">
        <v>0</v>
      </c>
      <c r="R3933" s="22" t="s">
        <v>2723</v>
      </c>
      <c r="T3933" s="3" t="s">
        <v>4866</v>
      </c>
      <c r="U3933" s="45">
        <v>35</v>
      </c>
      <c r="V3933" t="s">
        <v>8243</v>
      </c>
      <c r="W3933" s="1" t="str">
        <f>HYPERLINK("http://ictvonline.org/taxonomy/p/taxonomy-history?taxnode_id=201907408","ICTVonline=201907408")</f>
        <v>ICTVonline=201907408</v>
      </c>
    </row>
    <row r="3934" spans="1:23">
      <c r="A3934" s="3">
        <v>3933</v>
      </c>
      <c r="B3934" s="1" t="s">
        <v>5910</v>
      </c>
      <c r="D3934" s="1" t="s">
        <v>8187</v>
      </c>
      <c r="F3934" s="1" t="s">
        <v>8208</v>
      </c>
      <c r="H3934" s="1" t="s">
        <v>8240</v>
      </c>
      <c r="J3934" s="1" t="s">
        <v>8241</v>
      </c>
      <c r="L3934" s="1" t="s">
        <v>1956</v>
      </c>
      <c r="N3934" s="1" t="s">
        <v>1118</v>
      </c>
      <c r="P3934" s="1" t="s">
        <v>6184</v>
      </c>
      <c r="Q3934" s="3">
        <v>0</v>
      </c>
      <c r="R3934" s="22" t="s">
        <v>2723</v>
      </c>
      <c r="T3934" s="3" t="s">
        <v>4868</v>
      </c>
      <c r="U3934" s="45">
        <v>35</v>
      </c>
      <c r="V3934" t="s">
        <v>8191</v>
      </c>
      <c r="W3934" s="1" t="str">
        <f>HYPERLINK("http://ictvonline.org/taxonomy/p/taxonomy-history?taxnode_id=201906590","ICTVonline=201906590")</f>
        <v>ICTVonline=201906590</v>
      </c>
    </row>
    <row r="3935" spans="1:23">
      <c r="A3935" s="3">
        <v>3934</v>
      </c>
      <c r="B3935" s="1" t="s">
        <v>5910</v>
      </c>
      <c r="D3935" s="1" t="s">
        <v>8187</v>
      </c>
      <c r="F3935" s="1" t="s">
        <v>8208</v>
      </c>
      <c r="H3935" s="1" t="s">
        <v>8240</v>
      </c>
      <c r="J3935" s="1" t="s">
        <v>8241</v>
      </c>
      <c r="L3935" s="1" t="s">
        <v>1956</v>
      </c>
      <c r="N3935" s="1" t="s">
        <v>1118</v>
      </c>
      <c r="P3935" s="1" t="s">
        <v>6185</v>
      </c>
      <c r="Q3935" s="3">
        <v>0</v>
      </c>
      <c r="R3935" s="22" t="s">
        <v>2723</v>
      </c>
      <c r="T3935" s="3" t="s">
        <v>4868</v>
      </c>
      <c r="U3935" s="45">
        <v>35</v>
      </c>
      <c r="V3935" t="s">
        <v>8191</v>
      </c>
      <c r="W3935" s="1" t="str">
        <f>HYPERLINK("http://ictvonline.org/taxonomy/p/taxonomy-history?taxnode_id=201906585","ICTVonline=201906585")</f>
        <v>ICTVonline=201906585</v>
      </c>
    </row>
    <row r="3936" spans="1:23">
      <c r="A3936" s="3">
        <v>3935</v>
      </c>
      <c r="B3936" s="1" t="s">
        <v>5910</v>
      </c>
      <c r="D3936" s="1" t="s">
        <v>8187</v>
      </c>
      <c r="F3936" s="1" t="s">
        <v>8208</v>
      </c>
      <c r="H3936" s="1" t="s">
        <v>8240</v>
      </c>
      <c r="J3936" s="1" t="s">
        <v>8241</v>
      </c>
      <c r="L3936" s="1" t="s">
        <v>1956</v>
      </c>
      <c r="N3936" s="1" t="s">
        <v>1118</v>
      </c>
      <c r="P3936" s="1" t="s">
        <v>2455</v>
      </c>
      <c r="Q3936" s="3">
        <v>1</v>
      </c>
      <c r="R3936" s="22" t="s">
        <v>2723</v>
      </c>
      <c r="T3936" s="3" t="s">
        <v>4868</v>
      </c>
      <c r="U3936" s="45">
        <v>35</v>
      </c>
      <c r="V3936" t="s">
        <v>8191</v>
      </c>
      <c r="W3936" s="1" t="str">
        <f>HYPERLINK("http://ictvonline.org/taxonomy/p/taxonomy-history?taxnode_id=201903763","ICTVonline=201903763")</f>
        <v>ICTVonline=201903763</v>
      </c>
    </row>
    <row r="3937" spans="1:23">
      <c r="A3937" s="3">
        <v>3936</v>
      </c>
      <c r="B3937" s="1" t="s">
        <v>5910</v>
      </c>
      <c r="D3937" s="1" t="s">
        <v>8187</v>
      </c>
      <c r="F3937" s="1" t="s">
        <v>8208</v>
      </c>
      <c r="H3937" s="1" t="s">
        <v>8240</v>
      </c>
      <c r="J3937" s="1" t="s">
        <v>8241</v>
      </c>
      <c r="L3937" s="1" t="s">
        <v>1956</v>
      </c>
      <c r="N3937" s="1" t="s">
        <v>1119</v>
      </c>
      <c r="P3937" s="1" t="s">
        <v>8244</v>
      </c>
      <c r="Q3937" s="3">
        <v>0</v>
      </c>
      <c r="R3937" s="22" t="s">
        <v>2723</v>
      </c>
      <c r="T3937" s="3" t="s">
        <v>4866</v>
      </c>
      <c r="U3937" s="45">
        <v>35</v>
      </c>
      <c r="V3937" t="s">
        <v>8245</v>
      </c>
      <c r="W3937" s="1" t="str">
        <f>HYPERLINK("http://ictvonline.org/taxonomy/p/taxonomy-history?taxnode_id=201907550","ICTVonline=201907550")</f>
        <v>ICTVonline=201907550</v>
      </c>
    </row>
    <row r="3938" spans="1:23">
      <c r="A3938" s="3">
        <v>3937</v>
      </c>
      <c r="B3938" s="1" t="s">
        <v>5910</v>
      </c>
      <c r="D3938" s="1" t="s">
        <v>8187</v>
      </c>
      <c r="F3938" s="1" t="s">
        <v>8208</v>
      </c>
      <c r="H3938" s="1" t="s">
        <v>8240</v>
      </c>
      <c r="J3938" s="1" t="s">
        <v>8241</v>
      </c>
      <c r="L3938" s="1" t="s">
        <v>1956</v>
      </c>
      <c r="N3938" s="1" t="s">
        <v>1119</v>
      </c>
      <c r="P3938" s="1" t="s">
        <v>8246</v>
      </c>
      <c r="Q3938" s="3">
        <v>0</v>
      </c>
      <c r="R3938" s="22" t="s">
        <v>2723</v>
      </c>
      <c r="T3938" s="3" t="s">
        <v>4866</v>
      </c>
      <c r="U3938" s="45">
        <v>35</v>
      </c>
      <c r="V3938" t="s">
        <v>8245</v>
      </c>
      <c r="W3938" s="1" t="str">
        <f>HYPERLINK("http://ictvonline.org/taxonomy/p/taxonomy-history?taxnode_id=201907551","ICTVonline=201907551")</f>
        <v>ICTVonline=201907551</v>
      </c>
    </row>
    <row r="3939" spans="1:23">
      <c r="A3939" s="3">
        <v>3938</v>
      </c>
      <c r="B3939" s="1" t="s">
        <v>5910</v>
      </c>
      <c r="D3939" s="1" t="s">
        <v>8187</v>
      </c>
      <c r="F3939" s="1" t="s">
        <v>8208</v>
      </c>
      <c r="H3939" s="1" t="s">
        <v>8240</v>
      </c>
      <c r="J3939" s="1" t="s">
        <v>8241</v>
      </c>
      <c r="L3939" s="1" t="s">
        <v>1956</v>
      </c>
      <c r="N3939" s="1" t="s">
        <v>1119</v>
      </c>
      <c r="P3939" s="1" t="s">
        <v>5419</v>
      </c>
      <c r="Q3939" s="3">
        <v>0</v>
      </c>
      <c r="R3939" s="22" t="s">
        <v>2723</v>
      </c>
      <c r="T3939" s="3" t="s">
        <v>4868</v>
      </c>
      <c r="U3939" s="45">
        <v>35</v>
      </c>
      <c r="V3939" t="s">
        <v>8191</v>
      </c>
      <c r="W3939" s="1" t="str">
        <f>HYPERLINK("http://ictvonline.org/taxonomy/p/taxonomy-history?taxnode_id=201903765","ICTVonline=201903765")</f>
        <v>ICTVonline=201903765</v>
      </c>
    </row>
    <row r="3940" spans="1:23">
      <c r="A3940" s="3">
        <v>3939</v>
      </c>
      <c r="B3940" s="1" t="s">
        <v>5910</v>
      </c>
      <c r="D3940" s="1" t="s">
        <v>8187</v>
      </c>
      <c r="F3940" s="1" t="s">
        <v>8208</v>
      </c>
      <c r="H3940" s="1" t="s">
        <v>8240</v>
      </c>
      <c r="J3940" s="1" t="s">
        <v>8241</v>
      </c>
      <c r="L3940" s="1" t="s">
        <v>1956</v>
      </c>
      <c r="N3940" s="1" t="s">
        <v>1119</v>
      </c>
      <c r="P3940" s="1" t="s">
        <v>5420</v>
      </c>
      <c r="Q3940" s="3">
        <v>0</v>
      </c>
      <c r="R3940" s="22" t="s">
        <v>2723</v>
      </c>
      <c r="T3940" s="3" t="s">
        <v>4868</v>
      </c>
      <c r="U3940" s="45">
        <v>35</v>
      </c>
      <c r="V3940" t="s">
        <v>8191</v>
      </c>
      <c r="W3940" s="1" t="str">
        <f>HYPERLINK("http://ictvonline.org/taxonomy/p/taxonomy-history?taxnode_id=201903766","ICTVonline=201903766")</f>
        <v>ICTVonline=201903766</v>
      </c>
    </row>
    <row r="3941" spans="1:23">
      <c r="A3941" s="3">
        <v>3940</v>
      </c>
      <c r="B3941" s="1" t="s">
        <v>5910</v>
      </c>
      <c r="D3941" s="1" t="s">
        <v>8187</v>
      </c>
      <c r="F3941" s="1" t="s">
        <v>8208</v>
      </c>
      <c r="H3941" s="1" t="s">
        <v>8240</v>
      </c>
      <c r="J3941" s="1" t="s">
        <v>8241</v>
      </c>
      <c r="L3941" s="1" t="s">
        <v>1956</v>
      </c>
      <c r="N3941" s="1" t="s">
        <v>1119</v>
      </c>
      <c r="P3941" s="1" t="s">
        <v>5421</v>
      </c>
      <c r="Q3941" s="3">
        <v>0</v>
      </c>
      <c r="R3941" s="22" t="s">
        <v>2723</v>
      </c>
      <c r="T3941" s="3" t="s">
        <v>4868</v>
      </c>
      <c r="U3941" s="45">
        <v>35</v>
      </c>
      <c r="V3941" t="s">
        <v>8191</v>
      </c>
      <c r="W3941" s="1" t="str">
        <f>HYPERLINK("http://ictvonline.org/taxonomy/p/taxonomy-history?taxnode_id=201903767","ICTVonline=201903767")</f>
        <v>ICTVonline=201903767</v>
      </c>
    </row>
    <row r="3942" spans="1:23">
      <c r="A3942" s="3">
        <v>3941</v>
      </c>
      <c r="B3942" s="1" t="s">
        <v>5910</v>
      </c>
      <c r="D3942" s="1" t="s">
        <v>8187</v>
      </c>
      <c r="F3942" s="1" t="s">
        <v>8208</v>
      </c>
      <c r="H3942" s="1" t="s">
        <v>8240</v>
      </c>
      <c r="J3942" s="1" t="s">
        <v>8241</v>
      </c>
      <c r="L3942" s="1" t="s">
        <v>1956</v>
      </c>
      <c r="N3942" s="1" t="s">
        <v>1119</v>
      </c>
      <c r="P3942" s="1" t="s">
        <v>5422</v>
      </c>
      <c r="Q3942" s="3">
        <v>0</v>
      </c>
      <c r="R3942" s="22" t="s">
        <v>2723</v>
      </c>
      <c r="T3942" s="3" t="s">
        <v>4868</v>
      </c>
      <c r="U3942" s="45">
        <v>35</v>
      </c>
      <c r="V3942" t="s">
        <v>8191</v>
      </c>
      <c r="W3942" s="1" t="str">
        <f>HYPERLINK("http://ictvonline.org/taxonomy/p/taxonomy-history?taxnode_id=201903768","ICTVonline=201903768")</f>
        <v>ICTVonline=201903768</v>
      </c>
    </row>
    <row r="3943" spans="1:23">
      <c r="A3943" s="3">
        <v>3942</v>
      </c>
      <c r="B3943" s="1" t="s">
        <v>5910</v>
      </c>
      <c r="D3943" s="1" t="s">
        <v>8187</v>
      </c>
      <c r="F3943" s="1" t="s">
        <v>8208</v>
      </c>
      <c r="H3943" s="1" t="s">
        <v>8240</v>
      </c>
      <c r="J3943" s="1" t="s">
        <v>8241</v>
      </c>
      <c r="L3943" s="1" t="s">
        <v>1956</v>
      </c>
      <c r="N3943" s="1" t="s">
        <v>1119</v>
      </c>
      <c r="P3943" s="1" t="s">
        <v>5423</v>
      </c>
      <c r="Q3943" s="3">
        <v>1</v>
      </c>
      <c r="R3943" s="22" t="s">
        <v>2723</v>
      </c>
      <c r="T3943" s="3" t="s">
        <v>4868</v>
      </c>
      <c r="U3943" s="45">
        <v>35</v>
      </c>
      <c r="V3943" t="s">
        <v>8191</v>
      </c>
      <c r="W3943" s="1" t="str">
        <f>HYPERLINK("http://ictvonline.org/taxonomy/p/taxonomy-history?taxnode_id=201903769","ICTVonline=201903769")</f>
        <v>ICTVonline=201903769</v>
      </c>
    </row>
    <row r="3944" spans="1:23">
      <c r="A3944" s="3">
        <v>3943</v>
      </c>
      <c r="B3944" s="1" t="s">
        <v>5910</v>
      </c>
      <c r="D3944" s="1" t="s">
        <v>8187</v>
      </c>
      <c r="F3944" s="1" t="s">
        <v>8208</v>
      </c>
      <c r="H3944" s="1" t="s">
        <v>8240</v>
      </c>
      <c r="J3944" s="1" t="s">
        <v>8241</v>
      </c>
      <c r="L3944" s="1" t="s">
        <v>1956</v>
      </c>
      <c r="N3944" s="1" t="s">
        <v>1119</v>
      </c>
      <c r="P3944" s="1" t="s">
        <v>1618</v>
      </c>
      <c r="Q3944" s="3">
        <v>0</v>
      </c>
      <c r="R3944" s="22" t="s">
        <v>2723</v>
      </c>
      <c r="T3944" s="3" t="s">
        <v>4868</v>
      </c>
      <c r="U3944" s="45">
        <v>35</v>
      </c>
      <c r="V3944" t="s">
        <v>8191</v>
      </c>
      <c r="W3944" s="1" t="str">
        <f>HYPERLINK("http://ictvonline.org/taxonomy/p/taxonomy-history?taxnode_id=201903770","ICTVonline=201903770")</f>
        <v>ICTVonline=201903770</v>
      </c>
    </row>
    <row r="3945" spans="1:23">
      <c r="A3945" s="3">
        <v>3944</v>
      </c>
      <c r="B3945" s="1" t="s">
        <v>5910</v>
      </c>
      <c r="D3945" s="1" t="s">
        <v>8187</v>
      </c>
      <c r="F3945" s="1" t="s">
        <v>8208</v>
      </c>
      <c r="H3945" s="1" t="s">
        <v>8240</v>
      </c>
      <c r="J3945" s="1" t="s">
        <v>8241</v>
      </c>
      <c r="L3945" s="1" t="s">
        <v>1956</v>
      </c>
      <c r="N3945" s="1" t="s">
        <v>1119</v>
      </c>
      <c r="P3945" s="1" t="s">
        <v>6186</v>
      </c>
      <c r="Q3945" s="3">
        <v>0</v>
      </c>
      <c r="R3945" s="22" t="s">
        <v>2723</v>
      </c>
      <c r="T3945" s="3" t="s">
        <v>4868</v>
      </c>
      <c r="U3945" s="45">
        <v>35</v>
      </c>
      <c r="V3945" t="s">
        <v>8191</v>
      </c>
      <c r="W3945" s="1" t="str">
        <f>HYPERLINK("http://ictvonline.org/taxonomy/p/taxonomy-history?taxnode_id=201906618","ICTVonline=201906618")</f>
        <v>ICTVonline=201906618</v>
      </c>
    </row>
    <row r="3946" spans="1:23">
      <c r="A3946" s="3">
        <v>3945</v>
      </c>
      <c r="B3946" s="1" t="s">
        <v>5910</v>
      </c>
      <c r="D3946" s="1" t="s">
        <v>8187</v>
      </c>
      <c r="F3946" s="1" t="s">
        <v>8208</v>
      </c>
      <c r="H3946" s="1" t="s">
        <v>8240</v>
      </c>
      <c r="J3946" s="1" t="s">
        <v>8241</v>
      </c>
      <c r="L3946" s="1" t="s">
        <v>1956</v>
      </c>
      <c r="N3946" s="1" t="s">
        <v>1119</v>
      </c>
      <c r="P3946" s="1" t="s">
        <v>6187</v>
      </c>
      <c r="Q3946" s="3">
        <v>0</v>
      </c>
      <c r="R3946" s="22" t="s">
        <v>2723</v>
      </c>
      <c r="T3946" s="3" t="s">
        <v>4868</v>
      </c>
      <c r="U3946" s="45">
        <v>35</v>
      </c>
      <c r="V3946" t="s">
        <v>8191</v>
      </c>
      <c r="W3946" s="1" t="str">
        <f>HYPERLINK("http://ictvonline.org/taxonomy/p/taxonomy-history?taxnode_id=201906615","ICTVonline=201906615")</f>
        <v>ICTVonline=201906615</v>
      </c>
    </row>
    <row r="3947" spans="1:23">
      <c r="A3947" s="3">
        <v>3946</v>
      </c>
      <c r="B3947" s="1" t="s">
        <v>5910</v>
      </c>
      <c r="D3947" s="1" t="s">
        <v>8187</v>
      </c>
      <c r="F3947" s="1" t="s">
        <v>8208</v>
      </c>
      <c r="H3947" s="1" t="s">
        <v>8240</v>
      </c>
      <c r="J3947" s="1" t="s">
        <v>8241</v>
      </c>
      <c r="L3947" s="1" t="s">
        <v>1956</v>
      </c>
      <c r="N3947" s="1" t="s">
        <v>1119</v>
      </c>
      <c r="P3947" s="1" t="s">
        <v>8247</v>
      </c>
      <c r="Q3947" s="3">
        <v>0</v>
      </c>
      <c r="R3947" s="22" t="s">
        <v>2723</v>
      </c>
      <c r="T3947" s="3" t="s">
        <v>4866</v>
      </c>
      <c r="U3947" s="45">
        <v>35</v>
      </c>
      <c r="V3947" t="s">
        <v>8245</v>
      </c>
      <c r="W3947" s="1" t="str">
        <f>HYPERLINK("http://ictvonline.org/taxonomy/p/taxonomy-history?taxnode_id=201907552","ICTVonline=201907552")</f>
        <v>ICTVonline=201907552</v>
      </c>
    </row>
    <row r="3948" spans="1:23">
      <c r="A3948" s="3">
        <v>3947</v>
      </c>
      <c r="B3948" s="1" t="s">
        <v>5910</v>
      </c>
      <c r="D3948" s="1" t="s">
        <v>8187</v>
      </c>
      <c r="F3948" s="1" t="s">
        <v>8208</v>
      </c>
      <c r="H3948" s="1" t="s">
        <v>8240</v>
      </c>
      <c r="J3948" s="1" t="s">
        <v>8241</v>
      </c>
      <c r="L3948" s="1" t="s">
        <v>1956</v>
      </c>
      <c r="N3948" s="1" t="s">
        <v>1119</v>
      </c>
      <c r="P3948" s="1" t="s">
        <v>544</v>
      </c>
      <c r="Q3948" s="3">
        <v>0</v>
      </c>
      <c r="R3948" s="22" t="s">
        <v>2723</v>
      </c>
      <c r="T3948" s="3" t="s">
        <v>4868</v>
      </c>
      <c r="U3948" s="45">
        <v>35</v>
      </c>
      <c r="V3948" t="s">
        <v>8191</v>
      </c>
      <c r="W3948" s="1" t="str">
        <f>HYPERLINK("http://ictvonline.org/taxonomy/p/taxonomy-history?taxnode_id=201903771","ICTVonline=201903771")</f>
        <v>ICTVonline=201903771</v>
      </c>
    </row>
    <row r="3949" spans="1:23">
      <c r="A3949" s="3">
        <v>3948</v>
      </c>
      <c r="B3949" s="1" t="s">
        <v>5910</v>
      </c>
      <c r="D3949" s="1" t="s">
        <v>8187</v>
      </c>
      <c r="F3949" s="1" t="s">
        <v>8208</v>
      </c>
      <c r="H3949" s="1" t="s">
        <v>8240</v>
      </c>
      <c r="J3949" s="1" t="s">
        <v>8241</v>
      </c>
      <c r="L3949" s="1" t="s">
        <v>1956</v>
      </c>
      <c r="N3949" s="1" t="s">
        <v>1119</v>
      </c>
      <c r="P3949" s="1" t="s">
        <v>1120</v>
      </c>
      <c r="Q3949" s="3">
        <v>0</v>
      </c>
      <c r="R3949" s="22" t="s">
        <v>2723</v>
      </c>
      <c r="T3949" s="3" t="s">
        <v>4868</v>
      </c>
      <c r="U3949" s="45">
        <v>35</v>
      </c>
      <c r="V3949" t="s">
        <v>8191</v>
      </c>
      <c r="W3949" s="1" t="str">
        <f>HYPERLINK("http://ictvonline.org/taxonomy/p/taxonomy-history?taxnode_id=201903772","ICTVonline=201903772")</f>
        <v>ICTVonline=201903772</v>
      </c>
    </row>
    <row r="3950" spans="1:23">
      <c r="A3950" s="3">
        <v>3949</v>
      </c>
      <c r="B3950" s="1" t="s">
        <v>5910</v>
      </c>
      <c r="D3950" s="1" t="s">
        <v>8187</v>
      </c>
      <c r="F3950" s="1" t="s">
        <v>8208</v>
      </c>
      <c r="H3950" s="1" t="s">
        <v>8240</v>
      </c>
      <c r="J3950" s="1" t="s">
        <v>8241</v>
      </c>
      <c r="L3950" s="1" t="s">
        <v>1956</v>
      </c>
      <c r="N3950" s="1" t="s">
        <v>1620</v>
      </c>
      <c r="P3950" s="1" t="s">
        <v>1621</v>
      </c>
      <c r="Q3950" s="3">
        <v>0</v>
      </c>
      <c r="R3950" s="22" t="s">
        <v>2723</v>
      </c>
      <c r="T3950" s="3" t="s">
        <v>4868</v>
      </c>
      <c r="U3950" s="45">
        <v>35</v>
      </c>
      <c r="V3950" t="s">
        <v>8191</v>
      </c>
      <c r="W3950" s="1" t="str">
        <f>HYPERLINK("http://ictvonline.org/taxonomy/p/taxonomy-history?taxnode_id=201903774","ICTVonline=201903774")</f>
        <v>ICTVonline=201903774</v>
      </c>
    </row>
    <row r="3951" spans="1:23">
      <c r="A3951" s="3">
        <v>3950</v>
      </c>
      <c r="B3951" s="1" t="s">
        <v>5910</v>
      </c>
      <c r="D3951" s="1" t="s">
        <v>8187</v>
      </c>
      <c r="F3951" s="1" t="s">
        <v>8208</v>
      </c>
      <c r="H3951" s="1" t="s">
        <v>8240</v>
      </c>
      <c r="J3951" s="1" t="s">
        <v>8241</v>
      </c>
      <c r="L3951" s="1" t="s">
        <v>1956</v>
      </c>
      <c r="N3951" s="1" t="s">
        <v>1620</v>
      </c>
      <c r="P3951" s="1" t="s">
        <v>1961</v>
      </c>
      <c r="Q3951" s="3">
        <v>0</v>
      </c>
      <c r="R3951" s="22" t="s">
        <v>2723</v>
      </c>
      <c r="T3951" s="3" t="s">
        <v>4868</v>
      </c>
      <c r="U3951" s="45">
        <v>35</v>
      </c>
      <c r="V3951" t="s">
        <v>8191</v>
      </c>
      <c r="W3951" s="1" t="str">
        <f>HYPERLINK("http://ictvonline.org/taxonomy/p/taxonomy-history?taxnode_id=201903775","ICTVonline=201903775")</f>
        <v>ICTVonline=201903775</v>
      </c>
    </row>
    <row r="3952" spans="1:23">
      <c r="A3952" s="3">
        <v>3951</v>
      </c>
      <c r="B3952" s="1" t="s">
        <v>5910</v>
      </c>
      <c r="D3952" s="1" t="s">
        <v>8187</v>
      </c>
      <c r="F3952" s="1" t="s">
        <v>8208</v>
      </c>
      <c r="H3952" s="1" t="s">
        <v>8240</v>
      </c>
      <c r="J3952" s="1" t="s">
        <v>8241</v>
      </c>
      <c r="L3952" s="1" t="s">
        <v>1956</v>
      </c>
      <c r="N3952" s="1" t="s">
        <v>1620</v>
      </c>
      <c r="P3952" s="1" t="s">
        <v>1622</v>
      </c>
      <c r="Q3952" s="3">
        <v>0</v>
      </c>
      <c r="R3952" s="22" t="s">
        <v>2723</v>
      </c>
      <c r="T3952" s="3" t="s">
        <v>4868</v>
      </c>
      <c r="U3952" s="45">
        <v>35</v>
      </c>
      <c r="V3952" t="s">
        <v>8191</v>
      </c>
      <c r="W3952" s="1" t="str">
        <f>HYPERLINK("http://ictvonline.org/taxonomy/p/taxonomy-history?taxnode_id=201903776","ICTVonline=201903776")</f>
        <v>ICTVonline=201903776</v>
      </c>
    </row>
    <row r="3953" spans="1:23">
      <c r="A3953" s="3">
        <v>3952</v>
      </c>
      <c r="B3953" s="1" t="s">
        <v>5910</v>
      </c>
      <c r="D3953" s="1" t="s">
        <v>8187</v>
      </c>
      <c r="F3953" s="1" t="s">
        <v>8208</v>
      </c>
      <c r="H3953" s="1" t="s">
        <v>8240</v>
      </c>
      <c r="J3953" s="1" t="s">
        <v>8241</v>
      </c>
      <c r="L3953" s="1" t="s">
        <v>1956</v>
      </c>
      <c r="N3953" s="1" t="s">
        <v>1620</v>
      </c>
      <c r="P3953" s="1" t="s">
        <v>1623</v>
      </c>
      <c r="Q3953" s="3">
        <v>0</v>
      </c>
      <c r="R3953" s="22" t="s">
        <v>2723</v>
      </c>
      <c r="T3953" s="3" t="s">
        <v>4868</v>
      </c>
      <c r="U3953" s="45">
        <v>35</v>
      </c>
      <c r="V3953" t="s">
        <v>8191</v>
      </c>
      <c r="W3953" s="1" t="str">
        <f>HYPERLINK("http://ictvonline.org/taxonomy/p/taxonomy-history?taxnode_id=201903777","ICTVonline=201903777")</f>
        <v>ICTVonline=201903777</v>
      </c>
    </row>
    <row r="3954" spans="1:23">
      <c r="A3954" s="3">
        <v>3953</v>
      </c>
      <c r="B3954" s="1" t="s">
        <v>5910</v>
      </c>
      <c r="D3954" s="1" t="s">
        <v>8187</v>
      </c>
      <c r="F3954" s="1" t="s">
        <v>8208</v>
      </c>
      <c r="H3954" s="1" t="s">
        <v>8240</v>
      </c>
      <c r="J3954" s="1" t="s">
        <v>8241</v>
      </c>
      <c r="L3954" s="1" t="s">
        <v>1956</v>
      </c>
      <c r="N3954" s="1" t="s">
        <v>1620</v>
      </c>
      <c r="P3954" s="1" t="s">
        <v>5424</v>
      </c>
      <c r="Q3954" s="3">
        <v>0</v>
      </c>
      <c r="R3954" s="22" t="s">
        <v>2723</v>
      </c>
      <c r="T3954" s="3" t="s">
        <v>4868</v>
      </c>
      <c r="U3954" s="45">
        <v>35</v>
      </c>
      <c r="V3954" t="s">
        <v>8191</v>
      </c>
      <c r="W3954" s="1" t="str">
        <f>HYPERLINK("http://ictvonline.org/taxonomy/p/taxonomy-history?taxnode_id=201903778","ICTVonline=201903778")</f>
        <v>ICTVonline=201903778</v>
      </c>
    </row>
    <row r="3955" spans="1:23">
      <c r="A3955" s="3">
        <v>3954</v>
      </c>
      <c r="B3955" s="1" t="s">
        <v>5910</v>
      </c>
      <c r="D3955" s="1" t="s">
        <v>8187</v>
      </c>
      <c r="F3955" s="1" t="s">
        <v>8208</v>
      </c>
      <c r="H3955" s="1" t="s">
        <v>8240</v>
      </c>
      <c r="J3955" s="1" t="s">
        <v>8241</v>
      </c>
      <c r="L3955" s="1" t="s">
        <v>1956</v>
      </c>
      <c r="N3955" s="1" t="s">
        <v>1620</v>
      </c>
      <c r="P3955" s="1" t="s">
        <v>5425</v>
      </c>
      <c r="Q3955" s="3">
        <v>0</v>
      </c>
      <c r="R3955" s="22" t="s">
        <v>2723</v>
      </c>
      <c r="T3955" s="3" t="s">
        <v>4868</v>
      </c>
      <c r="U3955" s="45">
        <v>35</v>
      </c>
      <c r="V3955" t="s">
        <v>8191</v>
      </c>
      <c r="W3955" s="1" t="str">
        <f>HYPERLINK("http://ictvonline.org/taxonomy/p/taxonomy-history?taxnode_id=201903779","ICTVonline=201903779")</f>
        <v>ICTVonline=201903779</v>
      </c>
    </row>
    <row r="3956" spans="1:23">
      <c r="A3956" s="3">
        <v>3955</v>
      </c>
      <c r="B3956" s="1" t="s">
        <v>5910</v>
      </c>
      <c r="D3956" s="1" t="s">
        <v>8187</v>
      </c>
      <c r="F3956" s="1" t="s">
        <v>8208</v>
      </c>
      <c r="H3956" s="1" t="s">
        <v>8240</v>
      </c>
      <c r="J3956" s="1" t="s">
        <v>8241</v>
      </c>
      <c r="L3956" s="1" t="s">
        <v>1956</v>
      </c>
      <c r="N3956" s="1" t="s">
        <v>1620</v>
      </c>
      <c r="P3956" s="1" t="s">
        <v>545</v>
      </c>
      <c r="Q3956" s="3">
        <v>0</v>
      </c>
      <c r="R3956" s="22" t="s">
        <v>2723</v>
      </c>
      <c r="T3956" s="3" t="s">
        <v>4868</v>
      </c>
      <c r="U3956" s="45">
        <v>35</v>
      </c>
      <c r="V3956" t="s">
        <v>8191</v>
      </c>
      <c r="W3956" s="1" t="str">
        <f>HYPERLINK("http://ictvonline.org/taxonomy/p/taxonomy-history?taxnode_id=201903780","ICTVonline=201903780")</f>
        <v>ICTVonline=201903780</v>
      </c>
    </row>
    <row r="3957" spans="1:23">
      <c r="A3957" s="3">
        <v>3956</v>
      </c>
      <c r="B3957" s="1" t="s">
        <v>5910</v>
      </c>
      <c r="D3957" s="1" t="s">
        <v>8187</v>
      </c>
      <c r="F3957" s="1" t="s">
        <v>8208</v>
      </c>
      <c r="H3957" s="1" t="s">
        <v>8240</v>
      </c>
      <c r="J3957" s="1" t="s">
        <v>8241</v>
      </c>
      <c r="L3957" s="1" t="s">
        <v>1956</v>
      </c>
      <c r="N3957" s="1" t="s">
        <v>1620</v>
      </c>
      <c r="P3957" s="1" t="s">
        <v>2456</v>
      </c>
      <c r="Q3957" s="3">
        <v>0</v>
      </c>
      <c r="R3957" s="22" t="s">
        <v>2723</v>
      </c>
      <c r="T3957" s="3" t="s">
        <v>4868</v>
      </c>
      <c r="U3957" s="45">
        <v>35</v>
      </c>
      <c r="V3957" t="s">
        <v>8191</v>
      </c>
      <c r="W3957" s="1" t="str">
        <f>HYPERLINK("http://ictvonline.org/taxonomy/p/taxonomy-history?taxnode_id=201903781","ICTVonline=201903781")</f>
        <v>ICTVonline=201903781</v>
      </c>
    </row>
    <row r="3958" spans="1:23">
      <c r="A3958" s="3">
        <v>3957</v>
      </c>
      <c r="B3958" s="1" t="s">
        <v>5910</v>
      </c>
      <c r="D3958" s="1" t="s">
        <v>8187</v>
      </c>
      <c r="F3958" s="1" t="s">
        <v>8208</v>
      </c>
      <c r="H3958" s="1" t="s">
        <v>8240</v>
      </c>
      <c r="J3958" s="1" t="s">
        <v>8241</v>
      </c>
      <c r="L3958" s="1" t="s">
        <v>1956</v>
      </c>
      <c r="N3958" s="1" t="s">
        <v>1620</v>
      </c>
      <c r="P3958" s="1" t="s">
        <v>1624</v>
      </c>
      <c r="Q3958" s="3">
        <v>0</v>
      </c>
      <c r="R3958" s="22" t="s">
        <v>2723</v>
      </c>
      <c r="T3958" s="3" t="s">
        <v>4868</v>
      </c>
      <c r="U3958" s="45">
        <v>35</v>
      </c>
      <c r="V3958" t="s">
        <v>8191</v>
      </c>
      <c r="W3958" s="1" t="str">
        <f>HYPERLINK("http://ictvonline.org/taxonomy/p/taxonomy-history?taxnode_id=201903782","ICTVonline=201903782")</f>
        <v>ICTVonline=201903782</v>
      </c>
    </row>
    <row r="3959" spans="1:23">
      <c r="A3959" s="3">
        <v>3958</v>
      </c>
      <c r="B3959" s="1" t="s">
        <v>5910</v>
      </c>
      <c r="D3959" s="1" t="s">
        <v>8187</v>
      </c>
      <c r="F3959" s="1" t="s">
        <v>8208</v>
      </c>
      <c r="H3959" s="1" t="s">
        <v>8240</v>
      </c>
      <c r="J3959" s="1" t="s">
        <v>8241</v>
      </c>
      <c r="L3959" s="1" t="s">
        <v>1956</v>
      </c>
      <c r="N3959" s="1" t="s">
        <v>1620</v>
      </c>
      <c r="P3959" s="1" t="s">
        <v>8248</v>
      </c>
      <c r="Q3959" s="3">
        <v>0</v>
      </c>
      <c r="R3959" s="22" t="s">
        <v>2723</v>
      </c>
      <c r="T3959" s="3" t="s">
        <v>4866</v>
      </c>
      <c r="U3959" s="45">
        <v>35</v>
      </c>
      <c r="V3959" t="s">
        <v>8249</v>
      </c>
      <c r="W3959" s="1" t="str">
        <f>HYPERLINK("http://ictvonline.org/taxonomy/p/taxonomy-history?taxnode_id=201907417","ICTVonline=201907417")</f>
        <v>ICTVonline=201907417</v>
      </c>
    </row>
    <row r="3960" spans="1:23">
      <c r="A3960" s="3">
        <v>3959</v>
      </c>
      <c r="B3960" s="1" t="s">
        <v>5910</v>
      </c>
      <c r="D3960" s="1" t="s">
        <v>8187</v>
      </c>
      <c r="F3960" s="1" t="s">
        <v>8208</v>
      </c>
      <c r="H3960" s="1" t="s">
        <v>8240</v>
      </c>
      <c r="J3960" s="1" t="s">
        <v>8241</v>
      </c>
      <c r="L3960" s="1" t="s">
        <v>1956</v>
      </c>
      <c r="N3960" s="1" t="s">
        <v>1620</v>
      </c>
      <c r="P3960" s="1" t="s">
        <v>5426</v>
      </c>
      <c r="Q3960" s="3">
        <v>0</v>
      </c>
      <c r="R3960" s="22" t="s">
        <v>2723</v>
      </c>
      <c r="T3960" s="3" t="s">
        <v>4868</v>
      </c>
      <c r="U3960" s="45">
        <v>35</v>
      </c>
      <c r="V3960" t="s">
        <v>8191</v>
      </c>
      <c r="W3960" s="1" t="str">
        <f>HYPERLINK("http://ictvonline.org/taxonomy/p/taxonomy-history?taxnode_id=201903783","ICTVonline=201903783")</f>
        <v>ICTVonline=201903783</v>
      </c>
    </row>
    <row r="3961" spans="1:23">
      <c r="A3961" s="3">
        <v>3960</v>
      </c>
      <c r="B3961" s="1" t="s">
        <v>5910</v>
      </c>
      <c r="D3961" s="1" t="s">
        <v>8187</v>
      </c>
      <c r="F3961" s="1" t="s">
        <v>8208</v>
      </c>
      <c r="H3961" s="1" t="s">
        <v>8240</v>
      </c>
      <c r="J3961" s="1" t="s">
        <v>8241</v>
      </c>
      <c r="L3961" s="1" t="s">
        <v>1956</v>
      </c>
      <c r="N3961" s="1" t="s">
        <v>1620</v>
      </c>
      <c r="P3961" s="1" t="s">
        <v>5427</v>
      </c>
      <c r="Q3961" s="3">
        <v>0</v>
      </c>
      <c r="R3961" s="22" t="s">
        <v>2723</v>
      </c>
      <c r="T3961" s="3" t="s">
        <v>4868</v>
      </c>
      <c r="U3961" s="45">
        <v>35</v>
      </c>
      <c r="V3961" t="s">
        <v>8191</v>
      </c>
      <c r="W3961" s="1" t="str">
        <f>HYPERLINK("http://ictvonline.org/taxonomy/p/taxonomy-history?taxnode_id=201905862","ICTVonline=201905862")</f>
        <v>ICTVonline=201905862</v>
      </c>
    </row>
    <row r="3962" spans="1:23">
      <c r="A3962" s="3">
        <v>3961</v>
      </c>
      <c r="B3962" s="1" t="s">
        <v>5910</v>
      </c>
      <c r="D3962" s="1" t="s">
        <v>8187</v>
      </c>
      <c r="F3962" s="1" t="s">
        <v>8208</v>
      </c>
      <c r="H3962" s="1" t="s">
        <v>8240</v>
      </c>
      <c r="J3962" s="1" t="s">
        <v>8241</v>
      </c>
      <c r="L3962" s="1" t="s">
        <v>1956</v>
      </c>
      <c r="N3962" s="1" t="s">
        <v>1620</v>
      </c>
      <c r="P3962" s="1" t="s">
        <v>546</v>
      </c>
      <c r="Q3962" s="3">
        <v>0</v>
      </c>
      <c r="R3962" s="22" t="s">
        <v>2723</v>
      </c>
      <c r="T3962" s="3" t="s">
        <v>4868</v>
      </c>
      <c r="U3962" s="45">
        <v>35</v>
      </c>
      <c r="V3962" t="s">
        <v>8191</v>
      </c>
      <c r="W3962" s="1" t="str">
        <f>HYPERLINK("http://ictvonline.org/taxonomy/p/taxonomy-history?taxnode_id=201903784","ICTVonline=201903784")</f>
        <v>ICTVonline=201903784</v>
      </c>
    </row>
    <row r="3963" spans="1:23">
      <c r="A3963" s="3">
        <v>3962</v>
      </c>
      <c r="B3963" s="1" t="s">
        <v>5910</v>
      </c>
      <c r="D3963" s="1" t="s">
        <v>8187</v>
      </c>
      <c r="F3963" s="1" t="s">
        <v>8208</v>
      </c>
      <c r="H3963" s="1" t="s">
        <v>8240</v>
      </c>
      <c r="J3963" s="1" t="s">
        <v>8241</v>
      </c>
      <c r="L3963" s="1" t="s">
        <v>1956</v>
      </c>
      <c r="N3963" s="1" t="s">
        <v>1620</v>
      </c>
      <c r="P3963" s="1" t="s">
        <v>5428</v>
      </c>
      <c r="Q3963" s="3">
        <v>0</v>
      </c>
      <c r="R3963" s="22" t="s">
        <v>2723</v>
      </c>
      <c r="T3963" s="3" t="s">
        <v>4868</v>
      </c>
      <c r="U3963" s="45">
        <v>35</v>
      </c>
      <c r="V3963" t="s">
        <v>8191</v>
      </c>
      <c r="W3963" s="1" t="str">
        <f>HYPERLINK("http://ictvonline.org/taxonomy/p/taxonomy-history?taxnode_id=201905863","ICTVonline=201905863")</f>
        <v>ICTVonline=201905863</v>
      </c>
    </row>
    <row r="3964" spans="1:23">
      <c r="A3964" s="3">
        <v>3963</v>
      </c>
      <c r="B3964" s="1" t="s">
        <v>5910</v>
      </c>
      <c r="D3964" s="1" t="s">
        <v>8187</v>
      </c>
      <c r="F3964" s="1" t="s">
        <v>8208</v>
      </c>
      <c r="H3964" s="1" t="s">
        <v>8240</v>
      </c>
      <c r="J3964" s="1" t="s">
        <v>8241</v>
      </c>
      <c r="L3964" s="1" t="s">
        <v>1956</v>
      </c>
      <c r="N3964" s="1" t="s">
        <v>1620</v>
      </c>
      <c r="P3964" s="1" t="s">
        <v>6188</v>
      </c>
      <c r="Q3964" s="3">
        <v>0</v>
      </c>
      <c r="R3964" s="22" t="s">
        <v>2723</v>
      </c>
      <c r="T3964" s="3" t="s">
        <v>4868</v>
      </c>
      <c r="U3964" s="45">
        <v>35</v>
      </c>
      <c r="V3964" t="s">
        <v>8191</v>
      </c>
      <c r="W3964" s="1" t="str">
        <f>HYPERLINK("http://ictvonline.org/taxonomy/p/taxonomy-history?taxnode_id=201903785","ICTVonline=201903785")</f>
        <v>ICTVonline=201903785</v>
      </c>
    </row>
    <row r="3965" spans="1:23">
      <c r="A3965" s="3">
        <v>3964</v>
      </c>
      <c r="B3965" s="1" t="s">
        <v>5910</v>
      </c>
      <c r="D3965" s="1" t="s">
        <v>8187</v>
      </c>
      <c r="F3965" s="1" t="s">
        <v>8208</v>
      </c>
      <c r="H3965" s="1" t="s">
        <v>8240</v>
      </c>
      <c r="J3965" s="1" t="s">
        <v>8241</v>
      </c>
      <c r="L3965" s="1" t="s">
        <v>1956</v>
      </c>
      <c r="N3965" s="1" t="s">
        <v>1620</v>
      </c>
      <c r="P3965" s="1" t="s">
        <v>6189</v>
      </c>
      <c r="Q3965" s="3">
        <v>0</v>
      </c>
      <c r="R3965" s="22" t="s">
        <v>2723</v>
      </c>
      <c r="T3965" s="3" t="s">
        <v>4868</v>
      </c>
      <c r="U3965" s="45">
        <v>35</v>
      </c>
      <c r="V3965" t="s">
        <v>8191</v>
      </c>
      <c r="W3965" s="1" t="str">
        <f>HYPERLINK("http://ictvonline.org/taxonomy/p/taxonomy-history?taxnode_id=201906621","ICTVonline=201906621")</f>
        <v>ICTVonline=201906621</v>
      </c>
    </row>
    <row r="3966" spans="1:23">
      <c r="A3966" s="3">
        <v>3965</v>
      </c>
      <c r="B3966" s="1" t="s">
        <v>5910</v>
      </c>
      <c r="D3966" s="1" t="s">
        <v>8187</v>
      </c>
      <c r="F3966" s="1" t="s">
        <v>8208</v>
      </c>
      <c r="H3966" s="1" t="s">
        <v>8240</v>
      </c>
      <c r="J3966" s="1" t="s">
        <v>8241</v>
      </c>
      <c r="L3966" s="1" t="s">
        <v>1956</v>
      </c>
      <c r="N3966" s="1" t="s">
        <v>1620</v>
      </c>
      <c r="P3966" s="1" t="s">
        <v>6190</v>
      </c>
      <c r="Q3966" s="3">
        <v>0</v>
      </c>
      <c r="R3966" s="22" t="s">
        <v>2723</v>
      </c>
      <c r="T3966" s="3" t="s">
        <v>4868</v>
      </c>
      <c r="U3966" s="45">
        <v>35</v>
      </c>
      <c r="V3966" t="s">
        <v>8191</v>
      </c>
      <c r="W3966" s="1" t="str">
        <f>HYPERLINK("http://ictvonline.org/taxonomy/p/taxonomy-history?taxnode_id=201906622","ICTVonline=201906622")</f>
        <v>ICTVonline=201906622</v>
      </c>
    </row>
    <row r="3967" spans="1:23">
      <c r="A3967" s="3">
        <v>3966</v>
      </c>
      <c r="B3967" s="1" t="s">
        <v>5910</v>
      </c>
      <c r="D3967" s="1" t="s">
        <v>8187</v>
      </c>
      <c r="F3967" s="1" t="s">
        <v>8208</v>
      </c>
      <c r="H3967" s="1" t="s">
        <v>8240</v>
      </c>
      <c r="J3967" s="1" t="s">
        <v>8241</v>
      </c>
      <c r="L3967" s="1" t="s">
        <v>1956</v>
      </c>
      <c r="N3967" s="1" t="s">
        <v>1620</v>
      </c>
      <c r="P3967" s="1" t="s">
        <v>6191</v>
      </c>
      <c r="Q3967" s="3">
        <v>0</v>
      </c>
      <c r="R3967" s="22" t="s">
        <v>2723</v>
      </c>
      <c r="T3967" s="3" t="s">
        <v>4868</v>
      </c>
      <c r="U3967" s="45">
        <v>35</v>
      </c>
      <c r="V3967" t="s">
        <v>8191</v>
      </c>
      <c r="W3967" s="1" t="str">
        <f>HYPERLINK("http://ictvonline.org/taxonomy/p/taxonomy-history?taxnode_id=201906623","ICTVonline=201906623")</f>
        <v>ICTVonline=201906623</v>
      </c>
    </row>
    <row r="3968" spans="1:23">
      <c r="A3968" s="3">
        <v>3967</v>
      </c>
      <c r="B3968" s="1" t="s">
        <v>5910</v>
      </c>
      <c r="D3968" s="1" t="s">
        <v>8187</v>
      </c>
      <c r="F3968" s="1" t="s">
        <v>8208</v>
      </c>
      <c r="H3968" s="1" t="s">
        <v>8240</v>
      </c>
      <c r="J3968" s="1" t="s">
        <v>8241</v>
      </c>
      <c r="L3968" s="1" t="s">
        <v>1956</v>
      </c>
      <c r="N3968" s="1" t="s">
        <v>1620</v>
      </c>
      <c r="P3968" s="1" t="s">
        <v>6192</v>
      </c>
      <c r="Q3968" s="3">
        <v>0</v>
      </c>
      <c r="R3968" s="22" t="s">
        <v>2723</v>
      </c>
      <c r="T3968" s="3" t="s">
        <v>4868</v>
      </c>
      <c r="U3968" s="45">
        <v>35</v>
      </c>
      <c r="V3968" t="s">
        <v>8191</v>
      </c>
      <c r="W3968" s="1" t="str">
        <f>HYPERLINK("http://ictvonline.org/taxonomy/p/taxonomy-history?taxnode_id=201906624","ICTVonline=201906624")</f>
        <v>ICTVonline=201906624</v>
      </c>
    </row>
    <row r="3969" spans="1:23">
      <c r="A3969" s="3">
        <v>3968</v>
      </c>
      <c r="B3969" s="1" t="s">
        <v>5910</v>
      </c>
      <c r="D3969" s="1" t="s">
        <v>8187</v>
      </c>
      <c r="F3969" s="1" t="s">
        <v>8208</v>
      </c>
      <c r="H3969" s="1" t="s">
        <v>8240</v>
      </c>
      <c r="J3969" s="1" t="s">
        <v>8241</v>
      </c>
      <c r="L3969" s="1" t="s">
        <v>1956</v>
      </c>
      <c r="N3969" s="1" t="s">
        <v>1620</v>
      </c>
      <c r="P3969" s="1" t="s">
        <v>6193</v>
      </c>
      <c r="Q3969" s="3">
        <v>0</v>
      </c>
      <c r="R3969" s="22" t="s">
        <v>2723</v>
      </c>
      <c r="T3969" s="3" t="s">
        <v>4868</v>
      </c>
      <c r="U3969" s="45">
        <v>35</v>
      </c>
      <c r="V3969" t="s">
        <v>8191</v>
      </c>
      <c r="W3969" s="1" t="str">
        <f>HYPERLINK("http://ictvonline.org/taxonomy/p/taxonomy-history?taxnode_id=201906625","ICTVonline=201906625")</f>
        <v>ICTVonline=201906625</v>
      </c>
    </row>
    <row r="3970" spans="1:23">
      <c r="A3970" s="3">
        <v>3969</v>
      </c>
      <c r="B3970" s="1" t="s">
        <v>5910</v>
      </c>
      <c r="D3970" s="1" t="s">
        <v>8187</v>
      </c>
      <c r="F3970" s="1" t="s">
        <v>8208</v>
      </c>
      <c r="H3970" s="1" t="s">
        <v>8240</v>
      </c>
      <c r="J3970" s="1" t="s">
        <v>8241</v>
      </c>
      <c r="L3970" s="1" t="s">
        <v>1956</v>
      </c>
      <c r="N3970" s="1" t="s">
        <v>1620</v>
      </c>
      <c r="P3970" s="1" t="s">
        <v>1625</v>
      </c>
      <c r="Q3970" s="3">
        <v>1</v>
      </c>
      <c r="R3970" s="22" t="s">
        <v>2723</v>
      </c>
      <c r="T3970" s="3" t="s">
        <v>4868</v>
      </c>
      <c r="U3970" s="45">
        <v>35</v>
      </c>
      <c r="V3970" t="s">
        <v>8191</v>
      </c>
      <c r="W3970" s="1" t="str">
        <f>HYPERLINK("http://ictvonline.org/taxonomy/p/taxonomy-history?taxnode_id=201903786","ICTVonline=201903786")</f>
        <v>ICTVonline=201903786</v>
      </c>
    </row>
    <row r="3971" spans="1:23">
      <c r="A3971" s="3">
        <v>3970</v>
      </c>
      <c r="B3971" s="1" t="s">
        <v>5910</v>
      </c>
      <c r="D3971" s="1" t="s">
        <v>8187</v>
      </c>
      <c r="F3971" s="1" t="s">
        <v>8208</v>
      </c>
      <c r="H3971" s="1" t="s">
        <v>8240</v>
      </c>
      <c r="J3971" s="1" t="s">
        <v>8241</v>
      </c>
      <c r="L3971" s="1" t="s">
        <v>1956</v>
      </c>
      <c r="N3971" s="1" t="s">
        <v>1620</v>
      </c>
      <c r="P3971" s="1" t="s">
        <v>8250</v>
      </c>
      <c r="Q3971" s="3">
        <v>0</v>
      </c>
      <c r="R3971" s="22" t="s">
        <v>2723</v>
      </c>
      <c r="T3971" s="3" t="s">
        <v>4866</v>
      </c>
      <c r="U3971" s="45">
        <v>35</v>
      </c>
      <c r="V3971" t="s">
        <v>8245</v>
      </c>
      <c r="W3971" s="1" t="str">
        <f>HYPERLINK("http://ictvonline.org/taxonomy/p/taxonomy-history?taxnode_id=201907553","ICTVonline=201907553")</f>
        <v>ICTVonline=201907553</v>
      </c>
    </row>
    <row r="3972" spans="1:23">
      <c r="A3972" s="3">
        <v>3971</v>
      </c>
      <c r="B3972" s="1" t="s">
        <v>5910</v>
      </c>
      <c r="D3972" s="1" t="s">
        <v>8187</v>
      </c>
      <c r="F3972" s="1" t="s">
        <v>8208</v>
      </c>
      <c r="H3972" s="1" t="s">
        <v>8240</v>
      </c>
      <c r="J3972" s="1" t="s">
        <v>8241</v>
      </c>
      <c r="L3972" s="1" t="s">
        <v>1956</v>
      </c>
      <c r="N3972" s="1" t="s">
        <v>1620</v>
      </c>
      <c r="P3972" s="1" t="s">
        <v>2457</v>
      </c>
      <c r="Q3972" s="3">
        <v>0</v>
      </c>
      <c r="R3972" s="22" t="s">
        <v>2723</v>
      </c>
      <c r="T3972" s="3" t="s">
        <v>4868</v>
      </c>
      <c r="U3972" s="45">
        <v>35</v>
      </c>
      <c r="V3972" t="s">
        <v>8191</v>
      </c>
      <c r="W3972" s="1" t="str">
        <f>HYPERLINK("http://ictvonline.org/taxonomy/p/taxonomy-history?taxnode_id=201903787","ICTVonline=201903787")</f>
        <v>ICTVonline=201903787</v>
      </c>
    </row>
    <row r="3973" spans="1:23">
      <c r="A3973" s="3">
        <v>3972</v>
      </c>
      <c r="B3973" s="1" t="s">
        <v>5910</v>
      </c>
      <c r="D3973" s="1" t="s">
        <v>8187</v>
      </c>
      <c r="F3973" s="1" t="s">
        <v>8208</v>
      </c>
      <c r="H3973" s="1" t="s">
        <v>8240</v>
      </c>
      <c r="J3973" s="1" t="s">
        <v>8241</v>
      </c>
      <c r="L3973" s="1" t="s">
        <v>1956</v>
      </c>
      <c r="N3973" s="1" t="s">
        <v>1620</v>
      </c>
      <c r="P3973" s="1" t="s">
        <v>1626</v>
      </c>
      <c r="Q3973" s="3">
        <v>0</v>
      </c>
      <c r="R3973" s="22" t="s">
        <v>2723</v>
      </c>
      <c r="T3973" s="3" t="s">
        <v>4868</v>
      </c>
      <c r="U3973" s="45">
        <v>35</v>
      </c>
      <c r="V3973" t="s">
        <v>8191</v>
      </c>
      <c r="W3973" s="1" t="str">
        <f>HYPERLINK("http://ictvonline.org/taxonomy/p/taxonomy-history?taxnode_id=201903788","ICTVonline=201903788")</f>
        <v>ICTVonline=201903788</v>
      </c>
    </row>
    <row r="3974" spans="1:23">
      <c r="A3974" s="3">
        <v>3973</v>
      </c>
      <c r="B3974" s="1" t="s">
        <v>5910</v>
      </c>
      <c r="D3974" s="1" t="s">
        <v>8187</v>
      </c>
      <c r="F3974" s="1" t="s">
        <v>8208</v>
      </c>
      <c r="H3974" s="1" t="s">
        <v>8240</v>
      </c>
      <c r="J3974" s="1" t="s">
        <v>8241</v>
      </c>
      <c r="L3974" s="1" t="s">
        <v>1956</v>
      </c>
      <c r="N3974" s="1" t="s">
        <v>1620</v>
      </c>
      <c r="P3974" s="1" t="s">
        <v>1629</v>
      </c>
      <c r="Q3974" s="3">
        <v>0</v>
      </c>
      <c r="R3974" s="22" t="s">
        <v>2723</v>
      </c>
      <c r="T3974" s="3" t="s">
        <v>4868</v>
      </c>
      <c r="U3974" s="45">
        <v>35</v>
      </c>
      <c r="V3974" t="s">
        <v>8191</v>
      </c>
      <c r="W3974" s="1" t="str">
        <f>HYPERLINK("http://ictvonline.org/taxonomy/p/taxonomy-history?taxnode_id=201903789","ICTVonline=201903789")</f>
        <v>ICTVonline=201903789</v>
      </c>
    </row>
    <row r="3975" spans="1:23">
      <c r="A3975" s="3">
        <v>3974</v>
      </c>
      <c r="B3975" s="1" t="s">
        <v>5910</v>
      </c>
      <c r="D3975" s="1" t="s">
        <v>8187</v>
      </c>
      <c r="F3975" s="1" t="s">
        <v>8208</v>
      </c>
      <c r="H3975" s="1" t="s">
        <v>8240</v>
      </c>
      <c r="J3975" s="1" t="s">
        <v>8241</v>
      </c>
      <c r="L3975" s="1" t="s">
        <v>1956</v>
      </c>
      <c r="N3975" s="1" t="s">
        <v>1620</v>
      </c>
      <c r="P3975" s="1" t="s">
        <v>1627</v>
      </c>
      <c r="Q3975" s="3">
        <v>0</v>
      </c>
      <c r="R3975" s="22" t="s">
        <v>2723</v>
      </c>
      <c r="T3975" s="3" t="s">
        <v>4868</v>
      </c>
      <c r="U3975" s="45">
        <v>35</v>
      </c>
      <c r="V3975" t="s">
        <v>8191</v>
      </c>
      <c r="W3975" s="1" t="str">
        <f>HYPERLINK("http://ictvonline.org/taxonomy/p/taxonomy-history?taxnode_id=201903790","ICTVonline=201903790")</f>
        <v>ICTVonline=201903790</v>
      </c>
    </row>
    <row r="3976" spans="1:23">
      <c r="A3976" s="3">
        <v>3975</v>
      </c>
      <c r="B3976" s="1" t="s">
        <v>5910</v>
      </c>
      <c r="D3976" s="1" t="s">
        <v>8187</v>
      </c>
      <c r="F3976" s="1" t="s">
        <v>8208</v>
      </c>
      <c r="H3976" s="1" t="s">
        <v>8240</v>
      </c>
      <c r="J3976" s="1" t="s">
        <v>8241</v>
      </c>
      <c r="L3976" s="1" t="s">
        <v>1956</v>
      </c>
      <c r="P3976" s="1" t="s">
        <v>5429</v>
      </c>
      <c r="Q3976" s="3">
        <v>0</v>
      </c>
      <c r="R3976" s="22" t="s">
        <v>2723</v>
      </c>
      <c r="T3976" s="3" t="s">
        <v>4868</v>
      </c>
      <c r="U3976" s="45">
        <v>35</v>
      </c>
      <c r="V3976" t="s">
        <v>8191</v>
      </c>
      <c r="W3976" s="1" t="str">
        <f>HYPERLINK("http://ictvonline.org/taxonomy/p/taxonomy-history?taxnode_id=201903792","ICTVonline=201903792")</f>
        <v>ICTVonline=201903792</v>
      </c>
    </row>
    <row r="3977" spans="1:23">
      <c r="A3977" s="3">
        <v>3976</v>
      </c>
      <c r="B3977" s="1" t="s">
        <v>5910</v>
      </c>
      <c r="D3977" s="1" t="s">
        <v>8187</v>
      </c>
      <c r="F3977" s="1" t="s">
        <v>8208</v>
      </c>
      <c r="H3977" s="1" t="s">
        <v>8240</v>
      </c>
      <c r="J3977" s="1" t="s">
        <v>8241</v>
      </c>
      <c r="L3977" s="1" t="s">
        <v>1956</v>
      </c>
      <c r="P3977" s="1" t="s">
        <v>5430</v>
      </c>
      <c r="Q3977" s="3">
        <v>0</v>
      </c>
      <c r="R3977" s="22" t="s">
        <v>2723</v>
      </c>
      <c r="T3977" s="3" t="s">
        <v>4868</v>
      </c>
      <c r="U3977" s="45">
        <v>35</v>
      </c>
      <c r="V3977" t="s">
        <v>8191</v>
      </c>
      <c r="W3977" s="1" t="str">
        <f>HYPERLINK("http://ictvonline.org/taxonomy/p/taxonomy-history?taxnode_id=201903793","ICTVonline=201903793")</f>
        <v>ICTVonline=201903793</v>
      </c>
    </row>
    <row r="3978" spans="1:23">
      <c r="A3978" s="3">
        <v>3977</v>
      </c>
      <c r="B3978" s="1" t="s">
        <v>5910</v>
      </c>
      <c r="D3978" s="1" t="s">
        <v>8187</v>
      </c>
      <c r="F3978" s="1" t="s">
        <v>8208</v>
      </c>
      <c r="H3978" s="1" t="s">
        <v>8240</v>
      </c>
      <c r="J3978" s="1" t="s">
        <v>8241</v>
      </c>
      <c r="L3978" s="1" t="s">
        <v>1956</v>
      </c>
      <c r="P3978" s="1" t="s">
        <v>1121</v>
      </c>
      <c r="Q3978" s="3">
        <v>0</v>
      </c>
      <c r="R3978" s="22" t="s">
        <v>2723</v>
      </c>
      <c r="T3978" s="3" t="s">
        <v>4868</v>
      </c>
      <c r="U3978" s="45">
        <v>35</v>
      </c>
      <c r="V3978" t="s">
        <v>8191</v>
      </c>
      <c r="W3978" s="1" t="str">
        <f>HYPERLINK("http://ictvonline.org/taxonomy/p/taxonomy-history?taxnode_id=201903794","ICTVonline=201903794")</f>
        <v>ICTVonline=201903794</v>
      </c>
    </row>
    <row r="3979" spans="1:23">
      <c r="A3979" s="3">
        <v>3978</v>
      </c>
      <c r="B3979" s="1" t="s">
        <v>5910</v>
      </c>
      <c r="D3979" s="1" t="s">
        <v>8187</v>
      </c>
      <c r="F3979" s="1" t="s">
        <v>8208</v>
      </c>
      <c r="H3979" s="1" t="s">
        <v>8240</v>
      </c>
      <c r="J3979" s="1" t="s">
        <v>8241</v>
      </c>
      <c r="L3979" s="1" t="s">
        <v>1956</v>
      </c>
      <c r="P3979" s="1" t="s">
        <v>1963</v>
      </c>
      <c r="Q3979" s="3">
        <v>0</v>
      </c>
      <c r="R3979" s="22" t="s">
        <v>2723</v>
      </c>
      <c r="T3979" s="3" t="s">
        <v>4868</v>
      </c>
      <c r="U3979" s="45">
        <v>35</v>
      </c>
      <c r="V3979" t="s">
        <v>8191</v>
      </c>
      <c r="W3979" s="1" t="str">
        <f>HYPERLINK("http://ictvonline.org/taxonomy/p/taxonomy-history?taxnode_id=201903795","ICTVonline=201903795")</f>
        <v>ICTVonline=201903795</v>
      </c>
    </row>
    <row r="3980" spans="1:23">
      <c r="A3980" s="3">
        <v>3979</v>
      </c>
      <c r="B3980" s="1" t="s">
        <v>5910</v>
      </c>
      <c r="D3980" s="1" t="s">
        <v>8187</v>
      </c>
      <c r="F3980" s="1" t="s">
        <v>8208</v>
      </c>
      <c r="H3980" s="1" t="s">
        <v>8240</v>
      </c>
      <c r="J3980" s="1" t="s">
        <v>8241</v>
      </c>
      <c r="L3980" s="1" t="s">
        <v>1956</v>
      </c>
      <c r="P3980" s="1" t="s">
        <v>1964</v>
      </c>
      <c r="Q3980" s="3">
        <v>0</v>
      </c>
      <c r="R3980" s="22" t="s">
        <v>2723</v>
      </c>
      <c r="T3980" s="3" t="s">
        <v>4868</v>
      </c>
      <c r="U3980" s="45">
        <v>35</v>
      </c>
      <c r="V3980" t="s">
        <v>8191</v>
      </c>
      <c r="W3980" s="1" t="str">
        <f>HYPERLINK("http://ictvonline.org/taxonomy/p/taxonomy-history?taxnode_id=201903796","ICTVonline=201903796")</f>
        <v>ICTVonline=201903796</v>
      </c>
    </row>
    <row r="3981" spans="1:23">
      <c r="A3981" s="3">
        <v>3980</v>
      </c>
      <c r="B3981" s="1" t="s">
        <v>5910</v>
      </c>
      <c r="D3981" s="1" t="s">
        <v>8187</v>
      </c>
      <c r="F3981" s="1" t="s">
        <v>8208</v>
      </c>
      <c r="H3981" s="1" t="s">
        <v>8240</v>
      </c>
      <c r="J3981" s="1" t="s">
        <v>8241</v>
      </c>
      <c r="L3981" s="1" t="s">
        <v>1956</v>
      </c>
      <c r="P3981" s="1" t="s">
        <v>1965</v>
      </c>
      <c r="Q3981" s="3">
        <v>0</v>
      </c>
      <c r="R3981" s="22" t="s">
        <v>2723</v>
      </c>
      <c r="T3981" s="3" t="s">
        <v>4868</v>
      </c>
      <c r="U3981" s="45">
        <v>35</v>
      </c>
      <c r="V3981" t="s">
        <v>8191</v>
      </c>
      <c r="W3981" s="1" t="str">
        <f>HYPERLINK("http://ictvonline.org/taxonomy/p/taxonomy-history?taxnode_id=201903797","ICTVonline=201903797")</f>
        <v>ICTVonline=201903797</v>
      </c>
    </row>
    <row r="3982" spans="1:23">
      <c r="A3982" s="3">
        <v>3981</v>
      </c>
      <c r="B3982" s="1" t="s">
        <v>5910</v>
      </c>
      <c r="D3982" s="1" t="s">
        <v>8187</v>
      </c>
      <c r="F3982" s="1" t="s">
        <v>8208</v>
      </c>
      <c r="H3982" s="1" t="s">
        <v>8240</v>
      </c>
      <c r="J3982" s="1" t="s">
        <v>8241</v>
      </c>
      <c r="L3982" s="1" t="s">
        <v>1956</v>
      </c>
      <c r="P3982" s="1" t="s">
        <v>1966</v>
      </c>
      <c r="Q3982" s="3">
        <v>0</v>
      </c>
      <c r="R3982" s="22" t="s">
        <v>2723</v>
      </c>
      <c r="T3982" s="3" t="s">
        <v>4868</v>
      </c>
      <c r="U3982" s="45">
        <v>35</v>
      </c>
      <c r="V3982" t="s">
        <v>8191</v>
      </c>
      <c r="W3982" s="1" t="str">
        <f>HYPERLINK("http://ictvonline.org/taxonomy/p/taxonomy-history?taxnode_id=201903798","ICTVonline=201903798")</f>
        <v>ICTVonline=201903798</v>
      </c>
    </row>
    <row r="3983" spans="1:23">
      <c r="A3983" s="3">
        <v>3982</v>
      </c>
      <c r="B3983" s="1" t="s">
        <v>5910</v>
      </c>
      <c r="D3983" s="1" t="s">
        <v>8187</v>
      </c>
      <c r="F3983" s="1" t="s">
        <v>8208</v>
      </c>
      <c r="H3983" s="1" t="s">
        <v>8240</v>
      </c>
      <c r="J3983" s="1" t="s">
        <v>8241</v>
      </c>
      <c r="L3983" s="1" t="s">
        <v>777</v>
      </c>
      <c r="M3983" s="1" t="s">
        <v>6204</v>
      </c>
      <c r="N3983" s="1" t="s">
        <v>1700</v>
      </c>
      <c r="P3983" s="1" t="s">
        <v>1701</v>
      </c>
      <c r="Q3983" s="3">
        <v>0</v>
      </c>
      <c r="R3983" s="22" t="s">
        <v>2723</v>
      </c>
      <c r="T3983" s="3" t="s">
        <v>4868</v>
      </c>
      <c r="U3983" s="45">
        <v>35</v>
      </c>
      <c r="V3983" t="s">
        <v>8191</v>
      </c>
      <c r="W3983" s="1" t="str">
        <f>HYPERLINK("http://ictvonline.org/taxonomy/p/taxonomy-history?taxnode_id=201905267","ICTVonline=201905267")</f>
        <v>ICTVonline=201905267</v>
      </c>
    </row>
    <row r="3984" spans="1:23">
      <c r="A3984" s="3">
        <v>3983</v>
      </c>
      <c r="B3984" s="1" t="s">
        <v>5910</v>
      </c>
      <c r="D3984" s="1" t="s">
        <v>8187</v>
      </c>
      <c r="F3984" s="1" t="s">
        <v>8208</v>
      </c>
      <c r="H3984" s="1" t="s">
        <v>8240</v>
      </c>
      <c r="J3984" s="1" t="s">
        <v>8241</v>
      </c>
      <c r="L3984" s="1" t="s">
        <v>777</v>
      </c>
      <c r="M3984" s="1" t="s">
        <v>6204</v>
      </c>
      <c r="N3984" s="1" t="s">
        <v>1700</v>
      </c>
      <c r="P3984" s="1" t="s">
        <v>1114</v>
      </c>
      <c r="Q3984" s="3">
        <v>1</v>
      </c>
      <c r="R3984" s="22" t="s">
        <v>2723</v>
      </c>
      <c r="T3984" s="3" t="s">
        <v>4868</v>
      </c>
      <c r="U3984" s="45">
        <v>35</v>
      </c>
      <c r="V3984" t="s">
        <v>8191</v>
      </c>
      <c r="W3984" s="1" t="str">
        <f>HYPERLINK("http://ictvonline.org/taxonomy/p/taxonomy-history?taxnode_id=201905268","ICTVonline=201905268")</f>
        <v>ICTVonline=201905268</v>
      </c>
    </row>
    <row r="3985" spans="1:23">
      <c r="A3985" s="3">
        <v>3984</v>
      </c>
      <c r="B3985" s="1" t="s">
        <v>5910</v>
      </c>
      <c r="D3985" s="1" t="s">
        <v>8187</v>
      </c>
      <c r="F3985" s="1" t="s">
        <v>8208</v>
      </c>
      <c r="H3985" s="1" t="s">
        <v>8240</v>
      </c>
      <c r="J3985" s="1" t="s">
        <v>8241</v>
      </c>
      <c r="L3985" s="1" t="s">
        <v>777</v>
      </c>
      <c r="M3985" s="1" t="s">
        <v>6204</v>
      </c>
      <c r="N3985" s="1" t="s">
        <v>1700</v>
      </c>
      <c r="P3985" s="1" t="s">
        <v>4854</v>
      </c>
      <c r="Q3985" s="3">
        <v>0</v>
      </c>
      <c r="R3985" s="22" t="s">
        <v>2723</v>
      </c>
      <c r="T3985" s="3" t="s">
        <v>4868</v>
      </c>
      <c r="U3985" s="45">
        <v>35</v>
      </c>
      <c r="V3985" t="s">
        <v>8191</v>
      </c>
      <c r="W3985" s="1" t="str">
        <f>HYPERLINK("http://ictvonline.org/taxonomy/p/taxonomy-history?taxnode_id=201905269","ICTVonline=201905269")</f>
        <v>ICTVonline=201905269</v>
      </c>
    </row>
    <row r="3986" spans="1:23">
      <c r="A3986" s="3">
        <v>3985</v>
      </c>
      <c r="B3986" s="1" t="s">
        <v>5910</v>
      </c>
      <c r="D3986" s="1" t="s">
        <v>8187</v>
      </c>
      <c r="F3986" s="1" t="s">
        <v>8208</v>
      </c>
      <c r="H3986" s="1" t="s">
        <v>8240</v>
      </c>
      <c r="J3986" s="1" t="s">
        <v>8241</v>
      </c>
      <c r="L3986" s="1" t="s">
        <v>777</v>
      </c>
      <c r="M3986" s="1" t="s">
        <v>6204</v>
      </c>
      <c r="N3986" s="1" t="s">
        <v>1700</v>
      </c>
      <c r="P3986" s="1" t="s">
        <v>1115</v>
      </c>
      <c r="Q3986" s="3">
        <v>0</v>
      </c>
      <c r="R3986" s="22" t="s">
        <v>2723</v>
      </c>
      <c r="T3986" s="3" t="s">
        <v>4868</v>
      </c>
      <c r="U3986" s="45">
        <v>35</v>
      </c>
      <c r="V3986" t="s">
        <v>8191</v>
      </c>
      <c r="W3986" s="1" t="str">
        <f>HYPERLINK("http://ictvonline.org/taxonomy/p/taxonomy-history?taxnode_id=201905270","ICTVonline=201905270")</f>
        <v>ICTVonline=201905270</v>
      </c>
    </row>
    <row r="3987" spans="1:23">
      <c r="A3987" s="3">
        <v>3986</v>
      </c>
      <c r="B3987" s="1" t="s">
        <v>5910</v>
      </c>
      <c r="D3987" s="1" t="s">
        <v>8187</v>
      </c>
      <c r="F3987" s="1" t="s">
        <v>8208</v>
      </c>
      <c r="H3987" s="1" t="s">
        <v>8240</v>
      </c>
      <c r="J3987" s="1" t="s">
        <v>8241</v>
      </c>
      <c r="L3987" s="1" t="s">
        <v>777</v>
      </c>
      <c r="M3987" s="1" t="s">
        <v>6204</v>
      </c>
      <c r="N3987" s="1" t="s">
        <v>1700</v>
      </c>
      <c r="P3987" s="1" t="s">
        <v>1619</v>
      </c>
      <c r="Q3987" s="3">
        <v>0</v>
      </c>
      <c r="R3987" s="22" t="s">
        <v>2723</v>
      </c>
      <c r="T3987" s="3" t="s">
        <v>4868</v>
      </c>
      <c r="U3987" s="45">
        <v>35</v>
      </c>
      <c r="V3987" t="s">
        <v>8191</v>
      </c>
      <c r="W3987" s="1" t="str">
        <f>HYPERLINK("http://ictvonline.org/taxonomy/p/taxonomy-history?taxnode_id=201905271","ICTVonline=201905271")</f>
        <v>ICTVonline=201905271</v>
      </c>
    </row>
    <row r="3988" spans="1:23">
      <c r="A3988" s="3">
        <v>3987</v>
      </c>
      <c r="B3988" s="1" t="s">
        <v>5910</v>
      </c>
      <c r="D3988" s="1" t="s">
        <v>8187</v>
      </c>
      <c r="F3988" s="1" t="s">
        <v>8208</v>
      </c>
      <c r="H3988" s="1" t="s">
        <v>8240</v>
      </c>
      <c r="J3988" s="1" t="s">
        <v>8241</v>
      </c>
      <c r="L3988" s="1" t="s">
        <v>777</v>
      </c>
      <c r="M3988" s="1" t="s">
        <v>6204</v>
      </c>
      <c r="N3988" s="1" t="s">
        <v>1700</v>
      </c>
      <c r="P3988" s="1" t="s">
        <v>4855</v>
      </c>
      <c r="Q3988" s="3">
        <v>0</v>
      </c>
      <c r="R3988" s="22" t="s">
        <v>2723</v>
      </c>
      <c r="T3988" s="3" t="s">
        <v>4868</v>
      </c>
      <c r="U3988" s="45">
        <v>35</v>
      </c>
      <c r="V3988" t="s">
        <v>8191</v>
      </c>
      <c r="W3988" s="1" t="str">
        <f>HYPERLINK("http://ictvonline.org/taxonomy/p/taxonomy-history?taxnode_id=201905272","ICTVonline=201905272")</f>
        <v>ICTVonline=201905272</v>
      </c>
    </row>
    <row r="3989" spans="1:23">
      <c r="A3989" s="3">
        <v>3988</v>
      </c>
      <c r="B3989" s="1" t="s">
        <v>5910</v>
      </c>
      <c r="D3989" s="1" t="s">
        <v>8187</v>
      </c>
      <c r="F3989" s="1" t="s">
        <v>8208</v>
      </c>
      <c r="H3989" s="1" t="s">
        <v>8240</v>
      </c>
      <c r="J3989" s="1" t="s">
        <v>8241</v>
      </c>
      <c r="L3989" s="1" t="s">
        <v>777</v>
      </c>
      <c r="M3989" s="1" t="s">
        <v>6204</v>
      </c>
      <c r="N3989" s="1" t="s">
        <v>1700</v>
      </c>
      <c r="P3989" s="1" t="s">
        <v>2599</v>
      </c>
      <c r="Q3989" s="3">
        <v>0</v>
      </c>
      <c r="R3989" s="22" t="s">
        <v>2723</v>
      </c>
      <c r="T3989" s="3" t="s">
        <v>4868</v>
      </c>
      <c r="U3989" s="45">
        <v>35</v>
      </c>
      <c r="V3989" t="s">
        <v>8191</v>
      </c>
      <c r="W3989" s="1" t="str">
        <f>HYPERLINK("http://ictvonline.org/taxonomy/p/taxonomy-history?taxnode_id=201905273","ICTVonline=201905273")</f>
        <v>ICTVonline=201905273</v>
      </c>
    </row>
    <row r="3990" spans="1:23">
      <c r="A3990" s="3">
        <v>3989</v>
      </c>
      <c r="B3990" s="1" t="s">
        <v>5910</v>
      </c>
      <c r="D3990" s="1" t="s">
        <v>8187</v>
      </c>
      <c r="F3990" s="1" t="s">
        <v>8208</v>
      </c>
      <c r="H3990" s="1" t="s">
        <v>8240</v>
      </c>
      <c r="J3990" s="1" t="s">
        <v>8241</v>
      </c>
      <c r="L3990" s="1" t="s">
        <v>777</v>
      </c>
      <c r="M3990" s="1" t="s">
        <v>6204</v>
      </c>
      <c r="N3990" s="1" t="s">
        <v>1700</v>
      </c>
      <c r="P3990" s="1" t="s">
        <v>1117</v>
      </c>
      <c r="Q3990" s="3">
        <v>0</v>
      </c>
      <c r="R3990" s="22" t="s">
        <v>2723</v>
      </c>
      <c r="T3990" s="3" t="s">
        <v>4868</v>
      </c>
      <c r="U3990" s="45">
        <v>35</v>
      </c>
      <c r="V3990" t="s">
        <v>8191</v>
      </c>
      <c r="W3990" s="1" t="str">
        <f>HYPERLINK("http://ictvonline.org/taxonomy/p/taxonomy-history?taxnode_id=201905274","ICTVonline=201905274")</f>
        <v>ICTVonline=201905274</v>
      </c>
    </row>
    <row r="3991" spans="1:23">
      <c r="A3991" s="3">
        <v>3990</v>
      </c>
      <c r="B3991" s="1" t="s">
        <v>5910</v>
      </c>
      <c r="D3991" s="1" t="s">
        <v>8187</v>
      </c>
      <c r="F3991" s="1" t="s">
        <v>8208</v>
      </c>
      <c r="H3991" s="1" t="s">
        <v>8240</v>
      </c>
      <c r="J3991" s="1" t="s">
        <v>8241</v>
      </c>
      <c r="L3991" s="1" t="s">
        <v>777</v>
      </c>
      <c r="M3991" s="1" t="s">
        <v>6204</v>
      </c>
      <c r="N3991" s="1" t="s">
        <v>1700</v>
      </c>
      <c r="P3991" s="1" t="s">
        <v>1037</v>
      </c>
      <c r="Q3991" s="3">
        <v>0</v>
      </c>
      <c r="R3991" s="22" t="s">
        <v>2723</v>
      </c>
      <c r="T3991" s="3" t="s">
        <v>4868</v>
      </c>
      <c r="U3991" s="45">
        <v>35</v>
      </c>
      <c r="V3991" t="s">
        <v>8191</v>
      </c>
      <c r="W3991" s="1" t="str">
        <f>HYPERLINK("http://ictvonline.org/taxonomy/p/taxonomy-history?taxnode_id=201905275","ICTVonline=201905275")</f>
        <v>ICTVonline=201905275</v>
      </c>
    </row>
    <row r="3992" spans="1:23">
      <c r="A3992" s="3">
        <v>3991</v>
      </c>
      <c r="B3992" s="1" t="s">
        <v>5910</v>
      </c>
      <c r="D3992" s="1" t="s">
        <v>8187</v>
      </c>
      <c r="F3992" s="1" t="s">
        <v>8208</v>
      </c>
      <c r="H3992" s="1" t="s">
        <v>8240</v>
      </c>
      <c r="J3992" s="1" t="s">
        <v>8241</v>
      </c>
      <c r="L3992" s="1" t="s">
        <v>777</v>
      </c>
      <c r="M3992" s="1" t="s">
        <v>6205</v>
      </c>
      <c r="N3992" s="1" t="s">
        <v>3967</v>
      </c>
      <c r="P3992" s="1" t="s">
        <v>784</v>
      </c>
      <c r="Q3992" s="3">
        <v>0</v>
      </c>
      <c r="R3992" s="22" t="s">
        <v>2723</v>
      </c>
      <c r="T3992" s="3" t="s">
        <v>4868</v>
      </c>
      <c r="U3992" s="45">
        <v>35</v>
      </c>
      <c r="V3992" t="s">
        <v>8191</v>
      </c>
      <c r="W3992" s="1" t="str">
        <f>HYPERLINK("http://ictvonline.org/taxonomy/p/taxonomy-history?taxnode_id=201905195","ICTVonline=201905195")</f>
        <v>ICTVonline=201905195</v>
      </c>
    </row>
    <row r="3993" spans="1:23">
      <c r="A3993" s="3">
        <v>3992</v>
      </c>
      <c r="B3993" s="1" t="s">
        <v>5910</v>
      </c>
      <c r="D3993" s="1" t="s">
        <v>8187</v>
      </c>
      <c r="F3993" s="1" t="s">
        <v>8208</v>
      </c>
      <c r="H3993" s="1" t="s">
        <v>8240</v>
      </c>
      <c r="J3993" s="1" t="s">
        <v>8241</v>
      </c>
      <c r="L3993" s="1" t="s">
        <v>777</v>
      </c>
      <c r="M3993" s="1" t="s">
        <v>6205</v>
      </c>
      <c r="N3993" s="1" t="s">
        <v>3967</v>
      </c>
      <c r="P3993" s="1" t="s">
        <v>203</v>
      </c>
      <c r="Q3993" s="3">
        <v>0</v>
      </c>
      <c r="R3993" s="22" t="s">
        <v>2723</v>
      </c>
      <c r="T3993" s="3" t="s">
        <v>4868</v>
      </c>
      <c r="U3993" s="45">
        <v>35</v>
      </c>
      <c r="V3993" t="s">
        <v>8191</v>
      </c>
      <c r="W3993" s="1" t="str">
        <f>HYPERLINK("http://ictvonline.org/taxonomy/p/taxonomy-history?taxnode_id=201905196","ICTVonline=201905196")</f>
        <v>ICTVonline=201905196</v>
      </c>
    </row>
    <row r="3994" spans="1:23">
      <c r="A3994" s="3">
        <v>3993</v>
      </c>
      <c r="B3994" s="1" t="s">
        <v>5910</v>
      </c>
      <c r="D3994" s="1" t="s">
        <v>8187</v>
      </c>
      <c r="F3994" s="1" t="s">
        <v>8208</v>
      </c>
      <c r="H3994" s="1" t="s">
        <v>8240</v>
      </c>
      <c r="J3994" s="1" t="s">
        <v>8241</v>
      </c>
      <c r="L3994" s="1" t="s">
        <v>777</v>
      </c>
      <c r="M3994" s="1" t="s">
        <v>6205</v>
      </c>
      <c r="N3994" s="1" t="s">
        <v>3967</v>
      </c>
      <c r="P3994" s="1" t="s">
        <v>787</v>
      </c>
      <c r="Q3994" s="3">
        <v>1</v>
      </c>
      <c r="R3994" s="22" t="s">
        <v>2723</v>
      </c>
      <c r="T3994" s="3" t="s">
        <v>4868</v>
      </c>
      <c r="U3994" s="45">
        <v>35</v>
      </c>
      <c r="V3994" t="s">
        <v>8191</v>
      </c>
      <c r="W3994" s="1" t="str">
        <f>HYPERLINK("http://ictvonline.org/taxonomy/p/taxonomy-history?taxnode_id=201905197","ICTVonline=201905197")</f>
        <v>ICTVonline=201905197</v>
      </c>
    </row>
    <row r="3995" spans="1:23">
      <c r="A3995" s="3">
        <v>3994</v>
      </c>
      <c r="B3995" s="1" t="s">
        <v>5910</v>
      </c>
      <c r="D3995" s="1" t="s">
        <v>8187</v>
      </c>
      <c r="F3995" s="1" t="s">
        <v>8208</v>
      </c>
      <c r="H3995" s="1" t="s">
        <v>8240</v>
      </c>
      <c r="J3995" s="1" t="s">
        <v>8241</v>
      </c>
      <c r="L3995" s="1" t="s">
        <v>777</v>
      </c>
      <c r="M3995" s="1" t="s">
        <v>6205</v>
      </c>
      <c r="N3995" s="1" t="s">
        <v>3967</v>
      </c>
      <c r="P3995" s="1" t="s">
        <v>204</v>
      </c>
      <c r="Q3995" s="3">
        <v>0</v>
      </c>
      <c r="R3995" s="22" t="s">
        <v>2723</v>
      </c>
      <c r="T3995" s="3" t="s">
        <v>4868</v>
      </c>
      <c r="U3995" s="45">
        <v>35</v>
      </c>
      <c r="V3995" t="s">
        <v>8191</v>
      </c>
      <c r="W3995" s="1" t="str">
        <f>HYPERLINK("http://ictvonline.org/taxonomy/p/taxonomy-history?taxnode_id=201905198","ICTVonline=201905198")</f>
        <v>ICTVonline=201905198</v>
      </c>
    </row>
    <row r="3996" spans="1:23">
      <c r="A3996" s="3">
        <v>3995</v>
      </c>
      <c r="B3996" s="1" t="s">
        <v>5910</v>
      </c>
      <c r="D3996" s="1" t="s">
        <v>8187</v>
      </c>
      <c r="F3996" s="1" t="s">
        <v>8208</v>
      </c>
      <c r="H3996" s="1" t="s">
        <v>8240</v>
      </c>
      <c r="J3996" s="1" t="s">
        <v>8241</v>
      </c>
      <c r="L3996" s="1" t="s">
        <v>777</v>
      </c>
      <c r="M3996" s="1" t="s">
        <v>6205</v>
      </c>
      <c r="N3996" s="1" t="s">
        <v>3967</v>
      </c>
      <c r="P3996" s="1" t="s">
        <v>561</v>
      </c>
      <c r="Q3996" s="3">
        <v>0</v>
      </c>
      <c r="R3996" s="22" t="s">
        <v>2723</v>
      </c>
      <c r="T3996" s="3" t="s">
        <v>4868</v>
      </c>
      <c r="U3996" s="45">
        <v>35</v>
      </c>
      <c r="V3996" t="s">
        <v>8191</v>
      </c>
      <c r="W3996" s="1" t="str">
        <f>HYPERLINK("http://ictvonline.org/taxonomy/p/taxonomy-history?taxnode_id=201905199","ICTVonline=201905199")</f>
        <v>ICTVonline=201905199</v>
      </c>
    </row>
    <row r="3997" spans="1:23">
      <c r="A3997" s="3">
        <v>3996</v>
      </c>
      <c r="B3997" s="1" t="s">
        <v>5910</v>
      </c>
      <c r="D3997" s="1" t="s">
        <v>8187</v>
      </c>
      <c r="F3997" s="1" t="s">
        <v>8208</v>
      </c>
      <c r="H3997" s="1" t="s">
        <v>8240</v>
      </c>
      <c r="J3997" s="1" t="s">
        <v>8241</v>
      </c>
      <c r="L3997" s="1" t="s">
        <v>777</v>
      </c>
      <c r="M3997" s="1" t="s">
        <v>6205</v>
      </c>
      <c r="N3997" s="1" t="s">
        <v>3967</v>
      </c>
      <c r="P3997" s="1" t="s">
        <v>1261</v>
      </c>
      <c r="Q3997" s="3">
        <v>0</v>
      </c>
      <c r="R3997" s="22" t="s">
        <v>2723</v>
      </c>
      <c r="T3997" s="3" t="s">
        <v>4868</v>
      </c>
      <c r="U3997" s="45">
        <v>35</v>
      </c>
      <c r="V3997" t="s">
        <v>8191</v>
      </c>
      <c r="W3997" s="1" t="str">
        <f>HYPERLINK("http://ictvonline.org/taxonomy/p/taxonomy-history?taxnode_id=201905200","ICTVonline=201905200")</f>
        <v>ICTVonline=201905200</v>
      </c>
    </row>
    <row r="3998" spans="1:23">
      <c r="A3998" s="3">
        <v>3997</v>
      </c>
      <c r="B3998" s="1" t="s">
        <v>5910</v>
      </c>
      <c r="D3998" s="1" t="s">
        <v>8187</v>
      </c>
      <c r="F3998" s="1" t="s">
        <v>8208</v>
      </c>
      <c r="H3998" s="1" t="s">
        <v>8240</v>
      </c>
      <c r="J3998" s="1" t="s">
        <v>8241</v>
      </c>
      <c r="L3998" s="1" t="s">
        <v>777</v>
      </c>
      <c r="M3998" s="1" t="s">
        <v>6205</v>
      </c>
      <c r="N3998" s="1" t="s">
        <v>3967</v>
      </c>
      <c r="P3998" s="1" t="s">
        <v>1262</v>
      </c>
      <c r="Q3998" s="3">
        <v>0</v>
      </c>
      <c r="R3998" s="22" t="s">
        <v>2723</v>
      </c>
      <c r="T3998" s="3" t="s">
        <v>4868</v>
      </c>
      <c r="U3998" s="45">
        <v>35</v>
      </c>
      <c r="V3998" t="s">
        <v>8191</v>
      </c>
      <c r="W3998" s="1" t="str">
        <f>HYPERLINK("http://ictvonline.org/taxonomy/p/taxonomy-history?taxnode_id=201905201","ICTVonline=201905201")</f>
        <v>ICTVonline=201905201</v>
      </c>
    </row>
    <row r="3999" spans="1:23">
      <c r="A3999" s="3">
        <v>3998</v>
      </c>
      <c r="B3999" s="1" t="s">
        <v>5910</v>
      </c>
      <c r="D3999" s="1" t="s">
        <v>8187</v>
      </c>
      <c r="F3999" s="1" t="s">
        <v>8208</v>
      </c>
      <c r="H3999" s="1" t="s">
        <v>8240</v>
      </c>
      <c r="J3999" s="1" t="s">
        <v>8241</v>
      </c>
      <c r="L3999" s="1" t="s">
        <v>777</v>
      </c>
      <c r="M3999" s="1" t="s">
        <v>6205</v>
      </c>
      <c r="N3999" s="1" t="s">
        <v>2262</v>
      </c>
      <c r="P3999" s="1" t="s">
        <v>868</v>
      </c>
      <c r="Q3999" s="3">
        <v>0</v>
      </c>
      <c r="R3999" s="22" t="s">
        <v>2723</v>
      </c>
      <c r="T3999" s="3" t="s">
        <v>4868</v>
      </c>
      <c r="U3999" s="45">
        <v>35</v>
      </c>
      <c r="V3999" t="s">
        <v>8191</v>
      </c>
      <c r="W3999" s="1" t="str">
        <f>HYPERLINK("http://ictvonline.org/taxonomy/p/taxonomy-history?taxnode_id=201905203","ICTVonline=201905203")</f>
        <v>ICTVonline=201905203</v>
      </c>
    </row>
    <row r="4000" spans="1:23">
      <c r="A4000" s="3">
        <v>3999</v>
      </c>
      <c r="B4000" s="1" t="s">
        <v>5910</v>
      </c>
      <c r="D4000" s="1" t="s">
        <v>8187</v>
      </c>
      <c r="F4000" s="1" t="s">
        <v>8208</v>
      </c>
      <c r="H4000" s="1" t="s">
        <v>8240</v>
      </c>
      <c r="J4000" s="1" t="s">
        <v>8241</v>
      </c>
      <c r="L4000" s="1" t="s">
        <v>777</v>
      </c>
      <c r="M4000" s="1" t="s">
        <v>6205</v>
      </c>
      <c r="N4000" s="1" t="s">
        <v>2262</v>
      </c>
      <c r="P4000" s="1" t="s">
        <v>869</v>
      </c>
      <c r="Q4000" s="3">
        <v>0</v>
      </c>
      <c r="R4000" s="22" t="s">
        <v>2723</v>
      </c>
      <c r="T4000" s="3" t="s">
        <v>4868</v>
      </c>
      <c r="U4000" s="45">
        <v>35</v>
      </c>
      <c r="V4000" t="s">
        <v>8191</v>
      </c>
      <c r="W4000" s="1" t="str">
        <f>HYPERLINK("http://ictvonline.org/taxonomy/p/taxonomy-history?taxnode_id=201905204","ICTVonline=201905204")</f>
        <v>ICTVonline=201905204</v>
      </c>
    </row>
    <row r="4001" spans="1:23">
      <c r="A4001" s="3">
        <v>4000</v>
      </c>
      <c r="B4001" s="1" t="s">
        <v>5910</v>
      </c>
      <c r="D4001" s="1" t="s">
        <v>8187</v>
      </c>
      <c r="F4001" s="1" t="s">
        <v>8208</v>
      </c>
      <c r="H4001" s="1" t="s">
        <v>8240</v>
      </c>
      <c r="J4001" s="1" t="s">
        <v>8241</v>
      </c>
      <c r="L4001" s="1" t="s">
        <v>777</v>
      </c>
      <c r="M4001" s="1" t="s">
        <v>6205</v>
      </c>
      <c r="N4001" s="1" t="s">
        <v>2262</v>
      </c>
      <c r="P4001" s="1" t="s">
        <v>6206</v>
      </c>
      <c r="Q4001" s="3">
        <v>0</v>
      </c>
      <c r="R4001" s="22" t="s">
        <v>2723</v>
      </c>
      <c r="T4001" s="3" t="s">
        <v>4868</v>
      </c>
      <c r="U4001" s="45">
        <v>35</v>
      </c>
      <c r="V4001" t="s">
        <v>8191</v>
      </c>
      <c r="W4001" s="1" t="str">
        <f>HYPERLINK("http://ictvonline.org/taxonomy/p/taxonomy-history?taxnode_id=201906636","ICTVonline=201906636")</f>
        <v>ICTVonline=201906636</v>
      </c>
    </row>
    <row r="4002" spans="1:23">
      <c r="A4002" s="3">
        <v>4001</v>
      </c>
      <c r="B4002" s="1" t="s">
        <v>5910</v>
      </c>
      <c r="D4002" s="1" t="s">
        <v>8187</v>
      </c>
      <c r="F4002" s="1" t="s">
        <v>8208</v>
      </c>
      <c r="H4002" s="1" t="s">
        <v>8240</v>
      </c>
      <c r="J4002" s="1" t="s">
        <v>8241</v>
      </c>
      <c r="L4002" s="1" t="s">
        <v>777</v>
      </c>
      <c r="M4002" s="1" t="s">
        <v>6205</v>
      </c>
      <c r="N4002" s="1" t="s">
        <v>2262</v>
      </c>
      <c r="P4002" s="1" t="s">
        <v>870</v>
      </c>
      <c r="Q4002" s="3">
        <v>1</v>
      </c>
      <c r="R4002" s="22" t="s">
        <v>2723</v>
      </c>
      <c r="T4002" s="3" t="s">
        <v>4868</v>
      </c>
      <c r="U4002" s="45">
        <v>35</v>
      </c>
      <c r="V4002" t="s">
        <v>8191</v>
      </c>
      <c r="W4002" s="1" t="str">
        <f>HYPERLINK("http://ictvonline.org/taxonomy/p/taxonomy-history?taxnode_id=201905205","ICTVonline=201905205")</f>
        <v>ICTVonline=201905205</v>
      </c>
    </row>
    <row r="4003" spans="1:23">
      <c r="A4003" s="3">
        <v>4002</v>
      </c>
      <c r="B4003" s="1" t="s">
        <v>5910</v>
      </c>
      <c r="D4003" s="1" t="s">
        <v>8187</v>
      </c>
      <c r="F4003" s="1" t="s">
        <v>8208</v>
      </c>
      <c r="H4003" s="1" t="s">
        <v>8240</v>
      </c>
      <c r="J4003" s="1" t="s">
        <v>8241</v>
      </c>
      <c r="L4003" s="1" t="s">
        <v>777</v>
      </c>
      <c r="M4003" s="1" t="s">
        <v>6205</v>
      </c>
      <c r="N4003" s="1" t="s">
        <v>778</v>
      </c>
      <c r="P4003" s="1" t="s">
        <v>779</v>
      </c>
      <c r="Q4003" s="3">
        <v>0</v>
      </c>
      <c r="R4003" s="22" t="s">
        <v>2723</v>
      </c>
      <c r="T4003" s="3" t="s">
        <v>4868</v>
      </c>
      <c r="U4003" s="45">
        <v>35</v>
      </c>
      <c r="V4003" t="s">
        <v>8191</v>
      </c>
      <c r="W4003" s="1" t="str">
        <f>HYPERLINK("http://ictvonline.org/taxonomy/p/taxonomy-history?taxnode_id=201905207","ICTVonline=201905207")</f>
        <v>ICTVonline=201905207</v>
      </c>
    </row>
    <row r="4004" spans="1:23">
      <c r="A4004" s="3">
        <v>4003</v>
      </c>
      <c r="B4004" s="1" t="s">
        <v>5910</v>
      </c>
      <c r="D4004" s="1" t="s">
        <v>8187</v>
      </c>
      <c r="F4004" s="1" t="s">
        <v>8208</v>
      </c>
      <c r="H4004" s="1" t="s">
        <v>8240</v>
      </c>
      <c r="J4004" s="1" t="s">
        <v>8241</v>
      </c>
      <c r="L4004" s="1" t="s">
        <v>777</v>
      </c>
      <c r="M4004" s="1" t="s">
        <v>6205</v>
      </c>
      <c r="N4004" s="1" t="s">
        <v>778</v>
      </c>
      <c r="P4004" s="1" t="s">
        <v>2108</v>
      </c>
      <c r="Q4004" s="3">
        <v>0</v>
      </c>
      <c r="R4004" s="22" t="s">
        <v>2723</v>
      </c>
      <c r="T4004" s="3" t="s">
        <v>4868</v>
      </c>
      <c r="U4004" s="45">
        <v>35</v>
      </c>
      <c r="V4004" t="s">
        <v>8191</v>
      </c>
      <c r="W4004" s="1" t="str">
        <f>HYPERLINK("http://ictvonline.org/taxonomy/p/taxonomy-history?taxnode_id=201905208","ICTVonline=201905208")</f>
        <v>ICTVonline=201905208</v>
      </c>
    </row>
    <row r="4005" spans="1:23">
      <c r="A4005" s="3">
        <v>4004</v>
      </c>
      <c r="B4005" s="1" t="s">
        <v>5910</v>
      </c>
      <c r="D4005" s="1" t="s">
        <v>8187</v>
      </c>
      <c r="F4005" s="1" t="s">
        <v>8208</v>
      </c>
      <c r="H4005" s="1" t="s">
        <v>8240</v>
      </c>
      <c r="J4005" s="1" t="s">
        <v>8241</v>
      </c>
      <c r="L4005" s="1" t="s">
        <v>777</v>
      </c>
      <c r="M4005" s="1" t="s">
        <v>6205</v>
      </c>
      <c r="N4005" s="1" t="s">
        <v>778</v>
      </c>
      <c r="P4005" s="1" t="s">
        <v>1877</v>
      </c>
      <c r="Q4005" s="3">
        <v>0</v>
      </c>
      <c r="R4005" s="22" t="s">
        <v>2723</v>
      </c>
      <c r="T4005" s="3" t="s">
        <v>4868</v>
      </c>
      <c r="U4005" s="45">
        <v>35</v>
      </c>
      <c r="V4005" t="s">
        <v>8191</v>
      </c>
      <c r="W4005" s="1" t="str">
        <f>HYPERLINK("http://ictvonline.org/taxonomy/p/taxonomy-history?taxnode_id=201905209","ICTVonline=201905209")</f>
        <v>ICTVonline=201905209</v>
      </c>
    </row>
    <row r="4006" spans="1:23">
      <c r="A4006" s="3">
        <v>4005</v>
      </c>
      <c r="B4006" s="1" t="s">
        <v>5910</v>
      </c>
      <c r="D4006" s="1" t="s">
        <v>8187</v>
      </c>
      <c r="F4006" s="1" t="s">
        <v>8208</v>
      </c>
      <c r="H4006" s="1" t="s">
        <v>8240</v>
      </c>
      <c r="J4006" s="1" t="s">
        <v>8241</v>
      </c>
      <c r="L4006" s="1" t="s">
        <v>777</v>
      </c>
      <c r="M4006" s="1" t="s">
        <v>6205</v>
      </c>
      <c r="N4006" s="1" t="s">
        <v>778</v>
      </c>
      <c r="P4006" s="1" t="s">
        <v>780</v>
      </c>
      <c r="Q4006" s="3">
        <v>1</v>
      </c>
      <c r="R4006" s="22" t="s">
        <v>2723</v>
      </c>
      <c r="T4006" s="3" t="s">
        <v>4868</v>
      </c>
      <c r="U4006" s="45">
        <v>35</v>
      </c>
      <c r="V4006" t="s">
        <v>8191</v>
      </c>
      <c r="W4006" s="1" t="str">
        <f>HYPERLINK("http://ictvonline.org/taxonomy/p/taxonomy-history?taxnode_id=201905210","ICTVonline=201905210")</f>
        <v>ICTVonline=201905210</v>
      </c>
    </row>
    <row r="4007" spans="1:23">
      <c r="A4007" s="3">
        <v>4006</v>
      </c>
      <c r="B4007" s="1" t="s">
        <v>5910</v>
      </c>
      <c r="D4007" s="1" t="s">
        <v>8187</v>
      </c>
      <c r="F4007" s="1" t="s">
        <v>8208</v>
      </c>
      <c r="H4007" s="1" t="s">
        <v>8240</v>
      </c>
      <c r="J4007" s="1" t="s">
        <v>8241</v>
      </c>
      <c r="L4007" s="1" t="s">
        <v>777</v>
      </c>
      <c r="M4007" s="1" t="s">
        <v>6205</v>
      </c>
      <c r="N4007" s="1" t="s">
        <v>778</v>
      </c>
      <c r="P4007" s="1" t="s">
        <v>3968</v>
      </c>
      <c r="Q4007" s="3">
        <v>0</v>
      </c>
      <c r="R4007" s="22" t="s">
        <v>2723</v>
      </c>
      <c r="T4007" s="3" t="s">
        <v>4868</v>
      </c>
      <c r="U4007" s="45">
        <v>35</v>
      </c>
      <c r="V4007" t="s">
        <v>8191</v>
      </c>
      <c r="W4007" s="1" t="str">
        <f>HYPERLINK("http://ictvonline.org/taxonomy/p/taxonomy-history?taxnode_id=201905211","ICTVonline=201905211")</f>
        <v>ICTVonline=201905211</v>
      </c>
    </row>
    <row r="4008" spans="1:23">
      <c r="A4008" s="3">
        <v>4007</v>
      </c>
      <c r="B4008" s="1" t="s">
        <v>5910</v>
      </c>
      <c r="D4008" s="1" t="s">
        <v>8187</v>
      </c>
      <c r="F4008" s="1" t="s">
        <v>8208</v>
      </c>
      <c r="H4008" s="1" t="s">
        <v>8240</v>
      </c>
      <c r="J4008" s="1" t="s">
        <v>8241</v>
      </c>
      <c r="L4008" s="1" t="s">
        <v>777</v>
      </c>
      <c r="M4008" s="1" t="s">
        <v>6205</v>
      </c>
      <c r="N4008" s="1" t="s">
        <v>781</v>
      </c>
      <c r="P4008" s="1" t="s">
        <v>782</v>
      </c>
      <c r="Q4008" s="3">
        <v>1</v>
      </c>
      <c r="R4008" s="22" t="s">
        <v>2723</v>
      </c>
      <c r="S4008" s="42" t="s">
        <v>6913</v>
      </c>
      <c r="T4008" s="3" t="s">
        <v>4868</v>
      </c>
      <c r="U4008" s="45">
        <v>35</v>
      </c>
      <c r="V4008" t="s">
        <v>8251</v>
      </c>
      <c r="W4008" s="1" t="str">
        <f>HYPERLINK("http://ictvonline.org/taxonomy/p/taxonomy-history?taxnode_id=201905213","ICTVonline=201905213")</f>
        <v>ICTVonline=201905213</v>
      </c>
    </row>
    <row r="4009" spans="1:23">
      <c r="A4009" s="3">
        <v>4008</v>
      </c>
      <c r="B4009" s="1" t="s">
        <v>5910</v>
      </c>
      <c r="D4009" s="1" t="s">
        <v>8187</v>
      </c>
      <c r="F4009" s="1" t="s">
        <v>8208</v>
      </c>
      <c r="H4009" s="1" t="s">
        <v>8240</v>
      </c>
      <c r="J4009" s="1" t="s">
        <v>8241</v>
      </c>
      <c r="L4009" s="1" t="s">
        <v>777</v>
      </c>
      <c r="M4009" s="1" t="s">
        <v>6205</v>
      </c>
      <c r="N4009" s="1" t="s">
        <v>3969</v>
      </c>
      <c r="P4009" s="1" t="s">
        <v>786</v>
      </c>
      <c r="Q4009" s="3">
        <v>0</v>
      </c>
      <c r="R4009" s="22" t="s">
        <v>2723</v>
      </c>
      <c r="T4009" s="3" t="s">
        <v>4868</v>
      </c>
      <c r="U4009" s="45">
        <v>35</v>
      </c>
      <c r="V4009" t="s">
        <v>8191</v>
      </c>
      <c r="W4009" s="1" t="str">
        <f>HYPERLINK("http://ictvonline.org/taxonomy/p/taxonomy-history?taxnode_id=201905215","ICTVonline=201905215")</f>
        <v>ICTVonline=201905215</v>
      </c>
    </row>
    <row r="4010" spans="1:23">
      <c r="A4010" s="3">
        <v>4009</v>
      </c>
      <c r="B4010" s="1" t="s">
        <v>5910</v>
      </c>
      <c r="D4010" s="1" t="s">
        <v>8187</v>
      </c>
      <c r="F4010" s="1" t="s">
        <v>8208</v>
      </c>
      <c r="H4010" s="1" t="s">
        <v>8240</v>
      </c>
      <c r="J4010" s="1" t="s">
        <v>8241</v>
      </c>
      <c r="L4010" s="1" t="s">
        <v>777</v>
      </c>
      <c r="M4010" s="1" t="s">
        <v>6205</v>
      </c>
      <c r="N4010" s="1" t="s">
        <v>3969</v>
      </c>
      <c r="P4010" s="1" t="s">
        <v>1379</v>
      </c>
      <c r="Q4010" s="3">
        <v>0</v>
      </c>
      <c r="R4010" s="22" t="s">
        <v>2723</v>
      </c>
      <c r="T4010" s="3" t="s">
        <v>4868</v>
      </c>
      <c r="U4010" s="45">
        <v>35</v>
      </c>
      <c r="V4010" t="s">
        <v>8191</v>
      </c>
      <c r="W4010" s="1" t="str">
        <f>HYPERLINK("http://ictvonline.org/taxonomy/p/taxonomy-history?taxnode_id=201905216","ICTVonline=201905216")</f>
        <v>ICTVonline=201905216</v>
      </c>
    </row>
    <row r="4011" spans="1:23">
      <c r="A4011" s="3">
        <v>4010</v>
      </c>
      <c r="B4011" s="1" t="s">
        <v>5910</v>
      </c>
      <c r="D4011" s="1" t="s">
        <v>8187</v>
      </c>
      <c r="F4011" s="1" t="s">
        <v>8208</v>
      </c>
      <c r="H4011" s="1" t="s">
        <v>8240</v>
      </c>
      <c r="J4011" s="1" t="s">
        <v>8241</v>
      </c>
      <c r="L4011" s="1" t="s">
        <v>777</v>
      </c>
      <c r="M4011" s="1" t="s">
        <v>6205</v>
      </c>
      <c r="N4011" s="1" t="s">
        <v>3969</v>
      </c>
      <c r="P4011" s="1" t="s">
        <v>680</v>
      </c>
      <c r="Q4011" s="3">
        <v>0</v>
      </c>
      <c r="R4011" s="22" t="s">
        <v>2723</v>
      </c>
      <c r="T4011" s="3" t="s">
        <v>4868</v>
      </c>
      <c r="U4011" s="45">
        <v>35</v>
      </c>
      <c r="V4011" t="s">
        <v>8191</v>
      </c>
      <c r="W4011" s="1" t="str">
        <f>HYPERLINK("http://ictvonline.org/taxonomy/p/taxonomy-history?taxnode_id=201905217","ICTVonline=201905217")</f>
        <v>ICTVonline=201905217</v>
      </c>
    </row>
    <row r="4012" spans="1:23">
      <c r="A4012" s="3">
        <v>4011</v>
      </c>
      <c r="B4012" s="1" t="s">
        <v>5910</v>
      </c>
      <c r="D4012" s="1" t="s">
        <v>8187</v>
      </c>
      <c r="F4012" s="1" t="s">
        <v>8208</v>
      </c>
      <c r="H4012" s="1" t="s">
        <v>8240</v>
      </c>
      <c r="J4012" s="1" t="s">
        <v>8241</v>
      </c>
      <c r="L4012" s="1" t="s">
        <v>777</v>
      </c>
      <c r="M4012" s="1" t="s">
        <v>6205</v>
      </c>
      <c r="N4012" s="1" t="s">
        <v>3969</v>
      </c>
      <c r="P4012" s="1" t="s">
        <v>1263</v>
      </c>
      <c r="Q4012" s="3">
        <v>1</v>
      </c>
      <c r="R4012" s="22" t="s">
        <v>2723</v>
      </c>
      <c r="T4012" s="3" t="s">
        <v>4868</v>
      </c>
      <c r="U4012" s="45">
        <v>35</v>
      </c>
      <c r="V4012" t="s">
        <v>8191</v>
      </c>
      <c r="W4012" s="1" t="str">
        <f>HYPERLINK("http://ictvonline.org/taxonomy/p/taxonomy-history?taxnode_id=201905218","ICTVonline=201905218")</f>
        <v>ICTVonline=201905218</v>
      </c>
    </row>
    <row r="4013" spans="1:23">
      <c r="A4013" s="3">
        <v>4012</v>
      </c>
      <c r="B4013" s="1" t="s">
        <v>5910</v>
      </c>
      <c r="D4013" s="1" t="s">
        <v>8187</v>
      </c>
      <c r="F4013" s="1" t="s">
        <v>8208</v>
      </c>
      <c r="H4013" s="1" t="s">
        <v>8240</v>
      </c>
      <c r="J4013" s="1" t="s">
        <v>8241</v>
      </c>
      <c r="L4013" s="1" t="s">
        <v>777</v>
      </c>
      <c r="M4013" s="1" t="s">
        <v>6205</v>
      </c>
      <c r="N4013" s="1" t="s">
        <v>2263</v>
      </c>
      <c r="P4013" s="1" t="s">
        <v>865</v>
      </c>
      <c r="Q4013" s="3">
        <v>0</v>
      </c>
      <c r="R4013" s="22" t="s">
        <v>2723</v>
      </c>
      <c r="T4013" s="3" t="s">
        <v>4868</v>
      </c>
      <c r="U4013" s="45">
        <v>35</v>
      </c>
      <c r="V4013" t="s">
        <v>8191</v>
      </c>
      <c r="W4013" s="1" t="str">
        <f>HYPERLINK("http://ictvonline.org/taxonomy/p/taxonomy-history?taxnode_id=201905220","ICTVonline=201905220")</f>
        <v>ICTVonline=201905220</v>
      </c>
    </row>
    <row r="4014" spans="1:23">
      <c r="A4014" s="3">
        <v>4013</v>
      </c>
      <c r="B4014" s="1" t="s">
        <v>5910</v>
      </c>
      <c r="D4014" s="1" t="s">
        <v>8187</v>
      </c>
      <c r="F4014" s="1" t="s">
        <v>8208</v>
      </c>
      <c r="H4014" s="1" t="s">
        <v>8240</v>
      </c>
      <c r="J4014" s="1" t="s">
        <v>8241</v>
      </c>
      <c r="L4014" s="1" t="s">
        <v>777</v>
      </c>
      <c r="M4014" s="1" t="s">
        <v>6205</v>
      </c>
      <c r="N4014" s="1" t="s">
        <v>2263</v>
      </c>
      <c r="P4014" s="1" t="s">
        <v>867</v>
      </c>
      <c r="Q4014" s="3">
        <v>0</v>
      </c>
      <c r="R4014" s="22" t="s">
        <v>2723</v>
      </c>
      <c r="T4014" s="3" t="s">
        <v>4868</v>
      </c>
      <c r="U4014" s="45">
        <v>35</v>
      </c>
      <c r="V4014" t="s">
        <v>8191</v>
      </c>
      <c r="W4014" s="1" t="str">
        <f>HYPERLINK("http://ictvonline.org/taxonomy/p/taxonomy-history?taxnode_id=201905221","ICTVonline=201905221")</f>
        <v>ICTVonline=201905221</v>
      </c>
    </row>
    <row r="4015" spans="1:23">
      <c r="A4015" s="3">
        <v>4014</v>
      </c>
      <c r="B4015" s="1" t="s">
        <v>5910</v>
      </c>
      <c r="D4015" s="1" t="s">
        <v>8187</v>
      </c>
      <c r="F4015" s="1" t="s">
        <v>8208</v>
      </c>
      <c r="H4015" s="1" t="s">
        <v>8240</v>
      </c>
      <c r="J4015" s="1" t="s">
        <v>8241</v>
      </c>
      <c r="L4015" s="1" t="s">
        <v>777</v>
      </c>
      <c r="M4015" s="1" t="s">
        <v>6205</v>
      </c>
      <c r="N4015" s="1" t="s">
        <v>2263</v>
      </c>
      <c r="P4015" s="1" t="s">
        <v>1882</v>
      </c>
      <c r="Q4015" s="3">
        <v>1</v>
      </c>
      <c r="R4015" s="22" t="s">
        <v>2723</v>
      </c>
      <c r="T4015" s="3" t="s">
        <v>4868</v>
      </c>
      <c r="U4015" s="45">
        <v>35</v>
      </c>
      <c r="V4015" t="s">
        <v>8191</v>
      </c>
      <c r="W4015" s="1" t="str">
        <f>HYPERLINK("http://ictvonline.org/taxonomy/p/taxonomy-history?taxnode_id=201905222","ICTVonline=201905222")</f>
        <v>ICTVonline=201905222</v>
      </c>
    </row>
    <row r="4016" spans="1:23">
      <c r="A4016" s="3">
        <v>4015</v>
      </c>
      <c r="B4016" s="1" t="s">
        <v>5910</v>
      </c>
      <c r="D4016" s="1" t="s">
        <v>8187</v>
      </c>
      <c r="F4016" s="1" t="s">
        <v>8208</v>
      </c>
      <c r="H4016" s="1" t="s">
        <v>8240</v>
      </c>
      <c r="J4016" s="1" t="s">
        <v>8241</v>
      </c>
      <c r="L4016" s="1" t="s">
        <v>777</v>
      </c>
      <c r="M4016" s="1" t="s">
        <v>6205</v>
      </c>
      <c r="N4016" s="1" t="s">
        <v>2264</v>
      </c>
      <c r="P4016" s="1" t="s">
        <v>1378</v>
      </c>
      <c r="Q4016" s="3">
        <v>1</v>
      </c>
      <c r="R4016" s="22" t="s">
        <v>2723</v>
      </c>
      <c r="T4016" s="3" t="s">
        <v>4868</v>
      </c>
      <c r="U4016" s="45">
        <v>35</v>
      </c>
      <c r="V4016" t="s">
        <v>8191</v>
      </c>
      <c r="W4016" s="1" t="str">
        <f>HYPERLINK("http://ictvonline.org/taxonomy/p/taxonomy-history?taxnode_id=201905228","ICTVonline=201905228")</f>
        <v>ICTVonline=201905228</v>
      </c>
    </row>
    <row r="4017" spans="1:23">
      <c r="A4017" s="3">
        <v>4016</v>
      </c>
      <c r="B4017" s="1" t="s">
        <v>5910</v>
      </c>
      <c r="D4017" s="1" t="s">
        <v>8187</v>
      </c>
      <c r="F4017" s="1" t="s">
        <v>8208</v>
      </c>
      <c r="H4017" s="1" t="s">
        <v>8240</v>
      </c>
      <c r="J4017" s="1" t="s">
        <v>8241</v>
      </c>
      <c r="L4017" s="1" t="s">
        <v>777</v>
      </c>
      <c r="M4017" s="1" t="s">
        <v>6205</v>
      </c>
      <c r="N4017" s="1" t="s">
        <v>3970</v>
      </c>
      <c r="P4017" s="1" t="s">
        <v>1376</v>
      </c>
      <c r="Q4017" s="3">
        <v>0</v>
      </c>
      <c r="R4017" s="22" t="s">
        <v>2723</v>
      </c>
      <c r="T4017" s="3" t="s">
        <v>4868</v>
      </c>
      <c r="U4017" s="45">
        <v>35</v>
      </c>
      <c r="V4017" t="s">
        <v>8191</v>
      </c>
      <c r="W4017" s="1" t="str">
        <f>HYPERLINK("http://ictvonline.org/taxonomy/p/taxonomy-history?taxnode_id=201905230","ICTVonline=201905230")</f>
        <v>ICTVonline=201905230</v>
      </c>
    </row>
    <row r="4018" spans="1:23">
      <c r="A4018" s="3">
        <v>4017</v>
      </c>
      <c r="B4018" s="1" t="s">
        <v>5910</v>
      </c>
      <c r="D4018" s="1" t="s">
        <v>8187</v>
      </c>
      <c r="F4018" s="1" t="s">
        <v>8208</v>
      </c>
      <c r="H4018" s="1" t="s">
        <v>8240</v>
      </c>
      <c r="J4018" s="1" t="s">
        <v>8241</v>
      </c>
      <c r="L4018" s="1" t="s">
        <v>777</v>
      </c>
      <c r="M4018" s="1" t="s">
        <v>6205</v>
      </c>
      <c r="N4018" s="1" t="s">
        <v>3970</v>
      </c>
      <c r="P4018" s="1" t="s">
        <v>681</v>
      </c>
      <c r="Q4018" s="3">
        <v>1</v>
      </c>
      <c r="R4018" s="22" t="s">
        <v>2723</v>
      </c>
      <c r="T4018" s="3" t="s">
        <v>4868</v>
      </c>
      <c r="U4018" s="45">
        <v>35</v>
      </c>
      <c r="V4018" t="s">
        <v>8191</v>
      </c>
      <c r="W4018" s="1" t="str">
        <f>HYPERLINK("http://ictvonline.org/taxonomy/p/taxonomy-history?taxnode_id=201905231","ICTVonline=201905231")</f>
        <v>ICTVonline=201905231</v>
      </c>
    </row>
    <row r="4019" spans="1:23">
      <c r="A4019" s="3">
        <v>4018</v>
      </c>
      <c r="B4019" s="1" t="s">
        <v>5910</v>
      </c>
      <c r="D4019" s="1" t="s">
        <v>8187</v>
      </c>
      <c r="F4019" s="1" t="s">
        <v>8208</v>
      </c>
      <c r="H4019" s="1" t="s">
        <v>8240</v>
      </c>
      <c r="J4019" s="1" t="s">
        <v>8241</v>
      </c>
      <c r="L4019" s="1" t="s">
        <v>777</v>
      </c>
      <c r="M4019" s="1" t="s">
        <v>6205</v>
      </c>
      <c r="N4019" s="1" t="s">
        <v>3970</v>
      </c>
      <c r="P4019" s="1" t="s">
        <v>1260</v>
      </c>
      <c r="Q4019" s="3">
        <v>0</v>
      </c>
      <c r="R4019" s="22" t="s">
        <v>2723</v>
      </c>
      <c r="T4019" s="3" t="s">
        <v>4868</v>
      </c>
      <c r="U4019" s="45">
        <v>35</v>
      </c>
      <c r="V4019" t="s">
        <v>8191</v>
      </c>
      <c r="W4019" s="1" t="str">
        <f>HYPERLINK("http://ictvonline.org/taxonomy/p/taxonomy-history?taxnode_id=201905232","ICTVonline=201905232")</f>
        <v>ICTVonline=201905232</v>
      </c>
    </row>
    <row r="4020" spans="1:23">
      <c r="A4020" s="3">
        <v>4019</v>
      </c>
      <c r="B4020" s="1" t="s">
        <v>5910</v>
      </c>
      <c r="D4020" s="1" t="s">
        <v>8187</v>
      </c>
      <c r="F4020" s="1" t="s">
        <v>8208</v>
      </c>
      <c r="H4020" s="1" t="s">
        <v>8240</v>
      </c>
      <c r="J4020" s="1" t="s">
        <v>8241</v>
      </c>
      <c r="L4020" s="1" t="s">
        <v>777</v>
      </c>
      <c r="M4020" s="1" t="s">
        <v>6205</v>
      </c>
      <c r="N4020" s="1" t="s">
        <v>3970</v>
      </c>
      <c r="P4020" s="1" t="s">
        <v>205</v>
      </c>
      <c r="Q4020" s="3">
        <v>0</v>
      </c>
      <c r="R4020" s="22" t="s">
        <v>2723</v>
      </c>
      <c r="T4020" s="3" t="s">
        <v>4868</v>
      </c>
      <c r="U4020" s="45">
        <v>35</v>
      </c>
      <c r="V4020" t="s">
        <v>8191</v>
      </c>
      <c r="W4020" s="1" t="str">
        <f>HYPERLINK("http://ictvonline.org/taxonomy/p/taxonomy-history?taxnode_id=201905233","ICTVonline=201905233")</f>
        <v>ICTVonline=201905233</v>
      </c>
    </row>
    <row r="4021" spans="1:23">
      <c r="A4021" s="3">
        <v>4020</v>
      </c>
      <c r="B4021" s="1" t="s">
        <v>5910</v>
      </c>
      <c r="D4021" s="1" t="s">
        <v>8187</v>
      </c>
      <c r="F4021" s="1" t="s">
        <v>8208</v>
      </c>
      <c r="H4021" s="1" t="s">
        <v>8240</v>
      </c>
      <c r="J4021" s="1" t="s">
        <v>8241</v>
      </c>
      <c r="L4021" s="1" t="s">
        <v>777</v>
      </c>
      <c r="M4021" s="1" t="s">
        <v>6205</v>
      </c>
      <c r="N4021" s="1" t="s">
        <v>2265</v>
      </c>
      <c r="P4021" s="1" t="s">
        <v>2266</v>
      </c>
      <c r="Q4021" s="3">
        <v>1</v>
      </c>
      <c r="R4021" s="22" t="s">
        <v>2723</v>
      </c>
      <c r="T4021" s="3" t="s">
        <v>4868</v>
      </c>
      <c r="U4021" s="45">
        <v>35</v>
      </c>
      <c r="V4021" t="s">
        <v>8191</v>
      </c>
      <c r="W4021" s="1" t="str">
        <f>HYPERLINK("http://ictvonline.org/taxonomy/p/taxonomy-history?taxnode_id=201905235","ICTVonline=201905235")</f>
        <v>ICTVonline=201905235</v>
      </c>
    </row>
    <row r="4022" spans="1:23">
      <c r="A4022" s="3">
        <v>4021</v>
      </c>
      <c r="B4022" s="1" t="s">
        <v>5910</v>
      </c>
      <c r="D4022" s="1" t="s">
        <v>8187</v>
      </c>
      <c r="F4022" s="1" t="s">
        <v>8208</v>
      </c>
      <c r="H4022" s="1" t="s">
        <v>8240</v>
      </c>
      <c r="J4022" s="1" t="s">
        <v>8241</v>
      </c>
      <c r="L4022" s="1" t="s">
        <v>777</v>
      </c>
      <c r="M4022" s="1" t="s">
        <v>6205</v>
      </c>
      <c r="N4022" s="1" t="s">
        <v>1269</v>
      </c>
      <c r="P4022" s="1" t="s">
        <v>1270</v>
      </c>
      <c r="Q4022" s="3">
        <v>1</v>
      </c>
      <c r="R4022" s="22" t="s">
        <v>2723</v>
      </c>
      <c r="T4022" s="3" t="s">
        <v>4868</v>
      </c>
      <c r="U4022" s="45">
        <v>35</v>
      </c>
      <c r="V4022" t="s">
        <v>8191</v>
      </c>
      <c r="W4022" s="1" t="str">
        <f>HYPERLINK("http://ictvonline.org/taxonomy/p/taxonomy-history?taxnode_id=201905237","ICTVonline=201905237")</f>
        <v>ICTVonline=201905237</v>
      </c>
    </row>
    <row r="4023" spans="1:23">
      <c r="A4023" s="3">
        <v>4022</v>
      </c>
      <c r="B4023" s="1" t="s">
        <v>5910</v>
      </c>
      <c r="D4023" s="1" t="s">
        <v>8187</v>
      </c>
      <c r="F4023" s="1" t="s">
        <v>8208</v>
      </c>
      <c r="H4023" s="1" t="s">
        <v>8240</v>
      </c>
      <c r="J4023" s="1" t="s">
        <v>8241</v>
      </c>
      <c r="L4023" s="1" t="s">
        <v>777</v>
      </c>
      <c r="M4023" s="1" t="s">
        <v>6205</v>
      </c>
      <c r="N4023" s="1" t="s">
        <v>1883</v>
      </c>
      <c r="P4023" s="1" t="s">
        <v>206</v>
      </c>
      <c r="Q4023" s="3">
        <v>0</v>
      </c>
      <c r="R4023" s="22" t="s">
        <v>2723</v>
      </c>
      <c r="T4023" s="3" t="s">
        <v>4868</v>
      </c>
      <c r="U4023" s="45">
        <v>35</v>
      </c>
      <c r="V4023" t="s">
        <v>8191</v>
      </c>
      <c r="W4023" s="1" t="str">
        <f>HYPERLINK("http://ictvonline.org/taxonomy/p/taxonomy-history?taxnode_id=201905239","ICTVonline=201905239")</f>
        <v>ICTVonline=201905239</v>
      </c>
    </row>
    <row r="4024" spans="1:23">
      <c r="A4024" s="3">
        <v>4023</v>
      </c>
      <c r="B4024" s="1" t="s">
        <v>5910</v>
      </c>
      <c r="D4024" s="1" t="s">
        <v>8187</v>
      </c>
      <c r="F4024" s="1" t="s">
        <v>8208</v>
      </c>
      <c r="H4024" s="1" t="s">
        <v>8240</v>
      </c>
      <c r="J4024" s="1" t="s">
        <v>8241</v>
      </c>
      <c r="L4024" s="1" t="s">
        <v>777</v>
      </c>
      <c r="M4024" s="1" t="s">
        <v>6205</v>
      </c>
      <c r="N4024" s="1" t="s">
        <v>1883</v>
      </c>
      <c r="P4024" s="1" t="s">
        <v>1884</v>
      </c>
      <c r="Q4024" s="3">
        <v>1</v>
      </c>
      <c r="R4024" s="22" t="s">
        <v>2723</v>
      </c>
      <c r="T4024" s="3" t="s">
        <v>4868</v>
      </c>
      <c r="U4024" s="45">
        <v>35</v>
      </c>
      <c r="V4024" t="s">
        <v>8191</v>
      </c>
      <c r="W4024" s="1" t="str">
        <f>HYPERLINK("http://ictvonline.org/taxonomy/p/taxonomy-history?taxnode_id=201905240","ICTVonline=201905240")</f>
        <v>ICTVonline=201905240</v>
      </c>
    </row>
    <row r="4025" spans="1:23">
      <c r="A4025" s="3">
        <v>4024</v>
      </c>
      <c r="B4025" s="1" t="s">
        <v>5910</v>
      </c>
      <c r="D4025" s="1" t="s">
        <v>8187</v>
      </c>
      <c r="F4025" s="1" t="s">
        <v>8208</v>
      </c>
      <c r="H4025" s="1" t="s">
        <v>8240</v>
      </c>
      <c r="J4025" s="1" t="s">
        <v>8241</v>
      </c>
      <c r="L4025" s="1" t="s">
        <v>777</v>
      </c>
      <c r="M4025" s="1" t="s">
        <v>6205</v>
      </c>
      <c r="N4025" s="1" t="s">
        <v>1883</v>
      </c>
      <c r="P4025" s="1" t="s">
        <v>2710</v>
      </c>
      <c r="Q4025" s="3">
        <v>0</v>
      </c>
      <c r="R4025" s="22" t="s">
        <v>2723</v>
      </c>
      <c r="T4025" s="3" t="s">
        <v>4868</v>
      </c>
      <c r="U4025" s="45">
        <v>35</v>
      </c>
      <c r="V4025" t="s">
        <v>8191</v>
      </c>
      <c r="W4025" s="1" t="str">
        <f>HYPERLINK("http://ictvonline.org/taxonomy/p/taxonomy-history?taxnode_id=201905241","ICTVonline=201905241")</f>
        <v>ICTVonline=201905241</v>
      </c>
    </row>
    <row r="4026" spans="1:23">
      <c r="A4026" s="3">
        <v>4025</v>
      </c>
      <c r="B4026" s="1" t="s">
        <v>5910</v>
      </c>
      <c r="D4026" s="1" t="s">
        <v>8187</v>
      </c>
      <c r="F4026" s="1" t="s">
        <v>8208</v>
      </c>
      <c r="H4026" s="1" t="s">
        <v>8240</v>
      </c>
      <c r="J4026" s="1" t="s">
        <v>8241</v>
      </c>
      <c r="L4026" s="1" t="s">
        <v>777</v>
      </c>
      <c r="M4026" s="1" t="s">
        <v>6205</v>
      </c>
      <c r="N4026" s="1" t="s">
        <v>3971</v>
      </c>
      <c r="P4026" s="1" t="s">
        <v>6207</v>
      </c>
      <c r="Q4026" s="3">
        <v>0</v>
      </c>
      <c r="R4026" s="22" t="s">
        <v>2723</v>
      </c>
      <c r="T4026" s="3" t="s">
        <v>4868</v>
      </c>
      <c r="U4026" s="45">
        <v>35</v>
      </c>
      <c r="V4026" t="s">
        <v>8191</v>
      </c>
      <c r="W4026" s="1" t="str">
        <f>HYPERLINK("http://ictvonline.org/taxonomy/p/taxonomy-history?taxnode_id=201906290","ICTVonline=201906290")</f>
        <v>ICTVonline=201906290</v>
      </c>
    </row>
    <row r="4027" spans="1:23">
      <c r="A4027" s="3">
        <v>4026</v>
      </c>
      <c r="B4027" s="1" t="s">
        <v>5910</v>
      </c>
      <c r="D4027" s="1" t="s">
        <v>8187</v>
      </c>
      <c r="F4027" s="1" t="s">
        <v>8208</v>
      </c>
      <c r="H4027" s="1" t="s">
        <v>8240</v>
      </c>
      <c r="J4027" s="1" t="s">
        <v>8241</v>
      </c>
      <c r="L4027" s="1" t="s">
        <v>777</v>
      </c>
      <c r="M4027" s="1" t="s">
        <v>6205</v>
      </c>
      <c r="N4027" s="1" t="s">
        <v>3971</v>
      </c>
      <c r="P4027" s="1" t="s">
        <v>2711</v>
      </c>
      <c r="Q4027" s="3">
        <v>0</v>
      </c>
      <c r="R4027" s="22" t="s">
        <v>2723</v>
      </c>
      <c r="T4027" s="3" t="s">
        <v>4868</v>
      </c>
      <c r="U4027" s="45">
        <v>35</v>
      </c>
      <c r="V4027" t="s">
        <v>8191</v>
      </c>
      <c r="W4027" s="1" t="str">
        <f>HYPERLINK("http://ictvonline.org/taxonomy/p/taxonomy-history?taxnode_id=201905243","ICTVonline=201905243")</f>
        <v>ICTVonline=201905243</v>
      </c>
    </row>
    <row r="4028" spans="1:23">
      <c r="A4028" s="3">
        <v>4027</v>
      </c>
      <c r="B4028" s="1" t="s">
        <v>5910</v>
      </c>
      <c r="D4028" s="1" t="s">
        <v>8187</v>
      </c>
      <c r="F4028" s="1" t="s">
        <v>8208</v>
      </c>
      <c r="H4028" s="1" t="s">
        <v>8240</v>
      </c>
      <c r="J4028" s="1" t="s">
        <v>8241</v>
      </c>
      <c r="L4028" s="1" t="s">
        <v>777</v>
      </c>
      <c r="M4028" s="1" t="s">
        <v>6205</v>
      </c>
      <c r="N4028" s="1" t="s">
        <v>3971</v>
      </c>
      <c r="P4028" s="1" t="s">
        <v>2712</v>
      </c>
      <c r="Q4028" s="3">
        <v>0</v>
      </c>
      <c r="R4028" s="22" t="s">
        <v>2723</v>
      </c>
      <c r="T4028" s="3" t="s">
        <v>4868</v>
      </c>
      <c r="U4028" s="45">
        <v>35</v>
      </c>
      <c r="V4028" t="s">
        <v>8191</v>
      </c>
      <c r="W4028" s="1" t="str">
        <f>HYPERLINK("http://ictvonline.org/taxonomy/p/taxonomy-history?taxnode_id=201905244","ICTVonline=201905244")</f>
        <v>ICTVonline=201905244</v>
      </c>
    </row>
    <row r="4029" spans="1:23">
      <c r="A4029" s="3">
        <v>4028</v>
      </c>
      <c r="B4029" s="1" t="s">
        <v>5910</v>
      </c>
      <c r="D4029" s="1" t="s">
        <v>8187</v>
      </c>
      <c r="F4029" s="1" t="s">
        <v>8208</v>
      </c>
      <c r="H4029" s="1" t="s">
        <v>8240</v>
      </c>
      <c r="J4029" s="1" t="s">
        <v>8241</v>
      </c>
      <c r="L4029" s="1" t="s">
        <v>777</v>
      </c>
      <c r="M4029" s="1" t="s">
        <v>6205</v>
      </c>
      <c r="N4029" s="1" t="s">
        <v>3971</v>
      </c>
      <c r="P4029" s="1" t="s">
        <v>1988</v>
      </c>
      <c r="Q4029" s="3">
        <v>1</v>
      </c>
      <c r="R4029" s="22" t="s">
        <v>2723</v>
      </c>
      <c r="T4029" s="3" t="s">
        <v>4868</v>
      </c>
      <c r="U4029" s="45">
        <v>35</v>
      </c>
      <c r="V4029" t="s">
        <v>8191</v>
      </c>
      <c r="W4029" s="1" t="str">
        <f>HYPERLINK("http://ictvonline.org/taxonomy/p/taxonomy-history?taxnode_id=201905245","ICTVonline=201905245")</f>
        <v>ICTVonline=201905245</v>
      </c>
    </row>
    <row r="4030" spans="1:23">
      <c r="A4030" s="3">
        <v>4029</v>
      </c>
      <c r="B4030" s="1" t="s">
        <v>5910</v>
      </c>
      <c r="D4030" s="1" t="s">
        <v>8187</v>
      </c>
      <c r="F4030" s="1" t="s">
        <v>8208</v>
      </c>
      <c r="H4030" s="1" t="s">
        <v>8240</v>
      </c>
      <c r="J4030" s="1" t="s">
        <v>8241</v>
      </c>
      <c r="L4030" s="1" t="s">
        <v>777</v>
      </c>
      <c r="M4030" s="1" t="s">
        <v>6205</v>
      </c>
      <c r="N4030" s="1" t="s">
        <v>3971</v>
      </c>
      <c r="P4030" s="1" t="s">
        <v>2713</v>
      </c>
      <c r="Q4030" s="3">
        <v>0</v>
      </c>
      <c r="R4030" s="22" t="s">
        <v>2723</v>
      </c>
      <c r="T4030" s="3" t="s">
        <v>4868</v>
      </c>
      <c r="U4030" s="45">
        <v>35</v>
      </c>
      <c r="V4030" t="s">
        <v>8191</v>
      </c>
      <c r="W4030" s="1" t="str">
        <f>HYPERLINK("http://ictvonline.org/taxonomy/p/taxonomy-history?taxnode_id=201905246","ICTVonline=201905246")</f>
        <v>ICTVonline=201905246</v>
      </c>
    </row>
    <row r="4031" spans="1:23">
      <c r="A4031" s="3">
        <v>4030</v>
      </c>
      <c r="B4031" s="1" t="s">
        <v>5910</v>
      </c>
      <c r="D4031" s="1" t="s">
        <v>8187</v>
      </c>
      <c r="F4031" s="1" t="s">
        <v>8208</v>
      </c>
      <c r="H4031" s="1" t="s">
        <v>8240</v>
      </c>
      <c r="J4031" s="1" t="s">
        <v>8241</v>
      </c>
      <c r="L4031" s="1" t="s">
        <v>777</v>
      </c>
      <c r="M4031" s="1" t="s">
        <v>6205</v>
      </c>
      <c r="N4031" s="1" t="s">
        <v>3971</v>
      </c>
      <c r="P4031" s="1" t="s">
        <v>2714</v>
      </c>
      <c r="Q4031" s="3">
        <v>0</v>
      </c>
      <c r="R4031" s="22" t="s">
        <v>2723</v>
      </c>
      <c r="T4031" s="3" t="s">
        <v>4868</v>
      </c>
      <c r="U4031" s="45">
        <v>35</v>
      </c>
      <c r="V4031" t="s">
        <v>8191</v>
      </c>
      <c r="W4031" s="1" t="str">
        <f>HYPERLINK("http://ictvonline.org/taxonomy/p/taxonomy-history?taxnode_id=201905247","ICTVonline=201905247")</f>
        <v>ICTVonline=201905247</v>
      </c>
    </row>
    <row r="4032" spans="1:23">
      <c r="A4032" s="3">
        <v>4031</v>
      </c>
      <c r="B4032" s="1" t="s">
        <v>5910</v>
      </c>
      <c r="D4032" s="1" t="s">
        <v>8187</v>
      </c>
      <c r="F4032" s="1" t="s">
        <v>8208</v>
      </c>
      <c r="H4032" s="1" t="s">
        <v>8240</v>
      </c>
      <c r="J4032" s="1" t="s">
        <v>8241</v>
      </c>
      <c r="L4032" s="1" t="s">
        <v>777</v>
      </c>
      <c r="M4032" s="1" t="s">
        <v>6205</v>
      </c>
      <c r="N4032" s="1" t="s">
        <v>1885</v>
      </c>
      <c r="P4032" s="1" t="s">
        <v>1886</v>
      </c>
      <c r="Q4032" s="3">
        <v>0</v>
      </c>
      <c r="R4032" s="22" t="s">
        <v>2723</v>
      </c>
      <c r="T4032" s="3" t="s">
        <v>4868</v>
      </c>
      <c r="U4032" s="45">
        <v>35</v>
      </c>
      <c r="V4032" t="s">
        <v>8191</v>
      </c>
      <c r="W4032" s="1" t="str">
        <f>HYPERLINK("http://ictvonline.org/taxonomy/p/taxonomy-history?taxnode_id=201905249","ICTVonline=201905249")</f>
        <v>ICTVonline=201905249</v>
      </c>
    </row>
    <row r="4033" spans="1:23">
      <c r="A4033" s="3">
        <v>4032</v>
      </c>
      <c r="B4033" s="1" t="s">
        <v>5910</v>
      </c>
      <c r="D4033" s="1" t="s">
        <v>8187</v>
      </c>
      <c r="F4033" s="1" t="s">
        <v>8208</v>
      </c>
      <c r="H4033" s="1" t="s">
        <v>8240</v>
      </c>
      <c r="J4033" s="1" t="s">
        <v>8241</v>
      </c>
      <c r="L4033" s="1" t="s">
        <v>777</v>
      </c>
      <c r="M4033" s="1" t="s">
        <v>6205</v>
      </c>
      <c r="N4033" s="1" t="s">
        <v>1885</v>
      </c>
      <c r="P4033" s="1" t="s">
        <v>1887</v>
      </c>
      <c r="Q4033" s="3">
        <v>0</v>
      </c>
      <c r="R4033" s="22" t="s">
        <v>2723</v>
      </c>
      <c r="T4033" s="3" t="s">
        <v>4868</v>
      </c>
      <c r="U4033" s="45">
        <v>35</v>
      </c>
      <c r="V4033" t="s">
        <v>8191</v>
      </c>
      <c r="W4033" s="1" t="str">
        <f>HYPERLINK("http://ictvonline.org/taxonomy/p/taxonomy-history?taxnode_id=201905250","ICTVonline=201905250")</f>
        <v>ICTVonline=201905250</v>
      </c>
    </row>
    <row r="4034" spans="1:23">
      <c r="A4034" s="3">
        <v>4033</v>
      </c>
      <c r="B4034" s="1" t="s">
        <v>5910</v>
      </c>
      <c r="D4034" s="1" t="s">
        <v>8187</v>
      </c>
      <c r="F4034" s="1" t="s">
        <v>8208</v>
      </c>
      <c r="H4034" s="1" t="s">
        <v>8240</v>
      </c>
      <c r="J4034" s="1" t="s">
        <v>8241</v>
      </c>
      <c r="L4034" s="1" t="s">
        <v>777</v>
      </c>
      <c r="M4034" s="1" t="s">
        <v>6205</v>
      </c>
      <c r="N4034" s="1" t="s">
        <v>1885</v>
      </c>
      <c r="P4034" s="1" t="s">
        <v>6208</v>
      </c>
      <c r="Q4034" s="3">
        <v>0</v>
      </c>
      <c r="R4034" s="22" t="s">
        <v>2723</v>
      </c>
      <c r="T4034" s="3" t="s">
        <v>4868</v>
      </c>
      <c r="U4034" s="45">
        <v>35</v>
      </c>
      <c r="V4034" t="s">
        <v>8191</v>
      </c>
      <c r="W4034" s="1" t="str">
        <f>HYPERLINK("http://ictvonline.org/taxonomy/p/taxonomy-history?taxnode_id=201905251","ICTVonline=201905251")</f>
        <v>ICTVonline=201905251</v>
      </c>
    </row>
    <row r="4035" spans="1:23">
      <c r="A4035" s="3">
        <v>4034</v>
      </c>
      <c r="B4035" s="1" t="s">
        <v>5910</v>
      </c>
      <c r="D4035" s="1" t="s">
        <v>8187</v>
      </c>
      <c r="F4035" s="1" t="s">
        <v>8208</v>
      </c>
      <c r="H4035" s="1" t="s">
        <v>8240</v>
      </c>
      <c r="J4035" s="1" t="s">
        <v>8241</v>
      </c>
      <c r="L4035" s="1" t="s">
        <v>777</v>
      </c>
      <c r="M4035" s="1" t="s">
        <v>6205</v>
      </c>
      <c r="N4035" s="1" t="s">
        <v>1885</v>
      </c>
      <c r="P4035" s="1" t="s">
        <v>1888</v>
      </c>
      <c r="Q4035" s="3">
        <v>0</v>
      </c>
      <c r="R4035" s="22" t="s">
        <v>2723</v>
      </c>
      <c r="T4035" s="3" t="s">
        <v>4868</v>
      </c>
      <c r="U4035" s="45">
        <v>35</v>
      </c>
      <c r="V4035" t="s">
        <v>8191</v>
      </c>
      <c r="W4035" s="1" t="str">
        <f>HYPERLINK("http://ictvonline.org/taxonomy/p/taxonomy-history?taxnode_id=201905252","ICTVonline=201905252")</f>
        <v>ICTVonline=201905252</v>
      </c>
    </row>
    <row r="4036" spans="1:23">
      <c r="A4036" s="3">
        <v>4035</v>
      </c>
      <c r="B4036" s="1" t="s">
        <v>5910</v>
      </c>
      <c r="D4036" s="1" t="s">
        <v>8187</v>
      </c>
      <c r="F4036" s="1" t="s">
        <v>8208</v>
      </c>
      <c r="H4036" s="1" t="s">
        <v>8240</v>
      </c>
      <c r="J4036" s="1" t="s">
        <v>8241</v>
      </c>
      <c r="L4036" s="1" t="s">
        <v>777</v>
      </c>
      <c r="M4036" s="1" t="s">
        <v>6205</v>
      </c>
      <c r="N4036" s="1" t="s">
        <v>1885</v>
      </c>
      <c r="P4036" s="1" t="s">
        <v>1889</v>
      </c>
      <c r="Q4036" s="3">
        <v>0</v>
      </c>
      <c r="R4036" s="22" t="s">
        <v>2723</v>
      </c>
      <c r="T4036" s="3" t="s">
        <v>4868</v>
      </c>
      <c r="U4036" s="45">
        <v>35</v>
      </c>
      <c r="V4036" t="s">
        <v>8191</v>
      </c>
      <c r="W4036" s="1" t="str">
        <f>HYPERLINK("http://ictvonline.org/taxonomy/p/taxonomy-history?taxnode_id=201905253","ICTVonline=201905253")</f>
        <v>ICTVonline=201905253</v>
      </c>
    </row>
    <row r="4037" spans="1:23">
      <c r="A4037" s="3">
        <v>4036</v>
      </c>
      <c r="B4037" s="1" t="s">
        <v>5910</v>
      </c>
      <c r="D4037" s="1" t="s">
        <v>8187</v>
      </c>
      <c r="F4037" s="1" t="s">
        <v>8208</v>
      </c>
      <c r="H4037" s="1" t="s">
        <v>8240</v>
      </c>
      <c r="J4037" s="1" t="s">
        <v>8241</v>
      </c>
      <c r="L4037" s="1" t="s">
        <v>777</v>
      </c>
      <c r="M4037" s="1" t="s">
        <v>6205</v>
      </c>
      <c r="N4037" s="1" t="s">
        <v>1885</v>
      </c>
      <c r="P4037" s="1" t="s">
        <v>1890</v>
      </c>
      <c r="Q4037" s="3">
        <v>0</v>
      </c>
      <c r="R4037" s="22" t="s">
        <v>2723</v>
      </c>
      <c r="T4037" s="3" t="s">
        <v>4868</v>
      </c>
      <c r="U4037" s="45">
        <v>35</v>
      </c>
      <c r="V4037" t="s">
        <v>8191</v>
      </c>
      <c r="W4037" s="1" t="str">
        <f>HYPERLINK("http://ictvonline.org/taxonomy/p/taxonomy-history?taxnode_id=201905254","ICTVonline=201905254")</f>
        <v>ICTVonline=201905254</v>
      </c>
    </row>
    <row r="4038" spans="1:23">
      <c r="A4038" s="3">
        <v>4037</v>
      </c>
      <c r="B4038" s="1" t="s">
        <v>5910</v>
      </c>
      <c r="D4038" s="1" t="s">
        <v>8187</v>
      </c>
      <c r="F4038" s="1" t="s">
        <v>8208</v>
      </c>
      <c r="H4038" s="1" t="s">
        <v>8240</v>
      </c>
      <c r="J4038" s="1" t="s">
        <v>8241</v>
      </c>
      <c r="L4038" s="1" t="s">
        <v>777</v>
      </c>
      <c r="M4038" s="1" t="s">
        <v>6205</v>
      </c>
      <c r="N4038" s="1" t="s">
        <v>1885</v>
      </c>
      <c r="P4038" s="1" t="s">
        <v>1917</v>
      </c>
      <c r="Q4038" s="3">
        <v>0</v>
      </c>
      <c r="R4038" s="22" t="s">
        <v>2723</v>
      </c>
      <c r="T4038" s="3" t="s">
        <v>4868</v>
      </c>
      <c r="U4038" s="45">
        <v>35</v>
      </c>
      <c r="V4038" t="s">
        <v>8191</v>
      </c>
      <c r="W4038" s="1" t="str">
        <f>HYPERLINK("http://ictvonline.org/taxonomy/p/taxonomy-history?taxnode_id=201905255","ICTVonline=201905255")</f>
        <v>ICTVonline=201905255</v>
      </c>
    </row>
    <row r="4039" spans="1:23">
      <c r="A4039" s="3">
        <v>4038</v>
      </c>
      <c r="B4039" s="1" t="s">
        <v>5910</v>
      </c>
      <c r="D4039" s="1" t="s">
        <v>8187</v>
      </c>
      <c r="F4039" s="1" t="s">
        <v>8208</v>
      </c>
      <c r="H4039" s="1" t="s">
        <v>8240</v>
      </c>
      <c r="J4039" s="1" t="s">
        <v>8241</v>
      </c>
      <c r="L4039" s="1" t="s">
        <v>777</v>
      </c>
      <c r="M4039" s="1" t="s">
        <v>6205</v>
      </c>
      <c r="N4039" s="1" t="s">
        <v>1885</v>
      </c>
      <c r="P4039" s="1" t="s">
        <v>1918</v>
      </c>
      <c r="Q4039" s="3">
        <v>0</v>
      </c>
      <c r="R4039" s="22" t="s">
        <v>2723</v>
      </c>
      <c r="T4039" s="3" t="s">
        <v>4868</v>
      </c>
      <c r="U4039" s="45">
        <v>35</v>
      </c>
      <c r="V4039" t="s">
        <v>8191</v>
      </c>
      <c r="W4039" s="1" t="str">
        <f>HYPERLINK("http://ictvonline.org/taxonomy/p/taxonomy-history?taxnode_id=201905256","ICTVonline=201905256")</f>
        <v>ICTVonline=201905256</v>
      </c>
    </row>
    <row r="4040" spans="1:23">
      <c r="A4040" s="3">
        <v>4039</v>
      </c>
      <c r="B4040" s="1" t="s">
        <v>5910</v>
      </c>
      <c r="D4040" s="1" t="s">
        <v>8187</v>
      </c>
      <c r="F4040" s="1" t="s">
        <v>8208</v>
      </c>
      <c r="H4040" s="1" t="s">
        <v>8240</v>
      </c>
      <c r="J4040" s="1" t="s">
        <v>8241</v>
      </c>
      <c r="L4040" s="1" t="s">
        <v>777</v>
      </c>
      <c r="M4040" s="1" t="s">
        <v>6205</v>
      </c>
      <c r="N4040" s="1" t="s">
        <v>1885</v>
      </c>
      <c r="P4040" s="1" t="s">
        <v>1919</v>
      </c>
      <c r="Q4040" s="3">
        <v>0</v>
      </c>
      <c r="R4040" s="22" t="s">
        <v>2723</v>
      </c>
      <c r="T4040" s="3" t="s">
        <v>4868</v>
      </c>
      <c r="U4040" s="45">
        <v>35</v>
      </c>
      <c r="V4040" t="s">
        <v>8191</v>
      </c>
      <c r="W4040" s="1" t="str">
        <f>HYPERLINK("http://ictvonline.org/taxonomy/p/taxonomy-history?taxnode_id=201905257","ICTVonline=201905257")</f>
        <v>ICTVonline=201905257</v>
      </c>
    </row>
    <row r="4041" spans="1:23">
      <c r="A4041" s="3">
        <v>4040</v>
      </c>
      <c r="B4041" s="1" t="s">
        <v>5910</v>
      </c>
      <c r="D4041" s="1" t="s">
        <v>8187</v>
      </c>
      <c r="F4041" s="1" t="s">
        <v>8208</v>
      </c>
      <c r="H4041" s="1" t="s">
        <v>8240</v>
      </c>
      <c r="J4041" s="1" t="s">
        <v>8241</v>
      </c>
      <c r="L4041" s="1" t="s">
        <v>777</v>
      </c>
      <c r="M4041" s="1" t="s">
        <v>6205</v>
      </c>
      <c r="N4041" s="1" t="s">
        <v>1885</v>
      </c>
      <c r="P4041" s="1" t="s">
        <v>1920</v>
      </c>
      <c r="Q4041" s="3">
        <v>0</v>
      </c>
      <c r="R4041" s="22" t="s">
        <v>2723</v>
      </c>
      <c r="T4041" s="3" t="s">
        <v>4868</v>
      </c>
      <c r="U4041" s="45">
        <v>35</v>
      </c>
      <c r="V4041" t="s">
        <v>8191</v>
      </c>
      <c r="W4041" s="1" t="str">
        <f>HYPERLINK("http://ictvonline.org/taxonomy/p/taxonomy-history?taxnode_id=201905258","ICTVonline=201905258")</f>
        <v>ICTVonline=201905258</v>
      </c>
    </row>
    <row r="4042" spans="1:23">
      <c r="A4042" s="3">
        <v>4041</v>
      </c>
      <c r="B4042" s="1" t="s">
        <v>5910</v>
      </c>
      <c r="D4042" s="1" t="s">
        <v>8187</v>
      </c>
      <c r="F4042" s="1" t="s">
        <v>8208</v>
      </c>
      <c r="H4042" s="1" t="s">
        <v>8240</v>
      </c>
      <c r="J4042" s="1" t="s">
        <v>8241</v>
      </c>
      <c r="L4042" s="1" t="s">
        <v>777</v>
      </c>
      <c r="M4042" s="1" t="s">
        <v>6205</v>
      </c>
      <c r="N4042" s="1" t="s">
        <v>1885</v>
      </c>
      <c r="P4042" s="1" t="s">
        <v>1921</v>
      </c>
      <c r="Q4042" s="3">
        <v>0</v>
      </c>
      <c r="R4042" s="22" t="s">
        <v>2723</v>
      </c>
      <c r="T4042" s="3" t="s">
        <v>4868</v>
      </c>
      <c r="U4042" s="45">
        <v>35</v>
      </c>
      <c r="V4042" t="s">
        <v>8191</v>
      </c>
      <c r="W4042" s="1" t="str">
        <f>HYPERLINK("http://ictvonline.org/taxonomy/p/taxonomy-history?taxnode_id=201905259","ICTVonline=201905259")</f>
        <v>ICTVonline=201905259</v>
      </c>
    </row>
    <row r="4043" spans="1:23">
      <c r="A4043" s="3">
        <v>4042</v>
      </c>
      <c r="B4043" s="1" t="s">
        <v>5910</v>
      </c>
      <c r="D4043" s="1" t="s">
        <v>8187</v>
      </c>
      <c r="F4043" s="1" t="s">
        <v>8208</v>
      </c>
      <c r="H4043" s="1" t="s">
        <v>8240</v>
      </c>
      <c r="J4043" s="1" t="s">
        <v>8241</v>
      </c>
      <c r="L4043" s="1" t="s">
        <v>777</v>
      </c>
      <c r="M4043" s="1" t="s">
        <v>6205</v>
      </c>
      <c r="N4043" s="1" t="s">
        <v>1885</v>
      </c>
      <c r="P4043" s="1" t="s">
        <v>1922</v>
      </c>
      <c r="Q4043" s="3">
        <v>0</v>
      </c>
      <c r="R4043" s="22" t="s">
        <v>2723</v>
      </c>
      <c r="T4043" s="3" t="s">
        <v>4868</v>
      </c>
      <c r="U4043" s="45">
        <v>35</v>
      </c>
      <c r="V4043" t="s">
        <v>8191</v>
      </c>
      <c r="W4043" s="1" t="str">
        <f>HYPERLINK("http://ictvonline.org/taxonomy/p/taxonomy-history?taxnode_id=201905260","ICTVonline=201905260")</f>
        <v>ICTVonline=201905260</v>
      </c>
    </row>
    <row r="4044" spans="1:23">
      <c r="A4044" s="3">
        <v>4043</v>
      </c>
      <c r="B4044" s="1" t="s">
        <v>5910</v>
      </c>
      <c r="D4044" s="1" t="s">
        <v>8187</v>
      </c>
      <c r="F4044" s="1" t="s">
        <v>8208</v>
      </c>
      <c r="H4044" s="1" t="s">
        <v>8240</v>
      </c>
      <c r="J4044" s="1" t="s">
        <v>8241</v>
      </c>
      <c r="L4044" s="1" t="s">
        <v>777</v>
      </c>
      <c r="M4044" s="1" t="s">
        <v>6205</v>
      </c>
      <c r="N4044" s="1" t="s">
        <v>1885</v>
      </c>
      <c r="P4044" s="1" t="s">
        <v>1923</v>
      </c>
      <c r="Q4044" s="3">
        <v>0</v>
      </c>
      <c r="R4044" s="22" t="s">
        <v>2723</v>
      </c>
      <c r="T4044" s="3" t="s">
        <v>4868</v>
      </c>
      <c r="U4044" s="45">
        <v>35</v>
      </c>
      <c r="V4044" t="s">
        <v>8191</v>
      </c>
      <c r="W4044" s="1" t="str">
        <f>HYPERLINK("http://ictvonline.org/taxonomy/p/taxonomy-history?taxnode_id=201905261","ICTVonline=201905261")</f>
        <v>ICTVonline=201905261</v>
      </c>
    </row>
    <row r="4045" spans="1:23">
      <c r="A4045" s="3">
        <v>4044</v>
      </c>
      <c r="B4045" s="1" t="s">
        <v>5910</v>
      </c>
      <c r="D4045" s="1" t="s">
        <v>8187</v>
      </c>
      <c r="F4045" s="1" t="s">
        <v>8208</v>
      </c>
      <c r="H4045" s="1" t="s">
        <v>8240</v>
      </c>
      <c r="J4045" s="1" t="s">
        <v>8241</v>
      </c>
      <c r="L4045" s="1" t="s">
        <v>777</v>
      </c>
      <c r="M4045" s="1" t="s">
        <v>6205</v>
      </c>
      <c r="N4045" s="1" t="s">
        <v>1885</v>
      </c>
      <c r="P4045" s="1" t="s">
        <v>1924</v>
      </c>
      <c r="Q4045" s="3">
        <v>0</v>
      </c>
      <c r="R4045" s="22" t="s">
        <v>2723</v>
      </c>
      <c r="T4045" s="3" t="s">
        <v>4868</v>
      </c>
      <c r="U4045" s="45">
        <v>35</v>
      </c>
      <c r="V4045" t="s">
        <v>8191</v>
      </c>
      <c r="W4045" s="1" t="str">
        <f>HYPERLINK("http://ictvonline.org/taxonomy/p/taxonomy-history?taxnode_id=201905262","ICTVonline=201905262")</f>
        <v>ICTVonline=201905262</v>
      </c>
    </row>
    <row r="4046" spans="1:23">
      <c r="A4046" s="3">
        <v>4045</v>
      </c>
      <c r="B4046" s="1" t="s">
        <v>5910</v>
      </c>
      <c r="D4046" s="1" t="s">
        <v>8187</v>
      </c>
      <c r="F4046" s="1" t="s">
        <v>8208</v>
      </c>
      <c r="H4046" s="1" t="s">
        <v>8240</v>
      </c>
      <c r="J4046" s="1" t="s">
        <v>8241</v>
      </c>
      <c r="L4046" s="1" t="s">
        <v>777</v>
      </c>
      <c r="M4046" s="1" t="s">
        <v>6205</v>
      </c>
      <c r="N4046" s="1" t="s">
        <v>1885</v>
      </c>
      <c r="P4046" s="1" t="s">
        <v>879</v>
      </c>
      <c r="Q4046" s="3">
        <v>0</v>
      </c>
      <c r="R4046" s="22" t="s">
        <v>2723</v>
      </c>
      <c r="T4046" s="3" t="s">
        <v>4868</v>
      </c>
      <c r="U4046" s="45">
        <v>35</v>
      </c>
      <c r="V4046" t="s">
        <v>8191</v>
      </c>
      <c r="W4046" s="1" t="str">
        <f>HYPERLINK("http://ictvonline.org/taxonomy/p/taxonomy-history?taxnode_id=201905263","ICTVonline=201905263")</f>
        <v>ICTVonline=201905263</v>
      </c>
    </row>
    <row r="4047" spans="1:23">
      <c r="A4047" s="3">
        <v>4046</v>
      </c>
      <c r="B4047" s="1" t="s">
        <v>5910</v>
      </c>
      <c r="D4047" s="1" t="s">
        <v>8187</v>
      </c>
      <c r="F4047" s="1" t="s">
        <v>8208</v>
      </c>
      <c r="H4047" s="1" t="s">
        <v>8240</v>
      </c>
      <c r="J4047" s="1" t="s">
        <v>8241</v>
      </c>
      <c r="L4047" s="1" t="s">
        <v>777</v>
      </c>
      <c r="M4047" s="1" t="s">
        <v>6205</v>
      </c>
      <c r="N4047" s="1" t="s">
        <v>1885</v>
      </c>
      <c r="P4047" s="1" t="s">
        <v>1891</v>
      </c>
      <c r="Q4047" s="3">
        <v>0</v>
      </c>
      <c r="R4047" s="22" t="s">
        <v>2723</v>
      </c>
      <c r="T4047" s="3" t="s">
        <v>4868</v>
      </c>
      <c r="U4047" s="45">
        <v>35</v>
      </c>
      <c r="V4047" t="s">
        <v>8191</v>
      </c>
      <c r="W4047" s="1" t="str">
        <f>HYPERLINK("http://ictvonline.org/taxonomy/p/taxonomy-history?taxnode_id=201905264","ICTVonline=201905264")</f>
        <v>ICTVonline=201905264</v>
      </c>
    </row>
    <row r="4048" spans="1:23">
      <c r="A4048" s="3">
        <v>4047</v>
      </c>
      <c r="B4048" s="1" t="s">
        <v>5910</v>
      </c>
      <c r="D4048" s="1" t="s">
        <v>8187</v>
      </c>
      <c r="F4048" s="1" t="s">
        <v>8208</v>
      </c>
      <c r="H4048" s="1" t="s">
        <v>8240</v>
      </c>
      <c r="J4048" s="1" t="s">
        <v>8241</v>
      </c>
      <c r="L4048" s="1" t="s">
        <v>777</v>
      </c>
      <c r="M4048" s="1" t="s">
        <v>6205</v>
      </c>
      <c r="N4048" s="1" t="s">
        <v>1885</v>
      </c>
      <c r="P4048" s="1" t="s">
        <v>1897</v>
      </c>
      <c r="Q4048" s="3">
        <v>1</v>
      </c>
      <c r="R4048" s="22" t="s">
        <v>2723</v>
      </c>
      <c r="T4048" s="3" t="s">
        <v>4868</v>
      </c>
      <c r="U4048" s="45">
        <v>35</v>
      </c>
      <c r="V4048" t="s">
        <v>8191</v>
      </c>
      <c r="W4048" s="1" t="str">
        <f>HYPERLINK("http://ictvonline.org/taxonomy/p/taxonomy-history?taxnode_id=201905265","ICTVonline=201905265")</f>
        <v>ICTVonline=201905265</v>
      </c>
    </row>
    <row r="4049" spans="1:23">
      <c r="A4049" s="3">
        <v>4048</v>
      </c>
      <c r="B4049" s="1" t="s">
        <v>5910</v>
      </c>
      <c r="D4049" s="1" t="s">
        <v>8187</v>
      </c>
      <c r="F4049" s="1" t="s">
        <v>8208</v>
      </c>
      <c r="H4049" s="1" t="s">
        <v>8240</v>
      </c>
      <c r="J4049" s="1" t="s">
        <v>8241</v>
      </c>
      <c r="L4049" s="1" t="s">
        <v>777</v>
      </c>
      <c r="M4049" s="1" t="s">
        <v>6205</v>
      </c>
      <c r="N4049" s="1" t="s">
        <v>2267</v>
      </c>
      <c r="P4049" s="1" t="s">
        <v>1987</v>
      </c>
      <c r="Q4049" s="3">
        <v>1</v>
      </c>
      <c r="R4049" s="22" t="s">
        <v>2723</v>
      </c>
      <c r="T4049" s="3" t="s">
        <v>4868</v>
      </c>
      <c r="U4049" s="45">
        <v>35</v>
      </c>
      <c r="V4049" t="s">
        <v>8191</v>
      </c>
      <c r="W4049" s="1" t="str">
        <f>HYPERLINK("http://ictvonline.org/taxonomy/p/taxonomy-history?taxnode_id=201905284","ICTVonline=201905284")</f>
        <v>ICTVonline=201905284</v>
      </c>
    </row>
    <row r="4050" spans="1:23">
      <c r="A4050" s="3">
        <v>4049</v>
      </c>
      <c r="B4050" s="1" t="s">
        <v>5910</v>
      </c>
      <c r="D4050" s="1" t="s">
        <v>8187</v>
      </c>
      <c r="F4050" s="1" t="s">
        <v>8208</v>
      </c>
      <c r="H4050" s="1" t="s">
        <v>8240</v>
      </c>
      <c r="J4050" s="1" t="s">
        <v>8241</v>
      </c>
      <c r="L4050" s="1" t="s">
        <v>777</v>
      </c>
      <c r="M4050" s="1" t="s">
        <v>6205</v>
      </c>
      <c r="P4050" s="1" t="s">
        <v>783</v>
      </c>
      <c r="Q4050" s="3">
        <v>0</v>
      </c>
      <c r="R4050" s="22" t="s">
        <v>2723</v>
      </c>
      <c r="T4050" s="3" t="s">
        <v>4868</v>
      </c>
      <c r="U4050" s="45">
        <v>35</v>
      </c>
      <c r="V4050" t="s">
        <v>8191</v>
      </c>
      <c r="W4050" s="1" t="str">
        <f>HYPERLINK("http://ictvonline.org/taxonomy/p/taxonomy-history?taxnode_id=201905277","ICTVonline=201905277")</f>
        <v>ICTVonline=201905277</v>
      </c>
    </row>
    <row r="4051" spans="1:23">
      <c r="A4051" s="3">
        <v>4050</v>
      </c>
      <c r="B4051" s="1" t="s">
        <v>5910</v>
      </c>
      <c r="D4051" s="1" t="s">
        <v>8187</v>
      </c>
      <c r="F4051" s="1" t="s">
        <v>8208</v>
      </c>
      <c r="H4051" s="1" t="s">
        <v>8240</v>
      </c>
      <c r="J4051" s="1" t="s">
        <v>8241</v>
      </c>
      <c r="L4051" s="1" t="s">
        <v>777</v>
      </c>
      <c r="M4051" s="1" t="s">
        <v>6205</v>
      </c>
      <c r="P4051" s="1" t="s">
        <v>785</v>
      </c>
      <c r="Q4051" s="3">
        <v>0</v>
      </c>
      <c r="R4051" s="22" t="s">
        <v>2723</v>
      </c>
      <c r="T4051" s="3" t="s">
        <v>4868</v>
      </c>
      <c r="U4051" s="45">
        <v>35</v>
      </c>
      <c r="V4051" t="s">
        <v>8191</v>
      </c>
      <c r="W4051" s="1" t="str">
        <f>HYPERLINK("http://ictvonline.org/taxonomy/p/taxonomy-history?taxnode_id=201905278","ICTVonline=201905278")</f>
        <v>ICTVonline=201905278</v>
      </c>
    </row>
    <row r="4052" spans="1:23">
      <c r="A4052" s="3">
        <v>4051</v>
      </c>
      <c r="B4052" s="1" t="s">
        <v>5910</v>
      </c>
      <c r="D4052" s="1" t="s">
        <v>8187</v>
      </c>
      <c r="F4052" s="1" t="s">
        <v>8208</v>
      </c>
      <c r="H4052" s="1" t="s">
        <v>8240</v>
      </c>
      <c r="J4052" s="1" t="s">
        <v>8241</v>
      </c>
      <c r="L4052" s="1" t="s">
        <v>777</v>
      </c>
      <c r="M4052" s="1" t="s">
        <v>6205</v>
      </c>
      <c r="P4052" s="1" t="s">
        <v>866</v>
      </c>
      <c r="Q4052" s="3">
        <v>0</v>
      </c>
      <c r="R4052" s="22" t="s">
        <v>2723</v>
      </c>
      <c r="T4052" s="3" t="s">
        <v>4868</v>
      </c>
      <c r="U4052" s="45">
        <v>35</v>
      </c>
      <c r="V4052" t="s">
        <v>8191</v>
      </c>
      <c r="W4052" s="1" t="str">
        <f>HYPERLINK("http://ictvonline.org/taxonomy/p/taxonomy-history?taxnode_id=201905279","ICTVonline=201905279")</f>
        <v>ICTVonline=201905279</v>
      </c>
    </row>
    <row r="4053" spans="1:23">
      <c r="A4053" s="3">
        <v>4052</v>
      </c>
      <c r="B4053" s="1" t="s">
        <v>5910</v>
      </c>
      <c r="D4053" s="1" t="s">
        <v>8187</v>
      </c>
      <c r="F4053" s="1" t="s">
        <v>8208</v>
      </c>
      <c r="H4053" s="1" t="s">
        <v>8240</v>
      </c>
      <c r="J4053" s="1" t="s">
        <v>8241</v>
      </c>
      <c r="L4053" s="1" t="s">
        <v>777</v>
      </c>
      <c r="M4053" s="1" t="s">
        <v>6205</v>
      </c>
      <c r="P4053" s="1" t="s">
        <v>1377</v>
      </c>
      <c r="Q4053" s="3">
        <v>0</v>
      </c>
      <c r="R4053" s="22" t="s">
        <v>2723</v>
      </c>
      <c r="T4053" s="3" t="s">
        <v>4868</v>
      </c>
      <c r="U4053" s="45">
        <v>35</v>
      </c>
      <c r="V4053" t="s">
        <v>8191</v>
      </c>
      <c r="W4053" s="1" t="str">
        <f>HYPERLINK("http://ictvonline.org/taxonomy/p/taxonomy-history?taxnode_id=201905280","ICTVonline=201905280")</f>
        <v>ICTVonline=201905280</v>
      </c>
    </row>
    <row r="4054" spans="1:23">
      <c r="A4054" s="3">
        <v>4053</v>
      </c>
      <c r="B4054" s="1" t="s">
        <v>5910</v>
      </c>
      <c r="D4054" s="1" t="s">
        <v>8187</v>
      </c>
      <c r="F4054" s="1" t="s">
        <v>8208</v>
      </c>
      <c r="H4054" s="1" t="s">
        <v>8240</v>
      </c>
      <c r="J4054" s="1" t="s">
        <v>8241</v>
      </c>
      <c r="L4054" s="1" t="s">
        <v>777</v>
      </c>
      <c r="M4054" s="1" t="s">
        <v>6205</v>
      </c>
      <c r="P4054" s="1" t="s">
        <v>2715</v>
      </c>
      <c r="Q4054" s="3">
        <v>0</v>
      </c>
      <c r="R4054" s="22" t="s">
        <v>2723</v>
      </c>
      <c r="T4054" s="3" t="s">
        <v>4868</v>
      </c>
      <c r="U4054" s="45">
        <v>35</v>
      </c>
      <c r="V4054" t="s">
        <v>8191</v>
      </c>
      <c r="W4054" s="1" t="str">
        <f>HYPERLINK("http://ictvonline.org/taxonomy/p/taxonomy-history?taxnode_id=201905281","ICTVonline=201905281")</f>
        <v>ICTVonline=201905281</v>
      </c>
    </row>
    <row r="4055" spans="1:23">
      <c r="A4055" s="3">
        <v>4054</v>
      </c>
      <c r="B4055" s="1" t="s">
        <v>5910</v>
      </c>
      <c r="D4055" s="1" t="s">
        <v>8187</v>
      </c>
      <c r="F4055" s="1" t="s">
        <v>8208</v>
      </c>
      <c r="H4055" s="1" t="s">
        <v>8240</v>
      </c>
      <c r="J4055" s="1" t="s">
        <v>8241</v>
      </c>
      <c r="L4055" s="1" t="s">
        <v>777</v>
      </c>
      <c r="M4055" s="1" t="s">
        <v>6205</v>
      </c>
      <c r="P4055" s="1" t="s">
        <v>1264</v>
      </c>
      <c r="Q4055" s="3">
        <v>0</v>
      </c>
      <c r="R4055" s="22" t="s">
        <v>2723</v>
      </c>
      <c r="T4055" s="3" t="s">
        <v>4868</v>
      </c>
      <c r="U4055" s="45">
        <v>35</v>
      </c>
      <c r="V4055" t="s">
        <v>8191</v>
      </c>
      <c r="W4055" s="1" t="str">
        <f>HYPERLINK("http://ictvonline.org/taxonomy/p/taxonomy-history?taxnode_id=201905282","ICTVonline=201905282")</f>
        <v>ICTVonline=201905282</v>
      </c>
    </row>
    <row r="4056" spans="1:23">
      <c r="A4056" s="3">
        <v>4055</v>
      </c>
      <c r="B4056" s="1" t="s">
        <v>5910</v>
      </c>
      <c r="D4056" s="1" t="s">
        <v>8187</v>
      </c>
      <c r="F4056" s="1" t="s">
        <v>8208</v>
      </c>
      <c r="H4056" s="1" t="s">
        <v>8240</v>
      </c>
      <c r="J4056" s="1" t="s">
        <v>8241</v>
      </c>
      <c r="L4056" s="1" t="s">
        <v>777</v>
      </c>
      <c r="M4056" s="1" t="s">
        <v>6209</v>
      </c>
      <c r="N4056" s="1" t="s">
        <v>1265</v>
      </c>
      <c r="P4056" s="1" t="s">
        <v>1266</v>
      </c>
      <c r="Q4056" s="3">
        <v>1</v>
      </c>
      <c r="R4056" s="22" t="s">
        <v>2723</v>
      </c>
      <c r="T4056" s="3" t="s">
        <v>4868</v>
      </c>
      <c r="U4056" s="45">
        <v>35</v>
      </c>
      <c r="V4056" t="s">
        <v>8191</v>
      </c>
      <c r="W4056" s="1" t="str">
        <f>HYPERLINK("http://ictvonline.org/taxonomy/p/taxonomy-history?taxnode_id=201905224","ICTVonline=201905224")</f>
        <v>ICTVonline=201905224</v>
      </c>
    </row>
    <row r="4057" spans="1:23">
      <c r="A4057" s="3">
        <v>4056</v>
      </c>
      <c r="B4057" s="1" t="s">
        <v>5910</v>
      </c>
      <c r="D4057" s="1" t="s">
        <v>8187</v>
      </c>
      <c r="F4057" s="1" t="s">
        <v>8208</v>
      </c>
      <c r="H4057" s="1" t="s">
        <v>8240</v>
      </c>
      <c r="J4057" s="1" t="s">
        <v>8241</v>
      </c>
      <c r="L4057" s="1" t="s">
        <v>777</v>
      </c>
      <c r="M4057" s="1" t="s">
        <v>6209</v>
      </c>
      <c r="N4057" s="1" t="s">
        <v>1265</v>
      </c>
      <c r="P4057" s="1" t="s">
        <v>1267</v>
      </c>
      <c r="Q4057" s="3">
        <v>0</v>
      </c>
      <c r="R4057" s="22" t="s">
        <v>2723</v>
      </c>
      <c r="T4057" s="3" t="s">
        <v>4868</v>
      </c>
      <c r="U4057" s="45">
        <v>35</v>
      </c>
      <c r="V4057" t="s">
        <v>8191</v>
      </c>
      <c r="W4057" s="1" t="str">
        <f>HYPERLINK("http://ictvonline.org/taxonomy/p/taxonomy-history?taxnode_id=201905225","ICTVonline=201905225")</f>
        <v>ICTVonline=201905225</v>
      </c>
    </row>
    <row r="4058" spans="1:23">
      <c r="A4058" s="3">
        <v>4057</v>
      </c>
      <c r="B4058" s="1" t="s">
        <v>5910</v>
      </c>
      <c r="D4058" s="1" t="s">
        <v>8187</v>
      </c>
      <c r="F4058" s="1" t="s">
        <v>8208</v>
      </c>
      <c r="H4058" s="1" t="s">
        <v>8240</v>
      </c>
      <c r="J4058" s="1" t="s">
        <v>8241</v>
      </c>
      <c r="L4058" s="1" t="s">
        <v>777</v>
      </c>
      <c r="M4058" s="1" t="s">
        <v>6209</v>
      </c>
      <c r="N4058" s="1" t="s">
        <v>1265</v>
      </c>
      <c r="P4058" s="1" t="s">
        <v>1268</v>
      </c>
      <c r="Q4058" s="3">
        <v>0</v>
      </c>
      <c r="R4058" s="22" t="s">
        <v>2723</v>
      </c>
      <c r="T4058" s="3" t="s">
        <v>4868</v>
      </c>
      <c r="U4058" s="45">
        <v>35</v>
      </c>
      <c r="V4058" t="s">
        <v>8191</v>
      </c>
      <c r="W4058" s="1" t="str">
        <f>HYPERLINK("http://ictvonline.org/taxonomy/p/taxonomy-history?taxnode_id=201905226","ICTVonline=201905226")</f>
        <v>ICTVonline=201905226</v>
      </c>
    </row>
    <row r="4059" spans="1:23">
      <c r="A4059" s="3">
        <v>4058</v>
      </c>
      <c r="B4059" s="1" t="s">
        <v>5910</v>
      </c>
      <c r="D4059" s="1" t="s">
        <v>8187</v>
      </c>
      <c r="F4059" s="1" t="s">
        <v>8252</v>
      </c>
      <c r="H4059" s="1" t="s">
        <v>8253</v>
      </c>
      <c r="J4059" s="1" t="s">
        <v>8254</v>
      </c>
      <c r="L4059" s="1" t="s">
        <v>1100</v>
      </c>
      <c r="N4059" s="1" t="s">
        <v>1101</v>
      </c>
      <c r="P4059" s="1" t="s">
        <v>3806</v>
      </c>
      <c r="Q4059" s="3">
        <v>0</v>
      </c>
      <c r="R4059" s="22" t="s">
        <v>2723</v>
      </c>
      <c r="T4059" s="3" t="s">
        <v>4868</v>
      </c>
      <c r="U4059" s="45">
        <v>35</v>
      </c>
      <c r="V4059" t="s">
        <v>8191</v>
      </c>
      <c r="W4059" s="1" t="str">
        <f>HYPERLINK("http://ictvonline.org/taxonomy/p/taxonomy-history?taxnode_id=201903754","ICTVonline=201903754")</f>
        <v>ICTVonline=201903754</v>
      </c>
    </row>
    <row r="4060" spans="1:23">
      <c r="A4060" s="3">
        <v>4059</v>
      </c>
      <c r="B4060" s="1" t="s">
        <v>5910</v>
      </c>
      <c r="D4060" s="1" t="s">
        <v>8187</v>
      </c>
      <c r="F4060" s="1" t="s">
        <v>8252</v>
      </c>
      <c r="H4060" s="1" t="s">
        <v>8253</v>
      </c>
      <c r="J4060" s="1" t="s">
        <v>8254</v>
      </c>
      <c r="L4060" s="1" t="s">
        <v>1100</v>
      </c>
      <c r="N4060" s="1" t="s">
        <v>1101</v>
      </c>
      <c r="P4060" s="1" t="s">
        <v>3807</v>
      </c>
      <c r="Q4060" s="3">
        <v>1</v>
      </c>
      <c r="R4060" s="22" t="s">
        <v>2723</v>
      </c>
      <c r="T4060" s="3" t="s">
        <v>4868</v>
      </c>
      <c r="U4060" s="45">
        <v>35</v>
      </c>
      <c r="V4060" t="s">
        <v>8191</v>
      </c>
      <c r="W4060" s="1" t="str">
        <f>HYPERLINK("http://ictvonline.org/taxonomy/p/taxonomy-history?taxnode_id=201903755","ICTVonline=201903755")</f>
        <v>ICTVonline=201903755</v>
      </c>
    </row>
    <row r="4061" spans="1:23">
      <c r="A4061" s="3">
        <v>4060</v>
      </c>
      <c r="B4061" s="1" t="s">
        <v>5910</v>
      </c>
      <c r="D4061" s="1" t="s">
        <v>8187</v>
      </c>
      <c r="F4061" s="1" t="s">
        <v>8252</v>
      </c>
      <c r="H4061" s="1" t="s">
        <v>8253</v>
      </c>
      <c r="J4061" s="1" t="s">
        <v>8254</v>
      </c>
      <c r="L4061" s="1" t="s">
        <v>1100</v>
      </c>
      <c r="N4061" s="1" t="s">
        <v>1613</v>
      </c>
      <c r="P4061" s="1" t="s">
        <v>3808</v>
      </c>
      <c r="Q4061" s="3">
        <v>0</v>
      </c>
      <c r="R4061" s="22" t="s">
        <v>2723</v>
      </c>
      <c r="T4061" s="3" t="s">
        <v>4868</v>
      </c>
      <c r="U4061" s="45">
        <v>35</v>
      </c>
      <c r="V4061" t="s">
        <v>8191</v>
      </c>
      <c r="W4061" s="1" t="str">
        <f>HYPERLINK("http://ictvonline.org/taxonomy/p/taxonomy-history?taxnode_id=201903757","ICTVonline=201903757")</f>
        <v>ICTVonline=201903757</v>
      </c>
    </row>
    <row r="4062" spans="1:23">
      <c r="A4062" s="3">
        <v>4061</v>
      </c>
      <c r="B4062" s="1" t="s">
        <v>5910</v>
      </c>
      <c r="D4062" s="1" t="s">
        <v>8187</v>
      </c>
      <c r="F4062" s="1" t="s">
        <v>8252</v>
      </c>
      <c r="H4062" s="1" t="s">
        <v>8253</v>
      </c>
      <c r="J4062" s="1" t="s">
        <v>8254</v>
      </c>
      <c r="L4062" s="1" t="s">
        <v>1100</v>
      </c>
      <c r="N4062" s="1" t="s">
        <v>1613</v>
      </c>
      <c r="P4062" s="1" t="s">
        <v>3809</v>
      </c>
      <c r="Q4062" s="3">
        <v>1</v>
      </c>
      <c r="R4062" s="22" t="s">
        <v>2723</v>
      </c>
      <c r="T4062" s="3" t="s">
        <v>4868</v>
      </c>
      <c r="U4062" s="45">
        <v>35</v>
      </c>
      <c r="V4062" t="s">
        <v>8191</v>
      </c>
      <c r="W4062" s="1" t="str">
        <f>HYPERLINK("http://ictvonline.org/taxonomy/p/taxonomy-history?taxnode_id=201903758","ICTVonline=201903758")</f>
        <v>ICTVonline=201903758</v>
      </c>
    </row>
    <row r="4063" spans="1:23">
      <c r="A4063" s="3">
        <v>4062</v>
      </c>
      <c r="B4063" s="1" t="s">
        <v>5910</v>
      </c>
      <c r="D4063" s="1" t="s">
        <v>8187</v>
      </c>
      <c r="F4063" s="1" t="s">
        <v>8252</v>
      </c>
      <c r="H4063" s="1" t="s">
        <v>8255</v>
      </c>
      <c r="J4063" s="1" t="s">
        <v>8256</v>
      </c>
      <c r="L4063" s="1" t="s">
        <v>1082</v>
      </c>
      <c r="N4063" s="1" t="s">
        <v>1014</v>
      </c>
      <c r="P4063" s="1" t="s">
        <v>1015</v>
      </c>
      <c r="Q4063" s="3">
        <v>1</v>
      </c>
      <c r="R4063" s="22" t="s">
        <v>2723</v>
      </c>
      <c r="T4063" s="3" t="s">
        <v>4868</v>
      </c>
      <c r="U4063" s="45">
        <v>35</v>
      </c>
      <c r="V4063" t="s">
        <v>8191</v>
      </c>
      <c r="W4063" s="1" t="str">
        <f>HYPERLINK("http://ictvonline.org/taxonomy/p/taxonomy-history?taxnode_id=201903917","ICTVonline=201903917")</f>
        <v>ICTVonline=201903917</v>
      </c>
    </row>
    <row r="4064" spans="1:23">
      <c r="A4064" s="3">
        <v>4063</v>
      </c>
      <c r="B4064" s="1" t="s">
        <v>5910</v>
      </c>
      <c r="D4064" s="1" t="s">
        <v>8187</v>
      </c>
      <c r="F4064" s="1" t="s">
        <v>8252</v>
      </c>
      <c r="H4064" s="1" t="s">
        <v>8255</v>
      </c>
      <c r="J4064" s="1" t="s">
        <v>8256</v>
      </c>
      <c r="L4064" s="1" t="s">
        <v>1082</v>
      </c>
      <c r="N4064" s="1" t="s">
        <v>1014</v>
      </c>
      <c r="P4064" s="1" t="s">
        <v>1084</v>
      </c>
      <c r="Q4064" s="3">
        <v>0</v>
      </c>
      <c r="R4064" s="22" t="s">
        <v>2723</v>
      </c>
      <c r="T4064" s="3" t="s">
        <v>4868</v>
      </c>
      <c r="U4064" s="45">
        <v>35</v>
      </c>
      <c r="V4064" t="s">
        <v>8191</v>
      </c>
      <c r="W4064" s="1" t="str">
        <f>HYPERLINK("http://ictvonline.org/taxonomy/p/taxonomy-history?taxnode_id=201903918","ICTVonline=201903918")</f>
        <v>ICTVonline=201903918</v>
      </c>
    </row>
    <row r="4065" spans="1:23">
      <c r="A4065" s="3">
        <v>4064</v>
      </c>
      <c r="B4065" s="1" t="s">
        <v>5910</v>
      </c>
      <c r="D4065" s="1" t="s">
        <v>8187</v>
      </c>
      <c r="F4065" s="1" t="s">
        <v>8252</v>
      </c>
      <c r="H4065" s="1" t="s">
        <v>8257</v>
      </c>
      <c r="J4065" s="1" t="s">
        <v>8258</v>
      </c>
      <c r="L4065" s="1" t="s">
        <v>8259</v>
      </c>
      <c r="N4065" s="1" t="s">
        <v>1083</v>
      </c>
      <c r="P4065" s="1" t="s">
        <v>1009</v>
      </c>
      <c r="Q4065" s="3">
        <v>1</v>
      </c>
      <c r="R4065" s="22" t="s">
        <v>2723</v>
      </c>
      <c r="T4065" s="3" t="s">
        <v>4868</v>
      </c>
      <c r="U4065" s="45">
        <v>35</v>
      </c>
      <c r="V4065" t="s">
        <v>8191</v>
      </c>
      <c r="W4065" s="1" t="str">
        <f>HYPERLINK("http://ictvonline.org/taxonomy/p/taxonomy-history?taxnode_id=201903911","ICTVonline=201903911")</f>
        <v>ICTVonline=201903911</v>
      </c>
    </row>
    <row r="4066" spans="1:23">
      <c r="A4066" s="3">
        <v>4065</v>
      </c>
      <c r="B4066" s="1" t="s">
        <v>5910</v>
      </c>
      <c r="D4066" s="1" t="s">
        <v>8187</v>
      </c>
      <c r="F4066" s="1" t="s">
        <v>8252</v>
      </c>
      <c r="H4066" s="1" t="s">
        <v>8257</v>
      </c>
      <c r="J4066" s="1" t="s">
        <v>8258</v>
      </c>
      <c r="L4066" s="1" t="s">
        <v>8259</v>
      </c>
      <c r="N4066" s="1" t="s">
        <v>1083</v>
      </c>
      <c r="P4066" s="1" t="s">
        <v>1011</v>
      </c>
      <c r="Q4066" s="3">
        <v>0</v>
      </c>
      <c r="R4066" s="22" t="s">
        <v>2723</v>
      </c>
      <c r="T4066" s="3" t="s">
        <v>4868</v>
      </c>
      <c r="U4066" s="45">
        <v>35</v>
      </c>
      <c r="V4066" t="s">
        <v>8191</v>
      </c>
      <c r="W4066" s="1" t="str">
        <f>HYPERLINK("http://ictvonline.org/taxonomy/p/taxonomy-history?taxnode_id=201903912","ICTVonline=201903912")</f>
        <v>ICTVonline=201903912</v>
      </c>
    </row>
    <row r="4067" spans="1:23">
      <c r="A4067" s="3">
        <v>4066</v>
      </c>
      <c r="B4067" s="1" t="s">
        <v>5910</v>
      </c>
      <c r="D4067" s="1" t="s">
        <v>8187</v>
      </c>
      <c r="F4067" s="1" t="s">
        <v>8252</v>
      </c>
      <c r="H4067" s="1" t="s">
        <v>8257</v>
      </c>
      <c r="J4067" s="1" t="s">
        <v>8258</v>
      </c>
      <c r="L4067" s="1" t="s">
        <v>8259</v>
      </c>
      <c r="N4067" s="1" t="s">
        <v>1083</v>
      </c>
      <c r="P4067" s="1" t="s">
        <v>1012</v>
      </c>
      <c r="Q4067" s="3">
        <v>0</v>
      </c>
      <c r="R4067" s="22" t="s">
        <v>2723</v>
      </c>
      <c r="T4067" s="3" t="s">
        <v>4868</v>
      </c>
      <c r="U4067" s="45">
        <v>35</v>
      </c>
      <c r="V4067" t="s">
        <v>8191</v>
      </c>
      <c r="W4067" s="1" t="str">
        <f>HYPERLINK("http://ictvonline.org/taxonomy/p/taxonomy-history?taxnode_id=201903913","ICTVonline=201903913")</f>
        <v>ICTVonline=201903913</v>
      </c>
    </row>
    <row r="4068" spans="1:23">
      <c r="A4068" s="3">
        <v>4067</v>
      </c>
      <c r="B4068" s="1" t="s">
        <v>5910</v>
      </c>
      <c r="D4068" s="1" t="s">
        <v>8187</v>
      </c>
      <c r="F4068" s="1" t="s">
        <v>8252</v>
      </c>
      <c r="H4068" s="1" t="s">
        <v>8257</v>
      </c>
      <c r="J4068" s="1" t="s">
        <v>8258</v>
      </c>
      <c r="L4068" s="1" t="s">
        <v>8259</v>
      </c>
      <c r="N4068" s="1" t="s">
        <v>1083</v>
      </c>
      <c r="P4068" s="1" t="s">
        <v>1013</v>
      </c>
      <c r="Q4068" s="3">
        <v>0</v>
      </c>
      <c r="R4068" s="22" t="s">
        <v>2723</v>
      </c>
      <c r="T4068" s="3" t="s">
        <v>4868</v>
      </c>
      <c r="U4068" s="45">
        <v>35</v>
      </c>
      <c r="V4068" t="s">
        <v>8191</v>
      </c>
      <c r="W4068" s="1" t="str">
        <f>HYPERLINK("http://ictvonline.org/taxonomy/p/taxonomy-history?taxnode_id=201903914","ICTVonline=201903914")</f>
        <v>ICTVonline=201903914</v>
      </c>
    </row>
    <row r="4069" spans="1:23">
      <c r="A4069" s="3">
        <v>4068</v>
      </c>
      <c r="B4069" s="1" t="s">
        <v>5910</v>
      </c>
      <c r="D4069" s="1" t="s">
        <v>8187</v>
      </c>
      <c r="F4069" s="1" t="s">
        <v>8252</v>
      </c>
      <c r="H4069" s="1" t="s">
        <v>8257</v>
      </c>
      <c r="J4069" s="1" t="s">
        <v>8258</v>
      </c>
      <c r="L4069" s="1" t="s">
        <v>8259</v>
      </c>
      <c r="N4069" s="1" t="s">
        <v>1083</v>
      </c>
      <c r="P4069" s="1" t="s">
        <v>1010</v>
      </c>
      <c r="Q4069" s="3">
        <v>0</v>
      </c>
      <c r="R4069" s="22" t="s">
        <v>2723</v>
      </c>
      <c r="T4069" s="3" t="s">
        <v>4868</v>
      </c>
      <c r="U4069" s="45">
        <v>35</v>
      </c>
      <c r="V4069" t="s">
        <v>8191</v>
      </c>
      <c r="W4069" s="1" t="str">
        <f>HYPERLINK("http://ictvonline.org/taxonomy/p/taxonomy-history?taxnode_id=201903915","ICTVonline=201903915")</f>
        <v>ICTVonline=201903915</v>
      </c>
    </row>
    <row r="4070" spans="1:23">
      <c r="A4070" s="3">
        <v>4069</v>
      </c>
      <c r="B4070" s="1" t="s">
        <v>5910</v>
      </c>
      <c r="D4070" s="1" t="s">
        <v>8187</v>
      </c>
      <c r="F4070" s="1" t="s">
        <v>8252</v>
      </c>
      <c r="H4070" s="1" t="s">
        <v>8260</v>
      </c>
      <c r="J4070" s="1" t="s">
        <v>8261</v>
      </c>
      <c r="L4070" s="1" t="s">
        <v>6139</v>
      </c>
      <c r="N4070" s="1" t="s">
        <v>6140</v>
      </c>
      <c r="P4070" s="1" t="s">
        <v>6141</v>
      </c>
      <c r="Q4070" s="3">
        <v>1</v>
      </c>
      <c r="R4070" s="22" t="s">
        <v>2723</v>
      </c>
      <c r="T4070" s="3" t="s">
        <v>4868</v>
      </c>
      <c r="U4070" s="45">
        <v>35</v>
      </c>
      <c r="V4070" t="s">
        <v>8191</v>
      </c>
      <c r="W4070" s="1" t="str">
        <f>HYPERLINK("http://ictvonline.org/taxonomy/p/taxonomy-history?taxnode_id=201906575","ICTVonline=201906575")</f>
        <v>ICTVonline=201906575</v>
      </c>
    </row>
    <row r="4071" spans="1:23">
      <c r="A4071" s="3">
        <v>4070</v>
      </c>
      <c r="B4071" s="1" t="s">
        <v>5910</v>
      </c>
      <c r="D4071" s="1" t="s">
        <v>8187</v>
      </c>
      <c r="F4071" s="1" t="s">
        <v>8252</v>
      </c>
      <c r="H4071" s="1" t="s">
        <v>8260</v>
      </c>
      <c r="J4071" s="1" t="s">
        <v>8261</v>
      </c>
      <c r="L4071" s="1" t="s">
        <v>6139</v>
      </c>
      <c r="N4071" s="1" t="s">
        <v>6140</v>
      </c>
      <c r="P4071" s="1" t="s">
        <v>6142</v>
      </c>
      <c r="Q4071" s="3">
        <v>0</v>
      </c>
      <c r="R4071" s="22" t="s">
        <v>2723</v>
      </c>
      <c r="T4071" s="3" t="s">
        <v>4868</v>
      </c>
      <c r="U4071" s="45">
        <v>35</v>
      </c>
      <c r="V4071" t="s">
        <v>8191</v>
      </c>
      <c r="W4071" s="1" t="str">
        <f>HYPERLINK("http://ictvonline.org/taxonomy/p/taxonomy-history?taxnode_id=201906576","ICTVonline=201906576")</f>
        <v>ICTVonline=201906576</v>
      </c>
    </row>
    <row r="4072" spans="1:23">
      <c r="A4072" s="3">
        <v>4071</v>
      </c>
      <c r="B4072" s="1" t="s">
        <v>5910</v>
      </c>
      <c r="D4072" s="1" t="s">
        <v>8187</v>
      </c>
      <c r="F4072" s="1" t="s">
        <v>8252</v>
      </c>
      <c r="H4072" s="1" t="s">
        <v>8260</v>
      </c>
      <c r="J4072" s="1" t="s">
        <v>8261</v>
      </c>
      <c r="L4072" s="1" t="s">
        <v>6139</v>
      </c>
      <c r="N4072" s="1" t="s">
        <v>6143</v>
      </c>
      <c r="P4072" s="1" t="s">
        <v>6144</v>
      </c>
      <c r="Q4072" s="3">
        <v>1</v>
      </c>
      <c r="R4072" s="22" t="s">
        <v>2723</v>
      </c>
      <c r="T4072" s="3" t="s">
        <v>4868</v>
      </c>
      <c r="U4072" s="45">
        <v>35</v>
      </c>
      <c r="V4072" t="s">
        <v>8191</v>
      </c>
      <c r="W4072" s="1" t="str">
        <f>HYPERLINK("http://ictvonline.org/taxonomy/p/taxonomy-history?taxnode_id=201906578","ICTVonline=201906578")</f>
        <v>ICTVonline=201906578</v>
      </c>
    </row>
    <row r="4073" spans="1:23">
      <c r="A4073" s="3">
        <v>4072</v>
      </c>
      <c r="B4073" s="1" t="s">
        <v>5910</v>
      </c>
      <c r="D4073" s="1" t="s">
        <v>8187</v>
      </c>
      <c r="F4073" s="1" t="s">
        <v>8252</v>
      </c>
      <c r="H4073" s="1" t="s">
        <v>8260</v>
      </c>
      <c r="J4073" s="1" t="s">
        <v>8261</v>
      </c>
      <c r="L4073" s="1" t="s">
        <v>6139</v>
      </c>
      <c r="N4073" s="1" t="s">
        <v>6143</v>
      </c>
      <c r="P4073" s="1" t="s">
        <v>6145</v>
      </c>
      <c r="Q4073" s="3">
        <v>0</v>
      </c>
      <c r="R4073" s="22" t="s">
        <v>2723</v>
      </c>
      <c r="T4073" s="3" t="s">
        <v>4868</v>
      </c>
      <c r="U4073" s="45">
        <v>35</v>
      </c>
      <c r="V4073" t="s">
        <v>8191</v>
      </c>
      <c r="W4073" s="1" t="str">
        <f>HYPERLINK("http://ictvonline.org/taxonomy/p/taxonomy-history?taxnode_id=201906579","ICTVonline=201906579")</f>
        <v>ICTVonline=201906579</v>
      </c>
    </row>
    <row r="4074" spans="1:23">
      <c r="A4074" s="3">
        <v>4073</v>
      </c>
      <c r="B4074" s="1" t="s">
        <v>5910</v>
      </c>
      <c r="D4074" s="1" t="s">
        <v>8187</v>
      </c>
      <c r="F4074" s="1" t="s">
        <v>8252</v>
      </c>
      <c r="H4074" s="1" t="s">
        <v>8260</v>
      </c>
      <c r="J4074" s="1" t="s">
        <v>8261</v>
      </c>
      <c r="L4074" s="1" t="s">
        <v>6139</v>
      </c>
      <c r="N4074" s="1" t="s">
        <v>265</v>
      </c>
      <c r="P4074" s="1" t="s">
        <v>266</v>
      </c>
      <c r="Q4074" s="3">
        <v>0</v>
      </c>
      <c r="R4074" s="22" t="s">
        <v>2723</v>
      </c>
      <c r="T4074" s="3" t="s">
        <v>4868</v>
      </c>
      <c r="U4074" s="45">
        <v>35</v>
      </c>
      <c r="V4074" t="s">
        <v>8191</v>
      </c>
      <c r="W4074" s="1" t="str">
        <f>HYPERLINK("http://ictvonline.org/taxonomy/p/taxonomy-history?taxnode_id=201905356","ICTVonline=201905356")</f>
        <v>ICTVonline=201905356</v>
      </c>
    </row>
    <row r="4075" spans="1:23">
      <c r="A4075" s="3">
        <v>4074</v>
      </c>
      <c r="B4075" s="1" t="s">
        <v>5910</v>
      </c>
      <c r="D4075" s="1" t="s">
        <v>8187</v>
      </c>
      <c r="F4075" s="1" t="s">
        <v>8252</v>
      </c>
      <c r="H4075" s="1" t="s">
        <v>8260</v>
      </c>
      <c r="J4075" s="1" t="s">
        <v>8261</v>
      </c>
      <c r="L4075" s="1" t="s">
        <v>6139</v>
      </c>
      <c r="N4075" s="1" t="s">
        <v>265</v>
      </c>
      <c r="P4075" s="1" t="s">
        <v>267</v>
      </c>
      <c r="Q4075" s="3">
        <v>0</v>
      </c>
      <c r="R4075" s="22" t="s">
        <v>2723</v>
      </c>
      <c r="T4075" s="3" t="s">
        <v>4868</v>
      </c>
      <c r="U4075" s="45">
        <v>35</v>
      </c>
      <c r="V4075" t="s">
        <v>8191</v>
      </c>
      <c r="W4075" s="1" t="str">
        <f>HYPERLINK("http://ictvonline.org/taxonomy/p/taxonomy-history?taxnode_id=201905357","ICTVonline=201905357")</f>
        <v>ICTVonline=201905357</v>
      </c>
    </row>
    <row r="4076" spans="1:23">
      <c r="A4076" s="3">
        <v>4075</v>
      </c>
      <c r="B4076" s="1" t="s">
        <v>5910</v>
      </c>
      <c r="D4076" s="1" t="s">
        <v>8187</v>
      </c>
      <c r="F4076" s="1" t="s">
        <v>8252</v>
      </c>
      <c r="H4076" s="1" t="s">
        <v>8260</v>
      </c>
      <c r="J4076" s="1" t="s">
        <v>8261</v>
      </c>
      <c r="L4076" s="1" t="s">
        <v>6139</v>
      </c>
      <c r="N4076" s="1" t="s">
        <v>265</v>
      </c>
      <c r="P4076" s="1" t="s">
        <v>268</v>
      </c>
      <c r="Q4076" s="3">
        <v>1</v>
      </c>
      <c r="R4076" s="22" t="s">
        <v>2723</v>
      </c>
      <c r="T4076" s="3" t="s">
        <v>4868</v>
      </c>
      <c r="U4076" s="45">
        <v>35</v>
      </c>
      <c r="V4076" t="s">
        <v>8191</v>
      </c>
      <c r="W4076" s="1" t="str">
        <f>HYPERLINK("http://ictvonline.org/taxonomy/p/taxonomy-history?taxnode_id=201905358","ICTVonline=201905358")</f>
        <v>ICTVonline=201905358</v>
      </c>
    </row>
    <row r="4077" spans="1:23">
      <c r="A4077" s="3">
        <v>4076</v>
      </c>
      <c r="B4077" s="1" t="s">
        <v>5910</v>
      </c>
      <c r="D4077" s="1" t="s">
        <v>8187</v>
      </c>
      <c r="F4077" s="1" t="s">
        <v>8252</v>
      </c>
      <c r="H4077" s="1" t="s">
        <v>8260</v>
      </c>
      <c r="J4077" s="1" t="s">
        <v>8261</v>
      </c>
      <c r="L4077" s="1" t="s">
        <v>6139</v>
      </c>
      <c r="N4077" s="1" t="s">
        <v>6146</v>
      </c>
      <c r="P4077" s="1" t="s">
        <v>6147</v>
      </c>
      <c r="Q4077" s="3">
        <v>1</v>
      </c>
      <c r="R4077" s="22" t="s">
        <v>2723</v>
      </c>
      <c r="T4077" s="3" t="s">
        <v>4868</v>
      </c>
      <c r="U4077" s="45">
        <v>35</v>
      </c>
      <c r="V4077" t="s">
        <v>8191</v>
      </c>
      <c r="W4077" s="1" t="str">
        <f>HYPERLINK("http://ictvonline.org/taxonomy/p/taxonomy-history?taxnode_id=201906284","ICTVonline=201906284")</f>
        <v>ICTVonline=201906284</v>
      </c>
    </row>
    <row r="4078" spans="1:23">
      <c r="A4078" s="3">
        <v>4077</v>
      </c>
      <c r="B4078" s="1" t="s">
        <v>5910</v>
      </c>
      <c r="D4078" s="1" t="s">
        <v>8187</v>
      </c>
      <c r="F4078" s="1" t="s">
        <v>8252</v>
      </c>
      <c r="H4078" s="1" t="s">
        <v>8260</v>
      </c>
      <c r="J4078" s="1" t="s">
        <v>8261</v>
      </c>
      <c r="L4078" s="1" t="s">
        <v>6139</v>
      </c>
      <c r="N4078" s="1" t="s">
        <v>6146</v>
      </c>
      <c r="P4078" s="1" t="s">
        <v>6148</v>
      </c>
      <c r="Q4078" s="3">
        <v>0</v>
      </c>
      <c r="R4078" s="22" t="s">
        <v>2723</v>
      </c>
      <c r="T4078" s="3" t="s">
        <v>4868</v>
      </c>
      <c r="U4078" s="45">
        <v>35</v>
      </c>
      <c r="V4078" t="s">
        <v>8191</v>
      </c>
      <c r="W4078" s="1" t="str">
        <f>HYPERLINK("http://ictvonline.org/taxonomy/p/taxonomy-history?taxnode_id=201906285","ICTVonline=201906285")</f>
        <v>ICTVonline=201906285</v>
      </c>
    </row>
    <row r="4079" spans="1:23">
      <c r="A4079" s="3">
        <v>4078</v>
      </c>
      <c r="B4079" s="1" t="s">
        <v>5910</v>
      </c>
      <c r="D4079" s="1" t="s">
        <v>8187</v>
      </c>
      <c r="F4079" s="1" t="s">
        <v>8252</v>
      </c>
      <c r="H4079" s="1" t="s">
        <v>8260</v>
      </c>
      <c r="J4079" s="1" t="s">
        <v>8261</v>
      </c>
      <c r="L4079" s="1" t="s">
        <v>6139</v>
      </c>
      <c r="N4079" s="1" t="s">
        <v>6146</v>
      </c>
      <c r="P4079" s="1" t="s">
        <v>6149</v>
      </c>
      <c r="Q4079" s="3">
        <v>0</v>
      </c>
      <c r="R4079" s="22" t="s">
        <v>2723</v>
      </c>
      <c r="T4079" s="3" t="s">
        <v>4868</v>
      </c>
      <c r="U4079" s="45">
        <v>35</v>
      </c>
      <c r="V4079" t="s">
        <v>8191</v>
      </c>
      <c r="W4079" s="1" t="str">
        <f>HYPERLINK("http://ictvonline.org/taxonomy/p/taxonomy-history?taxnode_id=201906286","ICTVonline=201906286")</f>
        <v>ICTVonline=201906286</v>
      </c>
    </row>
    <row r="4080" spans="1:23">
      <c r="A4080" s="3">
        <v>4079</v>
      </c>
      <c r="B4080" s="1" t="s">
        <v>5910</v>
      </c>
      <c r="D4080" s="1" t="s">
        <v>8187</v>
      </c>
      <c r="F4080" s="1" t="s">
        <v>5588</v>
      </c>
      <c r="G4080" s="1" t="s">
        <v>5589</v>
      </c>
      <c r="H4080" s="1" t="s">
        <v>5590</v>
      </c>
      <c r="J4080" s="1" t="s">
        <v>5591</v>
      </c>
      <c r="L4080" s="1" t="s">
        <v>5592</v>
      </c>
      <c r="N4080" s="1" t="s">
        <v>5593</v>
      </c>
      <c r="P4080" s="1" t="s">
        <v>5594</v>
      </c>
      <c r="Q4080" s="3">
        <v>0</v>
      </c>
      <c r="R4080" s="22" t="s">
        <v>2722</v>
      </c>
      <c r="S4080" s="42" t="s">
        <v>6911</v>
      </c>
      <c r="T4080" s="3" t="s">
        <v>4868</v>
      </c>
      <c r="U4080" s="45">
        <v>35</v>
      </c>
      <c r="V4080" t="s">
        <v>8191</v>
      </c>
      <c r="W4080" s="1" t="str">
        <f>HYPERLINK("http://ictvonline.org/taxonomy/p/taxonomy-history?taxnode_id=201906030","ICTVonline=201906030")</f>
        <v>ICTVonline=201906030</v>
      </c>
    </row>
    <row r="4081" spans="1:23">
      <c r="A4081" s="3">
        <v>4080</v>
      </c>
      <c r="B4081" s="1" t="s">
        <v>5910</v>
      </c>
      <c r="D4081" s="1" t="s">
        <v>8187</v>
      </c>
      <c r="F4081" s="1" t="s">
        <v>5588</v>
      </c>
      <c r="G4081" s="1" t="s">
        <v>5589</v>
      </c>
      <c r="H4081" s="1" t="s">
        <v>5590</v>
      </c>
      <c r="J4081" s="1" t="s">
        <v>5591</v>
      </c>
      <c r="L4081" s="1" t="s">
        <v>5592</v>
      </c>
      <c r="N4081" s="1" t="s">
        <v>5593</v>
      </c>
      <c r="P4081" s="1" t="s">
        <v>5595</v>
      </c>
      <c r="Q4081" s="3">
        <v>0</v>
      </c>
      <c r="R4081" s="22" t="s">
        <v>2722</v>
      </c>
      <c r="S4081" s="42" t="s">
        <v>6911</v>
      </c>
      <c r="T4081" s="3" t="s">
        <v>4868</v>
      </c>
      <c r="U4081" s="45">
        <v>35</v>
      </c>
      <c r="V4081" t="s">
        <v>8191</v>
      </c>
      <c r="W4081" s="1" t="str">
        <f>HYPERLINK("http://ictvonline.org/taxonomy/p/taxonomy-history?taxnode_id=201906031","ICTVonline=201906031")</f>
        <v>ICTVonline=201906031</v>
      </c>
    </row>
    <row r="4082" spans="1:23">
      <c r="A4082" s="3">
        <v>4081</v>
      </c>
      <c r="B4082" s="1" t="s">
        <v>5910</v>
      </c>
      <c r="D4082" s="1" t="s">
        <v>8187</v>
      </c>
      <c r="F4082" s="1" t="s">
        <v>5588</v>
      </c>
      <c r="G4082" s="1" t="s">
        <v>5589</v>
      </c>
      <c r="H4082" s="1" t="s">
        <v>5590</v>
      </c>
      <c r="J4082" s="1" t="s">
        <v>5591</v>
      </c>
      <c r="L4082" s="1" t="s">
        <v>5592</v>
      </c>
      <c r="N4082" s="1" t="s">
        <v>5593</v>
      </c>
      <c r="P4082" s="1" t="s">
        <v>5596</v>
      </c>
      <c r="Q4082" s="3">
        <v>0</v>
      </c>
      <c r="R4082" s="22" t="s">
        <v>2722</v>
      </c>
      <c r="S4082" s="42" t="s">
        <v>6911</v>
      </c>
      <c r="T4082" s="3" t="s">
        <v>4868</v>
      </c>
      <c r="U4082" s="45">
        <v>35</v>
      </c>
      <c r="V4082" t="s">
        <v>8191</v>
      </c>
      <c r="W4082" s="1" t="str">
        <f>HYPERLINK("http://ictvonline.org/taxonomy/p/taxonomy-history?taxnode_id=201906032","ICTVonline=201906032")</f>
        <v>ICTVonline=201906032</v>
      </c>
    </row>
    <row r="4083" spans="1:23">
      <c r="A4083" s="3">
        <v>4082</v>
      </c>
      <c r="B4083" s="1" t="s">
        <v>5910</v>
      </c>
      <c r="D4083" s="1" t="s">
        <v>8187</v>
      </c>
      <c r="F4083" s="1" t="s">
        <v>5588</v>
      </c>
      <c r="G4083" s="1" t="s">
        <v>5589</v>
      </c>
      <c r="H4083" s="1" t="s">
        <v>5590</v>
      </c>
      <c r="J4083" s="1" t="s">
        <v>5591</v>
      </c>
      <c r="L4083" s="1" t="s">
        <v>5592</v>
      </c>
      <c r="N4083" s="1" t="s">
        <v>5593</v>
      </c>
      <c r="P4083" s="1" t="s">
        <v>5597</v>
      </c>
      <c r="Q4083" s="3">
        <v>0</v>
      </c>
      <c r="R4083" s="22" t="s">
        <v>2722</v>
      </c>
      <c r="S4083" s="42" t="s">
        <v>6911</v>
      </c>
      <c r="T4083" s="3" t="s">
        <v>4868</v>
      </c>
      <c r="U4083" s="45">
        <v>35</v>
      </c>
      <c r="V4083" t="s">
        <v>8191</v>
      </c>
      <c r="W4083" s="1" t="str">
        <f>HYPERLINK("http://ictvonline.org/taxonomy/p/taxonomy-history?taxnode_id=201906033","ICTVonline=201906033")</f>
        <v>ICTVonline=201906033</v>
      </c>
    </row>
    <row r="4084" spans="1:23">
      <c r="A4084" s="3">
        <v>4083</v>
      </c>
      <c r="B4084" s="1" t="s">
        <v>5910</v>
      </c>
      <c r="D4084" s="1" t="s">
        <v>8187</v>
      </c>
      <c r="F4084" s="1" t="s">
        <v>5588</v>
      </c>
      <c r="G4084" s="1" t="s">
        <v>5589</v>
      </c>
      <c r="H4084" s="1" t="s">
        <v>5590</v>
      </c>
      <c r="J4084" s="1" t="s">
        <v>5591</v>
      </c>
      <c r="L4084" s="1" t="s">
        <v>5592</v>
      </c>
      <c r="N4084" s="1" t="s">
        <v>5593</v>
      </c>
      <c r="P4084" s="1" t="s">
        <v>5598</v>
      </c>
      <c r="Q4084" s="3">
        <v>0</v>
      </c>
      <c r="R4084" s="22" t="s">
        <v>2722</v>
      </c>
      <c r="S4084" s="42" t="s">
        <v>6911</v>
      </c>
      <c r="T4084" s="3" t="s">
        <v>4868</v>
      </c>
      <c r="U4084" s="45">
        <v>35</v>
      </c>
      <c r="V4084" t="s">
        <v>8191</v>
      </c>
      <c r="W4084" s="1" t="str">
        <f>HYPERLINK("http://ictvonline.org/taxonomy/p/taxonomy-history?taxnode_id=201906034","ICTVonline=201906034")</f>
        <v>ICTVonline=201906034</v>
      </c>
    </row>
    <row r="4085" spans="1:23">
      <c r="A4085" s="3">
        <v>4084</v>
      </c>
      <c r="B4085" s="1" t="s">
        <v>5910</v>
      </c>
      <c r="D4085" s="1" t="s">
        <v>8187</v>
      </c>
      <c r="F4085" s="1" t="s">
        <v>5588</v>
      </c>
      <c r="G4085" s="1" t="s">
        <v>5589</v>
      </c>
      <c r="H4085" s="1" t="s">
        <v>5590</v>
      </c>
      <c r="J4085" s="1" t="s">
        <v>5591</v>
      </c>
      <c r="L4085" s="1" t="s">
        <v>5592</v>
      </c>
      <c r="N4085" s="1" t="s">
        <v>5593</v>
      </c>
      <c r="P4085" s="1" t="s">
        <v>5599</v>
      </c>
      <c r="Q4085" s="3">
        <v>0</v>
      </c>
      <c r="R4085" s="22" t="s">
        <v>2722</v>
      </c>
      <c r="S4085" s="42" t="s">
        <v>6911</v>
      </c>
      <c r="T4085" s="3" t="s">
        <v>4868</v>
      </c>
      <c r="U4085" s="45">
        <v>35</v>
      </c>
      <c r="V4085" t="s">
        <v>8191</v>
      </c>
      <c r="W4085" s="1" t="str">
        <f>HYPERLINK("http://ictvonline.org/taxonomy/p/taxonomy-history?taxnode_id=201906035","ICTVonline=201906035")</f>
        <v>ICTVonline=201906035</v>
      </c>
    </row>
    <row r="4086" spans="1:23">
      <c r="A4086" s="3">
        <v>4085</v>
      </c>
      <c r="B4086" s="1" t="s">
        <v>5910</v>
      </c>
      <c r="D4086" s="1" t="s">
        <v>8187</v>
      </c>
      <c r="F4086" s="1" t="s">
        <v>5588</v>
      </c>
      <c r="G4086" s="1" t="s">
        <v>5589</v>
      </c>
      <c r="H4086" s="1" t="s">
        <v>5590</v>
      </c>
      <c r="J4086" s="1" t="s">
        <v>5591</v>
      </c>
      <c r="L4086" s="1" t="s">
        <v>5592</v>
      </c>
      <c r="N4086" s="1" t="s">
        <v>5593</v>
      </c>
      <c r="P4086" s="1" t="s">
        <v>5600</v>
      </c>
      <c r="Q4086" s="3">
        <v>1</v>
      </c>
      <c r="R4086" s="22" t="s">
        <v>2722</v>
      </c>
      <c r="S4086" s="42" t="s">
        <v>6911</v>
      </c>
      <c r="T4086" s="3" t="s">
        <v>4868</v>
      </c>
      <c r="U4086" s="45">
        <v>35</v>
      </c>
      <c r="V4086" t="s">
        <v>8191</v>
      </c>
      <c r="W4086" s="1" t="str">
        <f>HYPERLINK("http://ictvonline.org/taxonomy/p/taxonomy-history?taxnode_id=201906036","ICTVonline=201906036")</f>
        <v>ICTVonline=201906036</v>
      </c>
    </row>
    <row r="4087" spans="1:23">
      <c r="A4087" s="3">
        <v>4086</v>
      </c>
      <c r="B4087" s="1" t="s">
        <v>5910</v>
      </c>
      <c r="D4087" s="1" t="s">
        <v>8187</v>
      </c>
      <c r="F4087" s="1" t="s">
        <v>5588</v>
      </c>
      <c r="G4087" s="1" t="s">
        <v>5589</v>
      </c>
      <c r="H4087" s="1" t="s">
        <v>5590</v>
      </c>
      <c r="J4087" s="1" t="s">
        <v>5591</v>
      </c>
      <c r="L4087" s="1" t="s">
        <v>5592</v>
      </c>
      <c r="N4087" s="1" t="s">
        <v>5593</v>
      </c>
      <c r="P4087" s="1" t="s">
        <v>5601</v>
      </c>
      <c r="Q4087" s="3">
        <v>0</v>
      </c>
      <c r="R4087" s="22" t="s">
        <v>2722</v>
      </c>
      <c r="S4087" s="42" t="s">
        <v>6911</v>
      </c>
      <c r="T4087" s="3" t="s">
        <v>4868</v>
      </c>
      <c r="U4087" s="45">
        <v>35</v>
      </c>
      <c r="V4087" t="s">
        <v>8191</v>
      </c>
      <c r="W4087" s="1" t="str">
        <f>HYPERLINK("http://ictvonline.org/taxonomy/p/taxonomy-history?taxnode_id=201906037","ICTVonline=201906037")</f>
        <v>ICTVonline=201906037</v>
      </c>
    </row>
    <row r="4088" spans="1:23">
      <c r="A4088" s="3">
        <v>4087</v>
      </c>
      <c r="B4088" s="1" t="s">
        <v>5910</v>
      </c>
      <c r="D4088" s="1" t="s">
        <v>8187</v>
      </c>
      <c r="F4088" s="1" t="s">
        <v>5588</v>
      </c>
      <c r="G4088" s="1" t="s">
        <v>5589</v>
      </c>
      <c r="H4088" s="1" t="s">
        <v>5602</v>
      </c>
      <c r="J4088" s="1" t="s">
        <v>5603</v>
      </c>
      <c r="L4088" s="1" t="s">
        <v>5265</v>
      </c>
      <c r="N4088" s="1" t="s">
        <v>1611</v>
      </c>
      <c r="P4088" s="1" t="s">
        <v>5266</v>
      </c>
      <c r="Q4088" s="3">
        <v>0</v>
      </c>
      <c r="R4088" s="22" t="s">
        <v>2722</v>
      </c>
      <c r="S4088" s="42" t="s">
        <v>6911</v>
      </c>
      <c r="T4088" s="3" t="s">
        <v>4868</v>
      </c>
      <c r="U4088" s="45">
        <v>35</v>
      </c>
      <c r="V4088" t="s">
        <v>8191</v>
      </c>
      <c r="W4088" s="1" t="str">
        <f>HYPERLINK("http://ictvonline.org/taxonomy/p/taxonomy-history?taxnode_id=201903946","ICTVonline=201903946")</f>
        <v>ICTVonline=201903946</v>
      </c>
    </row>
    <row r="4089" spans="1:23">
      <c r="A4089" s="3">
        <v>4088</v>
      </c>
      <c r="B4089" s="1" t="s">
        <v>5910</v>
      </c>
      <c r="D4089" s="1" t="s">
        <v>8187</v>
      </c>
      <c r="F4089" s="1" t="s">
        <v>5588</v>
      </c>
      <c r="G4089" s="1" t="s">
        <v>5589</v>
      </c>
      <c r="H4089" s="1" t="s">
        <v>5602</v>
      </c>
      <c r="J4089" s="1" t="s">
        <v>5603</v>
      </c>
      <c r="L4089" s="1" t="s">
        <v>5265</v>
      </c>
      <c r="N4089" s="1" t="s">
        <v>1611</v>
      </c>
      <c r="P4089" s="1" t="s">
        <v>5267</v>
      </c>
      <c r="Q4089" s="3">
        <v>1</v>
      </c>
      <c r="R4089" s="22" t="s">
        <v>2722</v>
      </c>
      <c r="S4089" s="42" t="s">
        <v>6911</v>
      </c>
      <c r="T4089" s="3" t="s">
        <v>4868</v>
      </c>
      <c r="U4089" s="45">
        <v>35</v>
      </c>
      <c r="V4089" t="s">
        <v>8191</v>
      </c>
      <c r="W4089" s="1" t="str">
        <f>HYPERLINK("http://ictvonline.org/taxonomy/p/taxonomy-history?taxnode_id=201903947","ICTVonline=201903947")</f>
        <v>ICTVonline=201903947</v>
      </c>
    </row>
    <row r="4090" spans="1:23">
      <c r="A4090" s="3">
        <v>4089</v>
      </c>
      <c r="B4090" s="1" t="s">
        <v>5910</v>
      </c>
      <c r="D4090" s="1" t="s">
        <v>8187</v>
      </c>
      <c r="F4090" s="1" t="s">
        <v>5588</v>
      </c>
      <c r="G4090" s="1" t="s">
        <v>5589</v>
      </c>
      <c r="H4090" s="1" t="s">
        <v>5602</v>
      </c>
      <c r="J4090" s="1" t="s">
        <v>5603</v>
      </c>
      <c r="L4090" s="1" t="s">
        <v>5265</v>
      </c>
      <c r="N4090" s="1" t="s">
        <v>1611</v>
      </c>
      <c r="P4090" s="1" t="s">
        <v>5268</v>
      </c>
      <c r="Q4090" s="3">
        <v>0</v>
      </c>
      <c r="R4090" s="22" t="s">
        <v>2722</v>
      </c>
      <c r="S4090" s="42" t="s">
        <v>6911</v>
      </c>
      <c r="T4090" s="3" t="s">
        <v>4868</v>
      </c>
      <c r="U4090" s="45">
        <v>35</v>
      </c>
      <c r="V4090" t="s">
        <v>8191</v>
      </c>
      <c r="W4090" s="1" t="str">
        <f>HYPERLINK("http://ictvonline.org/taxonomy/p/taxonomy-history?taxnode_id=201903948","ICTVonline=201903948")</f>
        <v>ICTVonline=201903948</v>
      </c>
    </row>
    <row r="4091" spans="1:23">
      <c r="A4091" s="3">
        <v>4090</v>
      </c>
      <c r="B4091" s="1" t="s">
        <v>5910</v>
      </c>
      <c r="D4091" s="1" t="s">
        <v>8187</v>
      </c>
      <c r="F4091" s="1" t="s">
        <v>5588</v>
      </c>
      <c r="G4091" s="1" t="s">
        <v>5589</v>
      </c>
      <c r="H4091" s="1" t="s">
        <v>5602</v>
      </c>
      <c r="J4091" s="1" t="s">
        <v>5603</v>
      </c>
      <c r="L4091" s="1" t="s">
        <v>5265</v>
      </c>
      <c r="N4091" s="1" t="s">
        <v>1611</v>
      </c>
      <c r="P4091" s="1" t="s">
        <v>5269</v>
      </c>
      <c r="Q4091" s="3">
        <v>0</v>
      </c>
      <c r="R4091" s="22" t="s">
        <v>2722</v>
      </c>
      <c r="S4091" s="42" t="s">
        <v>6911</v>
      </c>
      <c r="T4091" s="3" t="s">
        <v>4868</v>
      </c>
      <c r="U4091" s="45">
        <v>35</v>
      </c>
      <c r="V4091" t="s">
        <v>8191</v>
      </c>
      <c r="W4091" s="1" t="str">
        <f>HYPERLINK("http://ictvonline.org/taxonomy/p/taxonomy-history?taxnode_id=201903949","ICTVonline=201903949")</f>
        <v>ICTVonline=201903949</v>
      </c>
    </row>
    <row r="4092" spans="1:23">
      <c r="A4092" s="3">
        <v>4091</v>
      </c>
      <c r="B4092" s="1" t="s">
        <v>5910</v>
      </c>
      <c r="D4092" s="1" t="s">
        <v>8187</v>
      </c>
      <c r="F4092" s="1" t="s">
        <v>5588</v>
      </c>
      <c r="G4092" s="1" t="s">
        <v>5589</v>
      </c>
      <c r="H4092" s="1" t="s">
        <v>5602</v>
      </c>
      <c r="J4092" s="1" t="s">
        <v>5603</v>
      </c>
      <c r="L4092" s="1" t="s">
        <v>5265</v>
      </c>
      <c r="N4092" s="1" t="s">
        <v>1611</v>
      </c>
      <c r="P4092" s="1" t="s">
        <v>5270</v>
      </c>
      <c r="Q4092" s="3">
        <v>0</v>
      </c>
      <c r="R4092" s="22" t="s">
        <v>2722</v>
      </c>
      <c r="S4092" s="42" t="s">
        <v>6911</v>
      </c>
      <c r="T4092" s="3" t="s">
        <v>4868</v>
      </c>
      <c r="U4092" s="45">
        <v>35</v>
      </c>
      <c r="V4092" t="s">
        <v>8191</v>
      </c>
      <c r="W4092" s="1" t="str">
        <f>HYPERLINK("http://ictvonline.org/taxonomy/p/taxonomy-history?taxnode_id=201903950","ICTVonline=201903950")</f>
        <v>ICTVonline=201903950</v>
      </c>
    </row>
    <row r="4093" spans="1:23">
      <c r="A4093" s="3">
        <v>4092</v>
      </c>
      <c r="B4093" s="1" t="s">
        <v>5910</v>
      </c>
      <c r="D4093" s="1" t="s">
        <v>8187</v>
      </c>
      <c r="F4093" s="1" t="s">
        <v>5588</v>
      </c>
      <c r="G4093" s="1" t="s">
        <v>5589</v>
      </c>
      <c r="H4093" s="1" t="s">
        <v>5602</v>
      </c>
      <c r="J4093" s="1" t="s">
        <v>5603</v>
      </c>
      <c r="L4093" s="1" t="s">
        <v>5265</v>
      </c>
      <c r="N4093" s="1" t="s">
        <v>1611</v>
      </c>
      <c r="P4093" s="1" t="s">
        <v>5271</v>
      </c>
      <c r="Q4093" s="3">
        <v>0</v>
      </c>
      <c r="R4093" s="22" t="s">
        <v>2722</v>
      </c>
      <c r="S4093" s="42" t="s">
        <v>6911</v>
      </c>
      <c r="T4093" s="3" t="s">
        <v>4868</v>
      </c>
      <c r="U4093" s="45">
        <v>35</v>
      </c>
      <c r="V4093" t="s">
        <v>8191</v>
      </c>
      <c r="W4093" s="1" t="str">
        <f>HYPERLINK("http://ictvonline.org/taxonomy/p/taxonomy-history?taxnode_id=201903951","ICTVonline=201903951")</f>
        <v>ICTVonline=201903951</v>
      </c>
    </row>
    <row r="4094" spans="1:23">
      <c r="A4094" s="3">
        <v>4093</v>
      </c>
      <c r="B4094" s="1" t="s">
        <v>5910</v>
      </c>
      <c r="D4094" s="1" t="s">
        <v>8187</v>
      </c>
      <c r="F4094" s="1" t="s">
        <v>5588</v>
      </c>
      <c r="G4094" s="1" t="s">
        <v>5589</v>
      </c>
      <c r="H4094" s="1" t="s">
        <v>5602</v>
      </c>
      <c r="J4094" s="1" t="s">
        <v>5603</v>
      </c>
      <c r="L4094" s="1" t="s">
        <v>5265</v>
      </c>
      <c r="N4094" s="1" t="s">
        <v>1611</v>
      </c>
      <c r="P4094" s="1" t="s">
        <v>5272</v>
      </c>
      <c r="Q4094" s="3">
        <v>0</v>
      </c>
      <c r="R4094" s="22" t="s">
        <v>2722</v>
      </c>
      <c r="S4094" s="42" t="s">
        <v>6911</v>
      </c>
      <c r="T4094" s="3" t="s">
        <v>4868</v>
      </c>
      <c r="U4094" s="45">
        <v>35</v>
      </c>
      <c r="V4094" t="s">
        <v>8191</v>
      </c>
      <c r="W4094" s="1" t="str">
        <f>HYPERLINK("http://ictvonline.org/taxonomy/p/taxonomy-history?taxnode_id=201903952","ICTVonline=201903952")</f>
        <v>ICTVonline=201903952</v>
      </c>
    </row>
    <row r="4095" spans="1:23">
      <c r="A4095" s="3">
        <v>4094</v>
      </c>
      <c r="B4095" s="1" t="s">
        <v>5910</v>
      </c>
      <c r="D4095" s="1" t="s">
        <v>8187</v>
      </c>
      <c r="F4095" s="1" t="s">
        <v>5588</v>
      </c>
      <c r="G4095" s="1" t="s">
        <v>5589</v>
      </c>
      <c r="H4095" s="1" t="s">
        <v>5604</v>
      </c>
      <c r="J4095" s="1" t="s">
        <v>5605</v>
      </c>
      <c r="L4095" s="1" t="s">
        <v>5606</v>
      </c>
      <c r="N4095" s="1" t="s">
        <v>5607</v>
      </c>
      <c r="P4095" s="1" t="s">
        <v>5608</v>
      </c>
      <c r="Q4095" s="3">
        <v>0</v>
      </c>
      <c r="R4095" s="22" t="s">
        <v>2722</v>
      </c>
      <c r="S4095" s="42" t="s">
        <v>6911</v>
      </c>
      <c r="T4095" s="3" t="s">
        <v>4868</v>
      </c>
      <c r="U4095" s="45">
        <v>35</v>
      </c>
      <c r="V4095" t="s">
        <v>8191</v>
      </c>
      <c r="W4095" s="1" t="str">
        <f>HYPERLINK("http://ictvonline.org/taxonomy/p/taxonomy-history?taxnode_id=201906041","ICTVonline=201906041")</f>
        <v>ICTVonline=201906041</v>
      </c>
    </row>
    <row r="4096" spans="1:23">
      <c r="A4096" s="3">
        <v>4095</v>
      </c>
      <c r="B4096" s="1" t="s">
        <v>5910</v>
      </c>
      <c r="D4096" s="1" t="s">
        <v>8187</v>
      </c>
      <c r="F4096" s="1" t="s">
        <v>5588</v>
      </c>
      <c r="G4096" s="1" t="s">
        <v>5589</v>
      </c>
      <c r="H4096" s="1" t="s">
        <v>5604</v>
      </c>
      <c r="J4096" s="1" t="s">
        <v>5605</v>
      </c>
      <c r="L4096" s="1" t="s">
        <v>5606</v>
      </c>
      <c r="N4096" s="1" t="s">
        <v>5607</v>
      </c>
      <c r="P4096" s="1" t="s">
        <v>5609</v>
      </c>
      <c r="Q4096" s="3">
        <v>1</v>
      </c>
      <c r="R4096" s="22" t="s">
        <v>2722</v>
      </c>
      <c r="S4096" s="42" t="s">
        <v>6911</v>
      </c>
      <c r="T4096" s="3" t="s">
        <v>4868</v>
      </c>
      <c r="U4096" s="45">
        <v>35</v>
      </c>
      <c r="V4096" t="s">
        <v>8191</v>
      </c>
      <c r="W4096" s="1" t="str">
        <f>HYPERLINK("http://ictvonline.org/taxonomy/p/taxonomy-history?taxnode_id=201906042","ICTVonline=201906042")</f>
        <v>ICTVonline=201906042</v>
      </c>
    </row>
    <row r="4097" spans="1:23">
      <c r="A4097" s="3">
        <v>4096</v>
      </c>
      <c r="B4097" s="1" t="s">
        <v>5910</v>
      </c>
      <c r="D4097" s="1" t="s">
        <v>8187</v>
      </c>
      <c r="F4097" s="1" t="s">
        <v>5588</v>
      </c>
      <c r="G4097" s="1" t="s">
        <v>5589</v>
      </c>
      <c r="H4097" s="1" t="s">
        <v>5604</v>
      </c>
      <c r="J4097" s="1" t="s">
        <v>5605</v>
      </c>
      <c r="L4097" s="1" t="s">
        <v>5606</v>
      </c>
      <c r="N4097" s="1" t="s">
        <v>5607</v>
      </c>
      <c r="P4097" s="1" t="s">
        <v>5610</v>
      </c>
      <c r="Q4097" s="3">
        <v>0</v>
      </c>
      <c r="R4097" s="22" t="s">
        <v>2722</v>
      </c>
      <c r="S4097" s="42" t="s">
        <v>6911</v>
      </c>
      <c r="T4097" s="3" t="s">
        <v>4868</v>
      </c>
      <c r="U4097" s="45">
        <v>35</v>
      </c>
      <c r="V4097" t="s">
        <v>8191</v>
      </c>
      <c r="W4097" s="1" t="str">
        <f>HYPERLINK("http://ictvonline.org/taxonomy/p/taxonomy-history?taxnode_id=201906043","ICTVonline=201906043")</f>
        <v>ICTVonline=201906043</v>
      </c>
    </row>
    <row r="4098" spans="1:23">
      <c r="A4098" s="3">
        <v>4097</v>
      </c>
      <c r="B4098" s="1" t="s">
        <v>5910</v>
      </c>
      <c r="D4098" s="1" t="s">
        <v>8187</v>
      </c>
      <c r="F4098" s="1" t="s">
        <v>5588</v>
      </c>
      <c r="G4098" s="1" t="s">
        <v>5589</v>
      </c>
      <c r="H4098" s="1" t="s">
        <v>5604</v>
      </c>
      <c r="J4098" s="1" t="s">
        <v>5605</v>
      </c>
      <c r="L4098" s="1" t="s">
        <v>5606</v>
      </c>
      <c r="N4098" s="1" t="s">
        <v>5607</v>
      </c>
      <c r="P4098" s="1" t="s">
        <v>5611</v>
      </c>
      <c r="Q4098" s="3">
        <v>0</v>
      </c>
      <c r="R4098" s="22" t="s">
        <v>2722</v>
      </c>
      <c r="S4098" s="42" t="s">
        <v>6911</v>
      </c>
      <c r="T4098" s="3" t="s">
        <v>4868</v>
      </c>
      <c r="U4098" s="45">
        <v>35</v>
      </c>
      <c r="V4098" t="s">
        <v>8191</v>
      </c>
      <c r="W4098" s="1" t="str">
        <f>HYPERLINK("http://ictvonline.org/taxonomy/p/taxonomy-history?taxnode_id=201906044","ICTVonline=201906044")</f>
        <v>ICTVonline=201906044</v>
      </c>
    </row>
    <row r="4099" spans="1:23">
      <c r="A4099" s="3">
        <v>4098</v>
      </c>
      <c r="B4099" s="1" t="s">
        <v>5910</v>
      </c>
      <c r="D4099" s="1" t="s">
        <v>8187</v>
      </c>
      <c r="F4099" s="1" t="s">
        <v>5588</v>
      </c>
      <c r="G4099" s="1" t="s">
        <v>5589</v>
      </c>
      <c r="H4099" s="1" t="s">
        <v>5604</v>
      </c>
      <c r="J4099" s="1" t="s">
        <v>5605</v>
      </c>
      <c r="L4099" s="1" t="s">
        <v>5606</v>
      </c>
      <c r="N4099" s="1" t="s">
        <v>5607</v>
      </c>
      <c r="P4099" s="1" t="s">
        <v>5612</v>
      </c>
      <c r="Q4099" s="3">
        <v>0</v>
      </c>
      <c r="R4099" s="22" t="s">
        <v>2722</v>
      </c>
      <c r="S4099" s="42" t="s">
        <v>6911</v>
      </c>
      <c r="T4099" s="3" t="s">
        <v>4868</v>
      </c>
      <c r="U4099" s="45">
        <v>35</v>
      </c>
      <c r="V4099" t="s">
        <v>8191</v>
      </c>
      <c r="W4099" s="1" t="str">
        <f>HYPERLINK("http://ictvonline.org/taxonomy/p/taxonomy-history?taxnode_id=201906045","ICTVonline=201906045")</f>
        <v>ICTVonline=201906045</v>
      </c>
    </row>
    <row r="4100" spans="1:23">
      <c r="A4100" s="3">
        <v>4099</v>
      </c>
      <c r="B4100" s="1" t="s">
        <v>5910</v>
      </c>
      <c r="D4100" s="1" t="s">
        <v>8187</v>
      </c>
      <c r="F4100" s="1" t="s">
        <v>5588</v>
      </c>
      <c r="G4100" s="1" t="s">
        <v>5589</v>
      </c>
      <c r="H4100" s="1" t="s">
        <v>5604</v>
      </c>
      <c r="J4100" s="1" t="s">
        <v>5605</v>
      </c>
      <c r="L4100" s="1" t="s">
        <v>5606</v>
      </c>
      <c r="N4100" s="1" t="s">
        <v>5607</v>
      </c>
      <c r="P4100" s="1" t="s">
        <v>5613</v>
      </c>
      <c r="Q4100" s="3">
        <v>0</v>
      </c>
      <c r="R4100" s="22" t="s">
        <v>2722</v>
      </c>
      <c r="S4100" s="42" t="s">
        <v>6911</v>
      </c>
      <c r="T4100" s="3" t="s">
        <v>4868</v>
      </c>
      <c r="U4100" s="45">
        <v>35</v>
      </c>
      <c r="V4100" t="s">
        <v>8191</v>
      </c>
      <c r="W4100" s="1" t="str">
        <f>HYPERLINK("http://ictvonline.org/taxonomy/p/taxonomy-history?taxnode_id=201906046","ICTVonline=201906046")</f>
        <v>ICTVonline=201906046</v>
      </c>
    </row>
    <row r="4101" spans="1:23">
      <c r="A4101" s="3">
        <v>4100</v>
      </c>
      <c r="B4101" s="1" t="s">
        <v>5910</v>
      </c>
      <c r="D4101" s="1" t="s">
        <v>8187</v>
      </c>
      <c r="F4101" s="1" t="s">
        <v>5588</v>
      </c>
      <c r="G4101" s="1" t="s">
        <v>5589</v>
      </c>
      <c r="H4101" s="1" t="s">
        <v>5604</v>
      </c>
      <c r="J4101" s="1" t="s">
        <v>5605</v>
      </c>
      <c r="L4101" s="1" t="s">
        <v>5606</v>
      </c>
      <c r="N4101" s="1" t="s">
        <v>5607</v>
      </c>
      <c r="P4101" s="1" t="s">
        <v>5614</v>
      </c>
      <c r="Q4101" s="3">
        <v>0</v>
      </c>
      <c r="R4101" s="22" t="s">
        <v>2722</v>
      </c>
      <c r="S4101" s="42" t="s">
        <v>6911</v>
      </c>
      <c r="T4101" s="3" t="s">
        <v>4868</v>
      </c>
      <c r="U4101" s="45">
        <v>35</v>
      </c>
      <c r="V4101" t="s">
        <v>8191</v>
      </c>
      <c r="W4101" s="1" t="str">
        <f>HYPERLINK("http://ictvonline.org/taxonomy/p/taxonomy-history?taxnode_id=201906047","ICTVonline=201906047")</f>
        <v>ICTVonline=201906047</v>
      </c>
    </row>
    <row r="4102" spans="1:23">
      <c r="A4102" s="3">
        <v>4101</v>
      </c>
      <c r="B4102" s="1" t="s">
        <v>5910</v>
      </c>
      <c r="D4102" s="1" t="s">
        <v>8187</v>
      </c>
      <c r="F4102" s="1" t="s">
        <v>5588</v>
      </c>
      <c r="G4102" s="1" t="s">
        <v>5589</v>
      </c>
      <c r="H4102" s="1" t="s">
        <v>5604</v>
      </c>
      <c r="J4102" s="1" t="s">
        <v>5605</v>
      </c>
      <c r="L4102" s="1" t="s">
        <v>5606</v>
      </c>
      <c r="N4102" s="1" t="s">
        <v>5607</v>
      </c>
      <c r="P4102" s="1" t="s">
        <v>5615</v>
      </c>
      <c r="Q4102" s="3">
        <v>0</v>
      </c>
      <c r="R4102" s="22" t="s">
        <v>2722</v>
      </c>
      <c r="S4102" s="42" t="s">
        <v>6911</v>
      </c>
      <c r="T4102" s="3" t="s">
        <v>4868</v>
      </c>
      <c r="U4102" s="45">
        <v>35</v>
      </c>
      <c r="V4102" t="s">
        <v>8191</v>
      </c>
      <c r="W4102" s="1" t="str">
        <f>HYPERLINK("http://ictvonline.org/taxonomy/p/taxonomy-history?taxnode_id=201906048","ICTVonline=201906048")</f>
        <v>ICTVonline=201906048</v>
      </c>
    </row>
    <row r="4103" spans="1:23">
      <c r="A4103" s="3">
        <v>4102</v>
      </c>
      <c r="B4103" s="1" t="s">
        <v>5910</v>
      </c>
      <c r="D4103" s="1" t="s">
        <v>8187</v>
      </c>
      <c r="F4103" s="1" t="s">
        <v>5588</v>
      </c>
      <c r="G4103" s="1" t="s">
        <v>5589</v>
      </c>
      <c r="H4103" s="1" t="s">
        <v>5604</v>
      </c>
      <c r="J4103" s="1" t="s">
        <v>5605</v>
      </c>
      <c r="L4103" s="1" t="s">
        <v>5606</v>
      </c>
      <c r="N4103" s="1" t="s">
        <v>5607</v>
      </c>
      <c r="P4103" s="1" t="s">
        <v>5616</v>
      </c>
      <c r="Q4103" s="3">
        <v>0</v>
      </c>
      <c r="R4103" s="22" t="s">
        <v>2722</v>
      </c>
      <c r="S4103" s="42" t="s">
        <v>6911</v>
      </c>
      <c r="T4103" s="3" t="s">
        <v>4868</v>
      </c>
      <c r="U4103" s="45">
        <v>35</v>
      </c>
      <c r="V4103" t="s">
        <v>8191</v>
      </c>
      <c r="W4103" s="1" t="str">
        <f>HYPERLINK("http://ictvonline.org/taxonomy/p/taxonomy-history?taxnode_id=201906049","ICTVonline=201906049")</f>
        <v>ICTVonline=201906049</v>
      </c>
    </row>
    <row r="4104" spans="1:23">
      <c r="A4104" s="3">
        <v>4103</v>
      </c>
      <c r="B4104" s="1" t="s">
        <v>5910</v>
      </c>
      <c r="D4104" s="1" t="s">
        <v>8187</v>
      </c>
      <c r="F4104" s="1" t="s">
        <v>5588</v>
      </c>
      <c r="G4104" s="1" t="s">
        <v>5589</v>
      </c>
      <c r="H4104" s="1" t="s">
        <v>5604</v>
      </c>
      <c r="J4104" s="1" t="s">
        <v>5605</v>
      </c>
      <c r="L4104" s="1" t="s">
        <v>5606</v>
      </c>
      <c r="N4104" s="1" t="s">
        <v>5607</v>
      </c>
      <c r="P4104" s="1" t="s">
        <v>5617</v>
      </c>
      <c r="Q4104" s="3">
        <v>0</v>
      </c>
      <c r="R4104" s="22" t="s">
        <v>2722</v>
      </c>
      <c r="S4104" s="42" t="s">
        <v>6911</v>
      </c>
      <c r="T4104" s="3" t="s">
        <v>4868</v>
      </c>
      <c r="U4104" s="45">
        <v>35</v>
      </c>
      <c r="V4104" t="s">
        <v>8191</v>
      </c>
      <c r="W4104" s="1" t="str">
        <f>HYPERLINK("http://ictvonline.org/taxonomy/p/taxonomy-history?taxnode_id=201906050","ICTVonline=201906050")</f>
        <v>ICTVonline=201906050</v>
      </c>
    </row>
    <row r="4105" spans="1:23">
      <c r="A4105" s="3">
        <v>4104</v>
      </c>
      <c r="B4105" s="1" t="s">
        <v>5910</v>
      </c>
      <c r="D4105" s="1" t="s">
        <v>8187</v>
      </c>
      <c r="F4105" s="1" t="s">
        <v>5588</v>
      </c>
      <c r="G4105" s="1" t="s">
        <v>5589</v>
      </c>
      <c r="H4105" s="1" t="s">
        <v>5604</v>
      </c>
      <c r="J4105" s="1" t="s">
        <v>5605</v>
      </c>
      <c r="L4105" s="1" t="s">
        <v>5606</v>
      </c>
      <c r="N4105" s="1" t="s">
        <v>5607</v>
      </c>
      <c r="P4105" s="1" t="s">
        <v>5618</v>
      </c>
      <c r="Q4105" s="3">
        <v>0</v>
      </c>
      <c r="R4105" s="22" t="s">
        <v>2722</v>
      </c>
      <c r="S4105" s="42" t="s">
        <v>6911</v>
      </c>
      <c r="T4105" s="3" t="s">
        <v>4868</v>
      </c>
      <c r="U4105" s="45">
        <v>35</v>
      </c>
      <c r="V4105" t="s">
        <v>8191</v>
      </c>
      <c r="W4105" s="1" t="str">
        <f>HYPERLINK("http://ictvonline.org/taxonomy/p/taxonomy-history?taxnode_id=201906051","ICTVonline=201906051")</f>
        <v>ICTVonline=201906051</v>
      </c>
    </row>
    <row r="4106" spans="1:23">
      <c r="A4106" s="3">
        <v>4105</v>
      </c>
      <c r="B4106" s="1" t="s">
        <v>5910</v>
      </c>
      <c r="D4106" s="1" t="s">
        <v>8187</v>
      </c>
      <c r="F4106" s="1" t="s">
        <v>5588</v>
      </c>
      <c r="G4106" s="1" t="s">
        <v>5589</v>
      </c>
      <c r="H4106" s="1" t="s">
        <v>5604</v>
      </c>
      <c r="J4106" s="1" t="s">
        <v>5605</v>
      </c>
      <c r="L4106" s="1" t="s">
        <v>5606</v>
      </c>
      <c r="N4106" s="1" t="s">
        <v>5607</v>
      </c>
      <c r="P4106" s="1" t="s">
        <v>5619</v>
      </c>
      <c r="Q4106" s="3">
        <v>0</v>
      </c>
      <c r="R4106" s="22" t="s">
        <v>2722</v>
      </c>
      <c r="S4106" s="42" t="s">
        <v>6911</v>
      </c>
      <c r="T4106" s="3" t="s">
        <v>4868</v>
      </c>
      <c r="U4106" s="45">
        <v>35</v>
      </c>
      <c r="V4106" t="s">
        <v>8191</v>
      </c>
      <c r="W4106" s="1" t="str">
        <f>HYPERLINK("http://ictvonline.org/taxonomy/p/taxonomy-history?taxnode_id=201906053","ICTVonline=201906053")</f>
        <v>ICTVonline=201906053</v>
      </c>
    </row>
    <row r="4107" spans="1:23">
      <c r="A4107" s="3">
        <v>4106</v>
      </c>
      <c r="B4107" s="1" t="s">
        <v>5910</v>
      </c>
      <c r="D4107" s="1" t="s">
        <v>8187</v>
      </c>
      <c r="F4107" s="1" t="s">
        <v>5588</v>
      </c>
      <c r="G4107" s="1" t="s">
        <v>5589</v>
      </c>
      <c r="H4107" s="1" t="s">
        <v>5604</v>
      </c>
      <c r="J4107" s="1" t="s">
        <v>5605</v>
      </c>
      <c r="L4107" s="1" t="s">
        <v>5606</v>
      </c>
      <c r="N4107" s="1" t="s">
        <v>5607</v>
      </c>
      <c r="P4107" s="1" t="s">
        <v>5620</v>
      </c>
      <c r="Q4107" s="3">
        <v>0</v>
      </c>
      <c r="R4107" s="22" t="s">
        <v>2722</v>
      </c>
      <c r="S4107" s="42" t="s">
        <v>6911</v>
      </c>
      <c r="T4107" s="3" t="s">
        <v>4868</v>
      </c>
      <c r="U4107" s="45">
        <v>35</v>
      </c>
      <c r="V4107" t="s">
        <v>8191</v>
      </c>
      <c r="W4107" s="1" t="str">
        <f>HYPERLINK("http://ictvonline.org/taxonomy/p/taxonomy-history?taxnode_id=201906054","ICTVonline=201906054")</f>
        <v>ICTVonline=201906054</v>
      </c>
    </row>
    <row r="4108" spans="1:23">
      <c r="A4108" s="3">
        <v>4107</v>
      </c>
      <c r="B4108" s="1" t="s">
        <v>5910</v>
      </c>
      <c r="D4108" s="1" t="s">
        <v>8187</v>
      </c>
      <c r="F4108" s="1" t="s">
        <v>5588</v>
      </c>
      <c r="G4108" s="1" t="s">
        <v>5589</v>
      </c>
      <c r="H4108" s="1" t="s">
        <v>5604</v>
      </c>
      <c r="J4108" s="1" t="s">
        <v>5605</v>
      </c>
      <c r="L4108" s="1" t="s">
        <v>5606</v>
      </c>
      <c r="N4108" s="1" t="s">
        <v>5607</v>
      </c>
      <c r="P4108" s="1" t="s">
        <v>5621</v>
      </c>
      <c r="Q4108" s="3">
        <v>0</v>
      </c>
      <c r="R4108" s="22" t="s">
        <v>2722</v>
      </c>
      <c r="S4108" s="42" t="s">
        <v>6911</v>
      </c>
      <c r="T4108" s="3" t="s">
        <v>4868</v>
      </c>
      <c r="U4108" s="45">
        <v>35</v>
      </c>
      <c r="V4108" t="s">
        <v>8191</v>
      </c>
      <c r="W4108" s="1" t="str">
        <f>HYPERLINK("http://ictvonline.org/taxonomy/p/taxonomy-history?taxnode_id=201906055","ICTVonline=201906055")</f>
        <v>ICTVonline=201906055</v>
      </c>
    </row>
    <row r="4109" spans="1:23">
      <c r="A4109" s="3">
        <v>4108</v>
      </c>
      <c r="B4109" s="1" t="s">
        <v>5910</v>
      </c>
      <c r="D4109" s="1" t="s">
        <v>8187</v>
      </c>
      <c r="F4109" s="1" t="s">
        <v>5588</v>
      </c>
      <c r="G4109" s="1" t="s">
        <v>5589</v>
      </c>
      <c r="H4109" s="1" t="s">
        <v>5604</v>
      </c>
      <c r="J4109" s="1" t="s">
        <v>5605</v>
      </c>
      <c r="L4109" s="1" t="s">
        <v>5606</v>
      </c>
      <c r="N4109" s="1" t="s">
        <v>5607</v>
      </c>
      <c r="P4109" s="1" t="s">
        <v>5622</v>
      </c>
      <c r="Q4109" s="3">
        <v>0</v>
      </c>
      <c r="R4109" s="22" t="s">
        <v>2722</v>
      </c>
      <c r="S4109" s="42" t="s">
        <v>6911</v>
      </c>
      <c r="T4109" s="3" t="s">
        <v>4868</v>
      </c>
      <c r="U4109" s="45">
        <v>35</v>
      </c>
      <c r="V4109" t="s">
        <v>8191</v>
      </c>
      <c r="W4109" s="1" t="str">
        <f>HYPERLINK("http://ictvonline.org/taxonomy/p/taxonomy-history?taxnode_id=201906056","ICTVonline=201906056")</f>
        <v>ICTVonline=201906056</v>
      </c>
    </row>
    <row r="4110" spans="1:23">
      <c r="A4110" s="3">
        <v>4109</v>
      </c>
      <c r="B4110" s="1" t="s">
        <v>5910</v>
      </c>
      <c r="D4110" s="1" t="s">
        <v>8187</v>
      </c>
      <c r="F4110" s="1" t="s">
        <v>5588</v>
      </c>
      <c r="G4110" s="1" t="s">
        <v>5589</v>
      </c>
      <c r="H4110" s="1" t="s">
        <v>5604</v>
      </c>
      <c r="J4110" s="1" t="s">
        <v>5605</v>
      </c>
      <c r="L4110" s="1" t="s">
        <v>5606</v>
      </c>
      <c r="N4110" s="1" t="s">
        <v>5607</v>
      </c>
      <c r="P4110" s="1" t="s">
        <v>5623</v>
      </c>
      <c r="Q4110" s="3">
        <v>0</v>
      </c>
      <c r="R4110" s="22" t="s">
        <v>2722</v>
      </c>
      <c r="S4110" s="42" t="s">
        <v>6911</v>
      </c>
      <c r="T4110" s="3" t="s">
        <v>4868</v>
      </c>
      <c r="U4110" s="45">
        <v>35</v>
      </c>
      <c r="V4110" t="s">
        <v>8191</v>
      </c>
      <c r="W4110" s="1" t="str">
        <f>HYPERLINK("http://ictvonline.org/taxonomy/p/taxonomy-history?taxnode_id=201906057","ICTVonline=201906057")</f>
        <v>ICTVonline=201906057</v>
      </c>
    </row>
    <row r="4111" spans="1:23">
      <c r="A4111" s="3">
        <v>4110</v>
      </c>
      <c r="B4111" s="1" t="s">
        <v>5910</v>
      </c>
      <c r="D4111" s="1" t="s">
        <v>8187</v>
      </c>
      <c r="F4111" s="1" t="s">
        <v>5588</v>
      </c>
      <c r="G4111" s="1" t="s">
        <v>5589</v>
      </c>
      <c r="H4111" s="1" t="s">
        <v>5604</v>
      </c>
      <c r="J4111" s="1" t="s">
        <v>5605</v>
      </c>
      <c r="L4111" s="1" t="s">
        <v>5606</v>
      </c>
      <c r="N4111" s="1" t="s">
        <v>5607</v>
      </c>
      <c r="P4111" s="1" t="s">
        <v>5624</v>
      </c>
      <c r="Q4111" s="3">
        <v>0</v>
      </c>
      <c r="R4111" s="22" t="s">
        <v>2722</v>
      </c>
      <c r="S4111" s="42" t="s">
        <v>6911</v>
      </c>
      <c r="T4111" s="3" t="s">
        <v>4868</v>
      </c>
      <c r="U4111" s="45">
        <v>35</v>
      </c>
      <c r="V4111" t="s">
        <v>8191</v>
      </c>
      <c r="W4111" s="1" t="str">
        <f>HYPERLINK("http://ictvonline.org/taxonomy/p/taxonomy-history?taxnode_id=201906058","ICTVonline=201906058")</f>
        <v>ICTVonline=201906058</v>
      </c>
    </row>
    <row r="4112" spans="1:23">
      <c r="A4112" s="3">
        <v>4111</v>
      </c>
      <c r="B4112" s="1" t="s">
        <v>5910</v>
      </c>
      <c r="D4112" s="1" t="s">
        <v>8187</v>
      </c>
      <c r="F4112" s="1" t="s">
        <v>5588</v>
      </c>
      <c r="G4112" s="1" t="s">
        <v>5589</v>
      </c>
      <c r="H4112" s="1" t="s">
        <v>5604</v>
      </c>
      <c r="J4112" s="1" t="s">
        <v>5605</v>
      </c>
      <c r="L4112" s="1" t="s">
        <v>5606</v>
      </c>
      <c r="N4112" s="1" t="s">
        <v>5607</v>
      </c>
      <c r="P4112" s="1" t="s">
        <v>5625</v>
      </c>
      <c r="Q4112" s="3">
        <v>0</v>
      </c>
      <c r="R4112" s="22" t="s">
        <v>2722</v>
      </c>
      <c r="S4112" s="42" t="s">
        <v>6911</v>
      </c>
      <c r="T4112" s="3" t="s">
        <v>4868</v>
      </c>
      <c r="U4112" s="45">
        <v>35</v>
      </c>
      <c r="V4112" t="s">
        <v>8191</v>
      </c>
      <c r="W4112" s="1" t="str">
        <f>HYPERLINK("http://ictvonline.org/taxonomy/p/taxonomy-history?taxnode_id=201906059","ICTVonline=201906059")</f>
        <v>ICTVonline=201906059</v>
      </c>
    </row>
    <row r="4113" spans="1:23">
      <c r="A4113" s="3">
        <v>4112</v>
      </c>
      <c r="B4113" s="1" t="s">
        <v>5910</v>
      </c>
      <c r="D4113" s="1" t="s">
        <v>8187</v>
      </c>
      <c r="F4113" s="1" t="s">
        <v>5588</v>
      </c>
      <c r="G4113" s="1" t="s">
        <v>5589</v>
      </c>
      <c r="H4113" s="1" t="s">
        <v>5604</v>
      </c>
      <c r="J4113" s="1" t="s">
        <v>5605</v>
      </c>
      <c r="L4113" s="1" t="s">
        <v>5606</v>
      </c>
      <c r="N4113" s="1" t="s">
        <v>5607</v>
      </c>
      <c r="P4113" s="1" t="s">
        <v>5626</v>
      </c>
      <c r="Q4113" s="3">
        <v>0</v>
      </c>
      <c r="R4113" s="22" t="s">
        <v>2722</v>
      </c>
      <c r="S4113" s="42" t="s">
        <v>6911</v>
      </c>
      <c r="T4113" s="3" t="s">
        <v>4868</v>
      </c>
      <c r="U4113" s="45">
        <v>35</v>
      </c>
      <c r="V4113" t="s">
        <v>8191</v>
      </c>
      <c r="W4113" s="1" t="str">
        <f>HYPERLINK("http://ictvonline.org/taxonomy/p/taxonomy-history?taxnode_id=201906060","ICTVonline=201906060")</f>
        <v>ICTVonline=201906060</v>
      </c>
    </row>
    <row r="4114" spans="1:23">
      <c r="A4114" s="3">
        <v>4113</v>
      </c>
      <c r="B4114" s="1" t="s">
        <v>5910</v>
      </c>
      <c r="D4114" s="1" t="s">
        <v>8187</v>
      </c>
      <c r="F4114" s="1" t="s">
        <v>5588</v>
      </c>
      <c r="G4114" s="1" t="s">
        <v>5589</v>
      </c>
      <c r="H4114" s="1" t="s">
        <v>5604</v>
      </c>
      <c r="J4114" s="1" t="s">
        <v>5605</v>
      </c>
      <c r="L4114" s="1" t="s">
        <v>5606</v>
      </c>
      <c r="N4114" s="1" t="s">
        <v>5607</v>
      </c>
      <c r="P4114" s="1" t="s">
        <v>5627</v>
      </c>
      <c r="Q4114" s="3">
        <v>0</v>
      </c>
      <c r="R4114" s="22" t="s">
        <v>2722</v>
      </c>
      <c r="S4114" s="42" t="s">
        <v>6911</v>
      </c>
      <c r="T4114" s="3" t="s">
        <v>4868</v>
      </c>
      <c r="U4114" s="45">
        <v>35</v>
      </c>
      <c r="V4114" t="s">
        <v>8191</v>
      </c>
      <c r="W4114" s="1" t="str">
        <f>HYPERLINK("http://ictvonline.org/taxonomy/p/taxonomy-history?taxnode_id=201906061","ICTVonline=201906061")</f>
        <v>ICTVonline=201906061</v>
      </c>
    </row>
    <row r="4115" spans="1:23">
      <c r="A4115" s="3">
        <v>4114</v>
      </c>
      <c r="B4115" s="1" t="s">
        <v>5910</v>
      </c>
      <c r="D4115" s="1" t="s">
        <v>8187</v>
      </c>
      <c r="F4115" s="1" t="s">
        <v>5588</v>
      </c>
      <c r="G4115" s="1" t="s">
        <v>5589</v>
      </c>
      <c r="H4115" s="1" t="s">
        <v>5604</v>
      </c>
      <c r="J4115" s="1" t="s">
        <v>5605</v>
      </c>
      <c r="L4115" s="1" t="s">
        <v>5606</v>
      </c>
      <c r="N4115" s="1" t="s">
        <v>5607</v>
      </c>
      <c r="P4115" s="1" t="s">
        <v>5628</v>
      </c>
      <c r="Q4115" s="3">
        <v>0</v>
      </c>
      <c r="R4115" s="22" t="s">
        <v>2722</v>
      </c>
      <c r="S4115" s="42" t="s">
        <v>6911</v>
      </c>
      <c r="T4115" s="3" t="s">
        <v>4868</v>
      </c>
      <c r="U4115" s="45">
        <v>35</v>
      </c>
      <c r="V4115" t="s">
        <v>8191</v>
      </c>
      <c r="W4115" s="1" t="str">
        <f>HYPERLINK("http://ictvonline.org/taxonomy/p/taxonomy-history?taxnode_id=201906062","ICTVonline=201906062")</f>
        <v>ICTVonline=201906062</v>
      </c>
    </row>
    <row r="4116" spans="1:23">
      <c r="A4116" s="3">
        <v>4115</v>
      </c>
      <c r="B4116" s="1" t="s">
        <v>5910</v>
      </c>
      <c r="D4116" s="1" t="s">
        <v>8187</v>
      </c>
      <c r="F4116" s="1" t="s">
        <v>5588</v>
      </c>
      <c r="G4116" s="1" t="s">
        <v>5589</v>
      </c>
      <c r="H4116" s="1" t="s">
        <v>5604</v>
      </c>
      <c r="J4116" s="1" t="s">
        <v>5605</v>
      </c>
      <c r="L4116" s="1" t="s">
        <v>5606</v>
      </c>
      <c r="N4116" s="1" t="s">
        <v>5607</v>
      </c>
      <c r="P4116" s="1" t="s">
        <v>5629</v>
      </c>
      <c r="Q4116" s="3">
        <v>0</v>
      </c>
      <c r="R4116" s="22" t="s">
        <v>2722</v>
      </c>
      <c r="S4116" s="42" t="s">
        <v>6911</v>
      </c>
      <c r="T4116" s="3" t="s">
        <v>4868</v>
      </c>
      <c r="U4116" s="45">
        <v>35</v>
      </c>
      <c r="V4116" t="s">
        <v>8191</v>
      </c>
      <c r="W4116" s="1" t="str">
        <f>HYPERLINK("http://ictvonline.org/taxonomy/p/taxonomy-history?taxnode_id=201906063","ICTVonline=201906063")</f>
        <v>ICTVonline=201906063</v>
      </c>
    </row>
    <row r="4117" spans="1:23">
      <c r="A4117" s="3">
        <v>4116</v>
      </c>
      <c r="B4117" s="1" t="s">
        <v>5910</v>
      </c>
      <c r="D4117" s="1" t="s">
        <v>8187</v>
      </c>
      <c r="F4117" s="1" t="s">
        <v>5588</v>
      </c>
      <c r="G4117" s="1" t="s">
        <v>5589</v>
      </c>
      <c r="H4117" s="1" t="s">
        <v>5604</v>
      </c>
      <c r="J4117" s="1" t="s">
        <v>5605</v>
      </c>
      <c r="L4117" s="1" t="s">
        <v>5606</v>
      </c>
      <c r="N4117" s="1" t="s">
        <v>5607</v>
      </c>
      <c r="P4117" s="1" t="s">
        <v>5630</v>
      </c>
      <c r="Q4117" s="3">
        <v>0</v>
      </c>
      <c r="R4117" s="22" t="s">
        <v>2722</v>
      </c>
      <c r="S4117" s="42" t="s">
        <v>6911</v>
      </c>
      <c r="T4117" s="3" t="s">
        <v>4868</v>
      </c>
      <c r="U4117" s="45">
        <v>35</v>
      </c>
      <c r="V4117" t="s">
        <v>8191</v>
      </c>
      <c r="W4117" s="1" t="str">
        <f>HYPERLINK("http://ictvonline.org/taxonomy/p/taxonomy-history?taxnode_id=201906064","ICTVonline=201906064")</f>
        <v>ICTVonline=201906064</v>
      </c>
    </row>
    <row r="4118" spans="1:23">
      <c r="A4118" s="3">
        <v>4117</v>
      </c>
      <c r="B4118" s="1" t="s">
        <v>5910</v>
      </c>
      <c r="D4118" s="1" t="s">
        <v>8187</v>
      </c>
      <c r="F4118" s="1" t="s">
        <v>5588</v>
      </c>
      <c r="G4118" s="1" t="s">
        <v>5589</v>
      </c>
      <c r="H4118" s="1" t="s">
        <v>5604</v>
      </c>
      <c r="J4118" s="1" t="s">
        <v>5605</v>
      </c>
      <c r="L4118" s="1" t="s">
        <v>5606</v>
      </c>
      <c r="N4118" s="1" t="s">
        <v>5607</v>
      </c>
      <c r="P4118" s="1" t="s">
        <v>5631</v>
      </c>
      <c r="Q4118" s="3">
        <v>0</v>
      </c>
      <c r="R4118" s="22" t="s">
        <v>2722</v>
      </c>
      <c r="S4118" s="42" t="s">
        <v>6911</v>
      </c>
      <c r="T4118" s="3" t="s">
        <v>4868</v>
      </c>
      <c r="U4118" s="45">
        <v>35</v>
      </c>
      <c r="V4118" t="s">
        <v>8191</v>
      </c>
      <c r="W4118" s="1" t="str">
        <f>HYPERLINK("http://ictvonline.org/taxonomy/p/taxonomy-history?taxnode_id=201906065","ICTVonline=201906065")</f>
        <v>ICTVonline=201906065</v>
      </c>
    </row>
    <row r="4119" spans="1:23">
      <c r="A4119" s="3">
        <v>4118</v>
      </c>
      <c r="B4119" s="1" t="s">
        <v>5910</v>
      </c>
      <c r="D4119" s="1" t="s">
        <v>8187</v>
      </c>
      <c r="F4119" s="1" t="s">
        <v>5588</v>
      </c>
      <c r="G4119" s="1" t="s">
        <v>5589</v>
      </c>
      <c r="H4119" s="1" t="s">
        <v>5604</v>
      </c>
      <c r="J4119" s="1" t="s">
        <v>5605</v>
      </c>
      <c r="L4119" s="1" t="s">
        <v>5606</v>
      </c>
      <c r="N4119" s="1" t="s">
        <v>5607</v>
      </c>
      <c r="P4119" s="1" t="s">
        <v>5632</v>
      </c>
      <c r="Q4119" s="3">
        <v>0</v>
      </c>
      <c r="R4119" s="22" t="s">
        <v>2722</v>
      </c>
      <c r="S4119" s="42" t="s">
        <v>6911</v>
      </c>
      <c r="T4119" s="3" t="s">
        <v>4868</v>
      </c>
      <c r="U4119" s="45">
        <v>35</v>
      </c>
      <c r="V4119" t="s">
        <v>8191</v>
      </c>
      <c r="W4119" s="1" t="str">
        <f>HYPERLINK("http://ictvonline.org/taxonomy/p/taxonomy-history?taxnode_id=201906066","ICTVonline=201906066")</f>
        <v>ICTVonline=201906066</v>
      </c>
    </row>
    <row r="4120" spans="1:23">
      <c r="A4120" s="3">
        <v>4119</v>
      </c>
      <c r="B4120" s="1" t="s">
        <v>5910</v>
      </c>
      <c r="D4120" s="1" t="s">
        <v>8187</v>
      </c>
      <c r="F4120" s="1" t="s">
        <v>5588</v>
      </c>
      <c r="G4120" s="1" t="s">
        <v>5589</v>
      </c>
      <c r="H4120" s="1" t="s">
        <v>5604</v>
      </c>
      <c r="J4120" s="1" t="s">
        <v>5605</v>
      </c>
      <c r="L4120" s="1" t="s">
        <v>5606</v>
      </c>
      <c r="N4120" s="1" t="s">
        <v>5607</v>
      </c>
      <c r="P4120" s="1" t="s">
        <v>5633</v>
      </c>
      <c r="Q4120" s="3">
        <v>0</v>
      </c>
      <c r="R4120" s="22" t="s">
        <v>2722</v>
      </c>
      <c r="S4120" s="42" t="s">
        <v>6911</v>
      </c>
      <c r="T4120" s="3" t="s">
        <v>4868</v>
      </c>
      <c r="U4120" s="45">
        <v>35</v>
      </c>
      <c r="V4120" t="s">
        <v>8191</v>
      </c>
      <c r="W4120" s="1" t="str">
        <f>HYPERLINK("http://ictvonline.org/taxonomy/p/taxonomy-history?taxnode_id=201906067","ICTVonline=201906067")</f>
        <v>ICTVonline=201906067</v>
      </c>
    </row>
    <row r="4121" spans="1:23">
      <c r="A4121" s="3">
        <v>4120</v>
      </c>
      <c r="B4121" s="1" t="s">
        <v>5910</v>
      </c>
      <c r="D4121" s="1" t="s">
        <v>8187</v>
      </c>
      <c r="F4121" s="1" t="s">
        <v>5588</v>
      </c>
      <c r="G4121" s="1" t="s">
        <v>5589</v>
      </c>
      <c r="H4121" s="1" t="s">
        <v>5604</v>
      </c>
      <c r="J4121" s="1" t="s">
        <v>5605</v>
      </c>
      <c r="L4121" s="1" t="s">
        <v>5606</v>
      </c>
      <c r="N4121" s="1" t="s">
        <v>5607</v>
      </c>
      <c r="P4121" s="1" t="s">
        <v>8262</v>
      </c>
      <c r="Q4121" s="3">
        <v>0</v>
      </c>
      <c r="R4121" s="22" t="s">
        <v>2722</v>
      </c>
      <c r="S4121" s="42" t="s">
        <v>6911</v>
      </c>
      <c r="T4121" s="3" t="s">
        <v>4866</v>
      </c>
      <c r="U4121" s="45">
        <v>35</v>
      </c>
      <c r="V4121" t="s">
        <v>8263</v>
      </c>
      <c r="W4121" s="1" t="str">
        <f>HYPERLINK("http://ictvonline.org/taxonomy/p/taxonomy-history?taxnode_id=201907449","ICTVonline=201907449")</f>
        <v>ICTVonline=201907449</v>
      </c>
    </row>
    <row r="4122" spans="1:23">
      <c r="A4122" s="3">
        <v>4121</v>
      </c>
      <c r="B4122" s="1" t="s">
        <v>5910</v>
      </c>
      <c r="D4122" s="1" t="s">
        <v>8187</v>
      </c>
      <c r="F4122" s="1" t="s">
        <v>5588</v>
      </c>
      <c r="G4122" s="1" t="s">
        <v>5589</v>
      </c>
      <c r="H4122" s="1" t="s">
        <v>5604</v>
      </c>
      <c r="J4122" s="1" t="s">
        <v>5605</v>
      </c>
      <c r="L4122" s="1" t="s">
        <v>5606</v>
      </c>
      <c r="N4122" s="1" t="s">
        <v>5607</v>
      </c>
      <c r="P4122" s="1" t="s">
        <v>5634</v>
      </c>
      <c r="Q4122" s="3">
        <v>0</v>
      </c>
      <c r="R4122" s="22" t="s">
        <v>2722</v>
      </c>
      <c r="S4122" s="42" t="s">
        <v>6911</v>
      </c>
      <c r="T4122" s="3" t="s">
        <v>4868</v>
      </c>
      <c r="U4122" s="45">
        <v>35</v>
      </c>
      <c r="V4122" t="s">
        <v>8191</v>
      </c>
      <c r="W4122" s="1" t="str">
        <f>HYPERLINK("http://ictvonline.org/taxonomy/p/taxonomy-history?taxnode_id=201906068","ICTVonline=201906068")</f>
        <v>ICTVonline=201906068</v>
      </c>
    </row>
    <row r="4123" spans="1:23">
      <c r="A4123" s="3">
        <v>4122</v>
      </c>
      <c r="B4123" s="1" t="s">
        <v>5910</v>
      </c>
      <c r="D4123" s="1" t="s">
        <v>8187</v>
      </c>
      <c r="F4123" s="1" t="s">
        <v>5588</v>
      </c>
      <c r="G4123" s="1" t="s">
        <v>5589</v>
      </c>
      <c r="H4123" s="1" t="s">
        <v>5604</v>
      </c>
      <c r="J4123" s="1" t="s">
        <v>5605</v>
      </c>
      <c r="L4123" s="1" t="s">
        <v>5606</v>
      </c>
      <c r="N4123" s="1" t="s">
        <v>5607</v>
      </c>
      <c r="P4123" s="1" t="s">
        <v>5635</v>
      </c>
      <c r="Q4123" s="3">
        <v>0</v>
      </c>
      <c r="R4123" s="22" t="s">
        <v>2722</v>
      </c>
      <c r="S4123" s="42" t="s">
        <v>6911</v>
      </c>
      <c r="T4123" s="3" t="s">
        <v>4868</v>
      </c>
      <c r="U4123" s="45">
        <v>35</v>
      </c>
      <c r="V4123" t="s">
        <v>8191</v>
      </c>
      <c r="W4123" s="1" t="str">
        <f>HYPERLINK("http://ictvonline.org/taxonomy/p/taxonomy-history?taxnode_id=201906069","ICTVonline=201906069")</f>
        <v>ICTVonline=201906069</v>
      </c>
    </row>
    <row r="4124" spans="1:23">
      <c r="A4124" s="3">
        <v>4123</v>
      </c>
      <c r="B4124" s="1" t="s">
        <v>5910</v>
      </c>
      <c r="D4124" s="1" t="s">
        <v>8187</v>
      </c>
      <c r="F4124" s="1" t="s">
        <v>5588</v>
      </c>
      <c r="G4124" s="1" t="s">
        <v>5589</v>
      </c>
      <c r="H4124" s="1" t="s">
        <v>5604</v>
      </c>
      <c r="J4124" s="1" t="s">
        <v>5605</v>
      </c>
      <c r="L4124" s="1" t="s">
        <v>5606</v>
      </c>
      <c r="N4124" s="1" t="s">
        <v>5607</v>
      </c>
      <c r="P4124" s="1" t="s">
        <v>5636</v>
      </c>
      <c r="Q4124" s="3">
        <v>0</v>
      </c>
      <c r="R4124" s="22" t="s">
        <v>2722</v>
      </c>
      <c r="S4124" s="42" t="s">
        <v>6911</v>
      </c>
      <c r="T4124" s="3" t="s">
        <v>4868</v>
      </c>
      <c r="U4124" s="45">
        <v>35</v>
      </c>
      <c r="V4124" t="s">
        <v>8191</v>
      </c>
      <c r="W4124" s="1" t="str">
        <f>HYPERLINK("http://ictvonline.org/taxonomy/p/taxonomy-history?taxnode_id=201906070","ICTVonline=201906070")</f>
        <v>ICTVonline=201906070</v>
      </c>
    </row>
    <row r="4125" spans="1:23">
      <c r="A4125" s="3">
        <v>4124</v>
      </c>
      <c r="B4125" s="1" t="s">
        <v>5910</v>
      </c>
      <c r="D4125" s="1" t="s">
        <v>8187</v>
      </c>
      <c r="F4125" s="1" t="s">
        <v>5588</v>
      </c>
      <c r="G4125" s="1" t="s">
        <v>5589</v>
      </c>
      <c r="H4125" s="1" t="s">
        <v>5604</v>
      </c>
      <c r="J4125" s="1" t="s">
        <v>999</v>
      </c>
      <c r="L4125" s="1" t="s">
        <v>5637</v>
      </c>
      <c r="N4125" s="1" t="s">
        <v>8264</v>
      </c>
      <c r="P4125" s="1" t="s">
        <v>8265</v>
      </c>
      <c r="Q4125" s="3">
        <v>0</v>
      </c>
      <c r="R4125" s="22" t="s">
        <v>2722</v>
      </c>
      <c r="S4125" s="42" t="s">
        <v>6911</v>
      </c>
      <c r="T4125" s="3" t="s">
        <v>4867</v>
      </c>
      <c r="U4125" s="45">
        <v>35</v>
      </c>
      <c r="V4125" t="s">
        <v>8266</v>
      </c>
      <c r="W4125" s="1" t="str">
        <f>HYPERLINK("http://ictvonline.org/taxonomy/p/taxonomy-history?taxnode_id=201906269","ICTVonline=201906269")</f>
        <v>ICTVonline=201906269</v>
      </c>
    </row>
    <row r="4126" spans="1:23">
      <c r="A4126" s="3">
        <v>4125</v>
      </c>
      <c r="B4126" s="1" t="s">
        <v>5910</v>
      </c>
      <c r="D4126" s="1" t="s">
        <v>8187</v>
      </c>
      <c r="F4126" s="1" t="s">
        <v>5588</v>
      </c>
      <c r="G4126" s="1" t="s">
        <v>5589</v>
      </c>
      <c r="H4126" s="1" t="s">
        <v>5604</v>
      </c>
      <c r="J4126" s="1" t="s">
        <v>999</v>
      </c>
      <c r="L4126" s="1" t="s">
        <v>5637</v>
      </c>
      <c r="N4126" s="1" t="s">
        <v>8264</v>
      </c>
      <c r="P4126" s="1" t="s">
        <v>8267</v>
      </c>
      <c r="Q4126" s="3">
        <v>1</v>
      </c>
      <c r="R4126" s="22" t="s">
        <v>2722</v>
      </c>
      <c r="S4126" s="42" t="s">
        <v>6911</v>
      </c>
      <c r="T4126" s="3" t="s">
        <v>4866</v>
      </c>
      <c r="U4126" s="45">
        <v>35</v>
      </c>
      <c r="V4126" t="s">
        <v>8266</v>
      </c>
      <c r="W4126" s="1" t="str">
        <f>HYPERLINK("http://ictvonline.org/taxonomy/p/taxonomy-history?taxnode_id=201907514","ICTVonline=201907514")</f>
        <v>ICTVonline=201907514</v>
      </c>
    </row>
    <row r="4127" spans="1:23">
      <c r="A4127" s="3">
        <v>4126</v>
      </c>
      <c r="B4127" s="1" t="s">
        <v>5910</v>
      </c>
      <c r="D4127" s="1" t="s">
        <v>8187</v>
      </c>
      <c r="F4127" s="1" t="s">
        <v>5588</v>
      </c>
      <c r="G4127" s="1" t="s">
        <v>5589</v>
      </c>
      <c r="H4127" s="1" t="s">
        <v>5604</v>
      </c>
      <c r="J4127" s="1" t="s">
        <v>999</v>
      </c>
      <c r="L4127" s="1" t="s">
        <v>5637</v>
      </c>
      <c r="N4127" s="1" t="s">
        <v>4459</v>
      </c>
      <c r="P4127" s="1" t="s">
        <v>5638</v>
      </c>
      <c r="Q4127" s="3">
        <v>0</v>
      </c>
      <c r="R4127" s="22" t="s">
        <v>2722</v>
      </c>
      <c r="S4127" s="42" t="s">
        <v>6911</v>
      </c>
      <c r="T4127" s="3" t="s">
        <v>4868</v>
      </c>
      <c r="U4127" s="45">
        <v>35</v>
      </c>
      <c r="V4127" t="s">
        <v>8191</v>
      </c>
      <c r="W4127" s="1" t="str">
        <f>HYPERLINK("http://ictvonline.org/taxonomy/p/taxonomy-history?taxnode_id=201906272","ICTVonline=201906272")</f>
        <v>ICTVonline=201906272</v>
      </c>
    </row>
    <row r="4128" spans="1:23">
      <c r="A4128" s="3">
        <v>4127</v>
      </c>
      <c r="B4128" s="1" t="s">
        <v>5910</v>
      </c>
      <c r="D4128" s="1" t="s">
        <v>8187</v>
      </c>
      <c r="F4128" s="1" t="s">
        <v>5588</v>
      </c>
      <c r="G4128" s="1" t="s">
        <v>5589</v>
      </c>
      <c r="H4128" s="1" t="s">
        <v>5604</v>
      </c>
      <c r="J4128" s="1" t="s">
        <v>999</v>
      </c>
      <c r="L4128" s="1" t="s">
        <v>5637</v>
      </c>
      <c r="N4128" s="1" t="s">
        <v>4459</v>
      </c>
      <c r="P4128" s="1" t="s">
        <v>5639</v>
      </c>
      <c r="Q4128" s="3">
        <v>0</v>
      </c>
      <c r="R4128" s="22" t="s">
        <v>2722</v>
      </c>
      <c r="S4128" s="42" t="s">
        <v>6911</v>
      </c>
      <c r="T4128" s="3" t="s">
        <v>4868</v>
      </c>
      <c r="U4128" s="45">
        <v>35</v>
      </c>
      <c r="V4128" t="s">
        <v>8191</v>
      </c>
      <c r="W4128" s="1" t="str">
        <f>HYPERLINK("http://ictvonline.org/taxonomy/p/taxonomy-history?taxnode_id=201906271","ICTVonline=201906271")</f>
        <v>ICTVonline=201906271</v>
      </c>
    </row>
    <row r="4129" spans="1:23">
      <c r="A4129" s="3">
        <v>4128</v>
      </c>
      <c r="B4129" s="1" t="s">
        <v>5910</v>
      </c>
      <c r="D4129" s="1" t="s">
        <v>8187</v>
      </c>
      <c r="F4129" s="1" t="s">
        <v>5588</v>
      </c>
      <c r="G4129" s="1" t="s">
        <v>5589</v>
      </c>
      <c r="H4129" s="1" t="s">
        <v>5604</v>
      </c>
      <c r="J4129" s="1" t="s">
        <v>999</v>
      </c>
      <c r="L4129" s="1" t="s">
        <v>5637</v>
      </c>
      <c r="N4129" s="1" t="s">
        <v>4459</v>
      </c>
      <c r="P4129" s="1" t="s">
        <v>5640</v>
      </c>
      <c r="Q4129" s="3">
        <v>0</v>
      </c>
      <c r="R4129" s="22" t="s">
        <v>2722</v>
      </c>
      <c r="S4129" s="42" t="s">
        <v>6911</v>
      </c>
      <c r="T4129" s="3" t="s">
        <v>4868</v>
      </c>
      <c r="U4129" s="45">
        <v>35</v>
      </c>
      <c r="V4129" t="s">
        <v>8191</v>
      </c>
      <c r="W4129" s="1" t="str">
        <f>HYPERLINK("http://ictvonline.org/taxonomy/p/taxonomy-history?taxnode_id=201906270","ICTVonline=201906270")</f>
        <v>ICTVonline=201906270</v>
      </c>
    </row>
    <row r="4130" spans="1:23">
      <c r="A4130" s="3">
        <v>4129</v>
      </c>
      <c r="B4130" s="1" t="s">
        <v>5910</v>
      </c>
      <c r="D4130" s="1" t="s">
        <v>8187</v>
      </c>
      <c r="F4130" s="1" t="s">
        <v>5588</v>
      </c>
      <c r="G4130" s="1" t="s">
        <v>5589</v>
      </c>
      <c r="H4130" s="1" t="s">
        <v>5604</v>
      </c>
      <c r="J4130" s="1" t="s">
        <v>999</v>
      </c>
      <c r="L4130" s="1" t="s">
        <v>5637</v>
      </c>
      <c r="N4130" s="1" t="s">
        <v>4459</v>
      </c>
      <c r="P4130" s="1" t="s">
        <v>5641</v>
      </c>
      <c r="Q4130" s="3">
        <v>0</v>
      </c>
      <c r="R4130" s="22" t="s">
        <v>2722</v>
      </c>
      <c r="S4130" s="42" t="s">
        <v>6911</v>
      </c>
      <c r="T4130" s="3" t="s">
        <v>4868</v>
      </c>
      <c r="U4130" s="45">
        <v>35</v>
      </c>
      <c r="V4130" t="s">
        <v>8191</v>
      </c>
      <c r="W4130" s="1" t="str">
        <f>HYPERLINK("http://ictvonline.org/taxonomy/p/taxonomy-history?taxnode_id=201906274","ICTVonline=201906274")</f>
        <v>ICTVonline=201906274</v>
      </c>
    </row>
    <row r="4131" spans="1:23">
      <c r="A4131" s="3">
        <v>4130</v>
      </c>
      <c r="B4131" s="1" t="s">
        <v>5910</v>
      </c>
      <c r="D4131" s="1" t="s">
        <v>8187</v>
      </c>
      <c r="F4131" s="1" t="s">
        <v>5588</v>
      </c>
      <c r="G4131" s="1" t="s">
        <v>5589</v>
      </c>
      <c r="H4131" s="1" t="s">
        <v>5604</v>
      </c>
      <c r="J4131" s="1" t="s">
        <v>999</v>
      </c>
      <c r="L4131" s="1" t="s">
        <v>5637</v>
      </c>
      <c r="N4131" s="1" t="s">
        <v>4459</v>
      </c>
      <c r="P4131" s="1" t="s">
        <v>4460</v>
      </c>
      <c r="Q4131" s="3">
        <v>1</v>
      </c>
      <c r="R4131" s="22" t="s">
        <v>2722</v>
      </c>
      <c r="S4131" s="42" t="s">
        <v>6911</v>
      </c>
      <c r="T4131" s="3" t="s">
        <v>4868</v>
      </c>
      <c r="U4131" s="45">
        <v>35</v>
      </c>
      <c r="V4131" t="s">
        <v>8191</v>
      </c>
      <c r="W4131" s="1" t="str">
        <f>HYPERLINK("http://ictvonline.org/taxonomy/p/taxonomy-history?taxnode_id=201901583","ICTVonline=201901583")</f>
        <v>ICTVonline=201901583</v>
      </c>
    </row>
    <row r="4132" spans="1:23">
      <c r="A4132" s="3">
        <v>4131</v>
      </c>
      <c r="B4132" s="1" t="s">
        <v>5910</v>
      </c>
      <c r="D4132" s="1" t="s">
        <v>8187</v>
      </c>
      <c r="F4132" s="1" t="s">
        <v>5588</v>
      </c>
      <c r="G4132" s="1" t="s">
        <v>5589</v>
      </c>
      <c r="H4132" s="1" t="s">
        <v>5604</v>
      </c>
      <c r="J4132" s="1" t="s">
        <v>999</v>
      </c>
      <c r="L4132" s="1" t="s">
        <v>5637</v>
      </c>
      <c r="N4132" s="1" t="s">
        <v>4459</v>
      </c>
      <c r="P4132" s="1" t="s">
        <v>5642</v>
      </c>
      <c r="Q4132" s="3">
        <v>0</v>
      </c>
      <c r="R4132" s="22" t="s">
        <v>2722</v>
      </c>
      <c r="S4132" s="42" t="s">
        <v>6911</v>
      </c>
      <c r="T4132" s="3" t="s">
        <v>4868</v>
      </c>
      <c r="U4132" s="45">
        <v>35</v>
      </c>
      <c r="V4132" t="s">
        <v>8191</v>
      </c>
      <c r="W4132" s="1" t="str">
        <f>HYPERLINK("http://ictvonline.org/taxonomy/p/taxonomy-history?taxnode_id=201906273","ICTVonline=201906273")</f>
        <v>ICTVonline=201906273</v>
      </c>
    </row>
    <row r="4133" spans="1:23">
      <c r="A4133" s="3">
        <v>4132</v>
      </c>
      <c r="B4133" s="1" t="s">
        <v>5910</v>
      </c>
      <c r="D4133" s="1" t="s">
        <v>8187</v>
      </c>
      <c r="F4133" s="1" t="s">
        <v>5588</v>
      </c>
      <c r="G4133" s="1" t="s">
        <v>5589</v>
      </c>
      <c r="H4133" s="1" t="s">
        <v>5604</v>
      </c>
      <c r="J4133" s="1" t="s">
        <v>999</v>
      </c>
      <c r="L4133" s="1" t="s">
        <v>1394</v>
      </c>
      <c r="N4133" s="1" t="s">
        <v>5034</v>
      </c>
      <c r="P4133" s="1" t="s">
        <v>5035</v>
      </c>
      <c r="Q4133" s="3">
        <v>1</v>
      </c>
      <c r="R4133" s="22" t="s">
        <v>2722</v>
      </c>
      <c r="S4133" s="42" t="s">
        <v>6911</v>
      </c>
      <c r="T4133" s="3" t="s">
        <v>4868</v>
      </c>
      <c r="U4133" s="45">
        <v>35</v>
      </c>
      <c r="V4133" t="s">
        <v>8191</v>
      </c>
      <c r="W4133" s="1" t="str">
        <f>HYPERLINK("http://ictvonline.org/taxonomy/p/taxonomy-history?taxnode_id=201905571","ICTVonline=201905571")</f>
        <v>ICTVonline=201905571</v>
      </c>
    </row>
    <row r="4134" spans="1:23">
      <c r="A4134" s="3">
        <v>4133</v>
      </c>
      <c r="B4134" s="1" t="s">
        <v>5910</v>
      </c>
      <c r="D4134" s="1" t="s">
        <v>8187</v>
      </c>
      <c r="F4134" s="1" t="s">
        <v>5588</v>
      </c>
      <c r="G4134" s="1" t="s">
        <v>5589</v>
      </c>
      <c r="H4134" s="1" t="s">
        <v>5604</v>
      </c>
      <c r="J4134" s="1" t="s">
        <v>999</v>
      </c>
      <c r="L4134" s="1" t="s">
        <v>1394</v>
      </c>
      <c r="N4134" s="1" t="s">
        <v>5034</v>
      </c>
      <c r="P4134" s="1" t="s">
        <v>5036</v>
      </c>
      <c r="Q4134" s="3">
        <v>0</v>
      </c>
      <c r="R4134" s="22" t="s">
        <v>2722</v>
      </c>
      <c r="S4134" s="42" t="s">
        <v>6911</v>
      </c>
      <c r="T4134" s="3" t="s">
        <v>4868</v>
      </c>
      <c r="U4134" s="45">
        <v>35</v>
      </c>
      <c r="V4134" t="s">
        <v>8191</v>
      </c>
      <c r="W4134" s="1" t="str">
        <f>HYPERLINK("http://ictvonline.org/taxonomy/p/taxonomy-history?taxnode_id=201905572","ICTVonline=201905572")</f>
        <v>ICTVonline=201905572</v>
      </c>
    </row>
    <row r="4135" spans="1:23">
      <c r="A4135" s="3">
        <v>4134</v>
      </c>
      <c r="B4135" s="1" t="s">
        <v>5910</v>
      </c>
      <c r="D4135" s="1" t="s">
        <v>8187</v>
      </c>
      <c r="F4135" s="1" t="s">
        <v>5588</v>
      </c>
      <c r="G4135" s="1" t="s">
        <v>5589</v>
      </c>
      <c r="H4135" s="1" t="s">
        <v>5604</v>
      </c>
      <c r="J4135" s="1" t="s">
        <v>999</v>
      </c>
      <c r="L4135" s="1" t="s">
        <v>1394</v>
      </c>
      <c r="N4135" s="1" t="s">
        <v>5912</v>
      </c>
      <c r="P4135" s="1" t="s">
        <v>6905</v>
      </c>
      <c r="Q4135" s="3">
        <v>1</v>
      </c>
      <c r="R4135" s="22" t="s">
        <v>2722</v>
      </c>
      <c r="S4135" s="42" t="s">
        <v>6911</v>
      </c>
      <c r="T4135" s="3" t="s">
        <v>4868</v>
      </c>
      <c r="U4135" s="45">
        <v>35</v>
      </c>
      <c r="V4135" t="s">
        <v>8191</v>
      </c>
      <c r="W4135" s="1" t="str">
        <f>HYPERLINK("http://ictvonline.org/taxonomy/p/taxonomy-history?taxnode_id=201906589","ICTVonline=201906589")</f>
        <v>ICTVonline=201906589</v>
      </c>
    </row>
    <row r="4136" spans="1:23">
      <c r="A4136" s="3">
        <v>4135</v>
      </c>
      <c r="B4136" s="1" t="s">
        <v>5910</v>
      </c>
      <c r="D4136" s="1" t="s">
        <v>8187</v>
      </c>
      <c r="F4136" s="1" t="s">
        <v>5588</v>
      </c>
      <c r="G4136" s="1" t="s">
        <v>5589</v>
      </c>
      <c r="H4136" s="1" t="s">
        <v>5604</v>
      </c>
      <c r="J4136" s="1" t="s">
        <v>999</v>
      </c>
      <c r="L4136" s="1" t="s">
        <v>1394</v>
      </c>
      <c r="N4136" s="1" t="s">
        <v>5037</v>
      </c>
      <c r="P4136" s="1" t="s">
        <v>5038</v>
      </c>
      <c r="Q4136" s="3">
        <v>0</v>
      </c>
      <c r="R4136" s="22" t="s">
        <v>2722</v>
      </c>
      <c r="S4136" s="42" t="s">
        <v>6911</v>
      </c>
      <c r="T4136" s="3" t="s">
        <v>4868</v>
      </c>
      <c r="U4136" s="45">
        <v>35</v>
      </c>
      <c r="V4136" t="s">
        <v>8191</v>
      </c>
      <c r="W4136" s="1" t="str">
        <f>HYPERLINK("http://ictvonline.org/taxonomy/p/taxonomy-history?taxnode_id=201901552","ICTVonline=201901552")</f>
        <v>ICTVonline=201901552</v>
      </c>
    </row>
    <row r="4137" spans="1:23">
      <c r="A4137" s="3">
        <v>4136</v>
      </c>
      <c r="B4137" s="1" t="s">
        <v>5910</v>
      </c>
      <c r="D4137" s="1" t="s">
        <v>8187</v>
      </c>
      <c r="F4137" s="1" t="s">
        <v>5588</v>
      </c>
      <c r="G4137" s="1" t="s">
        <v>5589</v>
      </c>
      <c r="H4137" s="1" t="s">
        <v>5604</v>
      </c>
      <c r="J4137" s="1" t="s">
        <v>999</v>
      </c>
      <c r="L4137" s="1" t="s">
        <v>1394</v>
      </c>
      <c r="N4137" s="1" t="s">
        <v>5037</v>
      </c>
      <c r="P4137" s="1" t="s">
        <v>5039</v>
      </c>
      <c r="Q4137" s="3">
        <v>1</v>
      </c>
      <c r="R4137" s="22" t="s">
        <v>2722</v>
      </c>
      <c r="S4137" s="42" t="s">
        <v>6911</v>
      </c>
      <c r="T4137" s="3" t="s">
        <v>4868</v>
      </c>
      <c r="U4137" s="45">
        <v>35</v>
      </c>
      <c r="V4137" t="s">
        <v>8191</v>
      </c>
      <c r="W4137" s="1" t="str">
        <f>HYPERLINK("http://ictvonline.org/taxonomy/p/taxonomy-history?taxnode_id=201901553","ICTVonline=201901553")</f>
        <v>ICTVonline=201901553</v>
      </c>
    </row>
    <row r="4138" spans="1:23">
      <c r="A4138" s="3">
        <v>4137</v>
      </c>
      <c r="B4138" s="1" t="s">
        <v>5910</v>
      </c>
      <c r="D4138" s="1" t="s">
        <v>8187</v>
      </c>
      <c r="F4138" s="1" t="s">
        <v>5588</v>
      </c>
      <c r="G4138" s="1" t="s">
        <v>5589</v>
      </c>
      <c r="H4138" s="1" t="s">
        <v>5604</v>
      </c>
      <c r="J4138" s="1" t="s">
        <v>999</v>
      </c>
      <c r="L4138" s="1" t="s">
        <v>1394</v>
      </c>
      <c r="N4138" s="1" t="s">
        <v>5037</v>
      </c>
      <c r="P4138" s="1" t="s">
        <v>5040</v>
      </c>
      <c r="Q4138" s="3">
        <v>0</v>
      </c>
      <c r="R4138" s="22" t="s">
        <v>2722</v>
      </c>
      <c r="S4138" s="42" t="s">
        <v>6911</v>
      </c>
      <c r="T4138" s="3" t="s">
        <v>4868</v>
      </c>
      <c r="U4138" s="45">
        <v>35</v>
      </c>
      <c r="V4138" t="s">
        <v>8191</v>
      </c>
      <c r="W4138" s="1" t="str">
        <f>HYPERLINK("http://ictvonline.org/taxonomy/p/taxonomy-history?taxnode_id=201901554","ICTVonline=201901554")</f>
        <v>ICTVonline=201901554</v>
      </c>
    </row>
    <row r="4139" spans="1:23">
      <c r="A4139" s="3">
        <v>4138</v>
      </c>
      <c r="B4139" s="1" t="s">
        <v>5910</v>
      </c>
      <c r="D4139" s="1" t="s">
        <v>8187</v>
      </c>
      <c r="F4139" s="1" t="s">
        <v>5588</v>
      </c>
      <c r="G4139" s="1" t="s">
        <v>5589</v>
      </c>
      <c r="H4139" s="1" t="s">
        <v>5604</v>
      </c>
      <c r="J4139" s="1" t="s">
        <v>999</v>
      </c>
      <c r="L4139" s="1" t="s">
        <v>1394</v>
      </c>
      <c r="N4139" s="1" t="s">
        <v>5037</v>
      </c>
      <c r="P4139" s="1" t="s">
        <v>5041</v>
      </c>
      <c r="Q4139" s="3">
        <v>0</v>
      </c>
      <c r="R4139" s="22" t="s">
        <v>2722</v>
      </c>
      <c r="S4139" s="42" t="s">
        <v>6911</v>
      </c>
      <c r="T4139" s="3" t="s">
        <v>4868</v>
      </c>
      <c r="U4139" s="45">
        <v>35</v>
      </c>
      <c r="V4139" t="s">
        <v>8191</v>
      </c>
      <c r="W4139" s="1" t="str">
        <f>HYPERLINK("http://ictvonline.org/taxonomy/p/taxonomy-history?taxnode_id=201901555","ICTVonline=201901555")</f>
        <v>ICTVonline=201901555</v>
      </c>
    </row>
    <row r="4140" spans="1:23">
      <c r="A4140" s="3">
        <v>4139</v>
      </c>
      <c r="B4140" s="1" t="s">
        <v>5910</v>
      </c>
      <c r="D4140" s="1" t="s">
        <v>8187</v>
      </c>
      <c r="F4140" s="1" t="s">
        <v>5588</v>
      </c>
      <c r="G4140" s="1" t="s">
        <v>5589</v>
      </c>
      <c r="H4140" s="1" t="s">
        <v>5604</v>
      </c>
      <c r="J4140" s="1" t="s">
        <v>999</v>
      </c>
      <c r="L4140" s="1" t="s">
        <v>1394</v>
      </c>
      <c r="N4140" s="1" t="s">
        <v>5037</v>
      </c>
      <c r="P4140" s="1" t="s">
        <v>5042</v>
      </c>
      <c r="Q4140" s="3">
        <v>0</v>
      </c>
      <c r="R4140" s="22" t="s">
        <v>2722</v>
      </c>
      <c r="S4140" s="42" t="s">
        <v>6911</v>
      </c>
      <c r="T4140" s="3" t="s">
        <v>4868</v>
      </c>
      <c r="U4140" s="45">
        <v>35</v>
      </c>
      <c r="V4140" t="s">
        <v>8191</v>
      </c>
      <c r="W4140" s="1" t="str">
        <f>HYPERLINK("http://ictvonline.org/taxonomy/p/taxonomy-history?taxnode_id=201901556","ICTVonline=201901556")</f>
        <v>ICTVonline=201901556</v>
      </c>
    </row>
    <row r="4141" spans="1:23">
      <c r="A4141" s="3">
        <v>4140</v>
      </c>
      <c r="B4141" s="1" t="s">
        <v>5910</v>
      </c>
      <c r="D4141" s="1" t="s">
        <v>8187</v>
      </c>
      <c r="F4141" s="1" t="s">
        <v>5588</v>
      </c>
      <c r="G4141" s="1" t="s">
        <v>5589</v>
      </c>
      <c r="H4141" s="1" t="s">
        <v>5604</v>
      </c>
      <c r="J4141" s="1" t="s">
        <v>999</v>
      </c>
      <c r="L4141" s="1" t="s">
        <v>1394</v>
      </c>
      <c r="N4141" s="1" t="s">
        <v>5037</v>
      </c>
      <c r="P4141" s="1" t="s">
        <v>5043</v>
      </c>
      <c r="Q4141" s="3">
        <v>0</v>
      </c>
      <c r="R4141" s="22" t="s">
        <v>2722</v>
      </c>
      <c r="S4141" s="42" t="s">
        <v>6911</v>
      </c>
      <c r="T4141" s="3" t="s">
        <v>4868</v>
      </c>
      <c r="U4141" s="45">
        <v>35</v>
      </c>
      <c r="V4141" t="s">
        <v>8191</v>
      </c>
      <c r="W4141" s="1" t="str">
        <f>HYPERLINK("http://ictvonline.org/taxonomy/p/taxonomy-history?taxnode_id=201901557","ICTVonline=201901557")</f>
        <v>ICTVonline=201901557</v>
      </c>
    </row>
    <row r="4142" spans="1:23">
      <c r="A4142" s="3">
        <v>4141</v>
      </c>
      <c r="B4142" s="1" t="s">
        <v>5910</v>
      </c>
      <c r="D4142" s="1" t="s">
        <v>8187</v>
      </c>
      <c r="F4142" s="1" t="s">
        <v>5588</v>
      </c>
      <c r="G4142" s="1" t="s">
        <v>5589</v>
      </c>
      <c r="H4142" s="1" t="s">
        <v>5604</v>
      </c>
      <c r="J4142" s="1" t="s">
        <v>999</v>
      </c>
      <c r="L4142" s="1" t="s">
        <v>1394</v>
      </c>
      <c r="N4142" s="1" t="s">
        <v>5037</v>
      </c>
      <c r="P4142" s="1" t="s">
        <v>5044</v>
      </c>
      <c r="Q4142" s="3">
        <v>0</v>
      </c>
      <c r="R4142" s="22" t="s">
        <v>2722</v>
      </c>
      <c r="S4142" s="42" t="s">
        <v>6911</v>
      </c>
      <c r="T4142" s="3" t="s">
        <v>4868</v>
      </c>
      <c r="U4142" s="45">
        <v>35</v>
      </c>
      <c r="V4142" t="s">
        <v>8191</v>
      </c>
      <c r="W4142" s="1" t="str">
        <f>HYPERLINK("http://ictvonline.org/taxonomy/p/taxonomy-history?taxnode_id=201901558","ICTVonline=201901558")</f>
        <v>ICTVonline=201901558</v>
      </c>
    </row>
    <row r="4143" spans="1:23">
      <c r="A4143" s="3">
        <v>4142</v>
      </c>
      <c r="B4143" s="1" t="s">
        <v>5910</v>
      </c>
      <c r="D4143" s="1" t="s">
        <v>8187</v>
      </c>
      <c r="F4143" s="1" t="s">
        <v>5588</v>
      </c>
      <c r="G4143" s="1" t="s">
        <v>5589</v>
      </c>
      <c r="H4143" s="1" t="s">
        <v>5604</v>
      </c>
      <c r="J4143" s="1" t="s">
        <v>999</v>
      </c>
      <c r="L4143" s="1" t="s">
        <v>1394</v>
      </c>
      <c r="N4143" s="1" t="s">
        <v>5037</v>
      </c>
      <c r="P4143" s="1" t="s">
        <v>5045</v>
      </c>
      <c r="Q4143" s="3">
        <v>0</v>
      </c>
      <c r="R4143" s="22" t="s">
        <v>2722</v>
      </c>
      <c r="S4143" s="42" t="s">
        <v>6911</v>
      </c>
      <c r="T4143" s="3" t="s">
        <v>4868</v>
      </c>
      <c r="U4143" s="45">
        <v>35</v>
      </c>
      <c r="V4143" t="s">
        <v>8191</v>
      </c>
      <c r="W4143" s="1" t="str">
        <f>HYPERLINK("http://ictvonline.org/taxonomy/p/taxonomy-history?taxnode_id=201901559","ICTVonline=201901559")</f>
        <v>ICTVonline=201901559</v>
      </c>
    </row>
    <row r="4144" spans="1:23">
      <c r="A4144" s="3">
        <v>4143</v>
      </c>
      <c r="B4144" s="1" t="s">
        <v>5910</v>
      </c>
      <c r="D4144" s="1" t="s">
        <v>8187</v>
      </c>
      <c r="F4144" s="1" t="s">
        <v>5588</v>
      </c>
      <c r="G4144" s="1" t="s">
        <v>5589</v>
      </c>
      <c r="H4144" s="1" t="s">
        <v>5604</v>
      </c>
      <c r="J4144" s="1" t="s">
        <v>999</v>
      </c>
      <c r="L4144" s="1" t="s">
        <v>1395</v>
      </c>
      <c r="N4144" s="1" t="s">
        <v>2278</v>
      </c>
      <c r="P4144" s="1" t="s">
        <v>2279</v>
      </c>
      <c r="Q4144" s="3">
        <v>1</v>
      </c>
      <c r="R4144" s="22" t="s">
        <v>2722</v>
      </c>
      <c r="S4144" s="42" t="s">
        <v>6911</v>
      </c>
      <c r="T4144" s="3" t="s">
        <v>4868</v>
      </c>
      <c r="U4144" s="45">
        <v>35</v>
      </c>
      <c r="V4144" t="s">
        <v>8191</v>
      </c>
      <c r="W4144" s="1" t="str">
        <f>HYPERLINK("http://ictvonline.org/taxonomy/p/taxonomy-history?taxnode_id=201901563","ICTVonline=201901563")</f>
        <v>ICTVonline=201901563</v>
      </c>
    </row>
    <row r="4145" spans="1:23">
      <c r="A4145" s="3">
        <v>4144</v>
      </c>
      <c r="B4145" s="1" t="s">
        <v>5910</v>
      </c>
      <c r="D4145" s="1" t="s">
        <v>8187</v>
      </c>
      <c r="F4145" s="1" t="s">
        <v>5588</v>
      </c>
      <c r="G4145" s="1" t="s">
        <v>5589</v>
      </c>
      <c r="H4145" s="1" t="s">
        <v>5604</v>
      </c>
      <c r="J4145" s="1" t="s">
        <v>999</v>
      </c>
      <c r="L4145" s="1" t="s">
        <v>1395</v>
      </c>
      <c r="N4145" s="1" t="s">
        <v>8268</v>
      </c>
      <c r="P4145" s="1" t="s">
        <v>8269</v>
      </c>
      <c r="Q4145" s="3">
        <v>1</v>
      </c>
      <c r="R4145" s="22" t="s">
        <v>2722</v>
      </c>
      <c r="S4145" s="42" t="s">
        <v>6911</v>
      </c>
      <c r="T4145" s="3" t="s">
        <v>4866</v>
      </c>
      <c r="U4145" s="45">
        <v>35</v>
      </c>
      <c r="V4145" t="s">
        <v>8270</v>
      </c>
      <c r="W4145" s="1" t="str">
        <f>HYPERLINK("http://ictvonline.org/taxonomy/p/taxonomy-history?taxnode_id=201907367","ICTVonline=201907367")</f>
        <v>ICTVonline=201907367</v>
      </c>
    </row>
    <row r="4146" spans="1:23">
      <c r="A4146" s="3">
        <v>4145</v>
      </c>
      <c r="B4146" s="1" t="s">
        <v>5910</v>
      </c>
      <c r="D4146" s="1" t="s">
        <v>8187</v>
      </c>
      <c r="F4146" s="1" t="s">
        <v>5588</v>
      </c>
      <c r="G4146" s="1" t="s">
        <v>5589</v>
      </c>
      <c r="H4146" s="1" t="s">
        <v>5604</v>
      </c>
      <c r="J4146" s="1" t="s">
        <v>999</v>
      </c>
      <c r="L4146" s="1" t="s">
        <v>1395</v>
      </c>
      <c r="N4146" s="1" t="s">
        <v>1396</v>
      </c>
      <c r="P4146" s="1" t="s">
        <v>8271</v>
      </c>
      <c r="Q4146" s="3">
        <v>0</v>
      </c>
      <c r="R4146" s="22" t="s">
        <v>2722</v>
      </c>
      <c r="S4146" s="42" t="s">
        <v>6911</v>
      </c>
      <c r="T4146" s="3" t="s">
        <v>4866</v>
      </c>
      <c r="U4146" s="45">
        <v>35</v>
      </c>
      <c r="V4146" t="s">
        <v>8272</v>
      </c>
      <c r="W4146" s="1" t="str">
        <f>HYPERLINK("http://ictvonline.org/taxonomy/p/taxonomy-history?taxnode_id=201907261","ICTVonline=201907261")</f>
        <v>ICTVonline=201907261</v>
      </c>
    </row>
    <row r="4147" spans="1:23">
      <c r="A4147" s="3">
        <v>4146</v>
      </c>
      <c r="B4147" s="1" t="s">
        <v>5910</v>
      </c>
      <c r="D4147" s="1" t="s">
        <v>8187</v>
      </c>
      <c r="F4147" s="1" t="s">
        <v>5588</v>
      </c>
      <c r="G4147" s="1" t="s">
        <v>5589</v>
      </c>
      <c r="H4147" s="1" t="s">
        <v>5604</v>
      </c>
      <c r="J4147" s="1" t="s">
        <v>999</v>
      </c>
      <c r="L4147" s="1" t="s">
        <v>1395</v>
      </c>
      <c r="N4147" s="1" t="s">
        <v>1396</v>
      </c>
      <c r="P4147" s="1" t="s">
        <v>1337</v>
      </c>
      <c r="Q4147" s="3">
        <v>0</v>
      </c>
      <c r="R4147" s="22" t="s">
        <v>2722</v>
      </c>
      <c r="S4147" s="42" t="s">
        <v>6911</v>
      </c>
      <c r="T4147" s="3" t="s">
        <v>4868</v>
      </c>
      <c r="U4147" s="45">
        <v>35</v>
      </c>
      <c r="V4147" t="s">
        <v>8191</v>
      </c>
      <c r="W4147" s="1" t="str">
        <f>HYPERLINK("http://ictvonline.org/taxonomy/p/taxonomy-history?taxnode_id=201901565","ICTVonline=201901565")</f>
        <v>ICTVonline=201901565</v>
      </c>
    </row>
    <row r="4148" spans="1:23">
      <c r="A4148" s="3">
        <v>4147</v>
      </c>
      <c r="B4148" s="1" t="s">
        <v>5910</v>
      </c>
      <c r="D4148" s="1" t="s">
        <v>8187</v>
      </c>
      <c r="F4148" s="1" t="s">
        <v>5588</v>
      </c>
      <c r="G4148" s="1" t="s">
        <v>5589</v>
      </c>
      <c r="H4148" s="1" t="s">
        <v>5604</v>
      </c>
      <c r="J4148" s="1" t="s">
        <v>999</v>
      </c>
      <c r="L4148" s="1" t="s">
        <v>1395</v>
      </c>
      <c r="N4148" s="1" t="s">
        <v>1396</v>
      </c>
      <c r="P4148" s="1" t="s">
        <v>1397</v>
      </c>
      <c r="Q4148" s="3">
        <v>0</v>
      </c>
      <c r="R4148" s="22" t="s">
        <v>2722</v>
      </c>
      <c r="S4148" s="42" t="s">
        <v>6911</v>
      </c>
      <c r="T4148" s="3" t="s">
        <v>4868</v>
      </c>
      <c r="U4148" s="45">
        <v>35</v>
      </c>
      <c r="V4148" t="s">
        <v>8191</v>
      </c>
      <c r="W4148" s="1" t="str">
        <f>HYPERLINK("http://ictvonline.org/taxonomy/p/taxonomy-history?taxnode_id=201901566","ICTVonline=201901566")</f>
        <v>ICTVonline=201901566</v>
      </c>
    </row>
    <row r="4149" spans="1:23">
      <c r="A4149" s="3">
        <v>4148</v>
      </c>
      <c r="B4149" s="1" t="s">
        <v>5910</v>
      </c>
      <c r="D4149" s="1" t="s">
        <v>8187</v>
      </c>
      <c r="F4149" s="1" t="s">
        <v>5588</v>
      </c>
      <c r="G4149" s="1" t="s">
        <v>5589</v>
      </c>
      <c r="H4149" s="1" t="s">
        <v>5604</v>
      </c>
      <c r="J4149" s="1" t="s">
        <v>999</v>
      </c>
      <c r="L4149" s="1" t="s">
        <v>1395</v>
      </c>
      <c r="N4149" s="1" t="s">
        <v>1396</v>
      </c>
      <c r="P4149" s="1" t="s">
        <v>1398</v>
      </c>
      <c r="Q4149" s="3">
        <v>0</v>
      </c>
      <c r="R4149" s="22" t="s">
        <v>2722</v>
      </c>
      <c r="S4149" s="42" t="s">
        <v>6911</v>
      </c>
      <c r="T4149" s="3" t="s">
        <v>4868</v>
      </c>
      <c r="U4149" s="45">
        <v>35</v>
      </c>
      <c r="V4149" t="s">
        <v>8191</v>
      </c>
      <c r="W4149" s="1" t="str">
        <f>HYPERLINK("http://ictvonline.org/taxonomy/p/taxonomy-history?taxnode_id=201901567","ICTVonline=201901567")</f>
        <v>ICTVonline=201901567</v>
      </c>
    </row>
    <row r="4150" spans="1:23">
      <c r="A4150" s="3">
        <v>4149</v>
      </c>
      <c r="B4150" s="1" t="s">
        <v>5910</v>
      </c>
      <c r="D4150" s="1" t="s">
        <v>8187</v>
      </c>
      <c r="F4150" s="1" t="s">
        <v>5588</v>
      </c>
      <c r="G4150" s="1" t="s">
        <v>5589</v>
      </c>
      <c r="H4150" s="1" t="s">
        <v>5604</v>
      </c>
      <c r="J4150" s="1" t="s">
        <v>999</v>
      </c>
      <c r="L4150" s="1" t="s">
        <v>1395</v>
      </c>
      <c r="N4150" s="1" t="s">
        <v>1396</v>
      </c>
      <c r="P4150" s="1" t="s">
        <v>5046</v>
      </c>
      <c r="Q4150" s="3">
        <v>0</v>
      </c>
      <c r="R4150" s="22" t="s">
        <v>2722</v>
      </c>
      <c r="S4150" s="42" t="s">
        <v>6911</v>
      </c>
      <c r="T4150" s="3" t="s">
        <v>4868</v>
      </c>
      <c r="U4150" s="45">
        <v>35</v>
      </c>
      <c r="V4150" t="s">
        <v>8191</v>
      </c>
      <c r="W4150" s="1" t="str">
        <f>HYPERLINK("http://ictvonline.org/taxonomy/p/taxonomy-history?taxnode_id=201901568","ICTVonline=201901568")</f>
        <v>ICTVonline=201901568</v>
      </c>
    </row>
    <row r="4151" spans="1:23">
      <c r="A4151" s="3">
        <v>4150</v>
      </c>
      <c r="B4151" s="1" t="s">
        <v>5910</v>
      </c>
      <c r="D4151" s="1" t="s">
        <v>8187</v>
      </c>
      <c r="F4151" s="1" t="s">
        <v>5588</v>
      </c>
      <c r="G4151" s="1" t="s">
        <v>5589</v>
      </c>
      <c r="H4151" s="1" t="s">
        <v>5604</v>
      </c>
      <c r="J4151" s="1" t="s">
        <v>999</v>
      </c>
      <c r="L4151" s="1" t="s">
        <v>1395</v>
      </c>
      <c r="N4151" s="1" t="s">
        <v>1396</v>
      </c>
      <c r="P4151" s="1" t="s">
        <v>1399</v>
      </c>
      <c r="Q4151" s="3">
        <v>1</v>
      </c>
      <c r="R4151" s="22" t="s">
        <v>2722</v>
      </c>
      <c r="S4151" s="42" t="s">
        <v>6911</v>
      </c>
      <c r="T4151" s="3" t="s">
        <v>4868</v>
      </c>
      <c r="U4151" s="45">
        <v>35</v>
      </c>
      <c r="V4151" t="s">
        <v>8191</v>
      </c>
      <c r="W4151" s="1" t="str">
        <f>HYPERLINK("http://ictvonline.org/taxonomy/p/taxonomy-history?taxnode_id=201901569","ICTVonline=201901569")</f>
        <v>ICTVonline=201901569</v>
      </c>
    </row>
    <row r="4152" spans="1:23">
      <c r="A4152" s="3">
        <v>4151</v>
      </c>
      <c r="B4152" s="1" t="s">
        <v>5910</v>
      </c>
      <c r="D4152" s="1" t="s">
        <v>8187</v>
      </c>
      <c r="F4152" s="1" t="s">
        <v>5588</v>
      </c>
      <c r="G4152" s="1" t="s">
        <v>5589</v>
      </c>
      <c r="H4152" s="1" t="s">
        <v>5604</v>
      </c>
      <c r="J4152" s="1" t="s">
        <v>999</v>
      </c>
      <c r="L4152" s="1" t="s">
        <v>1395</v>
      </c>
      <c r="N4152" s="1" t="s">
        <v>1400</v>
      </c>
      <c r="P4152" s="1" t="s">
        <v>1338</v>
      </c>
      <c r="Q4152" s="3">
        <v>1</v>
      </c>
      <c r="R4152" s="22" t="s">
        <v>2722</v>
      </c>
      <c r="S4152" s="42" t="s">
        <v>6911</v>
      </c>
      <c r="T4152" s="3" t="s">
        <v>4868</v>
      </c>
      <c r="U4152" s="45">
        <v>35</v>
      </c>
      <c r="V4152" t="s">
        <v>8191</v>
      </c>
      <c r="W4152" s="1" t="str">
        <f>HYPERLINK("http://ictvonline.org/taxonomy/p/taxonomy-history?taxnode_id=201901571","ICTVonline=201901571")</f>
        <v>ICTVonline=201901571</v>
      </c>
    </row>
    <row r="4153" spans="1:23">
      <c r="A4153" s="3">
        <v>4152</v>
      </c>
      <c r="B4153" s="1" t="s">
        <v>5910</v>
      </c>
      <c r="D4153" s="1" t="s">
        <v>8187</v>
      </c>
      <c r="F4153" s="1" t="s">
        <v>5588</v>
      </c>
      <c r="G4153" s="1" t="s">
        <v>5589</v>
      </c>
      <c r="H4153" s="1" t="s">
        <v>5604</v>
      </c>
      <c r="J4153" s="1" t="s">
        <v>999</v>
      </c>
      <c r="L4153" s="1" t="s">
        <v>1395</v>
      </c>
      <c r="N4153" s="1" t="s">
        <v>5913</v>
      </c>
      <c r="P4153" s="1" t="s">
        <v>5914</v>
      </c>
      <c r="Q4153" s="3">
        <v>1</v>
      </c>
      <c r="R4153" s="22" t="s">
        <v>2722</v>
      </c>
      <c r="S4153" s="42" t="s">
        <v>6911</v>
      </c>
      <c r="T4153" s="3" t="s">
        <v>4868</v>
      </c>
      <c r="U4153" s="45">
        <v>35</v>
      </c>
      <c r="V4153" t="s">
        <v>8191</v>
      </c>
      <c r="W4153" s="1" t="str">
        <f>HYPERLINK("http://ictvonline.org/taxonomy/p/taxonomy-history?taxnode_id=201906582","ICTVonline=201906582")</f>
        <v>ICTVonline=201906582</v>
      </c>
    </row>
    <row r="4154" spans="1:23">
      <c r="A4154" s="3">
        <v>4153</v>
      </c>
      <c r="B4154" s="1" t="s">
        <v>5910</v>
      </c>
      <c r="D4154" s="1" t="s">
        <v>8187</v>
      </c>
      <c r="F4154" s="1" t="s">
        <v>5588</v>
      </c>
      <c r="G4154" s="1" t="s">
        <v>5589</v>
      </c>
      <c r="H4154" s="1" t="s">
        <v>5604</v>
      </c>
      <c r="J4154" s="1" t="s">
        <v>999</v>
      </c>
      <c r="L4154" s="1" t="s">
        <v>1395</v>
      </c>
      <c r="N4154" s="1" t="s">
        <v>5915</v>
      </c>
      <c r="P4154" s="1" t="s">
        <v>5916</v>
      </c>
      <c r="Q4154" s="3">
        <v>1</v>
      </c>
      <c r="R4154" s="22" t="s">
        <v>2722</v>
      </c>
      <c r="S4154" s="42" t="s">
        <v>6911</v>
      </c>
      <c r="T4154" s="3" t="s">
        <v>4868</v>
      </c>
      <c r="U4154" s="45">
        <v>35</v>
      </c>
      <c r="V4154" t="s">
        <v>8191</v>
      </c>
      <c r="W4154" s="1" t="str">
        <f>HYPERLINK("http://ictvonline.org/taxonomy/p/taxonomy-history?taxnode_id=201906584","ICTVonline=201906584")</f>
        <v>ICTVonline=201906584</v>
      </c>
    </row>
    <row r="4155" spans="1:23">
      <c r="A4155" s="3">
        <v>4154</v>
      </c>
      <c r="B4155" s="1" t="s">
        <v>5910</v>
      </c>
      <c r="D4155" s="1" t="s">
        <v>8187</v>
      </c>
      <c r="F4155" s="1" t="s">
        <v>5588</v>
      </c>
      <c r="G4155" s="1" t="s">
        <v>5589</v>
      </c>
      <c r="H4155" s="1" t="s">
        <v>5604</v>
      </c>
      <c r="J4155" s="1" t="s">
        <v>999</v>
      </c>
      <c r="L4155" s="1" t="s">
        <v>5643</v>
      </c>
      <c r="N4155" s="1" t="s">
        <v>3572</v>
      </c>
      <c r="P4155" s="1" t="s">
        <v>5644</v>
      </c>
      <c r="Q4155" s="3">
        <v>0</v>
      </c>
      <c r="R4155" s="22" t="s">
        <v>2722</v>
      </c>
      <c r="S4155" s="42" t="s">
        <v>6911</v>
      </c>
      <c r="T4155" s="3" t="s">
        <v>4868</v>
      </c>
      <c r="U4155" s="45">
        <v>35</v>
      </c>
      <c r="V4155" t="s">
        <v>8191</v>
      </c>
      <c r="W4155" s="1" t="str">
        <f>HYPERLINK("http://ictvonline.org/taxonomy/p/taxonomy-history?taxnode_id=201901820","ICTVonline=201901820")</f>
        <v>ICTVonline=201901820</v>
      </c>
    </row>
    <row r="4156" spans="1:23">
      <c r="A4156" s="3">
        <v>4155</v>
      </c>
      <c r="B4156" s="1" t="s">
        <v>5910</v>
      </c>
      <c r="D4156" s="1" t="s">
        <v>8187</v>
      </c>
      <c r="F4156" s="1" t="s">
        <v>5588</v>
      </c>
      <c r="G4156" s="1" t="s">
        <v>5589</v>
      </c>
      <c r="H4156" s="1" t="s">
        <v>5604</v>
      </c>
      <c r="J4156" s="1" t="s">
        <v>999</v>
      </c>
      <c r="L4156" s="1" t="s">
        <v>5643</v>
      </c>
      <c r="N4156" s="1" t="s">
        <v>3572</v>
      </c>
      <c r="P4156" s="1" t="s">
        <v>5645</v>
      </c>
      <c r="Q4156" s="3">
        <v>0</v>
      </c>
      <c r="R4156" s="22" t="s">
        <v>2722</v>
      </c>
      <c r="S4156" s="42" t="s">
        <v>6911</v>
      </c>
      <c r="T4156" s="3" t="s">
        <v>4868</v>
      </c>
      <c r="U4156" s="45">
        <v>35</v>
      </c>
      <c r="V4156" t="s">
        <v>8191</v>
      </c>
      <c r="W4156" s="1" t="str">
        <f>HYPERLINK("http://ictvonline.org/taxonomy/p/taxonomy-history?taxnode_id=201906266","ICTVonline=201906266")</f>
        <v>ICTVonline=201906266</v>
      </c>
    </row>
    <row r="4157" spans="1:23">
      <c r="A4157" s="3">
        <v>4156</v>
      </c>
      <c r="B4157" s="1" t="s">
        <v>5910</v>
      </c>
      <c r="D4157" s="1" t="s">
        <v>8187</v>
      </c>
      <c r="F4157" s="1" t="s">
        <v>5588</v>
      </c>
      <c r="G4157" s="1" t="s">
        <v>5589</v>
      </c>
      <c r="H4157" s="1" t="s">
        <v>5604</v>
      </c>
      <c r="J4157" s="1" t="s">
        <v>999</v>
      </c>
      <c r="L4157" s="1" t="s">
        <v>5643</v>
      </c>
      <c r="N4157" s="1" t="s">
        <v>3572</v>
      </c>
      <c r="P4157" s="1" t="s">
        <v>3573</v>
      </c>
      <c r="Q4157" s="3">
        <v>1</v>
      </c>
      <c r="R4157" s="22" t="s">
        <v>2722</v>
      </c>
      <c r="S4157" s="42" t="s">
        <v>6911</v>
      </c>
      <c r="T4157" s="3" t="s">
        <v>4868</v>
      </c>
      <c r="U4157" s="45">
        <v>35</v>
      </c>
      <c r="V4157" t="s">
        <v>8191</v>
      </c>
      <c r="W4157" s="1" t="str">
        <f>HYPERLINK("http://ictvonline.org/taxonomy/p/taxonomy-history?taxnode_id=201901814","ICTVonline=201901814")</f>
        <v>ICTVonline=201901814</v>
      </c>
    </row>
    <row r="4158" spans="1:23">
      <c r="A4158" s="3">
        <v>4157</v>
      </c>
      <c r="B4158" s="1" t="s">
        <v>5910</v>
      </c>
      <c r="D4158" s="1" t="s">
        <v>8187</v>
      </c>
      <c r="F4158" s="1" t="s">
        <v>5588</v>
      </c>
      <c r="G4158" s="1" t="s">
        <v>5589</v>
      </c>
      <c r="H4158" s="1" t="s">
        <v>5604</v>
      </c>
      <c r="J4158" s="1" t="s">
        <v>999</v>
      </c>
      <c r="L4158" s="1" t="s">
        <v>5643</v>
      </c>
      <c r="N4158" s="1" t="s">
        <v>3572</v>
      </c>
      <c r="P4158" s="1" t="s">
        <v>5646</v>
      </c>
      <c r="Q4158" s="3">
        <v>0</v>
      </c>
      <c r="R4158" s="22" t="s">
        <v>2722</v>
      </c>
      <c r="S4158" s="42" t="s">
        <v>6911</v>
      </c>
      <c r="T4158" s="3" t="s">
        <v>4868</v>
      </c>
      <c r="U4158" s="45">
        <v>35</v>
      </c>
      <c r="V4158" t="s">
        <v>8191</v>
      </c>
      <c r="W4158" s="1" t="str">
        <f>HYPERLINK("http://ictvonline.org/taxonomy/p/taxonomy-history?taxnode_id=201906268","ICTVonline=201906268")</f>
        <v>ICTVonline=201906268</v>
      </c>
    </row>
    <row r="4159" spans="1:23">
      <c r="A4159" s="3">
        <v>4158</v>
      </c>
      <c r="B4159" s="1" t="s">
        <v>5910</v>
      </c>
      <c r="D4159" s="1" t="s">
        <v>8187</v>
      </c>
      <c r="F4159" s="1" t="s">
        <v>5588</v>
      </c>
      <c r="G4159" s="1" t="s">
        <v>5589</v>
      </c>
      <c r="H4159" s="1" t="s">
        <v>5604</v>
      </c>
      <c r="J4159" s="1" t="s">
        <v>999</v>
      </c>
      <c r="L4159" s="1" t="s">
        <v>5643</v>
      </c>
      <c r="N4159" s="1" t="s">
        <v>3572</v>
      </c>
      <c r="P4159" s="1" t="s">
        <v>5647</v>
      </c>
      <c r="Q4159" s="3">
        <v>0</v>
      </c>
      <c r="R4159" s="22" t="s">
        <v>2722</v>
      </c>
      <c r="S4159" s="42" t="s">
        <v>6911</v>
      </c>
      <c r="T4159" s="3" t="s">
        <v>4868</v>
      </c>
      <c r="U4159" s="45">
        <v>35</v>
      </c>
      <c r="V4159" t="s">
        <v>8191</v>
      </c>
      <c r="W4159" s="1" t="str">
        <f>HYPERLINK("http://ictvonline.org/taxonomy/p/taxonomy-history?taxnode_id=201901816","ICTVonline=201901816")</f>
        <v>ICTVonline=201901816</v>
      </c>
    </row>
    <row r="4160" spans="1:23">
      <c r="A4160" s="3">
        <v>4159</v>
      </c>
      <c r="B4160" s="1" t="s">
        <v>5910</v>
      </c>
      <c r="D4160" s="1" t="s">
        <v>8187</v>
      </c>
      <c r="F4160" s="1" t="s">
        <v>5588</v>
      </c>
      <c r="G4160" s="1" t="s">
        <v>5589</v>
      </c>
      <c r="H4160" s="1" t="s">
        <v>5604</v>
      </c>
      <c r="J4160" s="1" t="s">
        <v>999</v>
      </c>
      <c r="L4160" s="1" t="s">
        <v>5643</v>
      </c>
      <c r="N4160" s="1" t="s">
        <v>3572</v>
      </c>
      <c r="P4160" s="1" t="s">
        <v>5648</v>
      </c>
      <c r="Q4160" s="3">
        <v>0</v>
      </c>
      <c r="R4160" s="22" t="s">
        <v>2722</v>
      </c>
      <c r="S4160" s="42" t="s">
        <v>6911</v>
      </c>
      <c r="T4160" s="3" t="s">
        <v>4868</v>
      </c>
      <c r="U4160" s="45">
        <v>35</v>
      </c>
      <c r="V4160" t="s">
        <v>8191</v>
      </c>
      <c r="W4160" s="1" t="str">
        <f>HYPERLINK("http://ictvonline.org/taxonomy/p/taxonomy-history?taxnode_id=201906267","ICTVonline=201906267")</f>
        <v>ICTVonline=201906267</v>
      </c>
    </row>
    <row r="4161" spans="1:23">
      <c r="A4161" s="3">
        <v>4160</v>
      </c>
      <c r="B4161" s="1" t="s">
        <v>5910</v>
      </c>
      <c r="D4161" s="1" t="s">
        <v>8187</v>
      </c>
      <c r="F4161" s="1" t="s">
        <v>5588</v>
      </c>
      <c r="G4161" s="1" t="s">
        <v>5589</v>
      </c>
      <c r="H4161" s="1" t="s">
        <v>5604</v>
      </c>
      <c r="J4161" s="1" t="s">
        <v>999</v>
      </c>
      <c r="L4161" s="1" t="s">
        <v>3507</v>
      </c>
      <c r="N4161" s="1" t="s">
        <v>8273</v>
      </c>
      <c r="P4161" s="1" t="s">
        <v>8274</v>
      </c>
      <c r="Q4161" s="3">
        <v>1</v>
      </c>
      <c r="R4161" s="22" t="s">
        <v>2722</v>
      </c>
      <c r="S4161" s="42" t="s">
        <v>6911</v>
      </c>
      <c r="T4161" s="3" t="s">
        <v>4866</v>
      </c>
      <c r="U4161" s="45">
        <v>35</v>
      </c>
      <c r="V4161" t="s">
        <v>8275</v>
      </c>
      <c r="W4161" s="1" t="str">
        <f>HYPERLINK("http://ictvonline.org/taxonomy/p/taxonomy-history?taxnode_id=201908670","ICTVonline=201908670")</f>
        <v>ICTVonline=201908670</v>
      </c>
    </row>
    <row r="4162" spans="1:23">
      <c r="A4162" s="3">
        <v>4161</v>
      </c>
      <c r="B4162" s="1" t="s">
        <v>5910</v>
      </c>
      <c r="D4162" s="1" t="s">
        <v>8187</v>
      </c>
      <c r="F4162" s="1" t="s">
        <v>5588</v>
      </c>
      <c r="G4162" s="1" t="s">
        <v>5589</v>
      </c>
      <c r="H4162" s="1" t="s">
        <v>5604</v>
      </c>
      <c r="J4162" s="1" t="s">
        <v>999</v>
      </c>
      <c r="L4162" s="1" t="s">
        <v>3507</v>
      </c>
      <c r="N4162" s="1" t="s">
        <v>8273</v>
      </c>
      <c r="P4162" s="1" t="s">
        <v>8276</v>
      </c>
      <c r="Q4162" s="3">
        <v>0</v>
      </c>
      <c r="R4162" s="22" t="s">
        <v>2722</v>
      </c>
      <c r="S4162" s="42" t="s">
        <v>6911</v>
      </c>
      <c r="T4162" s="3" t="s">
        <v>4866</v>
      </c>
      <c r="U4162" s="45">
        <v>35</v>
      </c>
      <c r="V4162" t="s">
        <v>8275</v>
      </c>
      <c r="W4162" s="1" t="str">
        <f>HYPERLINK("http://ictvonline.org/taxonomy/p/taxonomy-history?taxnode_id=201908671","ICTVonline=201908671")</f>
        <v>ICTVonline=201908671</v>
      </c>
    </row>
    <row r="4163" spans="1:23">
      <c r="A4163" s="3">
        <v>4162</v>
      </c>
      <c r="B4163" s="1" t="s">
        <v>5910</v>
      </c>
      <c r="D4163" s="1" t="s">
        <v>8187</v>
      </c>
      <c r="F4163" s="1" t="s">
        <v>5588</v>
      </c>
      <c r="G4163" s="1" t="s">
        <v>5589</v>
      </c>
      <c r="H4163" s="1" t="s">
        <v>5604</v>
      </c>
      <c r="J4163" s="1" t="s">
        <v>999</v>
      </c>
      <c r="L4163" s="1" t="s">
        <v>3507</v>
      </c>
      <c r="N4163" s="1" t="s">
        <v>3508</v>
      </c>
      <c r="P4163" s="1" t="s">
        <v>5649</v>
      </c>
      <c r="Q4163" s="3">
        <v>0</v>
      </c>
      <c r="R4163" s="22" t="s">
        <v>2722</v>
      </c>
      <c r="S4163" s="42" t="s">
        <v>6911</v>
      </c>
      <c r="T4163" s="3" t="s">
        <v>4868</v>
      </c>
      <c r="U4163" s="45">
        <v>35</v>
      </c>
      <c r="V4163" t="s">
        <v>8191</v>
      </c>
      <c r="W4163" s="1" t="str">
        <f>HYPERLINK("http://ictvonline.org/taxonomy/p/taxonomy-history?taxnode_id=201906247","ICTVonline=201906247")</f>
        <v>ICTVonline=201906247</v>
      </c>
    </row>
    <row r="4164" spans="1:23">
      <c r="A4164" s="3">
        <v>4163</v>
      </c>
      <c r="B4164" s="1" t="s">
        <v>5910</v>
      </c>
      <c r="D4164" s="1" t="s">
        <v>8187</v>
      </c>
      <c r="F4164" s="1" t="s">
        <v>5588</v>
      </c>
      <c r="G4164" s="1" t="s">
        <v>5589</v>
      </c>
      <c r="H4164" s="1" t="s">
        <v>5604</v>
      </c>
      <c r="J4164" s="1" t="s">
        <v>999</v>
      </c>
      <c r="L4164" s="1" t="s">
        <v>3507</v>
      </c>
      <c r="N4164" s="1" t="s">
        <v>3508</v>
      </c>
      <c r="P4164" s="1" t="s">
        <v>5650</v>
      </c>
      <c r="Q4164" s="3">
        <v>0</v>
      </c>
      <c r="R4164" s="22" t="s">
        <v>2722</v>
      </c>
      <c r="S4164" s="42" t="s">
        <v>6911</v>
      </c>
      <c r="T4164" s="3" t="s">
        <v>4868</v>
      </c>
      <c r="U4164" s="45">
        <v>35</v>
      </c>
      <c r="V4164" t="s">
        <v>8191</v>
      </c>
      <c r="W4164" s="1" t="str">
        <f>HYPERLINK("http://ictvonline.org/taxonomy/p/taxonomy-history?taxnode_id=201906248","ICTVonline=201906248")</f>
        <v>ICTVonline=201906248</v>
      </c>
    </row>
    <row r="4165" spans="1:23">
      <c r="A4165" s="3">
        <v>4164</v>
      </c>
      <c r="B4165" s="1" t="s">
        <v>5910</v>
      </c>
      <c r="D4165" s="1" t="s">
        <v>8187</v>
      </c>
      <c r="F4165" s="1" t="s">
        <v>5588</v>
      </c>
      <c r="G4165" s="1" t="s">
        <v>5589</v>
      </c>
      <c r="H4165" s="1" t="s">
        <v>5604</v>
      </c>
      <c r="J4165" s="1" t="s">
        <v>999</v>
      </c>
      <c r="L4165" s="1" t="s">
        <v>3507</v>
      </c>
      <c r="N4165" s="1" t="s">
        <v>3508</v>
      </c>
      <c r="P4165" s="1" t="s">
        <v>5651</v>
      </c>
      <c r="Q4165" s="3">
        <v>0</v>
      </c>
      <c r="R4165" s="22" t="s">
        <v>2722</v>
      </c>
      <c r="S4165" s="42" t="s">
        <v>6911</v>
      </c>
      <c r="T4165" s="3" t="s">
        <v>4868</v>
      </c>
      <c r="U4165" s="45">
        <v>35</v>
      </c>
      <c r="V4165" t="s">
        <v>8191</v>
      </c>
      <c r="W4165" s="1" t="str">
        <f>HYPERLINK("http://ictvonline.org/taxonomy/p/taxonomy-history?taxnode_id=201906243","ICTVonline=201906243")</f>
        <v>ICTVonline=201906243</v>
      </c>
    </row>
    <row r="4166" spans="1:23">
      <c r="A4166" s="3">
        <v>4165</v>
      </c>
      <c r="B4166" s="1" t="s">
        <v>5910</v>
      </c>
      <c r="D4166" s="1" t="s">
        <v>8187</v>
      </c>
      <c r="F4166" s="1" t="s">
        <v>5588</v>
      </c>
      <c r="G4166" s="1" t="s">
        <v>5589</v>
      </c>
      <c r="H4166" s="1" t="s">
        <v>5604</v>
      </c>
      <c r="J4166" s="1" t="s">
        <v>999</v>
      </c>
      <c r="L4166" s="1" t="s">
        <v>3507</v>
      </c>
      <c r="N4166" s="1" t="s">
        <v>3508</v>
      </c>
      <c r="P4166" s="1" t="s">
        <v>5652</v>
      </c>
      <c r="Q4166" s="3">
        <v>0</v>
      </c>
      <c r="R4166" s="22" t="s">
        <v>2722</v>
      </c>
      <c r="S4166" s="42" t="s">
        <v>6911</v>
      </c>
      <c r="T4166" s="3" t="s">
        <v>4868</v>
      </c>
      <c r="U4166" s="45">
        <v>35</v>
      </c>
      <c r="V4166" t="s">
        <v>8191</v>
      </c>
      <c r="W4166" s="1" t="str">
        <f>HYPERLINK("http://ictvonline.org/taxonomy/p/taxonomy-history?taxnode_id=201906246","ICTVonline=201906246")</f>
        <v>ICTVonline=201906246</v>
      </c>
    </row>
    <row r="4167" spans="1:23">
      <c r="A4167" s="3">
        <v>4166</v>
      </c>
      <c r="B4167" s="1" t="s">
        <v>5910</v>
      </c>
      <c r="D4167" s="1" t="s">
        <v>8187</v>
      </c>
      <c r="F4167" s="1" t="s">
        <v>5588</v>
      </c>
      <c r="G4167" s="1" t="s">
        <v>5589</v>
      </c>
      <c r="H4167" s="1" t="s">
        <v>5604</v>
      </c>
      <c r="J4167" s="1" t="s">
        <v>999</v>
      </c>
      <c r="L4167" s="1" t="s">
        <v>3507</v>
      </c>
      <c r="N4167" s="1" t="s">
        <v>3508</v>
      </c>
      <c r="P4167" s="1" t="s">
        <v>5653</v>
      </c>
      <c r="Q4167" s="3">
        <v>0</v>
      </c>
      <c r="R4167" s="22" t="s">
        <v>2722</v>
      </c>
      <c r="S4167" s="42" t="s">
        <v>6911</v>
      </c>
      <c r="T4167" s="3" t="s">
        <v>4868</v>
      </c>
      <c r="U4167" s="45">
        <v>35</v>
      </c>
      <c r="V4167" t="s">
        <v>8191</v>
      </c>
      <c r="W4167" s="1" t="str">
        <f>HYPERLINK("http://ictvonline.org/taxonomy/p/taxonomy-history?taxnode_id=201906244","ICTVonline=201906244")</f>
        <v>ICTVonline=201906244</v>
      </c>
    </row>
    <row r="4168" spans="1:23">
      <c r="A4168" s="3">
        <v>4167</v>
      </c>
      <c r="B4168" s="1" t="s">
        <v>5910</v>
      </c>
      <c r="D4168" s="1" t="s">
        <v>8187</v>
      </c>
      <c r="F4168" s="1" t="s">
        <v>5588</v>
      </c>
      <c r="G4168" s="1" t="s">
        <v>5589</v>
      </c>
      <c r="H4168" s="1" t="s">
        <v>5604</v>
      </c>
      <c r="J4168" s="1" t="s">
        <v>999</v>
      </c>
      <c r="L4168" s="1" t="s">
        <v>3507</v>
      </c>
      <c r="N4168" s="1" t="s">
        <v>3508</v>
      </c>
      <c r="P4168" s="1" t="s">
        <v>5654</v>
      </c>
      <c r="Q4168" s="3">
        <v>0</v>
      </c>
      <c r="R4168" s="22" t="s">
        <v>2722</v>
      </c>
      <c r="S4168" s="42" t="s">
        <v>6911</v>
      </c>
      <c r="T4168" s="3" t="s">
        <v>4868</v>
      </c>
      <c r="U4168" s="45">
        <v>35</v>
      </c>
      <c r="V4168" t="s">
        <v>8191</v>
      </c>
      <c r="W4168" s="1" t="str">
        <f>HYPERLINK("http://ictvonline.org/taxonomy/p/taxonomy-history?taxnode_id=201906245","ICTVonline=201906245")</f>
        <v>ICTVonline=201906245</v>
      </c>
    </row>
    <row r="4169" spans="1:23">
      <c r="A4169" s="3">
        <v>4168</v>
      </c>
      <c r="B4169" s="1" t="s">
        <v>5910</v>
      </c>
      <c r="D4169" s="1" t="s">
        <v>8187</v>
      </c>
      <c r="F4169" s="1" t="s">
        <v>5588</v>
      </c>
      <c r="G4169" s="1" t="s">
        <v>5589</v>
      </c>
      <c r="H4169" s="1" t="s">
        <v>5604</v>
      </c>
      <c r="J4169" s="1" t="s">
        <v>999</v>
      </c>
      <c r="L4169" s="1" t="s">
        <v>3507</v>
      </c>
      <c r="N4169" s="1" t="s">
        <v>3508</v>
      </c>
      <c r="P4169" s="1" t="s">
        <v>3509</v>
      </c>
      <c r="Q4169" s="3">
        <v>1</v>
      </c>
      <c r="R4169" s="22" t="s">
        <v>2722</v>
      </c>
      <c r="S4169" s="42" t="s">
        <v>6911</v>
      </c>
      <c r="T4169" s="3" t="s">
        <v>4868</v>
      </c>
      <c r="U4169" s="45">
        <v>35</v>
      </c>
      <c r="V4169" t="s">
        <v>8191</v>
      </c>
      <c r="W4169" s="1" t="str">
        <f>HYPERLINK("http://ictvonline.org/taxonomy/p/taxonomy-history?taxnode_id=201901575","ICTVonline=201901575")</f>
        <v>ICTVonline=201901575</v>
      </c>
    </row>
    <row r="4170" spans="1:23">
      <c r="A4170" s="3">
        <v>4169</v>
      </c>
      <c r="B4170" s="1" t="s">
        <v>5910</v>
      </c>
      <c r="D4170" s="1" t="s">
        <v>8187</v>
      </c>
      <c r="F4170" s="1" t="s">
        <v>5588</v>
      </c>
      <c r="G4170" s="1" t="s">
        <v>5589</v>
      </c>
      <c r="H4170" s="1" t="s">
        <v>5604</v>
      </c>
      <c r="J4170" s="1" t="s">
        <v>999</v>
      </c>
      <c r="L4170" s="1" t="s">
        <v>2280</v>
      </c>
      <c r="N4170" s="1" t="s">
        <v>5655</v>
      </c>
      <c r="P4170" s="1" t="s">
        <v>5656</v>
      </c>
      <c r="Q4170" s="3">
        <v>0</v>
      </c>
      <c r="R4170" s="22" t="s">
        <v>2722</v>
      </c>
      <c r="S4170" s="42" t="s">
        <v>6911</v>
      </c>
      <c r="T4170" s="3" t="s">
        <v>4868</v>
      </c>
      <c r="U4170" s="45">
        <v>35</v>
      </c>
      <c r="V4170" t="s">
        <v>8191</v>
      </c>
      <c r="W4170" s="1" t="str">
        <f>HYPERLINK("http://ictvonline.org/taxonomy/p/taxonomy-history?taxnode_id=201906257","ICTVonline=201906257")</f>
        <v>ICTVonline=201906257</v>
      </c>
    </row>
    <row r="4171" spans="1:23">
      <c r="A4171" s="3">
        <v>4170</v>
      </c>
      <c r="B4171" s="1" t="s">
        <v>5910</v>
      </c>
      <c r="D4171" s="1" t="s">
        <v>8187</v>
      </c>
      <c r="F4171" s="1" t="s">
        <v>5588</v>
      </c>
      <c r="G4171" s="1" t="s">
        <v>5589</v>
      </c>
      <c r="H4171" s="1" t="s">
        <v>5604</v>
      </c>
      <c r="J4171" s="1" t="s">
        <v>999</v>
      </c>
      <c r="L4171" s="1" t="s">
        <v>2280</v>
      </c>
      <c r="N4171" s="1" t="s">
        <v>5655</v>
      </c>
      <c r="P4171" s="1" t="s">
        <v>5657</v>
      </c>
      <c r="Q4171" s="3">
        <v>0</v>
      </c>
      <c r="R4171" s="22" t="s">
        <v>2722</v>
      </c>
      <c r="S4171" s="42" t="s">
        <v>6911</v>
      </c>
      <c r="T4171" s="3" t="s">
        <v>4868</v>
      </c>
      <c r="U4171" s="45">
        <v>35</v>
      </c>
      <c r="V4171" t="s">
        <v>8191</v>
      </c>
      <c r="W4171" s="1" t="str">
        <f>HYPERLINK("http://ictvonline.org/taxonomy/p/taxonomy-history?taxnode_id=201906258","ICTVonline=201906258")</f>
        <v>ICTVonline=201906258</v>
      </c>
    </row>
    <row r="4172" spans="1:23">
      <c r="A4172" s="3">
        <v>4171</v>
      </c>
      <c r="B4172" s="1" t="s">
        <v>5910</v>
      </c>
      <c r="D4172" s="1" t="s">
        <v>8187</v>
      </c>
      <c r="F4172" s="1" t="s">
        <v>5588</v>
      </c>
      <c r="G4172" s="1" t="s">
        <v>5589</v>
      </c>
      <c r="H4172" s="1" t="s">
        <v>5604</v>
      </c>
      <c r="J4172" s="1" t="s">
        <v>999</v>
      </c>
      <c r="L4172" s="1" t="s">
        <v>2280</v>
      </c>
      <c r="N4172" s="1" t="s">
        <v>5655</v>
      </c>
      <c r="P4172" s="1" t="s">
        <v>5658</v>
      </c>
      <c r="Q4172" s="3">
        <v>1</v>
      </c>
      <c r="R4172" s="22" t="s">
        <v>2722</v>
      </c>
      <c r="S4172" s="42" t="s">
        <v>6911</v>
      </c>
      <c r="T4172" s="3" t="s">
        <v>4868</v>
      </c>
      <c r="U4172" s="45">
        <v>35</v>
      </c>
      <c r="V4172" t="s">
        <v>8191</v>
      </c>
      <c r="W4172" s="1" t="str">
        <f>HYPERLINK("http://ictvonline.org/taxonomy/p/taxonomy-history?taxnode_id=201906256","ICTVonline=201906256")</f>
        <v>ICTVonline=201906256</v>
      </c>
    </row>
    <row r="4173" spans="1:23">
      <c r="A4173" s="3">
        <v>4172</v>
      </c>
      <c r="B4173" s="1" t="s">
        <v>5910</v>
      </c>
      <c r="D4173" s="1" t="s">
        <v>8187</v>
      </c>
      <c r="F4173" s="1" t="s">
        <v>5588</v>
      </c>
      <c r="G4173" s="1" t="s">
        <v>5589</v>
      </c>
      <c r="H4173" s="1" t="s">
        <v>5604</v>
      </c>
      <c r="J4173" s="1" t="s">
        <v>999</v>
      </c>
      <c r="L4173" s="1" t="s">
        <v>2280</v>
      </c>
      <c r="N4173" s="1" t="s">
        <v>3574</v>
      </c>
      <c r="P4173" s="1" t="s">
        <v>5659</v>
      </c>
      <c r="Q4173" s="3">
        <v>0</v>
      </c>
      <c r="R4173" s="22" t="s">
        <v>2722</v>
      </c>
      <c r="S4173" s="42" t="s">
        <v>6911</v>
      </c>
      <c r="T4173" s="3" t="s">
        <v>4868</v>
      </c>
      <c r="U4173" s="45">
        <v>35</v>
      </c>
      <c r="V4173" t="s">
        <v>8191</v>
      </c>
      <c r="W4173" s="1" t="str">
        <f>HYPERLINK("http://ictvonline.org/taxonomy/p/taxonomy-history?taxnode_id=201906250","ICTVonline=201906250")</f>
        <v>ICTVonline=201906250</v>
      </c>
    </row>
    <row r="4174" spans="1:23">
      <c r="A4174" s="3">
        <v>4173</v>
      </c>
      <c r="B4174" s="1" t="s">
        <v>5910</v>
      </c>
      <c r="D4174" s="1" t="s">
        <v>8187</v>
      </c>
      <c r="F4174" s="1" t="s">
        <v>5588</v>
      </c>
      <c r="G4174" s="1" t="s">
        <v>5589</v>
      </c>
      <c r="H4174" s="1" t="s">
        <v>5604</v>
      </c>
      <c r="J4174" s="1" t="s">
        <v>999</v>
      </c>
      <c r="L4174" s="1" t="s">
        <v>2280</v>
      </c>
      <c r="N4174" s="1" t="s">
        <v>3574</v>
      </c>
      <c r="P4174" s="1" t="s">
        <v>5660</v>
      </c>
      <c r="Q4174" s="3">
        <v>0</v>
      </c>
      <c r="R4174" s="22" t="s">
        <v>2722</v>
      </c>
      <c r="S4174" s="42" t="s">
        <v>6911</v>
      </c>
      <c r="T4174" s="3" t="s">
        <v>4868</v>
      </c>
      <c r="U4174" s="45">
        <v>35</v>
      </c>
      <c r="V4174" t="s">
        <v>8191</v>
      </c>
      <c r="W4174" s="1" t="str">
        <f>HYPERLINK("http://ictvonline.org/taxonomy/p/taxonomy-history?taxnode_id=201906249","ICTVonline=201906249")</f>
        <v>ICTVonline=201906249</v>
      </c>
    </row>
    <row r="4175" spans="1:23">
      <c r="A4175" s="3">
        <v>4174</v>
      </c>
      <c r="B4175" s="1" t="s">
        <v>5910</v>
      </c>
      <c r="D4175" s="1" t="s">
        <v>8187</v>
      </c>
      <c r="F4175" s="1" t="s">
        <v>5588</v>
      </c>
      <c r="G4175" s="1" t="s">
        <v>5589</v>
      </c>
      <c r="H4175" s="1" t="s">
        <v>5604</v>
      </c>
      <c r="J4175" s="1" t="s">
        <v>999</v>
      </c>
      <c r="L4175" s="1" t="s">
        <v>2280</v>
      </c>
      <c r="N4175" s="1" t="s">
        <v>3574</v>
      </c>
      <c r="P4175" s="1" t="s">
        <v>3575</v>
      </c>
      <c r="Q4175" s="3">
        <v>1</v>
      </c>
      <c r="R4175" s="22" t="s">
        <v>2722</v>
      </c>
      <c r="S4175" s="42" t="s">
        <v>6911</v>
      </c>
      <c r="T4175" s="3" t="s">
        <v>4868</v>
      </c>
      <c r="U4175" s="45">
        <v>35</v>
      </c>
      <c r="V4175" t="s">
        <v>8191</v>
      </c>
      <c r="W4175" s="1" t="str">
        <f>HYPERLINK("http://ictvonline.org/taxonomy/p/taxonomy-history?taxnode_id=201901818","ICTVonline=201901818")</f>
        <v>ICTVonline=201901818</v>
      </c>
    </row>
    <row r="4176" spans="1:23">
      <c r="A4176" s="3">
        <v>4175</v>
      </c>
      <c r="B4176" s="1" t="s">
        <v>5910</v>
      </c>
      <c r="D4176" s="1" t="s">
        <v>8187</v>
      </c>
      <c r="F4176" s="1" t="s">
        <v>5588</v>
      </c>
      <c r="G4176" s="1" t="s">
        <v>5589</v>
      </c>
      <c r="H4176" s="1" t="s">
        <v>5604</v>
      </c>
      <c r="J4176" s="1" t="s">
        <v>999</v>
      </c>
      <c r="L4176" s="1" t="s">
        <v>2280</v>
      </c>
      <c r="N4176" s="1" t="s">
        <v>2281</v>
      </c>
      <c r="P4176" s="1" t="s">
        <v>2282</v>
      </c>
      <c r="Q4176" s="3">
        <v>0</v>
      </c>
      <c r="R4176" s="22" t="s">
        <v>2722</v>
      </c>
      <c r="S4176" s="42" t="s">
        <v>6911</v>
      </c>
      <c r="T4176" s="3" t="s">
        <v>4868</v>
      </c>
      <c r="U4176" s="45">
        <v>35</v>
      </c>
      <c r="V4176" t="s">
        <v>8191</v>
      </c>
      <c r="W4176" s="1" t="str">
        <f>HYPERLINK("http://ictvonline.org/taxonomy/p/taxonomy-history?taxnode_id=201901579","ICTVonline=201901579")</f>
        <v>ICTVonline=201901579</v>
      </c>
    </row>
    <row r="4177" spans="1:23">
      <c r="A4177" s="3">
        <v>4176</v>
      </c>
      <c r="B4177" s="1" t="s">
        <v>5910</v>
      </c>
      <c r="D4177" s="1" t="s">
        <v>8187</v>
      </c>
      <c r="F4177" s="1" t="s">
        <v>5588</v>
      </c>
      <c r="G4177" s="1" t="s">
        <v>5589</v>
      </c>
      <c r="H4177" s="1" t="s">
        <v>5604</v>
      </c>
      <c r="J4177" s="1" t="s">
        <v>999</v>
      </c>
      <c r="L4177" s="1" t="s">
        <v>2280</v>
      </c>
      <c r="N4177" s="1" t="s">
        <v>2281</v>
      </c>
      <c r="P4177" s="1" t="s">
        <v>2283</v>
      </c>
      <c r="Q4177" s="3">
        <v>1</v>
      </c>
      <c r="R4177" s="22" t="s">
        <v>2722</v>
      </c>
      <c r="S4177" s="42" t="s">
        <v>6911</v>
      </c>
      <c r="T4177" s="3" t="s">
        <v>4868</v>
      </c>
      <c r="U4177" s="45">
        <v>35</v>
      </c>
      <c r="V4177" t="s">
        <v>8191</v>
      </c>
      <c r="W4177" s="1" t="str">
        <f>HYPERLINK("http://ictvonline.org/taxonomy/p/taxonomy-history?taxnode_id=201901580","ICTVonline=201901580")</f>
        <v>ICTVonline=201901580</v>
      </c>
    </row>
    <row r="4178" spans="1:23">
      <c r="A4178" s="3">
        <v>4177</v>
      </c>
      <c r="B4178" s="1" t="s">
        <v>5910</v>
      </c>
      <c r="D4178" s="1" t="s">
        <v>8187</v>
      </c>
      <c r="F4178" s="1" t="s">
        <v>5588</v>
      </c>
      <c r="G4178" s="1" t="s">
        <v>5589</v>
      </c>
      <c r="H4178" s="1" t="s">
        <v>5604</v>
      </c>
      <c r="J4178" s="1" t="s">
        <v>999</v>
      </c>
      <c r="L4178" s="1" t="s">
        <v>2280</v>
      </c>
      <c r="N4178" s="1" t="s">
        <v>2281</v>
      </c>
      <c r="P4178" s="1" t="s">
        <v>2601</v>
      </c>
      <c r="Q4178" s="3">
        <v>0</v>
      </c>
      <c r="R4178" s="22" t="s">
        <v>2722</v>
      </c>
      <c r="S4178" s="42" t="s">
        <v>6911</v>
      </c>
      <c r="T4178" s="3" t="s">
        <v>4868</v>
      </c>
      <c r="U4178" s="45">
        <v>35</v>
      </c>
      <c r="V4178" t="s">
        <v>8191</v>
      </c>
      <c r="W4178" s="1" t="str">
        <f>HYPERLINK("http://ictvonline.org/taxonomy/p/taxonomy-history?taxnode_id=201901581","ICTVonline=201901581")</f>
        <v>ICTVonline=201901581</v>
      </c>
    </row>
    <row r="4179" spans="1:23">
      <c r="A4179" s="3">
        <v>4178</v>
      </c>
      <c r="B4179" s="1" t="s">
        <v>5910</v>
      </c>
      <c r="D4179" s="1" t="s">
        <v>8187</v>
      </c>
      <c r="F4179" s="1" t="s">
        <v>5588</v>
      </c>
      <c r="G4179" s="1" t="s">
        <v>5589</v>
      </c>
      <c r="H4179" s="1" t="s">
        <v>5604</v>
      </c>
      <c r="J4179" s="1" t="s">
        <v>999</v>
      </c>
      <c r="L4179" s="1" t="s">
        <v>2280</v>
      </c>
      <c r="N4179" s="1" t="s">
        <v>5661</v>
      </c>
      <c r="P4179" s="1" t="s">
        <v>5662</v>
      </c>
      <c r="Q4179" s="3">
        <v>1</v>
      </c>
      <c r="R4179" s="22" t="s">
        <v>2722</v>
      </c>
      <c r="S4179" s="42" t="s">
        <v>6911</v>
      </c>
      <c r="T4179" s="3" t="s">
        <v>4868</v>
      </c>
      <c r="U4179" s="45">
        <v>35</v>
      </c>
      <c r="V4179" t="s">
        <v>8191</v>
      </c>
      <c r="W4179" s="1" t="str">
        <f>HYPERLINK("http://ictvonline.org/taxonomy/p/taxonomy-history?taxnode_id=201906252","ICTVonline=201906252")</f>
        <v>ICTVonline=201906252</v>
      </c>
    </row>
    <row r="4180" spans="1:23">
      <c r="A4180" s="3">
        <v>4179</v>
      </c>
      <c r="B4180" s="1" t="s">
        <v>5910</v>
      </c>
      <c r="D4180" s="1" t="s">
        <v>8187</v>
      </c>
      <c r="F4180" s="1" t="s">
        <v>5588</v>
      </c>
      <c r="G4180" s="1" t="s">
        <v>5589</v>
      </c>
      <c r="H4180" s="1" t="s">
        <v>5604</v>
      </c>
      <c r="J4180" s="1" t="s">
        <v>999</v>
      </c>
      <c r="L4180" s="1" t="s">
        <v>2280</v>
      </c>
      <c r="N4180" s="1" t="s">
        <v>3510</v>
      </c>
      <c r="P4180" s="1" t="s">
        <v>3511</v>
      </c>
      <c r="Q4180" s="3">
        <v>1</v>
      </c>
      <c r="R4180" s="22" t="s">
        <v>2722</v>
      </c>
      <c r="S4180" s="42" t="s">
        <v>6911</v>
      </c>
      <c r="T4180" s="3" t="s">
        <v>4868</v>
      </c>
      <c r="U4180" s="45">
        <v>35</v>
      </c>
      <c r="V4180" t="s">
        <v>8191</v>
      </c>
      <c r="W4180" s="1" t="str">
        <f>HYPERLINK("http://ictvonline.org/taxonomy/p/taxonomy-history?taxnode_id=201901585","ICTVonline=201901585")</f>
        <v>ICTVonline=201901585</v>
      </c>
    </row>
    <row r="4181" spans="1:23">
      <c r="A4181" s="3">
        <v>4180</v>
      </c>
      <c r="B4181" s="1" t="s">
        <v>5910</v>
      </c>
      <c r="D4181" s="1" t="s">
        <v>8187</v>
      </c>
      <c r="F4181" s="1" t="s">
        <v>5588</v>
      </c>
      <c r="G4181" s="1" t="s">
        <v>5589</v>
      </c>
      <c r="H4181" s="1" t="s">
        <v>5604</v>
      </c>
      <c r="J4181" s="1" t="s">
        <v>999</v>
      </c>
      <c r="L4181" s="1" t="s">
        <v>2280</v>
      </c>
      <c r="N4181" s="1" t="s">
        <v>5663</v>
      </c>
      <c r="P4181" s="1" t="s">
        <v>5664</v>
      </c>
      <c r="Q4181" s="3">
        <v>1</v>
      </c>
      <c r="R4181" s="22" t="s">
        <v>2722</v>
      </c>
      <c r="S4181" s="42" t="s">
        <v>6911</v>
      </c>
      <c r="T4181" s="3" t="s">
        <v>4868</v>
      </c>
      <c r="U4181" s="45">
        <v>35</v>
      </c>
      <c r="V4181" t="s">
        <v>8191</v>
      </c>
      <c r="W4181" s="1" t="str">
        <f>HYPERLINK("http://ictvonline.org/taxonomy/p/taxonomy-history?taxnode_id=201906254","ICTVonline=201906254")</f>
        <v>ICTVonline=201906254</v>
      </c>
    </row>
    <row r="4182" spans="1:23">
      <c r="A4182" s="3">
        <v>4181</v>
      </c>
      <c r="B4182" s="1" t="s">
        <v>5910</v>
      </c>
      <c r="D4182" s="1" t="s">
        <v>8187</v>
      </c>
      <c r="F4182" s="1" t="s">
        <v>5588</v>
      </c>
      <c r="G4182" s="1" t="s">
        <v>5589</v>
      </c>
      <c r="H4182" s="1" t="s">
        <v>5604</v>
      </c>
      <c r="J4182" s="1" t="s">
        <v>999</v>
      </c>
      <c r="L4182" s="1" t="s">
        <v>1401</v>
      </c>
      <c r="M4182" s="1" t="s">
        <v>5917</v>
      </c>
      <c r="N4182" s="1" t="s">
        <v>5918</v>
      </c>
      <c r="P4182" s="1" t="s">
        <v>5919</v>
      </c>
      <c r="Q4182" s="3">
        <v>1</v>
      </c>
      <c r="R4182" s="22" t="s">
        <v>2722</v>
      </c>
      <c r="S4182" s="42" t="s">
        <v>6911</v>
      </c>
      <c r="T4182" s="3" t="s">
        <v>4868</v>
      </c>
      <c r="U4182" s="45">
        <v>35</v>
      </c>
      <c r="V4182" t="s">
        <v>8191</v>
      </c>
      <c r="W4182" s="1" t="str">
        <f>HYPERLINK("http://ictvonline.org/taxonomy/p/taxonomy-history?taxnode_id=201901592","ICTVonline=201901592")</f>
        <v>ICTVonline=201901592</v>
      </c>
    </row>
    <row r="4183" spans="1:23">
      <c r="A4183" s="3">
        <v>4182</v>
      </c>
      <c r="B4183" s="1" t="s">
        <v>5910</v>
      </c>
      <c r="D4183" s="1" t="s">
        <v>8187</v>
      </c>
      <c r="F4183" s="1" t="s">
        <v>5588</v>
      </c>
      <c r="G4183" s="1" t="s">
        <v>5589</v>
      </c>
      <c r="H4183" s="1" t="s">
        <v>5604</v>
      </c>
      <c r="J4183" s="1" t="s">
        <v>999</v>
      </c>
      <c r="L4183" s="1" t="s">
        <v>1401</v>
      </c>
      <c r="M4183" s="1" t="s">
        <v>5917</v>
      </c>
      <c r="N4183" s="1" t="s">
        <v>5918</v>
      </c>
      <c r="P4183" s="1" t="s">
        <v>5920</v>
      </c>
      <c r="Q4183" s="3">
        <v>0</v>
      </c>
      <c r="R4183" s="22" t="s">
        <v>2722</v>
      </c>
      <c r="S4183" s="42" t="s">
        <v>6911</v>
      </c>
      <c r="T4183" s="3" t="s">
        <v>4868</v>
      </c>
      <c r="U4183" s="45">
        <v>35</v>
      </c>
      <c r="V4183" t="s">
        <v>8191</v>
      </c>
      <c r="W4183" s="1" t="str">
        <f>HYPERLINK("http://ictvonline.org/taxonomy/p/taxonomy-history?taxnode_id=201901595","ICTVonline=201901595")</f>
        <v>ICTVonline=201901595</v>
      </c>
    </row>
    <row r="4184" spans="1:23">
      <c r="A4184" s="3">
        <v>4183</v>
      </c>
      <c r="B4184" s="1" t="s">
        <v>5910</v>
      </c>
      <c r="D4184" s="1" t="s">
        <v>8187</v>
      </c>
      <c r="F4184" s="1" t="s">
        <v>5588</v>
      </c>
      <c r="G4184" s="1" t="s">
        <v>5589</v>
      </c>
      <c r="H4184" s="1" t="s">
        <v>5604</v>
      </c>
      <c r="J4184" s="1" t="s">
        <v>999</v>
      </c>
      <c r="L4184" s="1" t="s">
        <v>1401</v>
      </c>
      <c r="M4184" s="1" t="s">
        <v>5917</v>
      </c>
      <c r="N4184" s="1" t="s">
        <v>5918</v>
      </c>
      <c r="P4184" s="1" t="s">
        <v>5921</v>
      </c>
      <c r="Q4184" s="3">
        <v>0</v>
      </c>
      <c r="R4184" s="22" t="s">
        <v>2722</v>
      </c>
      <c r="S4184" s="42" t="s">
        <v>6911</v>
      </c>
      <c r="T4184" s="3" t="s">
        <v>4868</v>
      </c>
      <c r="U4184" s="45">
        <v>35</v>
      </c>
      <c r="V4184" t="s">
        <v>8191</v>
      </c>
      <c r="W4184" s="1" t="str">
        <f>HYPERLINK("http://ictvonline.org/taxonomy/p/taxonomy-history?taxnode_id=201901596","ICTVonline=201901596")</f>
        <v>ICTVonline=201901596</v>
      </c>
    </row>
    <row r="4185" spans="1:23">
      <c r="A4185" s="3">
        <v>4184</v>
      </c>
      <c r="B4185" s="1" t="s">
        <v>5910</v>
      </c>
      <c r="D4185" s="1" t="s">
        <v>8187</v>
      </c>
      <c r="F4185" s="1" t="s">
        <v>5588</v>
      </c>
      <c r="G4185" s="1" t="s">
        <v>5589</v>
      </c>
      <c r="H4185" s="1" t="s">
        <v>5604</v>
      </c>
      <c r="J4185" s="1" t="s">
        <v>999</v>
      </c>
      <c r="L4185" s="1" t="s">
        <v>1401</v>
      </c>
      <c r="M4185" s="1" t="s">
        <v>5917</v>
      </c>
      <c r="N4185" s="1" t="s">
        <v>5918</v>
      </c>
      <c r="P4185" s="1" t="s">
        <v>5922</v>
      </c>
      <c r="Q4185" s="3">
        <v>0</v>
      </c>
      <c r="R4185" s="22" t="s">
        <v>2722</v>
      </c>
      <c r="S4185" s="42" t="s">
        <v>6911</v>
      </c>
      <c r="T4185" s="3" t="s">
        <v>4868</v>
      </c>
      <c r="U4185" s="45">
        <v>35</v>
      </c>
      <c r="V4185" t="s">
        <v>8191</v>
      </c>
      <c r="W4185" s="1" t="str">
        <f>HYPERLINK("http://ictvonline.org/taxonomy/p/taxonomy-history?taxnode_id=201901597","ICTVonline=201901597")</f>
        <v>ICTVonline=201901597</v>
      </c>
    </row>
    <row r="4186" spans="1:23">
      <c r="A4186" s="3">
        <v>4185</v>
      </c>
      <c r="B4186" s="1" t="s">
        <v>5910</v>
      </c>
      <c r="D4186" s="1" t="s">
        <v>8187</v>
      </c>
      <c r="F4186" s="1" t="s">
        <v>5588</v>
      </c>
      <c r="G4186" s="1" t="s">
        <v>5589</v>
      </c>
      <c r="H4186" s="1" t="s">
        <v>5604</v>
      </c>
      <c r="J4186" s="1" t="s">
        <v>999</v>
      </c>
      <c r="L4186" s="1" t="s">
        <v>1401</v>
      </c>
      <c r="M4186" s="1" t="s">
        <v>5917</v>
      </c>
      <c r="N4186" s="1" t="s">
        <v>5918</v>
      </c>
      <c r="P4186" s="1" t="s">
        <v>5923</v>
      </c>
      <c r="Q4186" s="3">
        <v>0</v>
      </c>
      <c r="R4186" s="22" t="s">
        <v>2722</v>
      </c>
      <c r="S4186" s="42" t="s">
        <v>6911</v>
      </c>
      <c r="T4186" s="3" t="s">
        <v>4868</v>
      </c>
      <c r="U4186" s="45">
        <v>35</v>
      </c>
      <c r="V4186" t="s">
        <v>8191</v>
      </c>
      <c r="W4186" s="1" t="str">
        <f>HYPERLINK("http://ictvonline.org/taxonomy/p/taxonomy-history?taxnode_id=201901598","ICTVonline=201901598")</f>
        <v>ICTVonline=201901598</v>
      </c>
    </row>
    <row r="4187" spans="1:23">
      <c r="A4187" s="3">
        <v>4186</v>
      </c>
      <c r="B4187" s="1" t="s">
        <v>5910</v>
      </c>
      <c r="D4187" s="1" t="s">
        <v>8187</v>
      </c>
      <c r="F4187" s="1" t="s">
        <v>5588</v>
      </c>
      <c r="G4187" s="1" t="s">
        <v>5589</v>
      </c>
      <c r="H4187" s="1" t="s">
        <v>5604</v>
      </c>
      <c r="J4187" s="1" t="s">
        <v>999</v>
      </c>
      <c r="L4187" s="1" t="s">
        <v>1401</v>
      </c>
      <c r="M4187" s="1" t="s">
        <v>5917</v>
      </c>
      <c r="N4187" s="1" t="s">
        <v>5918</v>
      </c>
      <c r="P4187" s="1" t="s">
        <v>5924</v>
      </c>
      <c r="Q4187" s="3">
        <v>0</v>
      </c>
      <c r="R4187" s="22" t="s">
        <v>2722</v>
      </c>
      <c r="S4187" s="42" t="s">
        <v>6911</v>
      </c>
      <c r="T4187" s="3" t="s">
        <v>4868</v>
      </c>
      <c r="U4187" s="45">
        <v>35</v>
      </c>
      <c r="V4187" t="s">
        <v>8191</v>
      </c>
      <c r="W4187" s="1" t="str">
        <f>HYPERLINK("http://ictvonline.org/taxonomy/p/taxonomy-history?taxnode_id=201901600","ICTVonline=201901600")</f>
        <v>ICTVonline=201901600</v>
      </c>
    </row>
    <row r="4188" spans="1:23">
      <c r="A4188" s="3">
        <v>4187</v>
      </c>
      <c r="B4188" s="1" t="s">
        <v>5910</v>
      </c>
      <c r="D4188" s="1" t="s">
        <v>8187</v>
      </c>
      <c r="F4188" s="1" t="s">
        <v>5588</v>
      </c>
      <c r="G4188" s="1" t="s">
        <v>5589</v>
      </c>
      <c r="H4188" s="1" t="s">
        <v>5604</v>
      </c>
      <c r="J4188" s="1" t="s">
        <v>999</v>
      </c>
      <c r="L4188" s="1" t="s">
        <v>1401</v>
      </c>
      <c r="M4188" s="1" t="s">
        <v>5917</v>
      </c>
      <c r="N4188" s="1" t="s">
        <v>5918</v>
      </c>
      <c r="P4188" s="1" t="s">
        <v>5925</v>
      </c>
      <c r="Q4188" s="3">
        <v>0</v>
      </c>
      <c r="R4188" s="22" t="s">
        <v>2722</v>
      </c>
      <c r="S4188" s="42" t="s">
        <v>6911</v>
      </c>
      <c r="T4188" s="3" t="s">
        <v>4868</v>
      </c>
      <c r="U4188" s="45">
        <v>35</v>
      </c>
      <c r="V4188" t="s">
        <v>8191</v>
      </c>
      <c r="W4188" s="1" t="str">
        <f>HYPERLINK("http://ictvonline.org/taxonomy/p/taxonomy-history?taxnode_id=201901601","ICTVonline=201901601")</f>
        <v>ICTVonline=201901601</v>
      </c>
    </row>
    <row r="4189" spans="1:23">
      <c r="A4189" s="3">
        <v>4188</v>
      </c>
      <c r="B4189" s="1" t="s">
        <v>5910</v>
      </c>
      <c r="D4189" s="1" t="s">
        <v>8187</v>
      </c>
      <c r="F4189" s="1" t="s">
        <v>5588</v>
      </c>
      <c r="G4189" s="1" t="s">
        <v>5589</v>
      </c>
      <c r="H4189" s="1" t="s">
        <v>5604</v>
      </c>
      <c r="J4189" s="1" t="s">
        <v>999</v>
      </c>
      <c r="L4189" s="1" t="s">
        <v>1401</v>
      </c>
      <c r="M4189" s="1" t="s">
        <v>5917</v>
      </c>
      <c r="N4189" s="1" t="s">
        <v>5918</v>
      </c>
      <c r="P4189" s="1" t="s">
        <v>5926</v>
      </c>
      <c r="Q4189" s="3">
        <v>0</v>
      </c>
      <c r="R4189" s="22" t="s">
        <v>2722</v>
      </c>
      <c r="S4189" s="42" t="s">
        <v>6911</v>
      </c>
      <c r="T4189" s="3" t="s">
        <v>4868</v>
      </c>
      <c r="U4189" s="45">
        <v>35</v>
      </c>
      <c r="V4189" t="s">
        <v>8191</v>
      </c>
      <c r="W4189" s="1" t="str">
        <f>HYPERLINK("http://ictvonline.org/taxonomy/p/taxonomy-history?taxnode_id=201905574","ICTVonline=201905574")</f>
        <v>ICTVonline=201905574</v>
      </c>
    </row>
    <row r="4190" spans="1:23">
      <c r="A4190" s="3">
        <v>4189</v>
      </c>
      <c r="B4190" s="1" t="s">
        <v>5910</v>
      </c>
      <c r="D4190" s="1" t="s">
        <v>8187</v>
      </c>
      <c r="F4190" s="1" t="s">
        <v>5588</v>
      </c>
      <c r="G4190" s="1" t="s">
        <v>5589</v>
      </c>
      <c r="H4190" s="1" t="s">
        <v>5604</v>
      </c>
      <c r="J4190" s="1" t="s">
        <v>999</v>
      </c>
      <c r="L4190" s="1" t="s">
        <v>1401</v>
      </c>
      <c r="M4190" s="1" t="s">
        <v>5917</v>
      </c>
      <c r="N4190" s="1" t="s">
        <v>5918</v>
      </c>
      <c r="P4190" s="1" t="s">
        <v>5927</v>
      </c>
      <c r="Q4190" s="3">
        <v>0</v>
      </c>
      <c r="R4190" s="22" t="s">
        <v>2722</v>
      </c>
      <c r="S4190" s="42" t="s">
        <v>6911</v>
      </c>
      <c r="T4190" s="3" t="s">
        <v>4868</v>
      </c>
      <c r="U4190" s="45">
        <v>35</v>
      </c>
      <c r="V4190" t="s">
        <v>8191</v>
      </c>
      <c r="W4190" s="1" t="str">
        <f>HYPERLINK("http://ictvonline.org/taxonomy/p/taxonomy-history?taxnode_id=201905575","ICTVonline=201905575")</f>
        <v>ICTVonline=201905575</v>
      </c>
    </row>
    <row r="4191" spans="1:23">
      <c r="A4191" s="3">
        <v>4190</v>
      </c>
      <c r="B4191" s="1" t="s">
        <v>5910</v>
      </c>
      <c r="D4191" s="1" t="s">
        <v>8187</v>
      </c>
      <c r="F4191" s="1" t="s">
        <v>5588</v>
      </c>
      <c r="G4191" s="1" t="s">
        <v>5589</v>
      </c>
      <c r="H4191" s="1" t="s">
        <v>5604</v>
      </c>
      <c r="J4191" s="1" t="s">
        <v>999</v>
      </c>
      <c r="L4191" s="1" t="s">
        <v>1401</v>
      </c>
      <c r="M4191" s="1" t="s">
        <v>5917</v>
      </c>
      <c r="N4191" s="1" t="s">
        <v>5918</v>
      </c>
      <c r="P4191" s="1" t="s">
        <v>5928</v>
      </c>
      <c r="Q4191" s="3">
        <v>0</v>
      </c>
      <c r="R4191" s="22" t="s">
        <v>2722</v>
      </c>
      <c r="S4191" s="42" t="s">
        <v>6911</v>
      </c>
      <c r="T4191" s="3" t="s">
        <v>4868</v>
      </c>
      <c r="U4191" s="45">
        <v>35</v>
      </c>
      <c r="V4191" t="s">
        <v>8191</v>
      </c>
      <c r="W4191" s="1" t="str">
        <f>HYPERLINK("http://ictvonline.org/taxonomy/p/taxonomy-history?taxnode_id=201906448","ICTVonline=201906448")</f>
        <v>ICTVonline=201906448</v>
      </c>
    </row>
    <row r="4192" spans="1:23">
      <c r="A4192" s="3">
        <v>4191</v>
      </c>
      <c r="B4192" s="1" t="s">
        <v>5910</v>
      </c>
      <c r="D4192" s="1" t="s">
        <v>8187</v>
      </c>
      <c r="F4192" s="1" t="s">
        <v>5588</v>
      </c>
      <c r="G4192" s="1" t="s">
        <v>5589</v>
      </c>
      <c r="H4192" s="1" t="s">
        <v>5604</v>
      </c>
      <c r="J4192" s="1" t="s">
        <v>999</v>
      </c>
      <c r="L4192" s="1" t="s">
        <v>1401</v>
      </c>
      <c r="M4192" s="1" t="s">
        <v>5917</v>
      </c>
      <c r="N4192" s="1" t="s">
        <v>5929</v>
      </c>
      <c r="P4192" s="1" t="s">
        <v>5930</v>
      </c>
      <c r="Q4192" s="3">
        <v>1</v>
      </c>
      <c r="R4192" s="22" t="s">
        <v>2722</v>
      </c>
      <c r="S4192" s="42" t="s">
        <v>6911</v>
      </c>
      <c r="T4192" s="3" t="s">
        <v>4868</v>
      </c>
      <c r="U4192" s="45">
        <v>35</v>
      </c>
      <c r="V4192" t="s">
        <v>8191</v>
      </c>
      <c r="W4192" s="1" t="str">
        <f>HYPERLINK("http://ictvonline.org/taxonomy/p/taxonomy-history?taxnode_id=201901591","ICTVonline=201901591")</f>
        <v>ICTVonline=201901591</v>
      </c>
    </row>
    <row r="4193" spans="1:23">
      <c r="A4193" s="3">
        <v>4192</v>
      </c>
      <c r="B4193" s="1" t="s">
        <v>5910</v>
      </c>
      <c r="D4193" s="1" t="s">
        <v>8187</v>
      </c>
      <c r="F4193" s="1" t="s">
        <v>5588</v>
      </c>
      <c r="G4193" s="1" t="s">
        <v>5589</v>
      </c>
      <c r="H4193" s="1" t="s">
        <v>5604</v>
      </c>
      <c r="J4193" s="1" t="s">
        <v>999</v>
      </c>
      <c r="L4193" s="1" t="s">
        <v>1401</v>
      </c>
      <c r="M4193" s="1" t="s">
        <v>5917</v>
      </c>
      <c r="N4193" s="1" t="s">
        <v>5929</v>
      </c>
      <c r="P4193" s="1" t="s">
        <v>5931</v>
      </c>
      <c r="Q4193" s="3">
        <v>0</v>
      </c>
      <c r="R4193" s="22" t="s">
        <v>2722</v>
      </c>
      <c r="S4193" s="42" t="s">
        <v>6911</v>
      </c>
      <c r="T4193" s="3" t="s">
        <v>4868</v>
      </c>
      <c r="U4193" s="45">
        <v>35</v>
      </c>
      <c r="V4193" t="s">
        <v>8191</v>
      </c>
      <c r="W4193" s="1" t="str">
        <f>HYPERLINK("http://ictvonline.org/taxonomy/p/taxonomy-history?taxnode_id=201901599","ICTVonline=201901599")</f>
        <v>ICTVonline=201901599</v>
      </c>
    </row>
    <row r="4194" spans="1:23">
      <c r="A4194" s="3">
        <v>4193</v>
      </c>
      <c r="B4194" s="1" t="s">
        <v>5910</v>
      </c>
      <c r="D4194" s="1" t="s">
        <v>8187</v>
      </c>
      <c r="F4194" s="1" t="s">
        <v>5588</v>
      </c>
      <c r="G4194" s="1" t="s">
        <v>5589</v>
      </c>
      <c r="H4194" s="1" t="s">
        <v>5604</v>
      </c>
      <c r="J4194" s="1" t="s">
        <v>999</v>
      </c>
      <c r="L4194" s="1" t="s">
        <v>1401</v>
      </c>
      <c r="M4194" s="1" t="s">
        <v>5917</v>
      </c>
      <c r="N4194" s="1" t="s">
        <v>5929</v>
      </c>
      <c r="P4194" s="1" t="s">
        <v>5932</v>
      </c>
      <c r="Q4194" s="3">
        <v>0</v>
      </c>
      <c r="R4194" s="22" t="s">
        <v>2722</v>
      </c>
      <c r="S4194" s="42" t="s">
        <v>6911</v>
      </c>
      <c r="T4194" s="3" t="s">
        <v>4868</v>
      </c>
      <c r="U4194" s="45">
        <v>35</v>
      </c>
      <c r="V4194" t="s">
        <v>8191</v>
      </c>
      <c r="W4194" s="1" t="str">
        <f>HYPERLINK("http://ictvonline.org/taxonomy/p/taxonomy-history?taxnode_id=201901602","ICTVonline=201901602")</f>
        <v>ICTVonline=201901602</v>
      </c>
    </row>
    <row r="4195" spans="1:23">
      <c r="A4195" s="3">
        <v>4194</v>
      </c>
      <c r="B4195" s="1" t="s">
        <v>5910</v>
      </c>
      <c r="D4195" s="1" t="s">
        <v>8187</v>
      </c>
      <c r="F4195" s="1" t="s">
        <v>5588</v>
      </c>
      <c r="G4195" s="1" t="s">
        <v>5589</v>
      </c>
      <c r="H4195" s="1" t="s">
        <v>5604</v>
      </c>
      <c r="J4195" s="1" t="s">
        <v>999</v>
      </c>
      <c r="L4195" s="1" t="s">
        <v>1401</v>
      </c>
      <c r="M4195" s="1" t="s">
        <v>5917</v>
      </c>
      <c r="N4195" s="1" t="s">
        <v>5929</v>
      </c>
      <c r="P4195" s="1" t="s">
        <v>5933</v>
      </c>
      <c r="Q4195" s="3">
        <v>0</v>
      </c>
      <c r="R4195" s="22" t="s">
        <v>2722</v>
      </c>
      <c r="S4195" s="42" t="s">
        <v>6911</v>
      </c>
      <c r="T4195" s="3" t="s">
        <v>4868</v>
      </c>
      <c r="U4195" s="45">
        <v>35</v>
      </c>
      <c r="V4195" t="s">
        <v>8191</v>
      </c>
      <c r="W4195" s="1" t="str">
        <f>HYPERLINK("http://ictvonline.org/taxonomy/p/taxonomy-history?taxnode_id=201901603","ICTVonline=201901603")</f>
        <v>ICTVonline=201901603</v>
      </c>
    </row>
    <row r="4196" spans="1:23">
      <c r="A4196" s="3">
        <v>4195</v>
      </c>
      <c r="B4196" s="1" t="s">
        <v>5910</v>
      </c>
      <c r="D4196" s="1" t="s">
        <v>8187</v>
      </c>
      <c r="F4196" s="1" t="s">
        <v>5588</v>
      </c>
      <c r="G4196" s="1" t="s">
        <v>5589</v>
      </c>
      <c r="H4196" s="1" t="s">
        <v>5604</v>
      </c>
      <c r="J4196" s="1" t="s">
        <v>999</v>
      </c>
      <c r="L4196" s="1" t="s">
        <v>1401</v>
      </c>
      <c r="M4196" s="1" t="s">
        <v>5917</v>
      </c>
      <c r="N4196" s="1" t="s">
        <v>5929</v>
      </c>
      <c r="P4196" s="1" t="s">
        <v>5934</v>
      </c>
      <c r="Q4196" s="3">
        <v>0</v>
      </c>
      <c r="R4196" s="22" t="s">
        <v>2722</v>
      </c>
      <c r="S4196" s="42" t="s">
        <v>6911</v>
      </c>
      <c r="T4196" s="3" t="s">
        <v>4868</v>
      </c>
      <c r="U4196" s="45">
        <v>35</v>
      </c>
      <c r="V4196" t="s">
        <v>8191</v>
      </c>
      <c r="W4196" s="1" t="str">
        <f>HYPERLINK("http://ictvonline.org/taxonomy/p/taxonomy-history?taxnode_id=201905576","ICTVonline=201905576")</f>
        <v>ICTVonline=201905576</v>
      </c>
    </row>
    <row r="4197" spans="1:23">
      <c r="A4197" s="3">
        <v>4196</v>
      </c>
      <c r="B4197" s="1" t="s">
        <v>5910</v>
      </c>
      <c r="D4197" s="1" t="s">
        <v>8187</v>
      </c>
      <c r="F4197" s="1" t="s">
        <v>5588</v>
      </c>
      <c r="G4197" s="1" t="s">
        <v>5589</v>
      </c>
      <c r="H4197" s="1" t="s">
        <v>5604</v>
      </c>
      <c r="J4197" s="1" t="s">
        <v>999</v>
      </c>
      <c r="L4197" s="1" t="s">
        <v>1401</v>
      </c>
      <c r="M4197" s="1" t="s">
        <v>5917</v>
      </c>
      <c r="N4197" s="1" t="s">
        <v>5929</v>
      </c>
      <c r="P4197" s="1" t="s">
        <v>5935</v>
      </c>
      <c r="Q4197" s="3">
        <v>0</v>
      </c>
      <c r="R4197" s="22" t="s">
        <v>2722</v>
      </c>
      <c r="S4197" s="42" t="s">
        <v>6911</v>
      </c>
      <c r="T4197" s="3" t="s">
        <v>4868</v>
      </c>
      <c r="U4197" s="45">
        <v>35</v>
      </c>
      <c r="V4197" t="s">
        <v>8191</v>
      </c>
      <c r="W4197" s="1" t="str">
        <f>HYPERLINK("http://ictvonline.org/taxonomy/p/taxonomy-history?taxnode_id=201905577","ICTVonline=201905577")</f>
        <v>ICTVonline=201905577</v>
      </c>
    </row>
    <row r="4198" spans="1:23">
      <c r="A4198" s="3">
        <v>4197</v>
      </c>
      <c r="B4198" s="1" t="s">
        <v>5910</v>
      </c>
      <c r="D4198" s="1" t="s">
        <v>8187</v>
      </c>
      <c r="F4198" s="1" t="s">
        <v>5588</v>
      </c>
      <c r="G4198" s="1" t="s">
        <v>5589</v>
      </c>
      <c r="H4198" s="1" t="s">
        <v>5604</v>
      </c>
      <c r="J4198" s="1" t="s">
        <v>999</v>
      </c>
      <c r="L4198" s="1" t="s">
        <v>1401</v>
      </c>
      <c r="M4198" s="1" t="s">
        <v>5917</v>
      </c>
      <c r="N4198" s="1" t="s">
        <v>5929</v>
      </c>
      <c r="P4198" s="1" t="s">
        <v>5936</v>
      </c>
      <c r="Q4198" s="3">
        <v>0</v>
      </c>
      <c r="R4198" s="22" t="s">
        <v>2722</v>
      </c>
      <c r="S4198" s="42" t="s">
        <v>6911</v>
      </c>
      <c r="T4198" s="3" t="s">
        <v>4868</v>
      </c>
      <c r="U4198" s="45">
        <v>35</v>
      </c>
      <c r="V4198" t="s">
        <v>8191</v>
      </c>
      <c r="W4198" s="1" t="str">
        <f>HYPERLINK("http://ictvonline.org/taxonomy/p/taxonomy-history?taxnode_id=201905578","ICTVonline=201905578")</f>
        <v>ICTVonline=201905578</v>
      </c>
    </row>
    <row r="4199" spans="1:23">
      <c r="A4199" s="3">
        <v>4198</v>
      </c>
      <c r="B4199" s="1" t="s">
        <v>5910</v>
      </c>
      <c r="D4199" s="1" t="s">
        <v>8187</v>
      </c>
      <c r="F4199" s="1" t="s">
        <v>5588</v>
      </c>
      <c r="G4199" s="1" t="s">
        <v>5589</v>
      </c>
      <c r="H4199" s="1" t="s">
        <v>5604</v>
      </c>
      <c r="J4199" s="1" t="s">
        <v>999</v>
      </c>
      <c r="L4199" s="1" t="s">
        <v>1401</v>
      </c>
      <c r="M4199" s="1" t="s">
        <v>5917</v>
      </c>
      <c r="N4199" s="1" t="s">
        <v>5929</v>
      </c>
      <c r="P4199" s="1" t="s">
        <v>5937</v>
      </c>
      <c r="Q4199" s="3">
        <v>0</v>
      </c>
      <c r="R4199" s="22" t="s">
        <v>2722</v>
      </c>
      <c r="S4199" s="42" t="s">
        <v>6911</v>
      </c>
      <c r="T4199" s="3" t="s">
        <v>4868</v>
      </c>
      <c r="U4199" s="45">
        <v>35</v>
      </c>
      <c r="V4199" t="s">
        <v>8191</v>
      </c>
      <c r="W4199" s="1" t="str">
        <f>HYPERLINK("http://ictvonline.org/taxonomy/p/taxonomy-history?taxnode_id=201905579","ICTVonline=201905579")</f>
        <v>ICTVonline=201905579</v>
      </c>
    </row>
    <row r="4200" spans="1:23">
      <c r="A4200" s="3">
        <v>4199</v>
      </c>
      <c r="B4200" s="1" t="s">
        <v>5910</v>
      </c>
      <c r="D4200" s="1" t="s">
        <v>8187</v>
      </c>
      <c r="F4200" s="1" t="s">
        <v>5588</v>
      </c>
      <c r="G4200" s="1" t="s">
        <v>5589</v>
      </c>
      <c r="H4200" s="1" t="s">
        <v>5604</v>
      </c>
      <c r="J4200" s="1" t="s">
        <v>999</v>
      </c>
      <c r="L4200" s="1" t="s">
        <v>1401</v>
      </c>
      <c r="M4200" s="1" t="s">
        <v>5917</v>
      </c>
      <c r="N4200" s="1" t="s">
        <v>5929</v>
      </c>
      <c r="P4200" s="1" t="s">
        <v>8277</v>
      </c>
      <c r="Q4200" s="3">
        <v>0</v>
      </c>
      <c r="R4200" s="22" t="s">
        <v>2722</v>
      </c>
      <c r="S4200" s="42" t="s">
        <v>6911</v>
      </c>
      <c r="T4200" s="3" t="s">
        <v>4866</v>
      </c>
      <c r="U4200" s="45">
        <v>35</v>
      </c>
      <c r="V4200" t="s">
        <v>8278</v>
      </c>
      <c r="W4200" s="1" t="str">
        <f>HYPERLINK("http://ictvonline.org/taxonomy/p/taxonomy-history?taxnode_id=201907416","ICTVonline=201907416")</f>
        <v>ICTVonline=201907416</v>
      </c>
    </row>
    <row r="4201" spans="1:23">
      <c r="A4201" s="3">
        <v>4200</v>
      </c>
      <c r="B4201" s="1" t="s">
        <v>5910</v>
      </c>
      <c r="D4201" s="1" t="s">
        <v>8187</v>
      </c>
      <c r="F4201" s="1" t="s">
        <v>5588</v>
      </c>
      <c r="G4201" s="1" t="s">
        <v>5589</v>
      </c>
      <c r="H4201" s="1" t="s">
        <v>5604</v>
      </c>
      <c r="J4201" s="1" t="s">
        <v>999</v>
      </c>
      <c r="L4201" s="1" t="s">
        <v>1401</v>
      </c>
      <c r="M4201" s="1" t="s">
        <v>5917</v>
      </c>
      <c r="N4201" s="1" t="s">
        <v>5929</v>
      </c>
      <c r="P4201" s="1" t="s">
        <v>8279</v>
      </c>
      <c r="Q4201" s="3">
        <v>0</v>
      </c>
      <c r="R4201" s="22" t="s">
        <v>2722</v>
      </c>
      <c r="S4201" s="42" t="s">
        <v>6911</v>
      </c>
      <c r="T4201" s="3" t="s">
        <v>4866</v>
      </c>
      <c r="U4201" s="45">
        <v>35</v>
      </c>
      <c r="V4201" t="s">
        <v>8280</v>
      </c>
      <c r="W4201" s="1" t="str">
        <f>HYPERLINK("http://ictvonline.org/taxonomy/p/taxonomy-history?taxnode_id=201907415","ICTVonline=201907415")</f>
        <v>ICTVonline=201907415</v>
      </c>
    </row>
    <row r="4202" spans="1:23">
      <c r="A4202" s="3">
        <v>4201</v>
      </c>
      <c r="B4202" s="1" t="s">
        <v>5910</v>
      </c>
      <c r="D4202" s="1" t="s">
        <v>8187</v>
      </c>
      <c r="F4202" s="1" t="s">
        <v>5588</v>
      </c>
      <c r="G4202" s="1" t="s">
        <v>5589</v>
      </c>
      <c r="H4202" s="1" t="s">
        <v>5604</v>
      </c>
      <c r="J4202" s="1" t="s">
        <v>999</v>
      </c>
      <c r="L4202" s="1" t="s">
        <v>1401</v>
      </c>
      <c r="M4202" s="1" t="s">
        <v>5917</v>
      </c>
      <c r="N4202" s="1" t="s">
        <v>5938</v>
      </c>
      <c r="P4202" s="1" t="s">
        <v>5939</v>
      </c>
      <c r="Q4202" s="3">
        <v>1</v>
      </c>
      <c r="R4202" s="22" t="s">
        <v>2722</v>
      </c>
      <c r="S4202" s="42" t="s">
        <v>6911</v>
      </c>
      <c r="T4202" s="3" t="s">
        <v>4868</v>
      </c>
      <c r="U4202" s="45">
        <v>35</v>
      </c>
      <c r="V4202" t="s">
        <v>8191</v>
      </c>
      <c r="W4202" s="1" t="str">
        <f>HYPERLINK("http://ictvonline.org/taxonomy/p/taxonomy-history?taxnode_id=201901593","ICTVonline=201901593")</f>
        <v>ICTVonline=201901593</v>
      </c>
    </row>
    <row r="4203" spans="1:23">
      <c r="A4203" s="3">
        <v>4202</v>
      </c>
      <c r="B4203" s="1" t="s">
        <v>5910</v>
      </c>
      <c r="D4203" s="1" t="s">
        <v>8187</v>
      </c>
      <c r="F4203" s="1" t="s">
        <v>5588</v>
      </c>
      <c r="G4203" s="1" t="s">
        <v>5589</v>
      </c>
      <c r="H4203" s="1" t="s">
        <v>5604</v>
      </c>
      <c r="J4203" s="1" t="s">
        <v>999</v>
      </c>
      <c r="L4203" s="1" t="s">
        <v>1401</v>
      </c>
      <c r="M4203" s="1" t="s">
        <v>5917</v>
      </c>
      <c r="N4203" s="1" t="s">
        <v>5938</v>
      </c>
      <c r="P4203" s="1" t="s">
        <v>5940</v>
      </c>
      <c r="Q4203" s="3">
        <v>0</v>
      </c>
      <c r="R4203" s="22" t="s">
        <v>2722</v>
      </c>
      <c r="S4203" s="42" t="s">
        <v>6911</v>
      </c>
      <c r="T4203" s="3" t="s">
        <v>4868</v>
      </c>
      <c r="U4203" s="45">
        <v>35</v>
      </c>
      <c r="V4203" t="s">
        <v>8191</v>
      </c>
      <c r="W4203" s="1" t="str">
        <f>HYPERLINK("http://ictvonline.org/taxonomy/p/taxonomy-history?taxnode_id=201901594","ICTVonline=201901594")</f>
        <v>ICTVonline=201901594</v>
      </c>
    </row>
    <row r="4204" spans="1:23">
      <c r="A4204" s="3">
        <v>4203</v>
      </c>
      <c r="B4204" s="1" t="s">
        <v>5910</v>
      </c>
      <c r="D4204" s="1" t="s">
        <v>8187</v>
      </c>
      <c r="F4204" s="1" t="s">
        <v>5588</v>
      </c>
      <c r="G4204" s="1" t="s">
        <v>5589</v>
      </c>
      <c r="H4204" s="1" t="s">
        <v>5604</v>
      </c>
      <c r="J4204" s="1" t="s">
        <v>999</v>
      </c>
      <c r="L4204" s="1" t="s">
        <v>1401</v>
      </c>
      <c r="M4204" s="1" t="s">
        <v>5941</v>
      </c>
      <c r="N4204" s="1" t="s">
        <v>5942</v>
      </c>
      <c r="P4204" s="1" t="s">
        <v>8281</v>
      </c>
      <c r="Q4204" s="3">
        <v>1</v>
      </c>
      <c r="R4204" s="22" t="s">
        <v>2722</v>
      </c>
      <c r="S4204" s="42" t="s">
        <v>6911</v>
      </c>
      <c r="T4204" s="3" t="s">
        <v>4867</v>
      </c>
      <c r="U4204" s="45">
        <v>35</v>
      </c>
      <c r="V4204" t="s">
        <v>8282</v>
      </c>
      <c r="W4204" s="1" t="str">
        <f>HYPERLINK("http://ictvonline.org/taxonomy/p/taxonomy-history?taxnode_id=201906472","ICTVonline=201906472")</f>
        <v>ICTVonline=201906472</v>
      </c>
    </row>
    <row r="4205" spans="1:23">
      <c r="A4205" s="3">
        <v>4204</v>
      </c>
      <c r="B4205" s="1" t="s">
        <v>5910</v>
      </c>
      <c r="D4205" s="1" t="s">
        <v>8187</v>
      </c>
      <c r="F4205" s="1" t="s">
        <v>5588</v>
      </c>
      <c r="G4205" s="1" t="s">
        <v>5589</v>
      </c>
      <c r="H4205" s="1" t="s">
        <v>5604</v>
      </c>
      <c r="J4205" s="1" t="s">
        <v>999</v>
      </c>
      <c r="L4205" s="1" t="s">
        <v>1401</v>
      </c>
      <c r="M4205" s="1" t="s">
        <v>5943</v>
      </c>
      <c r="N4205" s="1" t="s">
        <v>1339</v>
      </c>
      <c r="P4205" s="1" t="s">
        <v>8283</v>
      </c>
      <c r="Q4205" s="3">
        <v>0</v>
      </c>
      <c r="R4205" s="22" t="s">
        <v>2722</v>
      </c>
      <c r="S4205" s="42" t="s">
        <v>6911</v>
      </c>
      <c r="T4205" s="3" t="s">
        <v>4866</v>
      </c>
      <c r="U4205" s="45">
        <v>35</v>
      </c>
      <c r="V4205" t="s">
        <v>8284</v>
      </c>
      <c r="W4205" s="1" t="str">
        <f>HYPERLINK("http://ictvonline.org/taxonomy/p/taxonomy-history?taxnode_id=201907559","ICTVonline=201907559")</f>
        <v>ICTVonline=201907559</v>
      </c>
    </row>
    <row r="4206" spans="1:23">
      <c r="A4206" s="3">
        <v>4205</v>
      </c>
      <c r="B4206" s="1" t="s">
        <v>5910</v>
      </c>
      <c r="D4206" s="1" t="s">
        <v>8187</v>
      </c>
      <c r="F4206" s="1" t="s">
        <v>5588</v>
      </c>
      <c r="G4206" s="1" t="s">
        <v>5589</v>
      </c>
      <c r="H4206" s="1" t="s">
        <v>5604</v>
      </c>
      <c r="J4206" s="1" t="s">
        <v>999</v>
      </c>
      <c r="L4206" s="1" t="s">
        <v>1401</v>
      </c>
      <c r="M4206" s="1" t="s">
        <v>5943</v>
      </c>
      <c r="N4206" s="1" t="s">
        <v>1339</v>
      </c>
      <c r="P4206" s="1" t="s">
        <v>8285</v>
      </c>
      <c r="Q4206" s="3">
        <v>1</v>
      </c>
      <c r="R4206" s="22" t="s">
        <v>2722</v>
      </c>
      <c r="S4206" s="42" t="s">
        <v>6911</v>
      </c>
      <c r="T4206" s="3" t="s">
        <v>4867</v>
      </c>
      <c r="U4206" s="45">
        <v>35</v>
      </c>
      <c r="V4206" t="s">
        <v>8284</v>
      </c>
      <c r="W4206" s="1" t="str">
        <f>HYPERLINK("http://ictvonline.org/taxonomy/p/taxonomy-history?taxnode_id=201901589","ICTVonline=201901589")</f>
        <v>ICTVonline=201901589</v>
      </c>
    </row>
    <row r="4207" spans="1:23">
      <c r="A4207" s="3">
        <v>4206</v>
      </c>
      <c r="B4207" s="1" t="s">
        <v>5910</v>
      </c>
      <c r="D4207" s="1" t="s">
        <v>8187</v>
      </c>
      <c r="F4207" s="1" t="s">
        <v>5588</v>
      </c>
      <c r="G4207" s="1" t="s">
        <v>5589</v>
      </c>
      <c r="H4207" s="1" t="s">
        <v>5604</v>
      </c>
      <c r="J4207" s="1" t="s">
        <v>999</v>
      </c>
      <c r="L4207" s="1" t="s">
        <v>1401</v>
      </c>
      <c r="M4207" s="1" t="s">
        <v>5943</v>
      </c>
      <c r="N4207" s="1" t="s">
        <v>1340</v>
      </c>
      <c r="P4207" s="1" t="s">
        <v>4879</v>
      </c>
      <c r="Q4207" s="3">
        <v>1</v>
      </c>
      <c r="R4207" s="22" t="s">
        <v>2722</v>
      </c>
      <c r="S4207" s="42" t="s">
        <v>6911</v>
      </c>
      <c r="T4207" s="3" t="s">
        <v>4868</v>
      </c>
      <c r="U4207" s="45">
        <v>35</v>
      </c>
      <c r="V4207" t="s">
        <v>8191</v>
      </c>
      <c r="W4207" s="1" t="str">
        <f>HYPERLINK("http://ictvonline.org/taxonomy/p/taxonomy-history?taxnode_id=201901605","ICTVonline=201901605")</f>
        <v>ICTVonline=201901605</v>
      </c>
    </row>
    <row r="4208" spans="1:23">
      <c r="A4208" s="3">
        <v>4207</v>
      </c>
      <c r="B4208" s="1" t="s">
        <v>5910</v>
      </c>
      <c r="D4208" s="1" t="s">
        <v>8187</v>
      </c>
      <c r="F4208" s="1" t="s">
        <v>5588</v>
      </c>
      <c r="G4208" s="1" t="s">
        <v>5589</v>
      </c>
      <c r="H4208" s="1" t="s">
        <v>5604</v>
      </c>
      <c r="J4208" s="1" t="s">
        <v>999</v>
      </c>
      <c r="L4208" s="1" t="s">
        <v>1401</v>
      </c>
      <c r="M4208" s="1" t="s">
        <v>5943</v>
      </c>
      <c r="N4208" s="1" t="s">
        <v>1316</v>
      </c>
      <c r="P4208" s="1" t="s">
        <v>3512</v>
      </c>
      <c r="Q4208" s="3">
        <v>0</v>
      </c>
      <c r="R4208" s="22" t="s">
        <v>2722</v>
      </c>
      <c r="S4208" s="42" t="s">
        <v>6911</v>
      </c>
      <c r="T4208" s="3" t="s">
        <v>4868</v>
      </c>
      <c r="U4208" s="45">
        <v>35</v>
      </c>
      <c r="V4208" t="s">
        <v>8191</v>
      </c>
      <c r="W4208" s="1" t="str">
        <f>HYPERLINK("http://ictvonline.org/taxonomy/p/taxonomy-history?taxnode_id=201901607","ICTVonline=201901607")</f>
        <v>ICTVonline=201901607</v>
      </c>
    </row>
    <row r="4209" spans="1:23">
      <c r="A4209" s="3">
        <v>4208</v>
      </c>
      <c r="B4209" s="1" t="s">
        <v>5910</v>
      </c>
      <c r="D4209" s="1" t="s">
        <v>8187</v>
      </c>
      <c r="F4209" s="1" t="s">
        <v>5588</v>
      </c>
      <c r="G4209" s="1" t="s">
        <v>5589</v>
      </c>
      <c r="H4209" s="1" t="s">
        <v>5604</v>
      </c>
      <c r="J4209" s="1" t="s">
        <v>999</v>
      </c>
      <c r="L4209" s="1" t="s">
        <v>1401</v>
      </c>
      <c r="M4209" s="1" t="s">
        <v>5943</v>
      </c>
      <c r="N4209" s="1" t="s">
        <v>1316</v>
      </c>
      <c r="P4209" s="1" t="s">
        <v>3513</v>
      </c>
      <c r="Q4209" s="3">
        <v>0</v>
      </c>
      <c r="R4209" s="22" t="s">
        <v>2722</v>
      </c>
      <c r="S4209" s="42" t="s">
        <v>6911</v>
      </c>
      <c r="T4209" s="3" t="s">
        <v>4868</v>
      </c>
      <c r="U4209" s="45">
        <v>35</v>
      </c>
      <c r="V4209" t="s">
        <v>8191</v>
      </c>
      <c r="W4209" s="1" t="str">
        <f>HYPERLINK("http://ictvonline.org/taxonomy/p/taxonomy-history?taxnode_id=201901608","ICTVonline=201901608")</f>
        <v>ICTVonline=201901608</v>
      </c>
    </row>
    <row r="4210" spans="1:23">
      <c r="A4210" s="3">
        <v>4209</v>
      </c>
      <c r="B4210" s="1" t="s">
        <v>5910</v>
      </c>
      <c r="D4210" s="1" t="s">
        <v>8187</v>
      </c>
      <c r="F4210" s="1" t="s">
        <v>5588</v>
      </c>
      <c r="G4210" s="1" t="s">
        <v>5589</v>
      </c>
      <c r="H4210" s="1" t="s">
        <v>5604</v>
      </c>
      <c r="J4210" s="1" t="s">
        <v>999</v>
      </c>
      <c r="L4210" s="1" t="s">
        <v>1401</v>
      </c>
      <c r="M4210" s="1" t="s">
        <v>5943</v>
      </c>
      <c r="N4210" s="1" t="s">
        <v>1316</v>
      </c>
      <c r="P4210" s="1" t="s">
        <v>4880</v>
      </c>
      <c r="Q4210" s="3">
        <v>1</v>
      </c>
      <c r="R4210" s="22" t="s">
        <v>2722</v>
      </c>
      <c r="S4210" s="42" t="s">
        <v>6911</v>
      </c>
      <c r="T4210" s="3" t="s">
        <v>4868</v>
      </c>
      <c r="U4210" s="45">
        <v>35</v>
      </c>
      <c r="V4210" t="s">
        <v>8191</v>
      </c>
      <c r="W4210" s="1" t="str">
        <f>HYPERLINK("http://ictvonline.org/taxonomy/p/taxonomy-history?taxnode_id=201901609","ICTVonline=201901609")</f>
        <v>ICTVonline=201901609</v>
      </c>
    </row>
    <row r="4211" spans="1:23">
      <c r="A4211" s="3">
        <v>4210</v>
      </c>
      <c r="B4211" s="1" t="s">
        <v>5910</v>
      </c>
      <c r="D4211" s="1" t="s">
        <v>8187</v>
      </c>
      <c r="F4211" s="1" t="s">
        <v>5588</v>
      </c>
      <c r="G4211" s="1" t="s">
        <v>5589</v>
      </c>
      <c r="H4211" s="1" t="s">
        <v>5604</v>
      </c>
      <c r="J4211" s="1" t="s">
        <v>999</v>
      </c>
      <c r="L4211" s="1" t="s">
        <v>1401</v>
      </c>
      <c r="M4211" s="1" t="s">
        <v>5943</v>
      </c>
      <c r="N4211" s="1" t="s">
        <v>1316</v>
      </c>
      <c r="P4211" s="1" t="s">
        <v>3514</v>
      </c>
      <c r="Q4211" s="3">
        <v>0</v>
      </c>
      <c r="R4211" s="22" t="s">
        <v>2722</v>
      </c>
      <c r="S4211" s="42" t="s">
        <v>6911</v>
      </c>
      <c r="T4211" s="3" t="s">
        <v>4868</v>
      </c>
      <c r="U4211" s="45">
        <v>35</v>
      </c>
      <c r="V4211" t="s">
        <v>8191</v>
      </c>
      <c r="W4211" s="1" t="str">
        <f>HYPERLINK("http://ictvonline.org/taxonomy/p/taxonomy-history?taxnode_id=201901610","ICTVonline=201901610")</f>
        <v>ICTVonline=201901610</v>
      </c>
    </row>
    <row r="4212" spans="1:23">
      <c r="A4212" s="3">
        <v>4211</v>
      </c>
      <c r="B4212" s="1" t="s">
        <v>5910</v>
      </c>
      <c r="D4212" s="1" t="s">
        <v>8187</v>
      </c>
      <c r="F4212" s="1" t="s">
        <v>5588</v>
      </c>
      <c r="G4212" s="1" t="s">
        <v>5589</v>
      </c>
      <c r="H4212" s="1" t="s">
        <v>5604</v>
      </c>
      <c r="J4212" s="1" t="s">
        <v>999</v>
      </c>
      <c r="L4212" s="1" t="s">
        <v>1401</v>
      </c>
      <c r="M4212" s="1" t="s">
        <v>5943</v>
      </c>
      <c r="N4212" s="1" t="s">
        <v>1316</v>
      </c>
      <c r="P4212" s="1" t="s">
        <v>4881</v>
      </c>
      <c r="Q4212" s="3">
        <v>0</v>
      </c>
      <c r="R4212" s="22" t="s">
        <v>2722</v>
      </c>
      <c r="S4212" s="42" t="s">
        <v>6911</v>
      </c>
      <c r="T4212" s="3" t="s">
        <v>4868</v>
      </c>
      <c r="U4212" s="45">
        <v>35</v>
      </c>
      <c r="V4212" t="s">
        <v>8191</v>
      </c>
      <c r="W4212" s="1" t="str">
        <f>HYPERLINK("http://ictvonline.org/taxonomy/p/taxonomy-history?taxnode_id=201901611","ICTVonline=201901611")</f>
        <v>ICTVonline=201901611</v>
      </c>
    </row>
    <row r="4213" spans="1:23">
      <c r="A4213" s="3">
        <v>4212</v>
      </c>
      <c r="B4213" s="1" t="s">
        <v>5910</v>
      </c>
      <c r="D4213" s="1" t="s">
        <v>8187</v>
      </c>
      <c r="F4213" s="1" t="s">
        <v>5588</v>
      </c>
      <c r="G4213" s="1" t="s">
        <v>5589</v>
      </c>
      <c r="H4213" s="1" t="s">
        <v>5604</v>
      </c>
      <c r="J4213" s="1" t="s">
        <v>999</v>
      </c>
      <c r="L4213" s="1" t="s">
        <v>1401</v>
      </c>
      <c r="M4213" s="1" t="s">
        <v>5943</v>
      </c>
      <c r="N4213" s="1" t="s">
        <v>5944</v>
      </c>
      <c r="P4213" s="1" t="s">
        <v>5945</v>
      </c>
      <c r="Q4213" s="3">
        <v>1</v>
      </c>
      <c r="R4213" s="22" t="s">
        <v>2722</v>
      </c>
      <c r="S4213" s="42" t="s">
        <v>6911</v>
      </c>
      <c r="T4213" s="3" t="s">
        <v>4868</v>
      </c>
      <c r="U4213" s="45">
        <v>35</v>
      </c>
      <c r="V4213" t="s">
        <v>8191</v>
      </c>
      <c r="W4213" s="1" t="str">
        <f>HYPERLINK("http://ictvonline.org/taxonomy/p/taxonomy-history?taxnode_id=201906453","ICTVonline=201906453")</f>
        <v>ICTVonline=201906453</v>
      </c>
    </row>
    <row r="4214" spans="1:23">
      <c r="A4214" s="3">
        <v>4213</v>
      </c>
      <c r="B4214" s="1" t="s">
        <v>5910</v>
      </c>
      <c r="D4214" s="1" t="s">
        <v>8187</v>
      </c>
      <c r="F4214" s="1" t="s">
        <v>5588</v>
      </c>
      <c r="G4214" s="1" t="s">
        <v>5589</v>
      </c>
      <c r="H4214" s="1" t="s">
        <v>5604</v>
      </c>
      <c r="J4214" s="1" t="s">
        <v>999</v>
      </c>
      <c r="L4214" s="1" t="s">
        <v>1401</v>
      </c>
      <c r="M4214" s="1" t="s">
        <v>5943</v>
      </c>
      <c r="N4214" s="1" t="s">
        <v>5944</v>
      </c>
      <c r="P4214" s="1" t="s">
        <v>5946</v>
      </c>
      <c r="Q4214" s="3">
        <v>0</v>
      </c>
      <c r="R4214" s="22" t="s">
        <v>2722</v>
      </c>
      <c r="S4214" s="42" t="s">
        <v>6911</v>
      </c>
      <c r="T4214" s="3" t="s">
        <v>4868</v>
      </c>
      <c r="U4214" s="45">
        <v>35</v>
      </c>
      <c r="V4214" t="s">
        <v>8191</v>
      </c>
      <c r="W4214" s="1" t="str">
        <f>HYPERLINK("http://ictvonline.org/taxonomy/p/taxonomy-history?taxnode_id=201906454","ICTVonline=201906454")</f>
        <v>ICTVonline=201906454</v>
      </c>
    </row>
    <row r="4215" spans="1:23">
      <c r="A4215" s="3">
        <v>4214</v>
      </c>
      <c r="B4215" s="1" t="s">
        <v>5910</v>
      </c>
      <c r="D4215" s="1" t="s">
        <v>8187</v>
      </c>
      <c r="F4215" s="1" t="s">
        <v>5588</v>
      </c>
      <c r="G4215" s="1" t="s">
        <v>5589</v>
      </c>
      <c r="H4215" s="1" t="s">
        <v>5604</v>
      </c>
      <c r="J4215" s="1" t="s">
        <v>999</v>
      </c>
      <c r="L4215" s="1" t="s">
        <v>1401</v>
      </c>
      <c r="M4215" s="1" t="s">
        <v>5943</v>
      </c>
      <c r="N4215" s="1" t="s">
        <v>5944</v>
      </c>
      <c r="P4215" s="1" t="s">
        <v>5947</v>
      </c>
      <c r="Q4215" s="3">
        <v>0</v>
      </c>
      <c r="R4215" s="22" t="s">
        <v>2722</v>
      </c>
      <c r="S4215" s="42" t="s">
        <v>6911</v>
      </c>
      <c r="T4215" s="3" t="s">
        <v>4868</v>
      </c>
      <c r="U4215" s="45">
        <v>35</v>
      </c>
      <c r="V4215" t="s">
        <v>8191</v>
      </c>
      <c r="W4215" s="1" t="str">
        <f>HYPERLINK("http://ictvonline.org/taxonomy/p/taxonomy-history?taxnode_id=201906455","ICTVonline=201906455")</f>
        <v>ICTVonline=201906455</v>
      </c>
    </row>
    <row r="4216" spans="1:23">
      <c r="A4216" s="3">
        <v>4215</v>
      </c>
      <c r="B4216" s="1" t="s">
        <v>5910</v>
      </c>
      <c r="D4216" s="1" t="s">
        <v>8187</v>
      </c>
      <c r="F4216" s="1" t="s">
        <v>5588</v>
      </c>
      <c r="G4216" s="1" t="s">
        <v>5589</v>
      </c>
      <c r="H4216" s="1" t="s">
        <v>5604</v>
      </c>
      <c r="J4216" s="1" t="s">
        <v>999</v>
      </c>
      <c r="L4216" s="1" t="s">
        <v>1401</v>
      </c>
      <c r="M4216" s="1" t="s">
        <v>5943</v>
      </c>
      <c r="N4216" s="1" t="s">
        <v>5944</v>
      </c>
      <c r="P4216" s="1" t="s">
        <v>5948</v>
      </c>
      <c r="Q4216" s="3">
        <v>0</v>
      </c>
      <c r="R4216" s="22" t="s">
        <v>2722</v>
      </c>
      <c r="S4216" s="42" t="s">
        <v>6911</v>
      </c>
      <c r="T4216" s="3" t="s">
        <v>4868</v>
      </c>
      <c r="U4216" s="45">
        <v>35</v>
      </c>
      <c r="V4216" t="s">
        <v>8191</v>
      </c>
      <c r="W4216" s="1" t="str">
        <f>HYPERLINK("http://ictvonline.org/taxonomy/p/taxonomy-history?taxnode_id=201906456","ICTVonline=201906456")</f>
        <v>ICTVonline=201906456</v>
      </c>
    </row>
    <row r="4217" spans="1:23">
      <c r="A4217" s="3">
        <v>4216</v>
      </c>
      <c r="B4217" s="1" t="s">
        <v>5910</v>
      </c>
      <c r="D4217" s="1" t="s">
        <v>8187</v>
      </c>
      <c r="F4217" s="1" t="s">
        <v>5588</v>
      </c>
      <c r="G4217" s="1" t="s">
        <v>5589</v>
      </c>
      <c r="H4217" s="1" t="s">
        <v>5604</v>
      </c>
      <c r="J4217" s="1" t="s">
        <v>999</v>
      </c>
      <c r="L4217" s="1" t="s">
        <v>1401</v>
      </c>
      <c r="M4217" s="1" t="s">
        <v>5943</v>
      </c>
      <c r="N4217" s="1" t="s">
        <v>5944</v>
      </c>
      <c r="P4217" s="1" t="s">
        <v>8286</v>
      </c>
      <c r="Q4217" s="3">
        <v>0</v>
      </c>
      <c r="R4217" s="22" t="s">
        <v>2722</v>
      </c>
      <c r="S4217" s="42" t="s">
        <v>6911</v>
      </c>
      <c r="T4217" s="3" t="s">
        <v>4866</v>
      </c>
      <c r="U4217" s="45">
        <v>35</v>
      </c>
      <c r="V4217" t="s">
        <v>8284</v>
      </c>
      <c r="W4217" s="1" t="str">
        <f>HYPERLINK("http://ictvonline.org/taxonomy/p/taxonomy-history?taxnode_id=201907560","ICTVonline=201907560")</f>
        <v>ICTVonline=201907560</v>
      </c>
    </row>
    <row r="4218" spans="1:23">
      <c r="A4218" s="3">
        <v>4217</v>
      </c>
      <c r="B4218" s="1" t="s">
        <v>5910</v>
      </c>
      <c r="D4218" s="1" t="s">
        <v>8187</v>
      </c>
      <c r="F4218" s="1" t="s">
        <v>5588</v>
      </c>
      <c r="G4218" s="1" t="s">
        <v>5589</v>
      </c>
      <c r="H4218" s="1" t="s">
        <v>5604</v>
      </c>
      <c r="J4218" s="1" t="s">
        <v>999</v>
      </c>
      <c r="L4218" s="1" t="s">
        <v>1401</v>
      </c>
      <c r="M4218" s="1" t="s">
        <v>5943</v>
      </c>
      <c r="N4218" s="1" t="s">
        <v>5944</v>
      </c>
      <c r="P4218" s="1" t="s">
        <v>5949</v>
      </c>
      <c r="Q4218" s="3">
        <v>0</v>
      </c>
      <c r="R4218" s="22" t="s">
        <v>2722</v>
      </c>
      <c r="S4218" s="42" t="s">
        <v>6911</v>
      </c>
      <c r="T4218" s="3" t="s">
        <v>4868</v>
      </c>
      <c r="U4218" s="45">
        <v>35</v>
      </c>
      <c r="V4218" t="s">
        <v>8191</v>
      </c>
      <c r="W4218" s="1" t="str">
        <f>HYPERLINK("http://ictvonline.org/taxonomy/p/taxonomy-history?taxnode_id=201906457","ICTVonline=201906457")</f>
        <v>ICTVonline=201906457</v>
      </c>
    </row>
    <row r="4219" spans="1:23">
      <c r="A4219" s="3">
        <v>4218</v>
      </c>
      <c r="B4219" s="1" t="s">
        <v>5910</v>
      </c>
      <c r="D4219" s="1" t="s">
        <v>8187</v>
      </c>
      <c r="F4219" s="1" t="s">
        <v>5588</v>
      </c>
      <c r="G4219" s="1" t="s">
        <v>5589</v>
      </c>
      <c r="H4219" s="1" t="s">
        <v>5604</v>
      </c>
      <c r="J4219" s="1" t="s">
        <v>999</v>
      </c>
      <c r="L4219" s="1" t="s">
        <v>1401</v>
      </c>
      <c r="M4219" s="1" t="s">
        <v>5943</v>
      </c>
      <c r="N4219" s="1" t="s">
        <v>5944</v>
      </c>
      <c r="P4219" s="1" t="s">
        <v>5950</v>
      </c>
      <c r="Q4219" s="3">
        <v>0</v>
      </c>
      <c r="R4219" s="22" t="s">
        <v>2722</v>
      </c>
      <c r="S4219" s="42" t="s">
        <v>6911</v>
      </c>
      <c r="T4219" s="3" t="s">
        <v>4868</v>
      </c>
      <c r="U4219" s="45">
        <v>35</v>
      </c>
      <c r="V4219" t="s">
        <v>8191</v>
      </c>
      <c r="W4219" s="1" t="str">
        <f>HYPERLINK("http://ictvonline.org/taxonomy/p/taxonomy-history?taxnode_id=201906458","ICTVonline=201906458")</f>
        <v>ICTVonline=201906458</v>
      </c>
    </row>
    <row r="4220" spans="1:23">
      <c r="A4220" s="3">
        <v>4219</v>
      </c>
      <c r="B4220" s="1" t="s">
        <v>5910</v>
      </c>
      <c r="D4220" s="1" t="s">
        <v>8187</v>
      </c>
      <c r="F4220" s="1" t="s">
        <v>5588</v>
      </c>
      <c r="G4220" s="1" t="s">
        <v>5589</v>
      </c>
      <c r="H4220" s="1" t="s">
        <v>5604</v>
      </c>
      <c r="J4220" s="1" t="s">
        <v>999</v>
      </c>
      <c r="L4220" s="1" t="s">
        <v>1401</v>
      </c>
      <c r="M4220" s="1" t="s">
        <v>5943</v>
      </c>
      <c r="N4220" s="1" t="s">
        <v>1317</v>
      </c>
      <c r="P4220" s="1" t="s">
        <v>4882</v>
      </c>
      <c r="Q4220" s="3">
        <v>0</v>
      </c>
      <c r="R4220" s="22" t="s">
        <v>2722</v>
      </c>
      <c r="S4220" s="42" t="s">
        <v>6911</v>
      </c>
      <c r="T4220" s="3" t="s">
        <v>4868</v>
      </c>
      <c r="U4220" s="45">
        <v>35</v>
      </c>
      <c r="V4220" t="s">
        <v>8191</v>
      </c>
      <c r="W4220" s="1" t="str">
        <f>HYPERLINK("http://ictvonline.org/taxonomy/p/taxonomy-history?taxnode_id=201901613","ICTVonline=201901613")</f>
        <v>ICTVonline=201901613</v>
      </c>
    </row>
    <row r="4221" spans="1:23">
      <c r="A4221" s="3">
        <v>4220</v>
      </c>
      <c r="B4221" s="1" t="s">
        <v>5910</v>
      </c>
      <c r="D4221" s="1" t="s">
        <v>8187</v>
      </c>
      <c r="F4221" s="1" t="s">
        <v>5588</v>
      </c>
      <c r="G4221" s="1" t="s">
        <v>5589</v>
      </c>
      <c r="H4221" s="1" t="s">
        <v>5604</v>
      </c>
      <c r="J4221" s="1" t="s">
        <v>999</v>
      </c>
      <c r="L4221" s="1" t="s">
        <v>1401</v>
      </c>
      <c r="M4221" s="1" t="s">
        <v>5943</v>
      </c>
      <c r="N4221" s="1" t="s">
        <v>1317</v>
      </c>
      <c r="P4221" s="1" t="s">
        <v>1318</v>
      </c>
      <c r="Q4221" s="3">
        <v>0</v>
      </c>
      <c r="R4221" s="22" t="s">
        <v>2722</v>
      </c>
      <c r="S4221" s="42" t="s">
        <v>6911</v>
      </c>
      <c r="T4221" s="3" t="s">
        <v>4868</v>
      </c>
      <c r="U4221" s="45">
        <v>35</v>
      </c>
      <c r="V4221" t="s">
        <v>8191</v>
      </c>
      <c r="W4221" s="1" t="str">
        <f>HYPERLINK("http://ictvonline.org/taxonomy/p/taxonomy-history?taxnode_id=201901614","ICTVonline=201901614")</f>
        <v>ICTVonline=201901614</v>
      </c>
    </row>
    <row r="4222" spans="1:23">
      <c r="A4222" s="3">
        <v>4221</v>
      </c>
      <c r="B4222" s="1" t="s">
        <v>5910</v>
      </c>
      <c r="D4222" s="1" t="s">
        <v>8187</v>
      </c>
      <c r="F4222" s="1" t="s">
        <v>5588</v>
      </c>
      <c r="G4222" s="1" t="s">
        <v>5589</v>
      </c>
      <c r="H4222" s="1" t="s">
        <v>5604</v>
      </c>
      <c r="J4222" s="1" t="s">
        <v>999</v>
      </c>
      <c r="L4222" s="1" t="s">
        <v>1401</v>
      </c>
      <c r="M4222" s="1" t="s">
        <v>5943</v>
      </c>
      <c r="N4222" s="1" t="s">
        <v>1317</v>
      </c>
      <c r="P4222" s="1" t="s">
        <v>3515</v>
      </c>
      <c r="Q4222" s="3">
        <v>0</v>
      </c>
      <c r="R4222" s="22" t="s">
        <v>2722</v>
      </c>
      <c r="S4222" s="42" t="s">
        <v>6911</v>
      </c>
      <c r="T4222" s="3" t="s">
        <v>4868</v>
      </c>
      <c r="U4222" s="45">
        <v>35</v>
      </c>
      <c r="V4222" t="s">
        <v>8191</v>
      </c>
      <c r="W4222" s="1" t="str">
        <f>HYPERLINK("http://ictvonline.org/taxonomy/p/taxonomy-history?taxnode_id=201901615","ICTVonline=201901615")</f>
        <v>ICTVonline=201901615</v>
      </c>
    </row>
    <row r="4223" spans="1:23">
      <c r="A4223" s="3">
        <v>4222</v>
      </c>
      <c r="B4223" s="1" t="s">
        <v>5910</v>
      </c>
      <c r="D4223" s="1" t="s">
        <v>8187</v>
      </c>
      <c r="F4223" s="1" t="s">
        <v>5588</v>
      </c>
      <c r="G4223" s="1" t="s">
        <v>5589</v>
      </c>
      <c r="H4223" s="1" t="s">
        <v>5604</v>
      </c>
      <c r="J4223" s="1" t="s">
        <v>999</v>
      </c>
      <c r="L4223" s="1" t="s">
        <v>1401</v>
      </c>
      <c r="M4223" s="1" t="s">
        <v>5943</v>
      </c>
      <c r="N4223" s="1" t="s">
        <v>1317</v>
      </c>
      <c r="P4223" s="1" t="s">
        <v>4883</v>
      </c>
      <c r="Q4223" s="3">
        <v>1</v>
      </c>
      <c r="R4223" s="22" t="s">
        <v>2722</v>
      </c>
      <c r="S4223" s="42" t="s">
        <v>6911</v>
      </c>
      <c r="T4223" s="3" t="s">
        <v>4868</v>
      </c>
      <c r="U4223" s="45">
        <v>35</v>
      </c>
      <c r="V4223" t="s">
        <v>8191</v>
      </c>
      <c r="W4223" s="1" t="str">
        <f>HYPERLINK("http://ictvonline.org/taxonomy/p/taxonomy-history?taxnode_id=201901616","ICTVonline=201901616")</f>
        <v>ICTVonline=201901616</v>
      </c>
    </row>
    <row r="4224" spans="1:23">
      <c r="A4224" s="3">
        <v>4223</v>
      </c>
      <c r="B4224" s="1" t="s">
        <v>5910</v>
      </c>
      <c r="D4224" s="1" t="s">
        <v>8187</v>
      </c>
      <c r="F4224" s="1" t="s">
        <v>5588</v>
      </c>
      <c r="G4224" s="1" t="s">
        <v>5589</v>
      </c>
      <c r="H4224" s="1" t="s">
        <v>5604</v>
      </c>
      <c r="J4224" s="1" t="s">
        <v>999</v>
      </c>
      <c r="L4224" s="1" t="s">
        <v>1401</v>
      </c>
      <c r="M4224" s="1" t="s">
        <v>5943</v>
      </c>
      <c r="N4224" s="1" t="s">
        <v>1317</v>
      </c>
      <c r="P4224" s="1" t="s">
        <v>4884</v>
      </c>
      <c r="Q4224" s="3">
        <v>0</v>
      </c>
      <c r="R4224" s="22" t="s">
        <v>2722</v>
      </c>
      <c r="S4224" s="42" t="s">
        <v>6911</v>
      </c>
      <c r="T4224" s="3" t="s">
        <v>4868</v>
      </c>
      <c r="U4224" s="45">
        <v>35</v>
      </c>
      <c r="V4224" t="s">
        <v>8191</v>
      </c>
      <c r="W4224" s="1" t="str">
        <f>HYPERLINK("http://ictvonline.org/taxonomy/p/taxonomy-history?taxnode_id=201901617","ICTVonline=201901617")</f>
        <v>ICTVonline=201901617</v>
      </c>
    </row>
    <row r="4225" spans="1:23">
      <c r="A4225" s="3">
        <v>4224</v>
      </c>
      <c r="B4225" s="1" t="s">
        <v>5910</v>
      </c>
      <c r="D4225" s="1" t="s">
        <v>8187</v>
      </c>
      <c r="F4225" s="1" t="s">
        <v>5588</v>
      </c>
      <c r="G4225" s="1" t="s">
        <v>5589</v>
      </c>
      <c r="H4225" s="1" t="s">
        <v>5604</v>
      </c>
      <c r="J4225" s="1" t="s">
        <v>999</v>
      </c>
      <c r="L4225" s="1" t="s">
        <v>1401</v>
      </c>
      <c r="M4225" s="1" t="s">
        <v>5943</v>
      </c>
      <c r="N4225" s="1" t="s">
        <v>1317</v>
      </c>
      <c r="P4225" s="1" t="s">
        <v>4885</v>
      </c>
      <c r="Q4225" s="3">
        <v>0</v>
      </c>
      <c r="R4225" s="22" t="s">
        <v>2722</v>
      </c>
      <c r="S4225" s="42" t="s">
        <v>6911</v>
      </c>
      <c r="T4225" s="3" t="s">
        <v>4868</v>
      </c>
      <c r="U4225" s="45">
        <v>35</v>
      </c>
      <c r="V4225" t="s">
        <v>8191</v>
      </c>
      <c r="W4225" s="1" t="str">
        <f>HYPERLINK("http://ictvonline.org/taxonomy/p/taxonomy-history?taxnode_id=201901618","ICTVonline=201901618")</f>
        <v>ICTVonline=201901618</v>
      </c>
    </row>
    <row r="4226" spans="1:23">
      <c r="A4226" s="3">
        <v>4225</v>
      </c>
      <c r="B4226" s="1" t="s">
        <v>5910</v>
      </c>
      <c r="D4226" s="1" t="s">
        <v>8187</v>
      </c>
      <c r="F4226" s="1" t="s">
        <v>5588</v>
      </c>
      <c r="G4226" s="1" t="s">
        <v>5589</v>
      </c>
      <c r="H4226" s="1" t="s">
        <v>5604</v>
      </c>
      <c r="J4226" s="1" t="s">
        <v>999</v>
      </c>
      <c r="L4226" s="1" t="s">
        <v>1401</v>
      </c>
      <c r="M4226" s="1" t="s">
        <v>5943</v>
      </c>
      <c r="N4226" s="1" t="s">
        <v>1317</v>
      </c>
      <c r="P4226" s="1" t="s">
        <v>4886</v>
      </c>
      <c r="Q4226" s="3">
        <v>0</v>
      </c>
      <c r="R4226" s="22" t="s">
        <v>2722</v>
      </c>
      <c r="S4226" s="42" t="s">
        <v>6911</v>
      </c>
      <c r="T4226" s="3" t="s">
        <v>4868</v>
      </c>
      <c r="U4226" s="45">
        <v>35</v>
      </c>
      <c r="V4226" t="s">
        <v>8191</v>
      </c>
      <c r="W4226" s="1" t="str">
        <f>HYPERLINK("http://ictvonline.org/taxonomy/p/taxonomy-history?taxnode_id=201901619","ICTVonline=201901619")</f>
        <v>ICTVonline=201901619</v>
      </c>
    </row>
    <row r="4227" spans="1:23">
      <c r="A4227" s="3">
        <v>4226</v>
      </c>
      <c r="B4227" s="1" t="s">
        <v>5910</v>
      </c>
      <c r="D4227" s="1" t="s">
        <v>8187</v>
      </c>
      <c r="F4227" s="1" t="s">
        <v>5588</v>
      </c>
      <c r="G4227" s="1" t="s">
        <v>5589</v>
      </c>
      <c r="H4227" s="1" t="s">
        <v>5604</v>
      </c>
      <c r="J4227" s="1" t="s">
        <v>999</v>
      </c>
      <c r="L4227" s="1" t="s">
        <v>1401</v>
      </c>
      <c r="M4227" s="1" t="s">
        <v>5943</v>
      </c>
      <c r="N4227" s="1" t="s">
        <v>5951</v>
      </c>
      <c r="P4227" s="1" t="s">
        <v>5952</v>
      </c>
      <c r="Q4227" s="3">
        <v>0</v>
      </c>
      <c r="R4227" s="22" t="s">
        <v>2722</v>
      </c>
      <c r="S4227" s="42" t="s">
        <v>6911</v>
      </c>
      <c r="T4227" s="3" t="s">
        <v>4868</v>
      </c>
      <c r="U4227" s="45">
        <v>35</v>
      </c>
      <c r="V4227" t="s">
        <v>8191</v>
      </c>
      <c r="W4227" s="1" t="str">
        <f>HYPERLINK("http://ictvonline.org/taxonomy/p/taxonomy-history?taxnode_id=201906460","ICTVonline=201906460")</f>
        <v>ICTVonline=201906460</v>
      </c>
    </row>
    <row r="4228" spans="1:23">
      <c r="A4228" s="3">
        <v>4227</v>
      </c>
      <c r="B4228" s="1" t="s">
        <v>5910</v>
      </c>
      <c r="D4228" s="1" t="s">
        <v>8187</v>
      </c>
      <c r="F4228" s="1" t="s">
        <v>5588</v>
      </c>
      <c r="G4228" s="1" t="s">
        <v>5589</v>
      </c>
      <c r="H4228" s="1" t="s">
        <v>5604</v>
      </c>
      <c r="J4228" s="1" t="s">
        <v>999</v>
      </c>
      <c r="L4228" s="1" t="s">
        <v>1401</v>
      </c>
      <c r="M4228" s="1" t="s">
        <v>5943</v>
      </c>
      <c r="N4228" s="1" t="s">
        <v>5951</v>
      </c>
      <c r="P4228" s="1" t="s">
        <v>5953</v>
      </c>
      <c r="Q4228" s="3">
        <v>0</v>
      </c>
      <c r="R4228" s="22" t="s">
        <v>2722</v>
      </c>
      <c r="S4228" s="42" t="s">
        <v>6911</v>
      </c>
      <c r="T4228" s="3" t="s">
        <v>4868</v>
      </c>
      <c r="U4228" s="45">
        <v>35</v>
      </c>
      <c r="V4228" t="s">
        <v>8191</v>
      </c>
      <c r="W4228" s="1" t="str">
        <f>HYPERLINK("http://ictvonline.org/taxonomy/p/taxonomy-history?taxnode_id=201906461","ICTVonline=201906461")</f>
        <v>ICTVonline=201906461</v>
      </c>
    </row>
    <row r="4229" spans="1:23">
      <c r="A4229" s="3">
        <v>4228</v>
      </c>
      <c r="B4229" s="1" t="s">
        <v>5910</v>
      </c>
      <c r="D4229" s="1" t="s">
        <v>8187</v>
      </c>
      <c r="F4229" s="1" t="s">
        <v>5588</v>
      </c>
      <c r="G4229" s="1" t="s">
        <v>5589</v>
      </c>
      <c r="H4229" s="1" t="s">
        <v>5604</v>
      </c>
      <c r="J4229" s="1" t="s">
        <v>999</v>
      </c>
      <c r="L4229" s="1" t="s">
        <v>1401</v>
      </c>
      <c r="M4229" s="1" t="s">
        <v>5943</v>
      </c>
      <c r="N4229" s="1" t="s">
        <v>5951</v>
      </c>
      <c r="P4229" s="1" t="s">
        <v>5954</v>
      </c>
      <c r="Q4229" s="3">
        <v>1</v>
      </c>
      <c r="R4229" s="22" t="s">
        <v>2722</v>
      </c>
      <c r="S4229" s="42" t="s">
        <v>6911</v>
      </c>
      <c r="T4229" s="3" t="s">
        <v>4868</v>
      </c>
      <c r="U4229" s="45">
        <v>35</v>
      </c>
      <c r="V4229" t="s">
        <v>8191</v>
      </c>
      <c r="W4229" s="1" t="str">
        <f>HYPERLINK("http://ictvonline.org/taxonomy/p/taxonomy-history?taxnode_id=201906462","ICTVonline=201906462")</f>
        <v>ICTVonline=201906462</v>
      </c>
    </row>
    <row r="4230" spans="1:23">
      <c r="A4230" s="3">
        <v>4229</v>
      </c>
      <c r="B4230" s="1" t="s">
        <v>5910</v>
      </c>
      <c r="D4230" s="1" t="s">
        <v>8187</v>
      </c>
      <c r="F4230" s="1" t="s">
        <v>5588</v>
      </c>
      <c r="G4230" s="1" t="s">
        <v>5589</v>
      </c>
      <c r="H4230" s="1" t="s">
        <v>5604</v>
      </c>
      <c r="J4230" s="1" t="s">
        <v>999</v>
      </c>
      <c r="L4230" s="1" t="s">
        <v>1401</v>
      </c>
      <c r="M4230" s="1" t="s">
        <v>5943</v>
      </c>
      <c r="N4230" s="1" t="s">
        <v>5951</v>
      </c>
      <c r="P4230" s="1" t="s">
        <v>5955</v>
      </c>
      <c r="Q4230" s="3">
        <v>0</v>
      </c>
      <c r="R4230" s="22" t="s">
        <v>2722</v>
      </c>
      <c r="S4230" s="42" t="s">
        <v>6911</v>
      </c>
      <c r="T4230" s="3" t="s">
        <v>4868</v>
      </c>
      <c r="U4230" s="45">
        <v>35</v>
      </c>
      <c r="V4230" t="s">
        <v>8191</v>
      </c>
      <c r="W4230" s="1" t="str">
        <f>HYPERLINK("http://ictvonline.org/taxonomy/p/taxonomy-history?taxnode_id=201906463","ICTVonline=201906463")</f>
        <v>ICTVonline=201906463</v>
      </c>
    </row>
    <row r="4231" spans="1:23">
      <c r="A4231" s="3">
        <v>4230</v>
      </c>
      <c r="B4231" s="1" t="s">
        <v>5910</v>
      </c>
      <c r="D4231" s="1" t="s">
        <v>8187</v>
      </c>
      <c r="F4231" s="1" t="s">
        <v>5588</v>
      </c>
      <c r="G4231" s="1" t="s">
        <v>5589</v>
      </c>
      <c r="H4231" s="1" t="s">
        <v>5604</v>
      </c>
      <c r="J4231" s="1" t="s">
        <v>999</v>
      </c>
      <c r="L4231" s="1" t="s">
        <v>1401</v>
      </c>
      <c r="M4231" s="1" t="s">
        <v>5943</v>
      </c>
      <c r="N4231" s="1" t="s">
        <v>1319</v>
      </c>
      <c r="P4231" s="1" t="s">
        <v>4887</v>
      </c>
      <c r="Q4231" s="3">
        <v>0</v>
      </c>
      <c r="R4231" s="22" t="s">
        <v>2722</v>
      </c>
      <c r="S4231" s="42" t="s">
        <v>6911</v>
      </c>
      <c r="T4231" s="3" t="s">
        <v>4868</v>
      </c>
      <c r="U4231" s="45">
        <v>35</v>
      </c>
      <c r="V4231" t="s">
        <v>8191</v>
      </c>
      <c r="W4231" s="1" t="str">
        <f>HYPERLINK("http://ictvonline.org/taxonomy/p/taxonomy-history?taxnode_id=201901621","ICTVonline=201901621")</f>
        <v>ICTVonline=201901621</v>
      </c>
    </row>
    <row r="4232" spans="1:23">
      <c r="A4232" s="3">
        <v>4231</v>
      </c>
      <c r="B4232" s="1" t="s">
        <v>5910</v>
      </c>
      <c r="D4232" s="1" t="s">
        <v>8187</v>
      </c>
      <c r="F4232" s="1" t="s">
        <v>5588</v>
      </c>
      <c r="G4232" s="1" t="s">
        <v>5589</v>
      </c>
      <c r="H4232" s="1" t="s">
        <v>5604</v>
      </c>
      <c r="J4232" s="1" t="s">
        <v>999</v>
      </c>
      <c r="L4232" s="1" t="s">
        <v>1401</v>
      </c>
      <c r="M4232" s="1" t="s">
        <v>5943</v>
      </c>
      <c r="N4232" s="1" t="s">
        <v>1319</v>
      </c>
      <c r="P4232" s="1" t="s">
        <v>5956</v>
      </c>
      <c r="Q4232" s="3">
        <v>0</v>
      </c>
      <c r="R4232" s="22" t="s">
        <v>2722</v>
      </c>
      <c r="S4232" s="42" t="s">
        <v>6911</v>
      </c>
      <c r="T4232" s="3" t="s">
        <v>4868</v>
      </c>
      <c r="U4232" s="45">
        <v>35</v>
      </c>
      <c r="V4232" t="s">
        <v>8191</v>
      </c>
      <c r="W4232" s="1" t="str">
        <f>HYPERLINK("http://ictvonline.org/taxonomy/p/taxonomy-history?taxnode_id=201906464","ICTVonline=201906464")</f>
        <v>ICTVonline=201906464</v>
      </c>
    </row>
    <row r="4233" spans="1:23">
      <c r="A4233" s="3">
        <v>4232</v>
      </c>
      <c r="B4233" s="1" t="s">
        <v>5910</v>
      </c>
      <c r="D4233" s="1" t="s">
        <v>8187</v>
      </c>
      <c r="F4233" s="1" t="s">
        <v>5588</v>
      </c>
      <c r="G4233" s="1" t="s">
        <v>5589</v>
      </c>
      <c r="H4233" s="1" t="s">
        <v>5604</v>
      </c>
      <c r="J4233" s="1" t="s">
        <v>999</v>
      </c>
      <c r="L4233" s="1" t="s">
        <v>1401</v>
      </c>
      <c r="M4233" s="1" t="s">
        <v>5943</v>
      </c>
      <c r="N4233" s="1" t="s">
        <v>1319</v>
      </c>
      <c r="P4233" s="1" t="s">
        <v>4888</v>
      </c>
      <c r="Q4233" s="3">
        <v>0</v>
      </c>
      <c r="R4233" s="22" t="s">
        <v>2722</v>
      </c>
      <c r="S4233" s="42" t="s">
        <v>6911</v>
      </c>
      <c r="T4233" s="3" t="s">
        <v>4868</v>
      </c>
      <c r="U4233" s="45">
        <v>35</v>
      </c>
      <c r="V4233" t="s">
        <v>8191</v>
      </c>
      <c r="W4233" s="1" t="str">
        <f>HYPERLINK("http://ictvonline.org/taxonomy/p/taxonomy-history?taxnode_id=201901622","ICTVonline=201901622")</f>
        <v>ICTVonline=201901622</v>
      </c>
    </row>
    <row r="4234" spans="1:23">
      <c r="A4234" s="3">
        <v>4233</v>
      </c>
      <c r="B4234" s="1" t="s">
        <v>5910</v>
      </c>
      <c r="D4234" s="1" t="s">
        <v>8187</v>
      </c>
      <c r="F4234" s="1" t="s">
        <v>5588</v>
      </c>
      <c r="G4234" s="1" t="s">
        <v>5589</v>
      </c>
      <c r="H4234" s="1" t="s">
        <v>5604</v>
      </c>
      <c r="J4234" s="1" t="s">
        <v>999</v>
      </c>
      <c r="L4234" s="1" t="s">
        <v>1401</v>
      </c>
      <c r="M4234" s="1" t="s">
        <v>5943</v>
      </c>
      <c r="N4234" s="1" t="s">
        <v>1319</v>
      </c>
      <c r="P4234" s="1" t="s">
        <v>4889</v>
      </c>
      <c r="Q4234" s="3">
        <v>0</v>
      </c>
      <c r="R4234" s="22" t="s">
        <v>2722</v>
      </c>
      <c r="S4234" s="42" t="s">
        <v>6911</v>
      </c>
      <c r="T4234" s="3" t="s">
        <v>4868</v>
      </c>
      <c r="U4234" s="45">
        <v>35</v>
      </c>
      <c r="V4234" t="s">
        <v>8191</v>
      </c>
      <c r="W4234" s="1" t="str">
        <f>HYPERLINK("http://ictvonline.org/taxonomy/p/taxonomy-history?taxnode_id=201901623","ICTVonline=201901623")</f>
        <v>ICTVonline=201901623</v>
      </c>
    </row>
    <row r="4235" spans="1:23">
      <c r="A4235" s="3">
        <v>4234</v>
      </c>
      <c r="B4235" s="1" t="s">
        <v>5910</v>
      </c>
      <c r="D4235" s="1" t="s">
        <v>8187</v>
      </c>
      <c r="F4235" s="1" t="s">
        <v>5588</v>
      </c>
      <c r="G4235" s="1" t="s">
        <v>5589</v>
      </c>
      <c r="H4235" s="1" t="s">
        <v>5604</v>
      </c>
      <c r="J4235" s="1" t="s">
        <v>999</v>
      </c>
      <c r="L4235" s="1" t="s">
        <v>1401</v>
      </c>
      <c r="M4235" s="1" t="s">
        <v>5943</v>
      </c>
      <c r="N4235" s="1" t="s">
        <v>1319</v>
      </c>
      <c r="P4235" s="1" t="s">
        <v>4890</v>
      </c>
      <c r="Q4235" s="3">
        <v>1</v>
      </c>
      <c r="R4235" s="22" t="s">
        <v>2722</v>
      </c>
      <c r="S4235" s="42" t="s">
        <v>6911</v>
      </c>
      <c r="T4235" s="3" t="s">
        <v>4868</v>
      </c>
      <c r="U4235" s="45">
        <v>35</v>
      </c>
      <c r="V4235" t="s">
        <v>8191</v>
      </c>
      <c r="W4235" s="1" t="str">
        <f>HYPERLINK("http://ictvonline.org/taxonomy/p/taxonomy-history?taxnode_id=201901624","ICTVonline=201901624")</f>
        <v>ICTVonline=201901624</v>
      </c>
    </row>
    <row r="4236" spans="1:23">
      <c r="A4236" s="3">
        <v>4235</v>
      </c>
      <c r="B4236" s="1" t="s">
        <v>5910</v>
      </c>
      <c r="D4236" s="1" t="s">
        <v>8187</v>
      </c>
      <c r="F4236" s="1" t="s">
        <v>5588</v>
      </c>
      <c r="G4236" s="1" t="s">
        <v>5589</v>
      </c>
      <c r="H4236" s="1" t="s">
        <v>5604</v>
      </c>
      <c r="J4236" s="1" t="s">
        <v>999</v>
      </c>
      <c r="L4236" s="1" t="s">
        <v>1401</v>
      </c>
      <c r="M4236" s="1" t="s">
        <v>5943</v>
      </c>
      <c r="N4236" s="1" t="s">
        <v>1319</v>
      </c>
      <c r="P4236" s="1" t="s">
        <v>4891</v>
      </c>
      <c r="Q4236" s="3">
        <v>0</v>
      </c>
      <c r="R4236" s="22" t="s">
        <v>2722</v>
      </c>
      <c r="S4236" s="42" t="s">
        <v>6911</v>
      </c>
      <c r="T4236" s="3" t="s">
        <v>4868</v>
      </c>
      <c r="U4236" s="45">
        <v>35</v>
      </c>
      <c r="V4236" t="s">
        <v>8191</v>
      </c>
      <c r="W4236" s="1" t="str">
        <f>HYPERLINK("http://ictvonline.org/taxonomy/p/taxonomy-history?taxnode_id=201901625","ICTVonline=201901625")</f>
        <v>ICTVonline=201901625</v>
      </c>
    </row>
    <row r="4237" spans="1:23">
      <c r="A4237" s="3">
        <v>4236</v>
      </c>
      <c r="B4237" s="1" t="s">
        <v>5910</v>
      </c>
      <c r="D4237" s="1" t="s">
        <v>8187</v>
      </c>
      <c r="F4237" s="1" t="s">
        <v>5588</v>
      </c>
      <c r="G4237" s="1" t="s">
        <v>5589</v>
      </c>
      <c r="H4237" s="1" t="s">
        <v>5604</v>
      </c>
      <c r="J4237" s="1" t="s">
        <v>999</v>
      </c>
      <c r="L4237" s="1" t="s">
        <v>1401</v>
      </c>
      <c r="M4237" s="1" t="s">
        <v>5943</v>
      </c>
      <c r="N4237" s="1" t="s">
        <v>1319</v>
      </c>
      <c r="P4237" s="1" t="s">
        <v>8287</v>
      </c>
      <c r="Q4237" s="3">
        <v>0</v>
      </c>
      <c r="R4237" s="22" t="s">
        <v>2722</v>
      </c>
      <c r="S4237" s="42" t="s">
        <v>6911</v>
      </c>
      <c r="T4237" s="3" t="s">
        <v>4866</v>
      </c>
      <c r="U4237" s="45">
        <v>35</v>
      </c>
      <c r="V4237" t="s">
        <v>8288</v>
      </c>
      <c r="W4237" s="1" t="str">
        <f>HYPERLINK("http://ictvonline.org/taxonomy/p/taxonomy-history?taxnode_id=201907454","ICTVonline=201907454")</f>
        <v>ICTVonline=201907454</v>
      </c>
    </row>
    <row r="4238" spans="1:23">
      <c r="A4238" s="3">
        <v>4237</v>
      </c>
      <c r="B4238" s="1" t="s">
        <v>5910</v>
      </c>
      <c r="D4238" s="1" t="s">
        <v>8187</v>
      </c>
      <c r="F4238" s="1" t="s">
        <v>5588</v>
      </c>
      <c r="G4238" s="1" t="s">
        <v>5589</v>
      </c>
      <c r="H4238" s="1" t="s">
        <v>5604</v>
      </c>
      <c r="J4238" s="1" t="s">
        <v>999</v>
      </c>
      <c r="L4238" s="1" t="s">
        <v>1401</v>
      </c>
      <c r="M4238" s="1" t="s">
        <v>5943</v>
      </c>
      <c r="N4238" s="1" t="s">
        <v>5957</v>
      </c>
      <c r="P4238" s="1" t="s">
        <v>5958</v>
      </c>
      <c r="Q4238" s="3">
        <v>1</v>
      </c>
      <c r="R4238" s="22" t="s">
        <v>2722</v>
      </c>
      <c r="S4238" s="42" t="s">
        <v>6911</v>
      </c>
      <c r="T4238" s="3" t="s">
        <v>4868</v>
      </c>
      <c r="U4238" s="45">
        <v>35</v>
      </c>
      <c r="V4238" t="s">
        <v>8191</v>
      </c>
      <c r="W4238" s="1" t="str">
        <f>HYPERLINK("http://ictvonline.org/taxonomy/p/taxonomy-history?taxnode_id=201906466","ICTVonline=201906466")</f>
        <v>ICTVonline=201906466</v>
      </c>
    </row>
    <row r="4239" spans="1:23">
      <c r="A4239" s="3">
        <v>4238</v>
      </c>
      <c r="B4239" s="1" t="s">
        <v>5910</v>
      </c>
      <c r="D4239" s="1" t="s">
        <v>8187</v>
      </c>
      <c r="F4239" s="1" t="s">
        <v>5588</v>
      </c>
      <c r="G4239" s="1" t="s">
        <v>5589</v>
      </c>
      <c r="H4239" s="1" t="s">
        <v>5604</v>
      </c>
      <c r="J4239" s="1" t="s">
        <v>999</v>
      </c>
      <c r="L4239" s="1" t="s">
        <v>1401</v>
      </c>
      <c r="M4239" s="1" t="s">
        <v>5959</v>
      </c>
      <c r="N4239" s="1" t="s">
        <v>5960</v>
      </c>
      <c r="P4239" s="1" t="s">
        <v>5961</v>
      </c>
      <c r="Q4239" s="3">
        <v>0</v>
      </c>
      <c r="R4239" s="22" t="s">
        <v>2722</v>
      </c>
      <c r="S4239" s="42" t="s">
        <v>6911</v>
      </c>
      <c r="T4239" s="3" t="s">
        <v>4868</v>
      </c>
      <c r="U4239" s="45">
        <v>35</v>
      </c>
      <c r="V4239" t="s">
        <v>8191</v>
      </c>
      <c r="W4239" s="1" t="str">
        <f>HYPERLINK("http://ictvonline.org/taxonomy/p/taxonomy-history?taxnode_id=201901630","ICTVonline=201901630")</f>
        <v>ICTVonline=201901630</v>
      </c>
    </row>
    <row r="4240" spans="1:23">
      <c r="A4240" s="3">
        <v>4239</v>
      </c>
      <c r="B4240" s="1" t="s">
        <v>5910</v>
      </c>
      <c r="D4240" s="1" t="s">
        <v>8187</v>
      </c>
      <c r="F4240" s="1" t="s">
        <v>5588</v>
      </c>
      <c r="G4240" s="1" t="s">
        <v>5589</v>
      </c>
      <c r="H4240" s="1" t="s">
        <v>5604</v>
      </c>
      <c r="J4240" s="1" t="s">
        <v>999</v>
      </c>
      <c r="L4240" s="1" t="s">
        <v>1401</v>
      </c>
      <c r="M4240" s="1" t="s">
        <v>5959</v>
      </c>
      <c r="N4240" s="1" t="s">
        <v>5960</v>
      </c>
      <c r="P4240" s="1" t="s">
        <v>5962</v>
      </c>
      <c r="Q4240" s="3">
        <v>0</v>
      </c>
      <c r="R4240" s="22" t="s">
        <v>2722</v>
      </c>
      <c r="S4240" s="42" t="s">
        <v>6911</v>
      </c>
      <c r="T4240" s="3" t="s">
        <v>4868</v>
      </c>
      <c r="U4240" s="45">
        <v>35</v>
      </c>
      <c r="V4240" t="s">
        <v>8191</v>
      </c>
      <c r="W4240" s="1" t="str">
        <f>HYPERLINK("http://ictvonline.org/taxonomy/p/taxonomy-history?taxnode_id=201901631","ICTVonline=201901631")</f>
        <v>ICTVonline=201901631</v>
      </c>
    </row>
    <row r="4241" spans="1:23">
      <c r="A4241" s="3">
        <v>4240</v>
      </c>
      <c r="B4241" s="1" t="s">
        <v>5910</v>
      </c>
      <c r="D4241" s="1" t="s">
        <v>8187</v>
      </c>
      <c r="F4241" s="1" t="s">
        <v>5588</v>
      </c>
      <c r="G4241" s="1" t="s">
        <v>5589</v>
      </c>
      <c r="H4241" s="1" t="s">
        <v>5604</v>
      </c>
      <c r="J4241" s="1" t="s">
        <v>999</v>
      </c>
      <c r="L4241" s="1" t="s">
        <v>1401</v>
      </c>
      <c r="M4241" s="1" t="s">
        <v>5959</v>
      </c>
      <c r="N4241" s="1" t="s">
        <v>5960</v>
      </c>
      <c r="P4241" s="1" t="s">
        <v>5963</v>
      </c>
      <c r="Q4241" s="3">
        <v>0</v>
      </c>
      <c r="R4241" s="22" t="s">
        <v>2722</v>
      </c>
      <c r="S4241" s="42" t="s">
        <v>6911</v>
      </c>
      <c r="T4241" s="3" t="s">
        <v>4868</v>
      </c>
      <c r="U4241" s="45">
        <v>35</v>
      </c>
      <c r="V4241" t="s">
        <v>8191</v>
      </c>
      <c r="W4241" s="1" t="str">
        <f>HYPERLINK("http://ictvonline.org/taxonomy/p/taxonomy-history?taxnode_id=201901632","ICTVonline=201901632")</f>
        <v>ICTVonline=201901632</v>
      </c>
    </row>
    <row r="4242" spans="1:23">
      <c r="A4242" s="3">
        <v>4241</v>
      </c>
      <c r="B4242" s="1" t="s">
        <v>5910</v>
      </c>
      <c r="D4242" s="1" t="s">
        <v>8187</v>
      </c>
      <c r="F4242" s="1" t="s">
        <v>5588</v>
      </c>
      <c r="G4242" s="1" t="s">
        <v>5589</v>
      </c>
      <c r="H4242" s="1" t="s">
        <v>5604</v>
      </c>
      <c r="J4242" s="1" t="s">
        <v>999</v>
      </c>
      <c r="L4242" s="1" t="s">
        <v>1401</v>
      </c>
      <c r="M4242" s="1" t="s">
        <v>5959</v>
      </c>
      <c r="N4242" s="1" t="s">
        <v>5960</v>
      </c>
      <c r="P4242" s="1" t="s">
        <v>8289</v>
      </c>
      <c r="Q4242" s="3">
        <v>0</v>
      </c>
      <c r="R4242" s="22" t="s">
        <v>2722</v>
      </c>
      <c r="S4242" s="42" t="s">
        <v>6911</v>
      </c>
      <c r="T4242" s="3" t="s">
        <v>4866</v>
      </c>
      <c r="U4242" s="45">
        <v>35</v>
      </c>
      <c r="V4242" t="s">
        <v>8284</v>
      </c>
      <c r="W4242" s="1" t="str">
        <f>HYPERLINK("http://ictvonline.org/taxonomy/p/taxonomy-history?taxnode_id=201907557","ICTVonline=201907557")</f>
        <v>ICTVonline=201907557</v>
      </c>
    </row>
    <row r="4243" spans="1:23">
      <c r="A4243" s="3">
        <v>4242</v>
      </c>
      <c r="B4243" s="1" t="s">
        <v>5910</v>
      </c>
      <c r="D4243" s="1" t="s">
        <v>8187</v>
      </c>
      <c r="F4243" s="1" t="s">
        <v>5588</v>
      </c>
      <c r="G4243" s="1" t="s">
        <v>5589</v>
      </c>
      <c r="H4243" s="1" t="s">
        <v>5604</v>
      </c>
      <c r="J4243" s="1" t="s">
        <v>999</v>
      </c>
      <c r="L4243" s="1" t="s">
        <v>1401</v>
      </c>
      <c r="M4243" s="1" t="s">
        <v>5959</v>
      </c>
      <c r="N4243" s="1" t="s">
        <v>5960</v>
      </c>
      <c r="P4243" s="1" t="s">
        <v>5964</v>
      </c>
      <c r="Q4243" s="3">
        <v>0</v>
      </c>
      <c r="R4243" s="22" t="s">
        <v>2722</v>
      </c>
      <c r="S4243" s="42" t="s">
        <v>6911</v>
      </c>
      <c r="T4243" s="3" t="s">
        <v>4868</v>
      </c>
      <c r="U4243" s="45">
        <v>35</v>
      </c>
      <c r="V4243" t="s">
        <v>8191</v>
      </c>
      <c r="W4243" s="1" t="str">
        <f>HYPERLINK("http://ictvonline.org/taxonomy/p/taxonomy-history?taxnode_id=201901633","ICTVonline=201901633")</f>
        <v>ICTVonline=201901633</v>
      </c>
    </row>
    <row r="4244" spans="1:23">
      <c r="A4244" s="3">
        <v>4243</v>
      </c>
      <c r="B4244" s="1" t="s">
        <v>5910</v>
      </c>
      <c r="D4244" s="1" t="s">
        <v>8187</v>
      </c>
      <c r="F4244" s="1" t="s">
        <v>5588</v>
      </c>
      <c r="G4244" s="1" t="s">
        <v>5589</v>
      </c>
      <c r="H4244" s="1" t="s">
        <v>5604</v>
      </c>
      <c r="J4244" s="1" t="s">
        <v>999</v>
      </c>
      <c r="L4244" s="1" t="s">
        <v>1401</v>
      </c>
      <c r="M4244" s="1" t="s">
        <v>5959</v>
      </c>
      <c r="N4244" s="1" t="s">
        <v>5960</v>
      </c>
      <c r="P4244" s="1" t="s">
        <v>5965</v>
      </c>
      <c r="Q4244" s="3">
        <v>1</v>
      </c>
      <c r="R4244" s="22" t="s">
        <v>2722</v>
      </c>
      <c r="S4244" s="42" t="s">
        <v>6911</v>
      </c>
      <c r="T4244" s="3" t="s">
        <v>4868</v>
      </c>
      <c r="U4244" s="45">
        <v>35</v>
      </c>
      <c r="V4244" t="s">
        <v>8191</v>
      </c>
      <c r="W4244" s="1" t="str">
        <f>HYPERLINK("http://ictvonline.org/taxonomy/p/taxonomy-history?taxnode_id=201901635","ICTVonline=201901635")</f>
        <v>ICTVonline=201901635</v>
      </c>
    </row>
    <row r="4245" spans="1:23">
      <c r="A4245" s="3">
        <v>4244</v>
      </c>
      <c r="B4245" s="1" t="s">
        <v>5910</v>
      </c>
      <c r="D4245" s="1" t="s">
        <v>8187</v>
      </c>
      <c r="F4245" s="1" t="s">
        <v>5588</v>
      </c>
      <c r="G4245" s="1" t="s">
        <v>5589</v>
      </c>
      <c r="H4245" s="1" t="s">
        <v>5604</v>
      </c>
      <c r="J4245" s="1" t="s">
        <v>999</v>
      </c>
      <c r="L4245" s="1" t="s">
        <v>1401</v>
      </c>
      <c r="M4245" s="1" t="s">
        <v>5959</v>
      </c>
      <c r="N4245" s="1" t="s">
        <v>5960</v>
      </c>
      <c r="P4245" s="1" t="s">
        <v>5966</v>
      </c>
      <c r="Q4245" s="3">
        <v>0</v>
      </c>
      <c r="R4245" s="22" t="s">
        <v>2722</v>
      </c>
      <c r="S4245" s="42" t="s">
        <v>6911</v>
      </c>
      <c r="T4245" s="3" t="s">
        <v>4868</v>
      </c>
      <c r="U4245" s="45">
        <v>35</v>
      </c>
      <c r="V4245" t="s">
        <v>8191</v>
      </c>
      <c r="W4245" s="1" t="str">
        <f>HYPERLINK("http://ictvonline.org/taxonomy/p/taxonomy-history?taxnode_id=201901636","ICTVonline=201901636")</f>
        <v>ICTVonline=201901636</v>
      </c>
    </row>
    <row r="4246" spans="1:23">
      <c r="A4246" s="3">
        <v>4245</v>
      </c>
      <c r="B4246" s="1" t="s">
        <v>5910</v>
      </c>
      <c r="D4246" s="1" t="s">
        <v>8187</v>
      </c>
      <c r="F4246" s="1" t="s">
        <v>5588</v>
      </c>
      <c r="G4246" s="1" t="s">
        <v>5589</v>
      </c>
      <c r="H4246" s="1" t="s">
        <v>5604</v>
      </c>
      <c r="J4246" s="1" t="s">
        <v>999</v>
      </c>
      <c r="L4246" s="1" t="s">
        <v>1401</v>
      </c>
      <c r="M4246" s="1" t="s">
        <v>5959</v>
      </c>
      <c r="N4246" s="1" t="s">
        <v>5960</v>
      </c>
      <c r="P4246" s="1" t="s">
        <v>5967</v>
      </c>
      <c r="Q4246" s="3">
        <v>0</v>
      </c>
      <c r="R4246" s="22" t="s">
        <v>2722</v>
      </c>
      <c r="S4246" s="42" t="s">
        <v>6911</v>
      </c>
      <c r="T4246" s="3" t="s">
        <v>4868</v>
      </c>
      <c r="U4246" s="45">
        <v>35</v>
      </c>
      <c r="V4246" t="s">
        <v>8191</v>
      </c>
      <c r="W4246" s="1" t="str">
        <f>HYPERLINK("http://ictvonline.org/taxonomy/p/taxonomy-history?taxnode_id=201901637","ICTVonline=201901637")</f>
        <v>ICTVonline=201901637</v>
      </c>
    </row>
    <row r="4247" spans="1:23">
      <c r="A4247" s="3">
        <v>4246</v>
      </c>
      <c r="B4247" s="1" t="s">
        <v>5910</v>
      </c>
      <c r="D4247" s="1" t="s">
        <v>8187</v>
      </c>
      <c r="F4247" s="1" t="s">
        <v>5588</v>
      </c>
      <c r="G4247" s="1" t="s">
        <v>5589</v>
      </c>
      <c r="H4247" s="1" t="s">
        <v>5604</v>
      </c>
      <c r="J4247" s="1" t="s">
        <v>999</v>
      </c>
      <c r="L4247" s="1" t="s">
        <v>1401</v>
      </c>
      <c r="M4247" s="1" t="s">
        <v>5959</v>
      </c>
      <c r="N4247" s="1" t="s">
        <v>5968</v>
      </c>
      <c r="P4247" s="1" t="s">
        <v>5969</v>
      </c>
      <c r="Q4247" s="3">
        <v>0</v>
      </c>
      <c r="R4247" s="22" t="s">
        <v>2722</v>
      </c>
      <c r="S4247" s="42" t="s">
        <v>6911</v>
      </c>
      <c r="T4247" s="3" t="s">
        <v>4868</v>
      </c>
      <c r="U4247" s="45">
        <v>35</v>
      </c>
      <c r="V4247" t="s">
        <v>8191</v>
      </c>
      <c r="W4247" s="1" t="str">
        <f>HYPERLINK("http://ictvonline.org/taxonomy/p/taxonomy-history?taxnode_id=201901627","ICTVonline=201901627")</f>
        <v>ICTVonline=201901627</v>
      </c>
    </row>
    <row r="4248" spans="1:23">
      <c r="A4248" s="3">
        <v>4247</v>
      </c>
      <c r="B4248" s="1" t="s">
        <v>5910</v>
      </c>
      <c r="D4248" s="1" t="s">
        <v>8187</v>
      </c>
      <c r="F4248" s="1" t="s">
        <v>5588</v>
      </c>
      <c r="G4248" s="1" t="s">
        <v>5589</v>
      </c>
      <c r="H4248" s="1" t="s">
        <v>5604</v>
      </c>
      <c r="J4248" s="1" t="s">
        <v>999</v>
      </c>
      <c r="L4248" s="1" t="s">
        <v>1401</v>
      </c>
      <c r="M4248" s="1" t="s">
        <v>5959</v>
      </c>
      <c r="N4248" s="1" t="s">
        <v>5968</v>
      </c>
      <c r="P4248" s="1" t="s">
        <v>5970</v>
      </c>
      <c r="Q4248" s="3">
        <v>0</v>
      </c>
      <c r="R4248" s="22" t="s">
        <v>2722</v>
      </c>
      <c r="S4248" s="42" t="s">
        <v>6911</v>
      </c>
      <c r="T4248" s="3" t="s">
        <v>4868</v>
      </c>
      <c r="U4248" s="45">
        <v>35</v>
      </c>
      <c r="V4248" t="s">
        <v>8191</v>
      </c>
      <c r="W4248" s="1" t="str">
        <f>HYPERLINK("http://ictvonline.org/taxonomy/p/taxonomy-history?taxnode_id=201901628","ICTVonline=201901628")</f>
        <v>ICTVonline=201901628</v>
      </c>
    </row>
    <row r="4249" spans="1:23">
      <c r="A4249" s="3">
        <v>4248</v>
      </c>
      <c r="B4249" s="1" t="s">
        <v>5910</v>
      </c>
      <c r="D4249" s="1" t="s">
        <v>8187</v>
      </c>
      <c r="F4249" s="1" t="s">
        <v>5588</v>
      </c>
      <c r="G4249" s="1" t="s">
        <v>5589</v>
      </c>
      <c r="H4249" s="1" t="s">
        <v>5604</v>
      </c>
      <c r="J4249" s="1" t="s">
        <v>999</v>
      </c>
      <c r="L4249" s="1" t="s">
        <v>1401</v>
      </c>
      <c r="M4249" s="1" t="s">
        <v>5959</v>
      </c>
      <c r="N4249" s="1" t="s">
        <v>5968</v>
      </c>
      <c r="P4249" s="1" t="s">
        <v>8290</v>
      </c>
      <c r="Q4249" s="3">
        <v>0</v>
      </c>
      <c r="R4249" s="22" t="s">
        <v>2722</v>
      </c>
      <c r="S4249" s="42" t="s">
        <v>6911</v>
      </c>
      <c r="T4249" s="3" t="s">
        <v>4866</v>
      </c>
      <c r="U4249" s="45">
        <v>35</v>
      </c>
      <c r="V4249" t="s">
        <v>8284</v>
      </c>
      <c r="W4249" s="1" t="str">
        <f>HYPERLINK("http://ictvonline.org/taxonomy/p/taxonomy-history?taxnode_id=201907558","ICTVonline=201907558")</f>
        <v>ICTVonline=201907558</v>
      </c>
    </row>
    <row r="4250" spans="1:23">
      <c r="A4250" s="3">
        <v>4249</v>
      </c>
      <c r="B4250" s="1" t="s">
        <v>5910</v>
      </c>
      <c r="D4250" s="1" t="s">
        <v>8187</v>
      </c>
      <c r="F4250" s="1" t="s">
        <v>5588</v>
      </c>
      <c r="G4250" s="1" t="s">
        <v>5589</v>
      </c>
      <c r="H4250" s="1" t="s">
        <v>5604</v>
      </c>
      <c r="J4250" s="1" t="s">
        <v>999</v>
      </c>
      <c r="L4250" s="1" t="s">
        <v>1401</v>
      </c>
      <c r="M4250" s="1" t="s">
        <v>5959</v>
      </c>
      <c r="N4250" s="1" t="s">
        <v>5968</v>
      </c>
      <c r="P4250" s="1" t="s">
        <v>5971</v>
      </c>
      <c r="Q4250" s="3">
        <v>1</v>
      </c>
      <c r="R4250" s="22" t="s">
        <v>2722</v>
      </c>
      <c r="S4250" s="42" t="s">
        <v>6911</v>
      </c>
      <c r="T4250" s="3" t="s">
        <v>4868</v>
      </c>
      <c r="U4250" s="45">
        <v>35</v>
      </c>
      <c r="V4250" t="s">
        <v>8191</v>
      </c>
      <c r="W4250" s="1" t="str">
        <f>HYPERLINK("http://ictvonline.org/taxonomy/p/taxonomy-history?taxnode_id=201901634","ICTVonline=201901634")</f>
        <v>ICTVonline=201901634</v>
      </c>
    </row>
    <row r="4251" spans="1:23">
      <c r="A4251" s="3">
        <v>4250</v>
      </c>
      <c r="B4251" s="1" t="s">
        <v>5910</v>
      </c>
      <c r="D4251" s="1" t="s">
        <v>8187</v>
      </c>
      <c r="F4251" s="1" t="s">
        <v>5588</v>
      </c>
      <c r="G4251" s="1" t="s">
        <v>5589</v>
      </c>
      <c r="H4251" s="1" t="s">
        <v>5604</v>
      </c>
      <c r="J4251" s="1" t="s">
        <v>999</v>
      </c>
      <c r="L4251" s="1" t="s">
        <v>1401</v>
      </c>
      <c r="M4251" s="1" t="s">
        <v>5959</v>
      </c>
      <c r="N4251" s="1" t="s">
        <v>5968</v>
      </c>
      <c r="P4251" s="1" t="s">
        <v>5972</v>
      </c>
      <c r="Q4251" s="3">
        <v>0</v>
      </c>
      <c r="R4251" s="22" t="s">
        <v>2722</v>
      </c>
      <c r="S4251" s="42" t="s">
        <v>6911</v>
      </c>
      <c r="T4251" s="3" t="s">
        <v>4868</v>
      </c>
      <c r="U4251" s="45">
        <v>35</v>
      </c>
      <c r="V4251" t="s">
        <v>8191</v>
      </c>
      <c r="W4251" s="1" t="str">
        <f>HYPERLINK("http://ictvonline.org/taxonomy/p/taxonomy-history?taxnode_id=201901638","ICTVonline=201901638")</f>
        <v>ICTVonline=201901638</v>
      </c>
    </row>
    <row r="4252" spans="1:23">
      <c r="A4252" s="3">
        <v>4251</v>
      </c>
      <c r="B4252" s="1" t="s">
        <v>5910</v>
      </c>
      <c r="D4252" s="1" t="s">
        <v>8187</v>
      </c>
      <c r="F4252" s="1" t="s">
        <v>5588</v>
      </c>
      <c r="G4252" s="1" t="s">
        <v>5589</v>
      </c>
      <c r="H4252" s="1" t="s">
        <v>5604</v>
      </c>
      <c r="J4252" s="1" t="s">
        <v>999</v>
      </c>
      <c r="L4252" s="1" t="s">
        <v>1401</v>
      </c>
      <c r="M4252" s="1" t="s">
        <v>5959</v>
      </c>
      <c r="N4252" s="1" t="s">
        <v>5968</v>
      </c>
      <c r="P4252" s="1" t="s">
        <v>5973</v>
      </c>
      <c r="Q4252" s="3">
        <v>0</v>
      </c>
      <c r="R4252" s="22" t="s">
        <v>2722</v>
      </c>
      <c r="S4252" s="42" t="s">
        <v>6911</v>
      </c>
      <c r="T4252" s="3" t="s">
        <v>4868</v>
      </c>
      <c r="U4252" s="45">
        <v>35</v>
      </c>
      <c r="V4252" t="s">
        <v>8191</v>
      </c>
      <c r="W4252" s="1" t="str">
        <f>HYPERLINK("http://ictvonline.org/taxonomy/p/taxonomy-history?taxnode_id=201901639","ICTVonline=201901639")</f>
        <v>ICTVonline=201901639</v>
      </c>
    </row>
    <row r="4253" spans="1:23">
      <c r="A4253" s="3">
        <v>4252</v>
      </c>
      <c r="B4253" s="1" t="s">
        <v>5910</v>
      </c>
      <c r="D4253" s="1" t="s">
        <v>8187</v>
      </c>
      <c r="F4253" s="1" t="s">
        <v>5588</v>
      </c>
      <c r="G4253" s="1" t="s">
        <v>5589</v>
      </c>
      <c r="H4253" s="1" t="s">
        <v>5604</v>
      </c>
      <c r="J4253" s="1" t="s">
        <v>999</v>
      </c>
      <c r="L4253" s="1" t="s">
        <v>1401</v>
      </c>
      <c r="M4253" s="1" t="s">
        <v>5959</v>
      </c>
      <c r="N4253" s="1" t="s">
        <v>5968</v>
      </c>
      <c r="P4253" s="1" t="s">
        <v>5974</v>
      </c>
      <c r="Q4253" s="3">
        <v>0</v>
      </c>
      <c r="R4253" s="22" t="s">
        <v>2722</v>
      </c>
      <c r="S4253" s="42" t="s">
        <v>6911</v>
      </c>
      <c r="T4253" s="3" t="s">
        <v>4868</v>
      </c>
      <c r="U4253" s="45">
        <v>35</v>
      </c>
      <c r="V4253" t="s">
        <v>8191</v>
      </c>
      <c r="W4253" s="1" t="str">
        <f>HYPERLINK("http://ictvonline.org/taxonomy/p/taxonomy-history?taxnode_id=201901640","ICTVonline=201901640")</f>
        <v>ICTVonline=201901640</v>
      </c>
    </row>
    <row r="4254" spans="1:23">
      <c r="A4254" s="3">
        <v>4253</v>
      </c>
      <c r="B4254" s="1" t="s">
        <v>5910</v>
      </c>
      <c r="D4254" s="1" t="s">
        <v>8187</v>
      </c>
      <c r="F4254" s="1" t="s">
        <v>5588</v>
      </c>
      <c r="G4254" s="1" t="s">
        <v>5589</v>
      </c>
      <c r="H4254" s="1" t="s">
        <v>5604</v>
      </c>
      <c r="J4254" s="1" t="s">
        <v>999</v>
      </c>
      <c r="L4254" s="1" t="s">
        <v>1401</v>
      </c>
      <c r="M4254" s="1" t="s">
        <v>5959</v>
      </c>
      <c r="N4254" s="1" t="s">
        <v>5968</v>
      </c>
      <c r="P4254" s="1" t="s">
        <v>5975</v>
      </c>
      <c r="Q4254" s="3">
        <v>0</v>
      </c>
      <c r="R4254" s="22" t="s">
        <v>2722</v>
      </c>
      <c r="S4254" s="42" t="s">
        <v>6911</v>
      </c>
      <c r="T4254" s="3" t="s">
        <v>4868</v>
      </c>
      <c r="U4254" s="45">
        <v>35</v>
      </c>
      <c r="V4254" t="s">
        <v>8191</v>
      </c>
      <c r="W4254" s="1" t="str">
        <f>HYPERLINK("http://ictvonline.org/taxonomy/p/taxonomy-history?taxnode_id=201901641","ICTVonline=201901641")</f>
        <v>ICTVonline=201901641</v>
      </c>
    </row>
    <row r="4255" spans="1:23">
      <c r="A4255" s="3">
        <v>4254</v>
      </c>
      <c r="B4255" s="1" t="s">
        <v>5910</v>
      </c>
      <c r="D4255" s="1" t="s">
        <v>8187</v>
      </c>
      <c r="F4255" s="1" t="s">
        <v>5588</v>
      </c>
      <c r="G4255" s="1" t="s">
        <v>5589</v>
      </c>
      <c r="H4255" s="1" t="s">
        <v>5604</v>
      </c>
      <c r="J4255" s="1" t="s">
        <v>999</v>
      </c>
      <c r="L4255" s="1" t="s">
        <v>1401</v>
      </c>
      <c r="M4255" s="1" t="s">
        <v>5959</v>
      </c>
      <c r="N4255" s="1" t="s">
        <v>5968</v>
      </c>
      <c r="P4255" s="1" t="s">
        <v>5976</v>
      </c>
      <c r="Q4255" s="3">
        <v>0</v>
      </c>
      <c r="R4255" s="22" t="s">
        <v>2722</v>
      </c>
      <c r="S4255" s="42" t="s">
        <v>6911</v>
      </c>
      <c r="T4255" s="3" t="s">
        <v>4868</v>
      </c>
      <c r="U4255" s="45">
        <v>35</v>
      </c>
      <c r="V4255" t="s">
        <v>8191</v>
      </c>
      <c r="W4255" s="1" t="str">
        <f>HYPERLINK("http://ictvonline.org/taxonomy/p/taxonomy-history?taxnode_id=201901642","ICTVonline=201901642")</f>
        <v>ICTVonline=201901642</v>
      </c>
    </row>
    <row r="4256" spans="1:23">
      <c r="A4256" s="3">
        <v>4255</v>
      </c>
      <c r="B4256" s="1" t="s">
        <v>5910</v>
      </c>
      <c r="D4256" s="1" t="s">
        <v>8187</v>
      </c>
      <c r="F4256" s="1" t="s">
        <v>5588</v>
      </c>
      <c r="G4256" s="1" t="s">
        <v>5589</v>
      </c>
      <c r="H4256" s="1" t="s">
        <v>5604</v>
      </c>
      <c r="J4256" s="1" t="s">
        <v>999</v>
      </c>
      <c r="L4256" s="1" t="s">
        <v>1401</v>
      </c>
      <c r="M4256" s="1" t="s">
        <v>5959</v>
      </c>
      <c r="N4256" s="1" t="s">
        <v>5968</v>
      </c>
      <c r="P4256" s="1" t="s">
        <v>5977</v>
      </c>
      <c r="Q4256" s="3">
        <v>0</v>
      </c>
      <c r="R4256" s="22" t="s">
        <v>2722</v>
      </c>
      <c r="S4256" s="42" t="s">
        <v>6911</v>
      </c>
      <c r="T4256" s="3" t="s">
        <v>4868</v>
      </c>
      <c r="U4256" s="45">
        <v>35</v>
      </c>
      <c r="V4256" t="s">
        <v>8191</v>
      </c>
      <c r="W4256" s="1" t="str">
        <f>HYPERLINK("http://ictvonline.org/taxonomy/p/taxonomy-history?taxnode_id=201901643","ICTVonline=201901643")</f>
        <v>ICTVonline=201901643</v>
      </c>
    </row>
    <row r="4257" spans="1:23">
      <c r="A4257" s="3">
        <v>4256</v>
      </c>
      <c r="B4257" s="1" t="s">
        <v>5910</v>
      </c>
      <c r="D4257" s="1" t="s">
        <v>8187</v>
      </c>
      <c r="F4257" s="1" t="s">
        <v>5588</v>
      </c>
      <c r="G4257" s="1" t="s">
        <v>5589</v>
      </c>
      <c r="H4257" s="1" t="s">
        <v>5604</v>
      </c>
      <c r="J4257" s="1" t="s">
        <v>999</v>
      </c>
      <c r="L4257" s="1" t="s">
        <v>1401</v>
      </c>
      <c r="N4257" s="1" t="s">
        <v>8291</v>
      </c>
      <c r="P4257" s="1" t="s">
        <v>8292</v>
      </c>
      <c r="Q4257" s="3">
        <v>1</v>
      </c>
      <c r="R4257" s="22" t="s">
        <v>2722</v>
      </c>
      <c r="S4257" s="42" t="s">
        <v>6911</v>
      </c>
      <c r="T4257" s="3" t="s">
        <v>4872</v>
      </c>
      <c r="U4257" s="45">
        <v>35</v>
      </c>
      <c r="V4257" t="s">
        <v>8284</v>
      </c>
      <c r="W4257" s="1" t="str">
        <f>HYPERLINK("http://ictvonline.org/taxonomy/p/taxonomy-history?taxnode_id=201906473","ICTVonline=201906473")</f>
        <v>ICTVonline=201906473</v>
      </c>
    </row>
    <row r="4258" spans="1:23">
      <c r="A4258" s="3">
        <v>4257</v>
      </c>
      <c r="B4258" s="1" t="s">
        <v>5910</v>
      </c>
      <c r="D4258" s="1" t="s">
        <v>8187</v>
      </c>
      <c r="F4258" s="1" t="s">
        <v>5588</v>
      </c>
      <c r="G4258" s="1" t="s">
        <v>5589</v>
      </c>
      <c r="H4258" s="1" t="s">
        <v>5604</v>
      </c>
      <c r="J4258" s="1" t="s">
        <v>999</v>
      </c>
      <c r="L4258" s="1" t="s">
        <v>1401</v>
      </c>
      <c r="N4258" s="1" t="s">
        <v>8293</v>
      </c>
      <c r="P4258" s="1" t="s">
        <v>8294</v>
      </c>
      <c r="Q4258" s="3">
        <v>1</v>
      </c>
      <c r="R4258" s="22" t="s">
        <v>2722</v>
      </c>
      <c r="S4258" s="42" t="s">
        <v>6911</v>
      </c>
      <c r="T4258" s="3" t="s">
        <v>4872</v>
      </c>
      <c r="U4258" s="45">
        <v>35</v>
      </c>
      <c r="V4258" t="s">
        <v>8284</v>
      </c>
      <c r="W4258" s="1" t="str">
        <f>HYPERLINK("http://ictvonline.org/taxonomy/p/taxonomy-history?taxnode_id=201906474","ICTVonline=201906474")</f>
        <v>ICTVonline=201906474</v>
      </c>
    </row>
    <row r="4259" spans="1:23">
      <c r="A4259" s="3">
        <v>4258</v>
      </c>
      <c r="B4259" s="1" t="s">
        <v>5910</v>
      </c>
      <c r="D4259" s="1" t="s">
        <v>8187</v>
      </c>
      <c r="F4259" s="1" t="s">
        <v>5588</v>
      </c>
      <c r="G4259" s="1" t="s">
        <v>5589</v>
      </c>
      <c r="H4259" s="1" t="s">
        <v>5604</v>
      </c>
      <c r="J4259" s="1" t="s">
        <v>999</v>
      </c>
      <c r="L4259" s="1" t="s">
        <v>1401</v>
      </c>
      <c r="N4259" s="1" t="s">
        <v>8295</v>
      </c>
      <c r="P4259" s="1" t="s">
        <v>8296</v>
      </c>
      <c r="Q4259" s="3">
        <v>1</v>
      </c>
      <c r="R4259" s="22" t="s">
        <v>2722</v>
      </c>
      <c r="S4259" s="42" t="s">
        <v>6911</v>
      </c>
      <c r="T4259" s="3" t="s">
        <v>4872</v>
      </c>
      <c r="U4259" s="45">
        <v>35</v>
      </c>
      <c r="V4259" t="s">
        <v>8284</v>
      </c>
      <c r="W4259" s="1" t="str">
        <f>HYPERLINK("http://ictvonline.org/taxonomy/p/taxonomy-history?taxnode_id=201906475","ICTVonline=201906475")</f>
        <v>ICTVonline=201906475</v>
      </c>
    </row>
    <row r="4260" spans="1:23">
      <c r="A4260" s="3">
        <v>4259</v>
      </c>
      <c r="B4260" s="1" t="s">
        <v>5910</v>
      </c>
      <c r="D4260" s="1" t="s">
        <v>8187</v>
      </c>
      <c r="F4260" s="1" t="s">
        <v>5588</v>
      </c>
      <c r="G4260" s="1" t="s">
        <v>5589</v>
      </c>
      <c r="H4260" s="1" t="s">
        <v>5604</v>
      </c>
      <c r="J4260" s="1" t="s">
        <v>999</v>
      </c>
      <c r="L4260" s="1" t="s">
        <v>3516</v>
      </c>
      <c r="N4260" s="1" t="s">
        <v>3995</v>
      </c>
      <c r="P4260" s="1" t="s">
        <v>1423</v>
      </c>
      <c r="Q4260" s="3">
        <v>1</v>
      </c>
      <c r="R4260" s="22" t="s">
        <v>2722</v>
      </c>
      <c r="S4260" s="42" t="s">
        <v>6911</v>
      </c>
      <c r="T4260" s="3" t="s">
        <v>4868</v>
      </c>
      <c r="U4260" s="45">
        <v>35</v>
      </c>
      <c r="V4260" t="s">
        <v>8191</v>
      </c>
      <c r="W4260" s="1" t="str">
        <f>HYPERLINK("http://ictvonline.org/taxonomy/p/taxonomy-history?taxnode_id=201901647","ICTVonline=201901647")</f>
        <v>ICTVonline=201901647</v>
      </c>
    </row>
    <row r="4261" spans="1:23">
      <c r="A4261" s="3">
        <v>4260</v>
      </c>
      <c r="B4261" s="1" t="s">
        <v>5910</v>
      </c>
      <c r="D4261" s="1" t="s">
        <v>8187</v>
      </c>
      <c r="F4261" s="1" t="s">
        <v>5588</v>
      </c>
      <c r="G4261" s="1" t="s">
        <v>5589</v>
      </c>
      <c r="H4261" s="1" t="s">
        <v>5604</v>
      </c>
      <c r="J4261" s="1" t="s">
        <v>999</v>
      </c>
      <c r="L4261" s="1" t="s">
        <v>3516</v>
      </c>
      <c r="N4261" s="1" t="s">
        <v>3995</v>
      </c>
      <c r="P4261" s="1" t="s">
        <v>1424</v>
      </c>
      <c r="Q4261" s="3">
        <v>0</v>
      </c>
      <c r="R4261" s="22" t="s">
        <v>2722</v>
      </c>
      <c r="S4261" s="42" t="s">
        <v>6911</v>
      </c>
      <c r="T4261" s="3" t="s">
        <v>4868</v>
      </c>
      <c r="U4261" s="45">
        <v>35</v>
      </c>
      <c r="V4261" t="s">
        <v>8191</v>
      </c>
      <c r="W4261" s="1" t="str">
        <f>HYPERLINK("http://ictvonline.org/taxonomy/p/taxonomy-history?taxnode_id=201901648","ICTVonline=201901648")</f>
        <v>ICTVonline=201901648</v>
      </c>
    </row>
    <row r="4262" spans="1:23">
      <c r="A4262" s="3">
        <v>4261</v>
      </c>
      <c r="B4262" s="1" t="s">
        <v>5910</v>
      </c>
      <c r="D4262" s="1" t="s">
        <v>8187</v>
      </c>
      <c r="F4262" s="1" t="s">
        <v>5588</v>
      </c>
      <c r="G4262" s="1" t="s">
        <v>5589</v>
      </c>
      <c r="H4262" s="1" t="s">
        <v>5604</v>
      </c>
      <c r="J4262" s="1" t="s">
        <v>999</v>
      </c>
      <c r="L4262" s="1" t="s">
        <v>3516</v>
      </c>
      <c r="N4262" s="1" t="s">
        <v>3517</v>
      </c>
      <c r="P4262" s="1" t="s">
        <v>4892</v>
      </c>
      <c r="Q4262" s="3">
        <v>0</v>
      </c>
      <c r="R4262" s="22" t="s">
        <v>2722</v>
      </c>
      <c r="S4262" s="42" t="s">
        <v>6911</v>
      </c>
      <c r="T4262" s="3" t="s">
        <v>4868</v>
      </c>
      <c r="U4262" s="45">
        <v>35</v>
      </c>
      <c r="V4262" t="s">
        <v>8191</v>
      </c>
      <c r="W4262" s="1" t="str">
        <f>HYPERLINK("http://ictvonline.org/taxonomy/p/taxonomy-history?taxnode_id=201901650","ICTVonline=201901650")</f>
        <v>ICTVonline=201901650</v>
      </c>
    </row>
    <row r="4263" spans="1:23">
      <c r="A4263" s="3">
        <v>4262</v>
      </c>
      <c r="B4263" s="1" t="s">
        <v>5910</v>
      </c>
      <c r="D4263" s="1" t="s">
        <v>8187</v>
      </c>
      <c r="F4263" s="1" t="s">
        <v>5588</v>
      </c>
      <c r="G4263" s="1" t="s">
        <v>5589</v>
      </c>
      <c r="H4263" s="1" t="s">
        <v>5604</v>
      </c>
      <c r="J4263" s="1" t="s">
        <v>999</v>
      </c>
      <c r="L4263" s="1" t="s">
        <v>3516</v>
      </c>
      <c r="N4263" s="1" t="s">
        <v>3517</v>
      </c>
      <c r="P4263" s="1" t="s">
        <v>4893</v>
      </c>
      <c r="Q4263" s="3">
        <v>1</v>
      </c>
      <c r="R4263" s="22" t="s">
        <v>2722</v>
      </c>
      <c r="S4263" s="42" t="s">
        <v>6911</v>
      </c>
      <c r="T4263" s="3" t="s">
        <v>4868</v>
      </c>
      <c r="U4263" s="45">
        <v>35</v>
      </c>
      <c r="V4263" t="s">
        <v>8191</v>
      </c>
      <c r="W4263" s="1" t="str">
        <f>HYPERLINK("http://ictvonline.org/taxonomy/p/taxonomy-history?taxnode_id=201901651","ICTVonline=201901651")</f>
        <v>ICTVonline=201901651</v>
      </c>
    </row>
    <row r="4264" spans="1:23">
      <c r="A4264" s="3">
        <v>4263</v>
      </c>
      <c r="B4264" s="1" t="s">
        <v>5910</v>
      </c>
      <c r="D4264" s="1" t="s">
        <v>8187</v>
      </c>
      <c r="F4264" s="1" t="s">
        <v>5588</v>
      </c>
      <c r="G4264" s="1" t="s">
        <v>5589</v>
      </c>
      <c r="H4264" s="1" t="s">
        <v>5604</v>
      </c>
      <c r="J4264" s="1" t="s">
        <v>999</v>
      </c>
      <c r="L4264" s="1" t="s">
        <v>3516</v>
      </c>
      <c r="N4264" s="1" t="s">
        <v>3517</v>
      </c>
      <c r="P4264" s="1" t="s">
        <v>4894</v>
      </c>
      <c r="Q4264" s="3">
        <v>0</v>
      </c>
      <c r="R4264" s="22" t="s">
        <v>2722</v>
      </c>
      <c r="S4264" s="42" t="s">
        <v>6911</v>
      </c>
      <c r="T4264" s="3" t="s">
        <v>4868</v>
      </c>
      <c r="U4264" s="45">
        <v>35</v>
      </c>
      <c r="V4264" t="s">
        <v>8191</v>
      </c>
      <c r="W4264" s="1" t="str">
        <f>HYPERLINK("http://ictvonline.org/taxonomy/p/taxonomy-history?taxnode_id=201901652","ICTVonline=201901652")</f>
        <v>ICTVonline=201901652</v>
      </c>
    </row>
    <row r="4265" spans="1:23">
      <c r="A4265" s="3">
        <v>4264</v>
      </c>
      <c r="B4265" s="1" t="s">
        <v>5910</v>
      </c>
      <c r="D4265" s="1" t="s">
        <v>8187</v>
      </c>
      <c r="F4265" s="1" t="s">
        <v>5588</v>
      </c>
      <c r="G4265" s="1" t="s">
        <v>5589</v>
      </c>
      <c r="H4265" s="1" t="s">
        <v>5604</v>
      </c>
      <c r="J4265" s="1" t="s">
        <v>999</v>
      </c>
      <c r="L4265" s="1" t="s">
        <v>1425</v>
      </c>
      <c r="N4265" s="1" t="s">
        <v>4461</v>
      </c>
      <c r="P4265" s="1" t="s">
        <v>4462</v>
      </c>
      <c r="Q4265" s="3">
        <v>0</v>
      </c>
      <c r="R4265" s="22" t="s">
        <v>2722</v>
      </c>
      <c r="S4265" s="42" t="s">
        <v>6911</v>
      </c>
      <c r="T4265" s="3" t="s">
        <v>4868</v>
      </c>
      <c r="U4265" s="45">
        <v>35</v>
      </c>
      <c r="V4265" t="s">
        <v>8191</v>
      </c>
      <c r="W4265" s="1" t="str">
        <f>HYPERLINK("http://ictvonline.org/taxonomy/p/taxonomy-history?taxnode_id=201901656","ICTVonline=201901656")</f>
        <v>ICTVonline=201901656</v>
      </c>
    </row>
    <row r="4266" spans="1:23">
      <c r="A4266" s="3">
        <v>4265</v>
      </c>
      <c r="B4266" s="1" t="s">
        <v>5910</v>
      </c>
      <c r="D4266" s="1" t="s">
        <v>8187</v>
      </c>
      <c r="F4266" s="1" t="s">
        <v>5588</v>
      </c>
      <c r="G4266" s="1" t="s">
        <v>5589</v>
      </c>
      <c r="H4266" s="1" t="s">
        <v>5604</v>
      </c>
      <c r="J4266" s="1" t="s">
        <v>999</v>
      </c>
      <c r="L4266" s="1" t="s">
        <v>1425</v>
      </c>
      <c r="N4266" s="1" t="s">
        <v>4461</v>
      </c>
      <c r="P4266" s="1" t="s">
        <v>4463</v>
      </c>
      <c r="Q4266" s="3">
        <v>0</v>
      </c>
      <c r="R4266" s="22" t="s">
        <v>2722</v>
      </c>
      <c r="S4266" s="42" t="s">
        <v>6911</v>
      </c>
      <c r="T4266" s="3" t="s">
        <v>4868</v>
      </c>
      <c r="U4266" s="45">
        <v>35</v>
      </c>
      <c r="V4266" t="s">
        <v>8191</v>
      </c>
      <c r="W4266" s="1" t="str">
        <f>HYPERLINK("http://ictvonline.org/taxonomy/p/taxonomy-history?taxnode_id=201901657","ICTVonline=201901657")</f>
        <v>ICTVonline=201901657</v>
      </c>
    </row>
    <row r="4267" spans="1:23">
      <c r="A4267" s="3">
        <v>4266</v>
      </c>
      <c r="B4267" s="1" t="s">
        <v>5910</v>
      </c>
      <c r="D4267" s="1" t="s">
        <v>8187</v>
      </c>
      <c r="F4267" s="1" t="s">
        <v>5588</v>
      </c>
      <c r="G4267" s="1" t="s">
        <v>5589</v>
      </c>
      <c r="H4267" s="1" t="s">
        <v>5604</v>
      </c>
      <c r="J4267" s="1" t="s">
        <v>999</v>
      </c>
      <c r="L4267" s="1" t="s">
        <v>1425</v>
      </c>
      <c r="N4267" s="1" t="s">
        <v>4461</v>
      </c>
      <c r="P4267" s="1" t="s">
        <v>4464</v>
      </c>
      <c r="Q4267" s="3">
        <v>0</v>
      </c>
      <c r="R4267" s="22" t="s">
        <v>2722</v>
      </c>
      <c r="S4267" s="42" t="s">
        <v>6911</v>
      </c>
      <c r="T4267" s="3" t="s">
        <v>4868</v>
      </c>
      <c r="U4267" s="45">
        <v>35</v>
      </c>
      <c r="V4267" t="s">
        <v>8191</v>
      </c>
      <c r="W4267" s="1" t="str">
        <f>HYPERLINK("http://ictvonline.org/taxonomy/p/taxonomy-history?taxnode_id=201901658","ICTVonline=201901658")</f>
        <v>ICTVonline=201901658</v>
      </c>
    </row>
    <row r="4268" spans="1:23">
      <c r="A4268" s="3">
        <v>4267</v>
      </c>
      <c r="B4268" s="1" t="s">
        <v>5910</v>
      </c>
      <c r="D4268" s="1" t="s">
        <v>8187</v>
      </c>
      <c r="F4268" s="1" t="s">
        <v>5588</v>
      </c>
      <c r="G4268" s="1" t="s">
        <v>5589</v>
      </c>
      <c r="H4268" s="1" t="s">
        <v>5604</v>
      </c>
      <c r="J4268" s="1" t="s">
        <v>999</v>
      </c>
      <c r="L4268" s="1" t="s">
        <v>1425</v>
      </c>
      <c r="N4268" s="1" t="s">
        <v>4461</v>
      </c>
      <c r="P4268" s="1" t="s">
        <v>8297</v>
      </c>
      <c r="Q4268" s="3">
        <v>0</v>
      </c>
      <c r="R4268" s="22" t="s">
        <v>2722</v>
      </c>
      <c r="S4268" s="42" t="s">
        <v>6911</v>
      </c>
      <c r="T4268" s="3" t="s">
        <v>4866</v>
      </c>
      <c r="U4268" s="45">
        <v>35</v>
      </c>
      <c r="V4268" t="s">
        <v>8298</v>
      </c>
      <c r="W4268" s="1" t="str">
        <f>HYPERLINK("http://ictvonline.org/taxonomy/p/taxonomy-history?taxnode_id=201907700","ICTVonline=201907700")</f>
        <v>ICTVonline=201907700</v>
      </c>
    </row>
    <row r="4269" spans="1:23">
      <c r="A4269" s="3">
        <v>4268</v>
      </c>
      <c r="B4269" s="1" t="s">
        <v>5910</v>
      </c>
      <c r="D4269" s="1" t="s">
        <v>8187</v>
      </c>
      <c r="F4269" s="1" t="s">
        <v>5588</v>
      </c>
      <c r="G4269" s="1" t="s">
        <v>5589</v>
      </c>
      <c r="H4269" s="1" t="s">
        <v>5604</v>
      </c>
      <c r="J4269" s="1" t="s">
        <v>999</v>
      </c>
      <c r="L4269" s="1" t="s">
        <v>1425</v>
      </c>
      <c r="N4269" s="1" t="s">
        <v>4461</v>
      </c>
      <c r="P4269" s="1" t="s">
        <v>4465</v>
      </c>
      <c r="Q4269" s="3">
        <v>1</v>
      </c>
      <c r="R4269" s="22" t="s">
        <v>2722</v>
      </c>
      <c r="S4269" s="42" t="s">
        <v>6911</v>
      </c>
      <c r="T4269" s="3" t="s">
        <v>4868</v>
      </c>
      <c r="U4269" s="45">
        <v>35</v>
      </c>
      <c r="V4269" t="s">
        <v>8191</v>
      </c>
      <c r="W4269" s="1" t="str">
        <f>HYPERLINK("http://ictvonline.org/taxonomy/p/taxonomy-history?taxnode_id=201901659","ICTVonline=201901659")</f>
        <v>ICTVonline=201901659</v>
      </c>
    </row>
    <row r="4270" spans="1:23">
      <c r="A4270" s="3">
        <v>4269</v>
      </c>
      <c r="B4270" s="1" t="s">
        <v>5910</v>
      </c>
      <c r="D4270" s="1" t="s">
        <v>8187</v>
      </c>
      <c r="F4270" s="1" t="s">
        <v>5588</v>
      </c>
      <c r="G4270" s="1" t="s">
        <v>5589</v>
      </c>
      <c r="H4270" s="1" t="s">
        <v>5604</v>
      </c>
      <c r="J4270" s="1" t="s">
        <v>999</v>
      </c>
      <c r="L4270" s="1" t="s">
        <v>1425</v>
      </c>
      <c r="N4270" s="1" t="s">
        <v>4461</v>
      </c>
      <c r="P4270" s="1" t="s">
        <v>4466</v>
      </c>
      <c r="Q4270" s="3">
        <v>0</v>
      </c>
      <c r="R4270" s="22" t="s">
        <v>2722</v>
      </c>
      <c r="S4270" s="42" t="s">
        <v>6911</v>
      </c>
      <c r="T4270" s="3" t="s">
        <v>4868</v>
      </c>
      <c r="U4270" s="45">
        <v>35</v>
      </c>
      <c r="V4270" t="s">
        <v>8191</v>
      </c>
      <c r="W4270" s="1" t="str">
        <f>HYPERLINK("http://ictvonline.org/taxonomy/p/taxonomy-history?taxnode_id=201901660","ICTVonline=201901660")</f>
        <v>ICTVonline=201901660</v>
      </c>
    </row>
    <row r="4271" spans="1:23">
      <c r="A4271" s="3">
        <v>4270</v>
      </c>
      <c r="B4271" s="1" t="s">
        <v>5910</v>
      </c>
      <c r="D4271" s="1" t="s">
        <v>8187</v>
      </c>
      <c r="F4271" s="1" t="s">
        <v>5588</v>
      </c>
      <c r="G4271" s="1" t="s">
        <v>5589</v>
      </c>
      <c r="H4271" s="1" t="s">
        <v>5604</v>
      </c>
      <c r="J4271" s="1" t="s">
        <v>999</v>
      </c>
      <c r="L4271" s="1" t="s">
        <v>1425</v>
      </c>
      <c r="N4271" s="1" t="s">
        <v>5978</v>
      </c>
      <c r="P4271" s="1" t="s">
        <v>5979</v>
      </c>
      <c r="Q4271" s="3">
        <v>1</v>
      </c>
      <c r="R4271" s="22" t="s">
        <v>2722</v>
      </c>
      <c r="S4271" s="42" t="s">
        <v>6911</v>
      </c>
      <c r="T4271" s="3" t="s">
        <v>4868</v>
      </c>
      <c r="U4271" s="45">
        <v>35</v>
      </c>
      <c r="V4271" t="s">
        <v>8191</v>
      </c>
      <c r="W4271" s="1" t="str">
        <f>HYPERLINK("http://ictvonline.org/taxonomy/p/taxonomy-history?taxnode_id=201906519","ICTVonline=201906519")</f>
        <v>ICTVonline=201906519</v>
      </c>
    </row>
    <row r="4272" spans="1:23">
      <c r="A4272" s="3">
        <v>4271</v>
      </c>
      <c r="B4272" s="1" t="s">
        <v>5910</v>
      </c>
      <c r="D4272" s="1" t="s">
        <v>8187</v>
      </c>
      <c r="F4272" s="1" t="s">
        <v>5588</v>
      </c>
      <c r="G4272" s="1" t="s">
        <v>5589</v>
      </c>
      <c r="H4272" s="1" t="s">
        <v>5604</v>
      </c>
      <c r="J4272" s="1" t="s">
        <v>999</v>
      </c>
      <c r="L4272" s="1" t="s">
        <v>1425</v>
      </c>
      <c r="N4272" s="1" t="s">
        <v>5978</v>
      </c>
      <c r="P4272" s="1" t="s">
        <v>5980</v>
      </c>
      <c r="Q4272" s="3">
        <v>0</v>
      </c>
      <c r="R4272" s="22" t="s">
        <v>2722</v>
      </c>
      <c r="S4272" s="42" t="s">
        <v>6911</v>
      </c>
      <c r="T4272" s="3" t="s">
        <v>4868</v>
      </c>
      <c r="U4272" s="45">
        <v>35</v>
      </c>
      <c r="V4272" t="s">
        <v>8191</v>
      </c>
      <c r="W4272" s="1" t="str">
        <f>HYPERLINK("http://ictvonline.org/taxonomy/p/taxonomy-history?taxnode_id=201906520","ICTVonline=201906520")</f>
        <v>ICTVonline=201906520</v>
      </c>
    </row>
    <row r="4273" spans="1:23">
      <c r="A4273" s="3">
        <v>4272</v>
      </c>
      <c r="B4273" s="1" t="s">
        <v>5910</v>
      </c>
      <c r="D4273" s="1" t="s">
        <v>8187</v>
      </c>
      <c r="F4273" s="1" t="s">
        <v>5588</v>
      </c>
      <c r="G4273" s="1" t="s">
        <v>5589</v>
      </c>
      <c r="H4273" s="1" t="s">
        <v>5604</v>
      </c>
      <c r="J4273" s="1" t="s">
        <v>999</v>
      </c>
      <c r="L4273" s="1" t="s">
        <v>1425</v>
      </c>
      <c r="N4273" s="1" t="s">
        <v>8299</v>
      </c>
      <c r="P4273" s="1" t="s">
        <v>8300</v>
      </c>
      <c r="Q4273" s="3">
        <v>0</v>
      </c>
      <c r="R4273" s="22" t="s">
        <v>2722</v>
      </c>
      <c r="S4273" s="42" t="s">
        <v>6911</v>
      </c>
      <c r="T4273" s="3" t="s">
        <v>4867</v>
      </c>
      <c r="U4273" s="45">
        <v>35</v>
      </c>
      <c r="V4273" t="s">
        <v>8301</v>
      </c>
      <c r="W4273" s="1" t="str">
        <f>HYPERLINK("http://ictvonline.org/taxonomy/p/taxonomy-history?taxnode_id=201901743","ICTVonline=201901743")</f>
        <v>ICTVonline=201901743</v>
      </c>
    </row>
    <row r="4274" spans="1:23">
      <c r="A4274" s="3">
        <v>4273</v>
      </c>
      <c r="B4274" s="1" t="s">
        <v>5910</v>
      </c>
      <c r="D4274" s="1" t="s">
        <v>8187</v>
      </c>
      <c r="F4274" s="1" t="s">
        <v>5588</v>
      </c>
      <c r="G4274" s="1" t="s">
        <v>5589</v>
      </c>
      <c r="H4274" s="1" t="s">
        <v>5604</v>
      </c>
      <c r="J4274" s="1" t="s">
        <v>999</v>
      </c>
      <c r="L4274" s="1" t="s">
        <v>1425</v>
      </c>
      <c r="N4274" s="1" t="s">
        <v>8299</v>
      </c>
      <c r="P4274" s="1" t="s">
        <v>8302</v>
      </c>
      <c r="Q4274" s="3">
        <v>0</v>
      </c>
      <c r="R4274" s="22" t="s">
        <v>2722</v>
      </c>
      <c r="S4274" s="42" t="s">
        <v>6911</v>
      </c>
      <c r="T4274" s="3" t="s">
        <v>4867</v>
      </c>
      <c r="U4274" s="45">
        <v>35</v>
      </c>
      <c r="V4274" t="s">
        <v>8301</v>
      </c>
      <c r="W4274" s="1" t="str">
        <f>HYPERLINK("http://ictvonline.org/taxonomy/p/taxonomy-history?taxnode_id=201901745","ICTVonline=201901745")</f>
        <v>ICTVonline=201901745</v>
      </c>
    </row>
    <row r="4275" spans="1:23">
      <c r="A4275" s="3">
        <v>4274</v>
      </c>
      <c r="B4275" s="1" t="s">
        <v>5910</v>
      </c>
      <c r="D4275" s="1" t="s">
        <v>8187</v>
      </c>
      <c r="F4275" s="1" t="s">
        <v>5588</v>
      </c>
      <c r="G4275" s="1" t="s">
        <v>5589</v>
      </c>
      <c r="H4275" s="1" t="s">
        <v>5604</v>
      </c>
      <c r="J4275" s="1" t="s">
        <v>999</v>
      </c>
      <c r="L4275" s="1" t="s">
        <v>1425</v>
      </c>
      <c r="N4275" s="1" t="s">
        <v>8299</v>
      </c>
      <c r="P4275" s="1" t="s">
        <v>8303</v>
      </c>
      <c r="Q4275" s="3">
        <v>0</v>
      </c>
      <c r="R4275" s="22" t="s">
        <v>2722</v>
      </c>
      <c r="S4275" s="42" t="s">
        <v>6911</v>
      </c>
      <c r="T4275" s="3" t="s">
        <v>4867</v>
      </c>
      <c r="U4275" s="45">
        <v>35</v>
      </c>
      <c r="V4275" t="s">
        <v>8301</v>
      </c>
      <c r="W4275" s="1" t="str">
        <f>HYPERLINK("http://ictvonline.org/taxonomy/p/taxonomy-history?taxnode_id=201901746","ICTVonline=201901746")</f>
        <v>ICTVonline=201901746</v>
      </c>
    </row>
    <row r="4276" spans="1:23">
      <c r="A4276" s="3">
        <v>4275</v>
      </c>
      <c r="B4276" s="1" t="s">
        <v>5910</v>
      </c>
      <c r="D4276" s="1" t="s">
        <v>8187</v>
      </c>
      <c r="F4276" s="1" t="s">
        <v>5588</v>
      </c>
      <c r="G4276" s="1" t="s">
        <v>5589</v>
      </c>
      <c r="H4276" s="1" t="s">
        <v>5604</v>
      </c>
      <c r="J4276" s="1" t="s">
        <v>999</v>
      </c>
      <c r="L4276" s="1" t="s">
        <v>1425</v>
      </c>
      <c r="N4276" s="1" t="s">
        <v>8299</v>
      </c>
      <c r="P4276" s="1" t="s">
        <v>8304</v>
      </c>
      <c r="Q4276" s="3">
        <v>0</v>
      </c>
      <c r="R4276" s="22" t="s">
        <v>2722</v>
      </c>
      <c r="S4276" s="42" t="s">
        <v>6911</v>
      </c>
      <c r="T4276" s="3" t="s">
        <v>4866</v>
      </c>
      <c r="U4276" s="45">
        <v>35</v>
      </c>
      <c r="V4276" t="s">
        <v>8301</v>
      </c>
      <c r="W4276" s="1" t="str">
        <f>HYPERLINK("http://ictvonline.org/taxonomy/p/taxonomy-history?taxnode_id=201907683","ICTVonline=201907683")</f>
        <v>ICTVonline=201907683</v>
      </c>
    </row>
    <row r="4277" spans="1:23">
      <c r="A4277" s="3">
        <v>4276</v>
      </c>
      <c r="B4277" s="1" t="s">
        <v>5910</v>
      </c>
      <c r="D4277" s="1" t="s">
        <v>8187</v>
      </c>
      <c r="F4277" s="1" t="s">
        <v>5588</v>
      </c>
      <c r="G4277" s="1" t="s">
        <v>5589</v>
      </c>
      <c r="H4277" s="1" t="s">
        <v>5604</v>
      </c>
      <c r="J4277" s="1" t="s">
        <v>999</v>
      </c>
      <c r="L4277" s="1" t="s">
        <v>1425</v>
      </c>
      <c r="N4277" s="1" t="s">
        <v>8299</v>
      </c>
      <c r="P4277" s="1" t="s">
        <v>8305</v>
      </c>
      <c r="Q4277" s="3">
        <v>0</v>
      </c>
      <c r="R4277" s="22" t="s">
        <v>2722</v>
      </c>
      <c r="S4277" s="42" t="s">
        <v>6911</v>
      </c>
      <c r="T4277" s="3" t="s">
        <v>4866</v>
      </c>
      <c r="U4277" s="45">
        <v>35</v>
      </c>
      <c r="V4277" t="s">
        <v>8301</v>
      </c>
      <c r="W4277" s="1" t="str">
        <f>HYPERLINK("http://ictvonline.org/taxonomy/p/taxonomy-history?taxnode_id=201907684","ICTVonline=201907684")</f>
        <v>ICTVonline=201907684</v>
      </c>
    </row>
    <row r="4278" spans="1:23">
      <c r="A4278" s="3">
        <v>4277</v>
      </c>
      <c r="B4278" s="1" t="s">
        <v>5910</v>
      </c>
      <c r="D4278" s="1" t="s">
        <v>8187</v>
      </c>
      <c r="F4278" s="1" t="s">
        <v>5588</v>
      </c>
      <c r="G4278" s="1" t="s">
        <v>5589</v>
      </c>
      <c r="H4278" s="1" t="s">
        <v>5604</v>
      </c>
      <c r="J4278" s="1" t="s">
        <v>999</v>
      </c>
      <c r="L4278" s="1" t="s">
        <v>1425</v>
      </c>
      <c r="N4278" s="1" t="s">
        <v>8299</v>
      </c>
      <c r="P4278" s="1" t="s">
        <v>8306</v>
      </c>
      <c r="Q4278" s="3">
        <v>1</v>
      </c>
      <c r="R4278" s="22" t="s">
        <v>2722</v>
      </c>
      <c r="S4278" s="42" t="s">
        <v>6911</v>
      </c>
      <c r="T4278" s="3" t="s">
        <v>4867</v>
      </c>
      <c r="U4278" s="45">
        <v>35</v>
      </c>
      <c r="V4278" t="s">
        <v>8301</v>
      </c>
      <c r="W4278" s="1" t="str">
        <f>HYPERLINK("http://ictvonline.org/taxonomy/p/taxonomy-history?taxnode_id=201901747","ICTVonline=201901747")</f>
        <v>ICTVonline=201901747</v>
      </c>
    </row>
    <row r="4279" spans="1:23">
      <c r="A4279" s="3">
        <v>4278</v>
      </c>
      <c r="B4279" s="1" t="s">
        <v>5910</v>
      </c>
      <c r="D4279" s="1" t="s">
        <v>8187</v>
      </c>
      <c r="F4279" s="1" t="s">
        <v>5588</v>
      </c>
      <c r="G4279" s="1" t="s">
        <v>5589</v>
      </c>
      <c r="H4279" s="1" t="s">
        <v>5604</v>
      </c>
      <c r="J4279" s="1" t="s">
        <v>999</v>
      </c>
      <c r="L4279" s="1" t="s">
        <v>1425</v>
      </c>
      <c r="N4279" s="1" t="s">
        <v>8299</v>
      </c>
      <c r="P4279" s="1" t="s">
        <v>8307</v>
      </c>
      <c r="Q4279" s="3">
        <v>0</v>
      </c>
      <c r="R4279" s="22" t="s">
        <v>2722</v>
      </c>
      <c r="S4279" s="42" t="s">
        <v>6911</v>
      </c>
      <c r="T4279" s="3" t="s">
        <v>4867</v>
      </c>
      <c r="U4279" s="45">
        <v>35</v>
      </c>
      <c r="V4279" t="s">
        <v>8301</v>
      </c>
      <c r="W4279" s="1" t="str">
        <f>HYPERLINK("http://ictvonline.org/taxonomy/p/taxonomy-history?taxnode_id=201901748","ICTVonline=201901748")</f>
        <v>ICTVonline=201901748</v>
      </c>
    </row>
    <row r="4280" spans="1:23">
      <c r="A4280" s="3">
        <v>4279</v>
      </c>
      <c r="B4280" s="1" t="s">
        <v>5910</v>
      </c>
      <c r="D4280" s="1" t="s">
        <v>8187</v>
      </c>
      <c r="F4280" s="1" t="s">
        <v>5588</v>
      </c>
      <c r="G4280" s="1" t="s">
        <v>5589</v>
      </c>
      <c r="H4280" s="1" t="s">
        <v>5604</v>
      </c>
      <c r="J4280" s="1" t="s">
        <v>999</v>
      </c>
      <c r="L4280" s="1" t="s">
        <v>1425</v>
      </c>
      <c r="N4280" s="1" t="s">
        <v>8299</v>
      </c>
      <c r="P4280" s="1" t="s">
        <v>8308</v>
      </c>
      <c r="Q4280" s="3">
        <v>0</v>
      </c>
      <c r="R4280" s="22" t="s">
        <v>2722</v>
      </c>
      <c r="S4280" s="42" t="s">
        <v>6911</v>
      </c>
      <c r="T4280" s="3" t="s">
        <v>4867</v>
      </c>
      <c r="U4280" s="45">
        <v>35</v>
      </c>
      <c r="V4280" t="s">
        <v>8301</v>
      </c>
      <c r="W4280" s="1" t="str">
        <f>HYPERLINK("http://ictvonline.org/taxonomy/p/taxonomy-history?taxnode_id=201901751","ICTVonline=201901751")</f>
        <v>ICTVonline=201901751</v>
      </c>
    </row>
    <row r="4281" spans="1:23">
      <c r="A4281" s="3">
        <v>4280</v>
      </c>
      <c r="B4281" s="1" t="s">
        <v>5910</v>
      </c>
      <c r="D4281" s="1" t="s">
        <v>8187</v>
      </c>
      <c r="F4281" s="1" t="s">
        <v>5588</v>
      </c>
      <c r="G4281" s="1" t="s">
        <v>5589</v>
      </c>
      <c r="H4281" s="1" t="s">
        <v>5604</v>
      </c>
      <c r="J4281" s="1" t="s">
        <v>999</v>
      </c>
      <c r="L4281" s="1" t="s">
        <v>1425</v>
      </c>
      <c r="N4281" s="1" t="s">
        <v>8299</v>
      </c>
      <c r="P4281" s="1" t="s">
        <v>8309</v>
      </c>
      <c r="Q4281" s="3">
        <v>0</v>
      </c>
      <c r="R4281" s="22" t="s">
        <v>2722</v>
      </c>
      <c r="S4281" s="42" t="s">
        <v>6911</v>
      </c>
      <c r="T4281" s="3" t="s">
        <v>4866</v>
      </c>
      <c r="U4281" s="45">
        <v>35</v>
      </c>
      <c r="V4281" t="s">
        <v>8301</v>
      </c>
      <c r="W4281" s="1" t="str">
        <f>HYPERLINK("http://ictvonline.org/taxonomy/p/taxonomy-history?taxnode_id=201907682","ICTVonline=201907682")</f>
        <v>ICTVonline=201907682</v>
      </c>
    </row>
    <row r="4282" spans="1:23">
      <c r="A4282" s="3">
        <v>4281</v>
      </c>
      <c r="B4282" s="1" t="s">
        <v>5910</v>
      </c>
      <c r="D4282" s="1" t="s">
        <v>8187</v>
      </c>
      <c r="F4282" s="1" t="s">
        <v>5588</v>
      </c>
      <c r="G4282" s="1" t="s">
        <v>5589</v>
      </c>
      <c r="H4282" s="1" t="s">
        <v>5604</v>
      </c>
      <c r="J4282" s="1" t="s">
        <v>999</v>
      </c>
      <c r="L4282" s="1" t="s">
        <v>1425</v>
      </c>
      <c r="N4282" s="1" t="s">
        <v>8310</v>
      </c>
      <c r="P4282" s="1" t="s">
        <v>8311</v>
      </c>
      <c r="Q4282" s="3">
        <v>1</v>
      </c>
      <c r="R4282" s="22" t="s">
        <v>2722</v>
      </c>
      <c r="S4282" s="42" t="s">
        <v>6911</v>
      </c>
      <c r="T4282" s="3" t="s">
        <v>4866</v>
      </c>
      <c r="U4282" s="45">
        <v>35</v>
      </c>
      <c r="V4282" t="s">
        <v>8312</v>
      </c>
      <c r="W4282" s="1" t="str">
        <f>HYPERLINK("http://ictvonline.org/taxonomy/p/taxonomy-history?taxnode_id=201907241","ICTVonline=201907241")</f>
        <v>ICTVonline=201907241</v>
      </c>
    </row>
    <row r="4283" spans="1:23">
      <c r="A4283" s="3">
        <v>4282</v>
      </c>
      <c r="B4283" s="1" t="s">
        <v>5910</v>
      </c>
      <c r="D4283" s="1" t="s">
        <v>8187</v>
      </c>
      <c r="F4283" s="1" t="s">
        <v>5588</v>
      </c>
      <c r="G4283" s="1" t="s">
        <v>5589</v>
      </c>
      <c r="H4283" s="1" t="s">
        <v>5604</v>
      </c>
      <c r="J4283" s="1" t="s">
        <v>999</v>
      </c>
      <c r="L4283" s="1" t="s">
        <v>1425</v>
      </c>
      <c r="N4283" s="1" t="s">
        <v>8310</v>
      </c>
      <c r="P4283" s="1" t="s">
        <v>8313</v>
      </c>
      <c r="Q4283" s="3">
        <v>0</v>
      </c>
      <c r="R4283" s="22" t="s">
        <v>2722</v>
      </c>
      <c r="S4283" s="42" t="s">
        <v>6911</v>
      </c>
      <c r="T4283" s="3" t="s">
        <v>4866</v>
      </c>
      <c r="U4283" s="45">
        <v>35</v>
      </c>
      <c r="V4283" t="s">
        <v>8312</v>
      </c>
      <c r="W4283" s="1" t="str">
        <f>HYPERLINK("http://ictvonline.org/taxonomy/p/taxonomy-history?taxnode_id=201907243","ICTVonline=201907243")</f>
        <v>ICTVonline=201907243</v>
      </c>
    </row>
    <row r="4284" spans="1:23">
      <c r="A4284" s="3">
        <v>4283</v>
      </c>
      <c r="B4284" s="1" t="s">
        <v>5910</v>
      </c>
      <c r="D4284" s="1" t="s">
        <v>8187</v>
      </c>
      <c r="F4284" s="1" t="s">
        <v>5588</v>
      </c>
      <c r="G4284" s="1" t="s">
        <v>5589</v>
      </c>
      <c r="H4284" s="1" t="s">
        <v>5604</v>
      </c>
      <c r="J4284" s="1" t="s">
        <v>999</v>
      </c>
      <c r="L4284" s="1" t="s">
        <v>1425</v>
      </c>
      <c r="N4284" s="1" t="s">
        <v>8310</v>
      </c>
      <c r="P4284" s="1" t="s">
        <v>8314</v>
      </c>
      <c r="Q4284" s="3">
        <v>0</v>
      </c>
      <c r="R4284" s="22" t="s">
        <v>2722</v>
      </c>
      <c r="S4284" s="42" t="s">
        <v>6911</v>
      </c>
      <c r="T4284" s="3" t="s">
        <v>4866</v>
      </c>
      <c r="U4284" s="45">
        <v>35</v>
      </c>
      <c r="V4284" t="s">
        <v>8312</v>
      </c>
      <c r="W4284" s="1" t="str">
        <f>HYPERLINK("http://ictvonline.org/taxonomy/p/taxonomy-history?taxnode_id=201907244","ICTVonline=201907244")</f>
        <v>ICTVonline=201907244</v>
      </c>
    </row>
    <row r="4285" spans="1:23">
      <c r="A4285" s="3">
        <v>4284</v>
      </c>
      <c r="B4285" s="1" t="s">
        <v>5910</v>
      </c>
      <c r="D4285" s="1" t="s">
        <v>8187</v>
      </c>
      <c r="F4285" s="1" t="s">
        <v>5588</v>
      </c>
      <c r="G4285" s="1" t="s">
        <v>5589</v>
      </c>
      <c r="H4285" s="1" t="s">
        <v>5604</v>
      </c>
      <c r="J4285" s="1" t="s">
        <v>999</v>
      </c>
      <c r="L4285" s="1" t="s">
        <v>1425</v>
      </c>
      <c r="N4285" s="1" t="s">
        <v>8310</v>
      </c>
      <c r="P4285" s="1" t="s">
        <v>8315</v>
      </c>
      <c r="Q4285" s="3">
        <v>0</v>
      </c>
      <c r="R4285" s="22" t="s">
        <v>2722</v>
      </c>
      <c r="S4285" s="42" t="s">
        <v>6911</v>
      </c>
      <c r="T4285" s="3" t="s">
        <v>4866</v>
      </c>
      <c r="U4285" s="45">
        <v>35</v>
      </c>
      <c r="V4285" t="s">
        <v>8312</v>
      </c>
      <c r="W4285" s="1" t="str">
        <f>HYPERLINK("http://ictvonline.org/taxonomy/p/taxonomy-history?taxnode_id=201907242","ICTVonline=201907242")</f>
        <v>ICTVonline=201907242</v>
      </c>
    </row>
    <row r="4286" spans="1:23">
      <c r="A4286" s="3">
        <v>4285</v>
      </c>
      <c r="B4286" s="1" t="s">
        <v>5910</v>
      </c>
      <c r="D4286" s="1" t="s">
        <v>8187</v>
      </c>
      <c r="F4286" s="1" t="s">
        <v>5588</v>
      </c>
      <c r="G4286" s="1" t="s">
        <v>5589</v>
      </c>
      <c r="H4286" s="1" t="s">
        <v>5604</v>
      </c>
      <c r="J4286" s="1" t="s">
        <v>999</v>
      </c>
      <c r="L4286" s="1" t="s">
        <v>1425</v>
      </c>
      <c r="N4286" s="1" t="s">
        <v>8800</v>
      </c>
      <c r="P4286" s="1" t="s">
        <v>8801</v>
      </c>
      <c r="Q4286" s="3">
        <v>1</v>
      </c>
      <c r="R4286" s="22" t="s">
        <v>2722</v>
      </c>
      <c r="S4286" s="42" t="s">
        <v>6911</v>
      </c>
      <c r="T4286" s="3" t="s">
        <v>4866</v>
      </c>
      <c r="U4286" s="45">
        <v>35</v>
      </c>
      <c r="V4286" t="s">
        <v>8344</v>
      </c>
      <c r="W4286" s="1" t="str">
        <f>HYPERLINK("http://ictvonline.org/taxonomy/p/taxonomy-history?taxnode_id=201907393","ICTVonline=201907393")</f>
        <v>ICTVonline=201907393</v>
      </c>
    </row>
    <row r="4287" spans="1:23">
      <c r="A4287" s="3">
        <v>4286</v>
      </c>
      <c r="B4287" s="1" t="s">
        <v>5910</v>
      </c>
      <c r="D4287" s="1" t="s">
        <v>8187</v>
      </c>
      <c r="F4287" s="1" t="s">
        <v>5588</v>
      </c>
      <c r="G4287" s="1" t="s">
        <v>5589</v>
      </c>
      <c r="H4287" s="1" t="s">
        <v>5604</v>
      </c>
      <c r="J4287" s="1" t="s">
        <v>999</v>
      </c>
      <c r="L4287" s="1" t="s">
        <v>1425</v>
      </c>
      <c r="N4287" s="1" t="s">
        <v>8800</v>
      </c>
      <c r="P4287" s="1" t="s">
        <v>8802</v>
      </c>
      <c r="Q4287" s="3">
        <v>0</v>
      </c>
      <c r="R4287" s="22" t="s">
        <v>2722</v>
      </c>
      <c r="S4287" s="42" t="s">
        <v>6911</v>
      </c>
      <c r="T4287" s="3" t="s">
        <v>4866</v>
      </c>
      <c r="U4287" s="45">
        <v>35</v>
      </c>
      <c r="V4287" t="s">
        <v>8344</v>
      </c>
      <c r="W4287" s="1" t="str">
        <f>HYPERLINK("http://ictvonline.org/taxonomy/p/taxonomy-history?taxnode_id=201907394","ICTVonline=201907394")</f>
        <v>ICTVonline=201907394</v>
      </c>
    </row>
    <row r="4288" spans="1:23">
      <c r="A4288" s="3">
        <v>4287</v>
      </c>
      <c r="B4288" s="1" t="s">
        <v>5910</v>
      </c>
      <c r="D4288" s="1" t="s">
        <v>8187</v>
      </c>
      <c r="F4288" s="1" t="s">
        <v>5588</v>
      </c>
      <c r="G4288" s="1" t="s">
        <v>5589</v>
      </c>
      <c r="H4288" s="1" t="s">
        <v>5604</v>
      </c>
      <c r="J4288" s="1" t="s">
        <v>999</v>
      </c>
      <c r="L4288" s="1" t="s">
        <v>1425</v>
      </c>
      <c r="N4288" s="1" t="s">
        <v>8316</v>
      </c>
      <c r="P4288" s="1" t="s">
        <v>8317</v>
      </c>
      <c r="Q4288" s="3">
        <v>0</v>
      </c>
      <c r="R4288" s="22" t="s">
        <v>2722</v>
      </c>
      <c r="S4288" s="42" t="s">
        <v>6911</v>
      </c>
      <c r="T4288" s="3" t="s">
        <v>4866</v>
      </c>
      <c r="U4288" s="45">
        <v>35</v>
      </c>
      <c r="V4288" t="s">
        <v>8301</v>
      </c>
      <c r="W4288" s="1" t="str">
        <f>HYPERLINK("http://ictvonline.org/taxonomy/p/taxonomy-history?taxnode_id=201907688","ICTVonline=201907688")</f>
        <v>ICTVonline=201907688</v>
      </c>
    </row>
    <row r="4289" spans="1:23">
      <c r="A4289" s="3">
        <v>4288</v>
      </c>
      <c r="B4289" s="1" t="s">
        <v>5910</v>
      </c>
      <c r="D4289" s="1" t="s">
        <v>8187</v>
      </c>
      <c r="F4289" s="1" t="s">
        <v>5588</v>
      </c>
      <c r="G4289" s="1" t="s">
        <v>5589</v>
      </c>
      <c r="H4289" s="1" t="s">
        <v>5604</v>
      </c>
      <c r="J4289" s="1" t="s">
        <v>999</v>
      </c>
      <c r="L4289" s="1" t="s">
        <v>1425</v>
      </c>
      <c r="N4289" s="1" t="s">
        <v>8316</v>
      </c>
      <c r="P4289" s="1" t="s">
        <v>8318</v>
      </c>
      <c r="Q4289" s="3">
        <v>0</v>
      </c>
      <c r="R4289" s="22" t="s">
        <v>2722</v>
      </c>
      <c r="S4289" s="42" t="s">
        <v>6911</v>
      </c>
      <c r="T4289" s="3" t="s">
        <v>4866</v>
      </c>
      <c r="U4289" s="45">
        <v>35</v>
      </c>
      <c r="V4289" t="s">
        <v>8301</v>
      </c>
      <c r="W4289" s="1" t="str">
        <f>HYPERLINK("http://ictvonline.org/taxonomy/p/taxonomy-history?taxnode_id=201907686","ICTVonline=201907686")</f>
        <v>ICTVonline=201907686</v>
      </c>
    </row>
    <row r="4290" spans="1:23">
      <c r="A4290" s="3">
        <v>4289</v>
      </c>
      <c r="B4290" s="1" t="s">
        <v>5910</v>
      </c>
      <c r="D4290" s="1" t="s">
        <v>8187</v>
      </c>
      <c r="F4290" s="1" t="s">
        <v>5588</v>
      </c>
      <c r="G4290" s="1" t="s">
        <v>5589</v>
      </c>
      <c r="H4290" s="1" t="s">
        <v>5604</v>
      </c>
      <c r="J4290" s="1" t="s">
        <v>999</v>
      </c>
      <c r="L4290" s="1" t="s">
        <v>1425</v>
      </c>
      <c r="N4290" s="1" t="s">
        <v>8316</v>
      </c>
      <c r="P4290" s="1" t="s">
        <v>8319</v>
      </c>
      <c r="Q4290" s="3">
        <v>0</v>
      </c>
      <c r="R4290" s="22" t="s">
        <v>2722</v>
      </c>
      <c r="S4290" s="42" t="s">
        <v>6911</v>
      </c>
      <c r="T4290" s="3" t="s">
        <v>4867</v>
      </c>
      <c r="U4290" s="45">
        <v>35</v>
      </c>
      <c r="V4290" t="s">
        <v>8301</v>
      </c>
      <c r="W4290" s="1" t="str">
        <f>HYPERLINK("http://ictvonline.org/taxonomy/p/taxonomy-history?taxnode_id=201901742","ICTVonline=201901742")</f>
        <v>ICTVonline=201901742</v>
      </c>
    </row>
    <row r="4291" spans="1:23">
      <c r="A4291" s="3">
        <v>4290</v>
      </c>
      <c r="B4291" s="1" t="s">
        <v>5910</v>
      </c>
      <c r="D4291" s="1" t="s">
        <v>8187</v>
      </c>
      <c r="F4291" s="1" t="s">
        <v>5588</v>
      </c>
      <c r="G4291" s="1" t="s">
        <v>5589</v>
      </c>
      <c r="H4291" s="1" t="s">
        <v>5604</v>
      </c>
      <c r="J4291" s="1" t="s">
        <v>999</v>
      </c>
      <c r="L4291" s="1" t="s">
        <v>1425</v>
      </c>
      <c r="N4291" s="1" t="s">
        <v>8316</v>
      </c>
      <c r="P4291" s="1" t="s">
        <v>8320</v>
      </c>
      <c r="Q4291" s="3">
        <v>1</v>
      </c>
      <c r="R4291" s="22" t="s">
        <v>2722</v>
      </c>
      <c r="S4291" s="42" t="s">
        <v>6911</v>
      </c>
      <c r="T4291" s="3" t="s">
        <v>4872</v>
      </c>
      <c r="U4291" s="45">
        <v>35</v>
      </c>
      <c r="V4291" t="s">
        <v>8301</v>
      </c>
      <c r="W4291" s="1" t="str">
        <f>HYPERLINK("http://ictvonline.org/taxonomy/p/taxonomy-history?taxnode_id=201901749","ICTVonline=201901749")</f>
        <v>ICTVonline=201901749</v>
      </c>
    </row>
    <row r="4292" spans="1:23">
      <c r="A4292" s="3">
        <v>4291</v>
      </c>
      <c r="B4292" s="1" t="s">
        <v>5910</v>
      </c>
      <c r="D4292" s="1" t="s">
        <v>8187</v>
      </c>
      <c r="F4292" s="1" t="s">
        <v>5588</v>
      </c>
      <c r="G4292" s="1" t="s">
        <v>5589</v>
      </c>
      <c r="H4292" s="1" t="s">
        <v>5604</v>
      </c>
      <c r="J4292" s="1" t="s">
        <v>999</v>
      </c>
      <c r="L4292" s="1" t="s">
        <v>1425</v>
      </c>
      <c r="N4292" s="1" t="s">
        <v>8316</v>
      </c>
      <c r="P4292" s="1" t="s">
        <v>8321</v>
      </c>
      <c r="Q4292" s="3">
        <v>0</v>
      </c>
      <c r="R4292" s="22" t="s">
        <v>2722</v>
      </c>
      <c r="S4292" s="42" t="s">
        <v>6911</v>
      </c>
      <c r="T4292" s="3" t="s">
        <v>4867</v>
      </c>
      <c r="U4292" s="45">
        <v>35</v>
      </c>
      <c r="V4292" t="s">
        <v>8301</v>
      </c>
      <c r="W4292" s="1" t="str">
        <f>HYPERLINK("http://ictvonline.org/taxonomy/p/taxonomy-history?taxnode_id=201901750","ICTVonline=201901750")</f>
        <v>ICTVonline=201901750</v>
      </c>
    </row>
    <row r="4293" spans="1:23">
      <c r="A4293" s="3">
        <v>4292</v>
      </c>
      <c r="B4293" s="1" t="s">
        <v>5910</v>
      </c>
      <c r="D4293" s="1" t="s">
        <v>8187</v>
      </c>
      <c r="F4293" s="1" t="s">
        <v>5588</v>
      </c>
      <c r="G4293" s="1" t="s">
        <v>5589</v>
      </c>
      <c r="H4293" s="1" t="s">
        <v>5604</v>
      </c>
      <c r="J4293" s="1" t="s">
        <v>999</v>
      </c>
      <c r="L4293" s="1" t="s">
        <v>1425</v>
      </c>
      <c r="N4293" s="1" t="s">
        <v>8316</v>
      </c>
      <c r="P4293" s="1" t="s">
        <v>8322</v>
      </c>
      <c r="Q4293" s="3">
        <v>0</v>
      </c>
      <c r="R4293" s="22" t="s">
        <v>2722</v>
      </c>
      <c r="S4293" s="42" t="s">
        <v>6911</v>
      </c>
      <c r="T4293" s="3" t="s">
        <v>4866</v>
      </c>
      <c r="U4293" s="45">
        <v>35</v>
      </c>
      <c r="V4293" t="s">
        <v>8301</v>
      </c>
      <c r="W4293" s="1" t="str">
        <f>HYPERLINK("http://ictvonline.org/taxonomy/p/taxonomy-history?taxnode_id=201907687","ICTVonline=201907687")</f>
        <v>ICTVonline=201907687</v>
      </c>
    </row>
    <row r="4294" spans="1:23">
      <c r="A4294" s="3">
        <v>4293</v>
      </c>
      <c r="B4294" s="1" t="s">
        <v>5910</v>
      </c>
      <c r="D4294" s="1" t="s">
        <v>8187</v>
      </c>
      <c r="F4294" s="1" t="s">
        <v>5588</v>
      </c>
      <c r="G4294" s="1" t="s">
        <v>5589</v>
      </c>
      <c r="H4294" s="1" t="s">
        <v>5604</v>
      </c>
      <c r="J4294" s="1" t="s">
        <v>999</v>
      </c>
      <c r="L4294" s="1" t="s">
        <v>1425</v>
      </c>
      <c r="N4294" s="1" t="s">
        <v>5981</v>
      </c>
      <c r="P4294" s="1" t="s">
        <v>5982</v>
      </c>
      <c r="Q4294" s="3">
        <v>0</v>
      </c>
      <c r="R4294" s="22" t="s">
        <v>2722</v>
      </c>
      <c r="S4294" s="42" t="s">
        <v>6911</v>
      </c>
      <c r="T4294" s="3" t="s">
        <v>4868</v>
      </c>
      <c r="U4294" s="45">
        <v>35</v>
      </c>
      <c r="V4294" t="s">
        <v>8191</v>
      </c>
      <c r="W4294" s="1" t="str">
        <f>HYPERLINK("http://ictvonline.org/taxonomy/p/taxonomy-history?taxnode_id=201906556","ICTVonline=201906556")</f>
        <v>ICTVonline=201906556</v>
      </c>
    </row>
    <row r="4295" spans="1:23">
      <c r="A4295" s="3">
        <v>4294</v>
      </c>
      <c r="B4295" s="1" t="s">
        <v>5910</v>
      </c>
      <c r="D4295" s="1" t="s">
        <v>8187</v>
      </c>
      <c r="F4295" s="1" t="s">
        <v>5588</v>
      </c>
      <c r="G4295" s="1" t="s">
        <v>5589</v>
      </c>
      <c r="H4295" s="1" t="s">
        <v>5604</v>
      </c>
      <c r="J4295" s="1" t="s">
        <v>999</v>
      </c>
      <c r="L4295" s="1" t="s">
        <v>1425</v>
      </c>
      <c r="N4295" s="1" t="s">
        <v>5981</v>
      </c>
      <c r="P4295" s="1" t="s">
        <v>5983</v>
      </c>
      <c r="Q4295" s="3">
        <v>1</v>
      </c>
      <c r="R4295" s="22" t="s">
        <v>2722</v>
      </c>
      <c r="S4295" s="42" t="s">
        <v>6911</v>
      </c>
      <c r="T4295" s="3" t="s">
        <v>4868</v>
      </c>
      <c r="U4295" s="45">
        <v>35</v>
      </c>
      <c r="V4295" t="s">
        <v>8191</v>
      </c>
      <c r="W4295" s="1" t="str">
        <f>HYPERLINK("http://ictvonline.org/taxonomy/p/taxonomy-history?taxnode_id=201906554","ICTVonline=201906554")</f>
        <v>ICTVonline=201906554</v>
      </c>
    </row>
    <row r="4296" spans="1:23">
      <c r="A4296" s="3">
        <v>4295</v>
      </c>
      <c r="B4296" s="1" t="s">
        <v>5910</v>
      </c>
      <c r="D4296" s="1" t="s">
        <v>8187</v>
      </c>
      <c r="F4296" s="1" t="s">
        <v>5588</v>
      </c>
      <c r="G4296" s="1" t="s">
        <v>5589</v>
      </c>
      <c r="H4296" s="1" t="s">
        <v>5604</v>
      </c>
      <c r="J4296" s="1" t="s">
        <v>999</v>
      </c>
      <c r="L4296" s="1" t="s">
        <v>1425</v>
      </c>
      <c r="N4296" s="1" t="s">
        <v>5981</v>
      </c>
      <c r="P4296" s="1" t="s">
        <v>5984</v>
      </c>
      <c r="Q4296" s="3">
        <v>0</v>
      </c>
      <c r="R4296" s="22" t="s">
        <v>2722</v>
      </c>
      <c r="S4296" s="42" t="s">
        <v>6911</v>
      </c>
      <c r="T4296" s="3" t="s">
        <v>4868</v>
      </c>
      <c r="U4296" s="45">
        <v>35</v>
      </c>
      <c r="V4296" t="s">
        <v>8191</v>
      </c>
      <c r="W4296" s="1" t="str">
        <f>HYPERLINK("http://ictvonline.org/taxonomy/p/taxonomy-history?taxnode_id=201906555","ICTVonline=201906555")</f>
        <v>ICTVonline=201906555</v>
      </c>
    </row>
    <row r="4297" spans="1:23">
      <c r="A4297" s="3">
        <v>4296</v>
      </c>
      <c r="B4297" s="1" t="s">
        <v>5910</v>
      </c>
      <c r="D4297" s="1" t="s">
        <v>8187</v>
      </c>
      <c r="F4297" s="1" t="s">
        <v>5588</v>
      </c>
      <c r="G4297" s="1" t="s">
        <v>5589</v>
      </c>
      <c r="H4297" s="1" t="s">
        <v>5604</v>
      </c>
      <c r="J4297" s="1" t="s">
        <v>999</v>
      </c>
      <c r="L4297" s="1" t="s">
        <v>1425</v>
      </c>
      <c r="N4297" s="1" t="s">
        <v>4467</v>
      </c>
      <c r="P4297" s="1" t="s">
        <v>4468</v>
      </c>
      <c r="Q4297" s="3">
        <v>1</v>
      </c>
      <c r="R4297" s="22" t="s">
        <v>2722</v>
      </c>
      <c r="S4297" s="42" t="s">
        <v>6911</v>
      </c>
      <c r="T4297" s="3" t="s">
        <v>4868</v>
      </c>
      <c r="U4297" s="45">
        <v>35</v>
      </c>
      <c r="V4297" t="s">
        <v>8191</v>
      </c>
      <c r="W4297" s="1" t="str">
        <f>HYPERLINK("http://ictvonline.org/taxonomy/p/taxonomy-history?taxnode_id=201901662","ICTVonline=201901662")</f>
        <v>ICTVonline=201901662</v>
      </c>
    </row>
    <row r="4298" spans="1:23">
      <c r="A4298" s="3">
        <v>4297</v>
      </c>
      <c r="B4298" s="1" t="s">
        <v>5910</v>
      </c>
      <c r="D4298" s="1" t="s">
        <v>8187</v>
      </c>
      <c r="F4298" s="1" t="s">
        <v>5588</v>
      </c>
      <c r="G4298" s="1" t="s">
        <v>5589</v>
      </c>
      <c r="H4298" s="1" t="s">
        <v>5604</v>
      </c>
      <c r="J4298" s="1" t="s">
        <v>999</v>
      </c>
      <c r="L4298" s="1" t="s">
        <v>1425</v>
      </c>
      <c r="N4298" s="1" t="s">
        <v>4467</v>
      </c>
      <c r="P4298" s="1" t="s">
        <v>4469</v>
      </c>
      <c r="Q4298" s="3">
        <v>0</v>
      </c>
      <c r="R4298" s="22" t="s">
        <v>2722</v>
      </c>
      <c r="S4298" s="42" t="s">
        <v>6911</v>
      </c>
      <c r="T4298" s="3" t="s">
        <v>4868</v>
      </c>
      <c r="U4298" s="45">
        <v>35</v>
      </c>
      <c r="V4298" t="s">
        <v>8191</v>
      </c>
      <c r="W4298" s="1" t="str">
        <f>HYPERLINK("http://ictvonline.org/taxonomy/p/taxonomy-history?taxnode_id=201901663","ICTVonline=201901663")</f>
        <v>ICTVonline=201901663</v>
      </c>
    </row>
    <row r="4299" spans="1:23">
      <c r="A4299" s="3">
        <v>4298</v>
      </c>
      <c r="B4299" s="1" t="s">
        <v>5910</v>
      </c>
      <c r="D4299" s="1" t="s">
        <v>8187</v>
      </c>
      <c r="F4299" s="1" t="s">
        <v>5588</v>
      </c>
      <c r="G4299" s="1" t="s">
        <v>5589</v>
      </c>
      <c r="H4299" s="1" t="s">
        <v>5604</v>
      </c>
      <c r="J4299" s="1" t="s">
        <v>999</v>
      </c>
      <c r="L4299" s="1" t="s">
        <v>1425</v>
      </c>
      <c r="N4299" s="1" t="s">
        <v>4467</v>
      </c>
      <c r="P4299" s="1" t="s">
        <v>4470</v>
      </c>
      <c r="Q4299" s="3">
        <v>0</v>
      </c>
      <c r="R4299" s="22" t="s">
        <v>2722</v>
      </c>
      <c r="S4299" s="42" t="s">
        <v>6911</v>
      </c>
      <c r="T4299" s="3" t="s">
        <v>4868</v>
      </c>
      <c r="U4299" s="45">
        <v>35</v>
      </c>
      <c r="V4299" t="s">
        <v>8191</v>
      </c>
      <c r="W4299" s="1" t="str">
        <f>HYPERLINK("http://ictvonline.org/taxonomy/p/taxonomy-history?taxnode_id=201901664","ICTVonline=201901664")</f>
        <v>ICTVonline=201901664</v>
      </c>
    </row>
    <row r="4300" spans="1:23">
      <c r="A4300" s="3">
        <v>4299</v>
      </c>
      <c r="B4300" s="1" t="s">
        <v>5910</v>
      </c>
      <c r="D4300" s="1" t="s">
        <v>8187</v>
      </c>
      <c r="F4300" s="1" t="s">
        <v>5588</v>
      </c>
      <c r="G4300" s="1" t="s">
        <v>5589</v>
      </c>
      <c r="H4300" s="1" t="s">
        <v>5604</v>
      </c>
      <c r="J4300" s="1" t="s">
        <v>999</v>
      </c>
      <c r="L4300" s="1" t="s">
        <v>1425</v>
      </c>
      <c r="N4300" s="1" t="s">
        <v>4467</v>
      </c>
      <c r="P4300" s="1" t="s">
        <v>4471</v>
      </c>
      <c r="Q4300" s="3">
        <v>0</v>
      </c>
      <c r="R4300" s="22" t="s">
        <v>2722</v>
      </c>
      <c r="S4300" s="42" t="s">
        <v>6911</v>
      </c>
      <c r="T4300" s="3" t="s">
        <v>4868</v>
      </c>
      <c r="U4300" s="45">
        <v>35</v>
      </c>
      <c r="V4300" t="s">
        <v>8191</v>
      </c>
      <c r="W4300" s="1" t="str">
        <f>HYPERLINK("http://ictvonline.org/taxonomy/p/taxonomy-history?taxnode_id=201901665","ICTVonline=201901665")</f>
        <v>ICTVonline=201901665</v>
      </c>
    </row>
    <row r="4301" spans="1:23">
      <c r="A4301" s="3">
        <v>4300</v>
      </c>
      <c r="B4301" s="1" t="s">
        <v>5910</v>
      </c>
      <c r="D4301" s="1" t="s">
        <v>8187</v>
      </c>
      <c r="F4301" s="1" t="s">
        <v>5588</v>
      </c>
      <c r="G4301" s="1" t="s">
        <v>5589</v>
      </c>
      <c r="H4301" s="1" t="s">
        <v>5604</v>
      </c>
      <c r="J4301" s="1" t="s">
        <v>999</v>
      </c>
      <c r="L4301" s="1" t="s">
        <v>1425</v>
      </c>
      <c r="N4301" s="1" t="s">
        <v>1426</v>
      </c>
      <c r="P4301" s="1" t="s">
        <v>3518</v>
      </c>
      <c r="Q4301" s="3">
        <v>0</v>
      </c>
      <c r="R4301" s="22" t="s">
        <v>2722</v>
      </c>
      <c r="S4301" s="42" t="s">
        <v>6911</v>
      </c>
      <c r="T4301" s="3" t="s">
        <v>4868</v>
      </c>
      <c r="U4301" s="45">
        <v>35</v>
      </c>
      <c r="V4301" t="s">
        <v>8191</v>
      </c>
      <c r="W4301" s="1" t="str">
        <f>HYPERLINK("http://ictvonline.org/taxonomy/p/taxonomy-history?taxnode_id=201901667","ICTVonline=201901667")</f>
        <v>ICTVonline=201901667</v>
      </c>
    </row>
    <row r="4302" spans="1:23">
      <c r="A4302" s="3">
        <v>4301</v>
      </c>
      <c r="B4302" s="1" t="s">
        <v>5910</v>
      </c>
      <c r="D4302" s="1" t="s">
        <v>8187</v>
      </c>
      <c r="F4302" s="1" t="s">
        <v>5588</v>
      </c>
      <c r="G4302" s="1" t="s">
        <v>5589</v>
      </c>
      <c r="H4302" s="1" t="s">
        <v>5604</v>
      </c>
      <c r="J4302" s="1" t="s">
        <v>999</v>
      </c>
      <c r="L4302" s="1" t="s">
        <v>1425</v>
      </c>
      <c r="N4302" s="1" t="s">
        <v>1426</v>
      </c>
      <c r="P4302" s="1" t="s">
        <v>3519</v>
      </c>
      <c r="Q4302" s="3">
        <v>0</v>
      </c>
      <c r="R4302" s="22" t="s">
        <v>2722</v>
      </c>
      <c r="S4302" s="42" t="s">
        <v>6911</v>
      </c>
      <c r="T4302" s="3" t="s">
        <v>4868</v>
      </c>
      <c r="U4302" s="45">
        <v>35</v>
      </c>
      <c r="V4302" t="s">
        <v>8191</v>
      </c>
      <c r="W4302" s="1" t="str">
        <f>HYPERLINK("http://ictvonline.org/taxonomy/p/taxonomy-history?taxnode_id=201901668","ICTVonline=201901668")</f>
        <v>ICTVonline=201901668</v>
      </c>
    </row>
    <row r="4303" spans="1:23">
      <c r="A4303" s="3">
        <v>4302</v>
      </c>
      <c r="B4303" s="1" t="s">
        <v>5910</v>
      </c>
      <c r="D4303" s="1" t="s">
        <v>8187</v>
      </c>
      <c r="F4303" s="1" t="s">
        <v>5588</v>
      </c>
      <c r="G4303" s="1" t="s">
        <v>5589</v>
      </c>
      <c r="H4303" s="1" t="s">
        <v>5604</v>
      </c>
      <c r="J4303" s="1" t="s">
        <v>999</v>
      </c>
      <c r="L4303" s="1" t="s">
        <v>1425</v>
      </c>
      <c r="N4303" s="1" t="s">
        <v>1426</v>
      </c>
      <c r="P4303" s="1" t="s">
        <v>3520</v>
      </c>
      <c r="Q4303" s="3">
        <v>0</v>
      </c>
      <c r="R4303" s="22" t="s">
        <v>2722</v>
      </c>
      <c r="S4303" s="42" t="s">
        <v>6911</v>
      </c>
      <c r="T4303" s="3" t="s">
        <v>4868</v>
      </c>
      <c r="U4303" s="45">
        <v>35</v>
      </c>
      <c r="V4303" t="s">
        <v>8191</v>
      </c>
      <c r="W4303" s="1" t="str">
        <f>HYPERLINK("http://ictvonline.org/taxonomy/p/taxonomy-history?taxnode_id=201901669","ICTVonline=201901669")</f>
        <v>ICTVonline=201901669</v>
      </c>
    </row>
    <row r="4304" spans="1:23">
      <c r="A4304" s="3">
        <v>4303</v>
      </c>
      <c r="B4304" s="1" t="s">
        <v>5910</v>
      </c>
      <c r="D4304" s="1" t="s">
        <v>8187</v>
      </c>
      <c r="F4304" s="1" t="s">
        <v>5588</v>
      </c>
      <c r="G4304" s="1" t="s">
        <v>5589</v>
      </c>
      <c r="H4304" s="1" t="s">
        <v>5604</v>
      </c>
      <c r="J4304" s="1" t="s">
        <v>999</v>
      </c>
      <c r="L4304" s="1" t="s">
        <v>1425</v>
      </c>
      <c r="N4304" s="1" t="s">
        <v>1426</v>
      </c>
      <c r="P4304" s="1" t="s">
        <v>8323</v>
      </c>
      <c r="Q4304" s="3">
        <v>0</v>
      </c>
      <c r="R4304" s="22" t="s">
        <v>2722</v>
      </c>
      <c r="S4304" s="42" t="s">
        <v>6911</v>
      </c>
      <c r="T4304" s="3" t="s">
        <v>4866</v>
      </c>
      <c r="U4304" s="45">
        <v>35</v>
      </c>
      <c r="V4304" t="s">
        <v>8324</v>
      </c>
      <c r="W4304" s="1" t="str">
        <f>HYPERLINK("http://ictvonline.org/taxonomy/p/taxonomy-history?taxnode_id=201907666","ICTVonline=201907666")</f>
        <v>ICTVonline=201907666</v>
      </c>
    </row>
    <row r="4305" spans="1:23">
      <c r="A4305" s="3">
        <v>4304</v>
      </c>
      <c r="B4305" s="1" t="s">
        <v>5910</v>
      </c>
      <c r="D4305" s="1" t="s">
        <v>8187</v>
      </c>
      <c r="F4305" s="1" t="s">
        <v>5588</v>
      </c>
      <c r="G4305" s="1" t="s">
        <v>5589</v>
      </c>
      <c r="H4305" s="1" t="s">
        <v>5604</v>
      </c>
      <c r="J4305" s="1" t="s">
        <v>999</v>
      </c>
      <c r="L4305" s="1" t="s">
        <v>1425</v>
      </c>
      <c r="N4305" s="1" t="s">
        <v>1426</v>
      </c>
      <c r="P4305" s="1" t="s">
        <v>4472</v>
      </c>
      <c r="Q4305" s="3">
        <v>0</v>
      </c>
      <c r="R4305" s="22" t="s">
        <v>2722</v>
      </c>
      <c r="S4305" s="42" t="s">
        <v>6911</v>
      </c>
      <c r="T4305" s="3" t="s">
        <v>4868</v>
      </c>
      <c r="U4305" s="45">
        <v>35</v>
      </c>
      <c r="V4305" t="s">
        <v>8191</v>
      </c>
      <c r="W4305" s="1" t="str">
        <f>HYPERLINK("http://ictvonline.org/taxonomy/p/taxonomy-history?taxnode_id=201901670","ICTVonline=201901670")</f>
        <v>ICTVonline=201901670</v>
      </c>
    </row>
    <row r="4306" spans="1:23">
      <c r="A4306" s="3">
        <v>4305</v>
      </c>
      <c r="B4306" s="1" t="s">
        <v>5910</v>
      </c>
      <c r="D4306" s="1" t="s">
        <v>8187</v>
      </c>
      <c r="F4306" s="1" t="s">
        <v>5588</v>
      </c>
      <c r="G4306" s="1" t="s">
        <v>5589</v>
      </c>
      <c r="H4306" s="1" t="s">
        <v>5604</v>
      </c>
      <c r="J4306" s="1" t="s">
        <v>999</v>
      </c>
      <c r="L4306" s="1" t="s">
        <v>1425</v>
      </c>
      <c r="N4306" s="1" t="s">
        <v>1426</v>
      </c>
      <c r="P4306" s="1" t="s">
        <v>3521</v>
      </c>
      <c r="Q4306" s="3">
        <v>0</v>
      </c>
      <c r="R4306" s="22" t="s">
        <v>2722</v>
      </c>
      <c r="S4306" s="42" t="s">
        <v>6911</v>
      </c>
      <c r="T4306" s="3" t="s">
        <v>4868</v>
      </c>
      <c r="U4306" s="45">
        <v>35</v>
      </c>
      <c r="V4306" t="s">
        <v>8191</v>
      </c>
      <c r="W4306" s="1" t="str">
        <f>HYPERLINK("http://ictvonline.org/taxonomy/p/taxonomy-history?taxnode_id=201901671","ICTVonline=201901671")</f>
        <v>ICTVonline=201901671</v>
      </c>
    </row>
    <row r="4307" spans="1:23">
      <c r="A4307" s="3">
        <v>4306</v>
      </c>
      <c r="B4307" s="1" t="s">
        <v>5910</v>
      </c>
      <c r="D4307" s="1" t="s">
        <v>8187</v>
      </c>
      <c r="F4307" s="1" t="s">
        <v>5588</v>
      </c>
      <c r="G4307" s="1" t="s">
        <v>5589</v>
      </c>
      <c r="H4307" s="1" t="s">
        <v>5604</v>
      </c>
      <c r="J4307" s="1" t="s">
        <v>999</v>
      </c>
      <c r="L4307" s="1" t="s">
        <v>1425</v>
      </c>
      <c r="N4307" s="1" t="s">
        <v>1426</v>
      </c>
      <c r="P4307" s="1" t="s">
        <v>3522</v>
      </c>
      <c r="Q4307" s="3">
        <v>1</v>
      </c>
      <c r="R4307" s="22" t="s">
        <v>2722</v>
      </c>
      <c r="S4307" s="42" t="s">
        <v>6911</v>
      </c>
      <c r="T4307" s="3" t="s">
        <v>4868</v>
      </c>
      <c r="U4307" s="45">
        <v>35</v>
      </c>
      <c r="V4307" t="s">
        <v>8191</v>
      </c>
      <c r="W4307" s="1" t="str">
        <f>HYPERLINK("http://ictvonline.org/taxonomy/p/taxonomy-history?taxnode_id=201901672","ICTVonline=201901672")</f>
        <v>ICTVonline=201901672</v>
      </c>
    </row>
    <row r="4308" spans="1:23">
      <c r="A4308" s="3">
        <v>4307</v>
      </c>
      <c r="B4308" s="1" t="s">
        <v>5910</v>
      </c>
      <c r="D4308" s="1" t="s">
        <v>8187</v>
      </c>
      <c r="F4308" s="1" t="s">
        <v>5588</v>
      </c>
      <c r="G4308" s="1" t="s">
        <v>5589</v>
      </c>
      <c r="H4308" s="1" t="s">
        <v>5604</v>
      </c>
      <c r="J4308" s="1" t="s">
        <v>999</v>
      </c>
      <c r="L4308" s="1" t="s">
        <v>1425</v>
      </c>
      <c r="N4308" s="1" t="s">
        <v>1426</v>
      </c>
      <c r="P4308" s="1" t="s">
        <v>3523</v>
      </c>
      <c r="Q4308" s="3">
        <v>0</v>
      </c>
      <c r="R4308" s="22" t="s">
        <v>2722</v>
      </c>
      <c r="S4308" s="42" t="s">
        <v>6911</v>
      </c>
      <c r="T4308" s="3" t="s">
        <v>4868</v>
      </c>
      <c r="U4308" s="45">
        <v>35</v>
      </c>
      <c r="V4308" t="s">
        <v>8191</v>
      </c>
      <c r="W4308" s="1" t="str">
        <f>HYPERLINK("http://ictvonline.org/taxonomy/p/taxonomy-history?taxnode_id=201901673","ICTVonline=201901673")</f>
        <v>ICTVonline=201901673</v>
      </c>
    </row>
    <row r="4309" spans="1:23">
      <c r="A4309" s="3">
        <v>4308</v>
      </c>
      <c r="B4309" s="1" t="s">
        <v>5910</v>
      </c>
      <c r="D4309" s="1" t="s">
        <v>8187</v>
      </c>
      <c r="F4309" s="1" t="s">
        <v>5588</v>
      </c>
      <c r="G4309" s="1" t="s">
        <v>5589</v>
      </c>
      <c r="H4309" s="1" t="s">
        <v>5604</v>
      </c>
      <c r="J4309" s="1" t="s">
        <v>999</v>
      </c>
      <c r="L4309" s="1" t="s">
        <v>1425</v>
      </c>
      <c r="N4309" s="1" t="s">
        <v>1426</v>
      </c>
      <c r="P4309" s="1" t="s">
        <v>8325</v>
      </c>
      <c r="Q4309" s="3">
        <v>0</v>
      </c>
      <c r="R4309" s="22" t="s">
        <v>2722</v>
      </c>
      <c r="S4309" s="42" t="s">
        <v>6911</v>
      </c>
      <c r="T4309" s="3" t="s">
        <v>4866</v>
      </c>
      <c r="U4309" s="45">
        <v>35</v>
      </c>
      <c r="V4309" t="s">
        <v>8324</v>
      </c>
      <c r="W4309" s="1" t="str">
        <f>HYPERLINK("http://ictvonline.org/taxonomy/p/taxonomy-history?taxnode_id=201907668","ICTVonline=201907668")</f>
        <v>ICTVonline=201907668</v>
      </c>
    </row>
    <row r="4310" spans="1:23">
      <c r="A4310" s="3">
        <v>4309</v>
      </c>
      <c r="B4310" s="1" t="s">
        <v>5910</v>
      </c>
      <c r="D4310" s="1" t="s">
        <v>8187</v>
      </c>
      <c r="F4310" s="1" t="s">
        <v>5588</v>
      </c>
      <c r="G4310" s="1" t="s">
        <v>5589</v>
      </c>
      <c r="H4310" s="1" t="s">
        <v>5604</v>
      </c>
      <c r="J4310" s="1" t="s">
        <v>999</v>
      </c>
      <c r="L4310" s="1" t="s">
        <v>1425</v>
      </c>
      <c r="N4310" s="1" t="s">
        <v>1426</v>
      </c>
      <c r="P4310" s="1" t="s">
        <v>8326</v>
      </c>
      <c r="Q4310" s="3">
        <v>0</v>
      </c>
      <c r="R4310" s="22" t="s">
        <v>2722</v>
      </c>
      <c r="S4310" s="42" t="s">
        <v>6911</v>
      </c>
      <c r="T4310" s="3" t="s">
        <v>4866</v>
      </c>
      <c r="U4310" s="45">
        <v>35</v>
      </c>
      <c r="V4310" t="s">
        <v>8324</v>
      </c>
      <c r="W4310" s="1" t="str">
        <f>HYPERLINK("http://ictvonline.org/taxonomy/p/taxonomy-history?taxnode_id=201907667","ICTVonline=201907667")</f>
        <v>ICTVonline=201907667</v>
      </c>
    </row>
    <row r="4311" spans="1:23">
      <c r="A4311" s="3">
        <v>4310</v>
      </c>
      <c r="B4311" s="1" t="s">
        <v>5910</v>
      </c>
      <c r="D4311" s="1" t="s">
        <v>8187</v>
      </c>
      <c r="F4311" s="1" t="s">
        <v>5588</v>
      </c>
      <c r="G4311" s="1" t="s">
        <v>5589</v>
      </c>
      <c r="H4311" s="1" t="s">
        <v>5604</v>
      </c>
      <c r="J4311" s="1" t="s">
        <v>999</v>
      </c>
      <c r="L4311" s="1" t="s">
        <v>1425</v>
      </c>
      <c r="N4311" s="1" t="s">
        <v>1426</v>
      </c>
      <c r="P4311" s="1" t="s">
        <v>3524</v>
      </c>
      <c r="Q4311" s="3">
        <v>0</v>
      </c>
      <c r="R4311" s="22" t="s">
        <v>2722</v>
      </c>
      <c r="S4311" s="42" t="s">
        <v>6911</v>
      </c>
      <c r="T4311" s="3" t="s">
        <v>4868</v>
      </c>
      <c r="U4311" s="45">
        <v>35</v>
      </c>
      <c r="V4311" t="s">
        <v>8191</v>
      </c>
      <c r="W4311" s="1" t="str">
        <f>HYPERLINK("http://ictvonline.org/taxonomy/p/taxonomy-history?taxnode_id=201901674","ICTVonline=201901674")</f>
        <v>ICTVonline=201901674</v>
      </c>
    </row>
    <row r="4312" spans="1:23">
      <c r="A4312" s="3">
        <v>4311</v>
      </c>
      <c r="B4312" s="1" t="s">
        <v>5910</v>
      </c>
      <c r="D4312" s="1" t="s">
        <v>8187</v>
      </c>
      <c r="F4312" s="1" t="s">
        <v>5588</v>
      </c>
      <c r="G4312" s="1" t="s">
        <v>5589</v>
      </c>
      <c r="H4312" s="1" t="s">
        <v>5604</v>
      </c>
      <c r="J4312" s="1" t="s">
        <v>999</v>
      </c>
      <c r="L4312" s="1" t="s">
        <v>1425</v>
      </c>
      <c r="N4312" s="1" t="s">
        <v>1426</v>
      </c>
      <c r="P4312" s="1" t="s">
        <v>8327</v>
      </c>
      <c r="Q4312" s="3">
        <v>0</v>
      </c>
      <c r="R4312" s="22" t="s">
        <v>2722</v>
      </c>
      <c r="S4312" s="42" t="s">
        <v>6911</v>
      </c>
      <c r="T4312" s="3" t="s">
        <v>4866</v>
      </c>
      <c r="U4312" s="45">
        <v>35</v>
      </c>
      <c r="V4312" t="s">
        <v>8324</v>
      </c>
      <c r="W4312" s="1" t="str">
        <f>HYPERLINK("http://ictvonline.org/taxonomy/p/taxonomy-history?taxnode_id=201907669","ICTVonline=201907669")</f>
        <v>ICTVonline=201907669</v>
      </c>
    </row>
    <row r="4313" spans="1:23">
      <c r="A4313" s="3">
        <v>4312</v>
      </c>
      <c r="B4313" s="1" t="s">
        <v>5910</v>
      </c>
      <c r="D4313" s="1" t="s">
        <v>8187</v>
      </c>
      <c r="F4313" s="1" t="s">
        <v>5588</v>
      </c>
      <c r="G4313" s="1" t="s">
        <v>5589</v>
      </c>
      <c r="H4313" s="1" t="s">
        <v>5604</v>
      </c>
      <c r="J4313" s="1" t="s">
        <v>999</v>
      </c>
      <c r="L4313" s="1" t="s">
        <v>1425</v>
      </c>
      <c r="N4313" s="1" t="s">
        <v>1426</v>
      </c>
      <c r="P4313" s="1" t="s">
        <v>8328</v>
      </c>
      <c r="Q4313" s="3">
        <v>0</v>
      </c>
      <c r="R4313" s="22" t="s">
        <v>2722</v>
      </c>
      <c r="S4313" s="42" t="s">
        <v>6911</v>
      </c>
      <c r="T4313" s="3" t="s">
        <v>4866</v>
      </c>
      <c r="U4313" s="45">
        <v>35</v>
      </c>
      <c r="V4313" t="s">
        <v>8324</v>
      </c>
      <c r="W4313" s="1" t="str">
        <f>HYPERLINK("http://ictvonline.org/taxonomy/p/taxonomy-history?taxnode_id=201907670","ICTVonline=201907670")</f>
        <v>ICTVonline=201907670</v>
      </c>
    </row>
    <row r="4314" spans="1:23">
      <c r="A4314" s="3">
        <v>4313</v>
      </c>
      <c r="B4314" s="1" t="s">
        <v>5910</v>
      </c>
      <c r="D4314" s="1" t="s">
        <v>8187</v>
      </c>
      <c r="F4314" s="1" t="s">
        <v>5588</v>
      </c>
      <c r="G4314" s="1" t="s">
        <v>5589</v>
      </c>
      <c r="H4314" s="1" t="s">
        <v>5604</v>
      </c>
      <c r="J4314" s="1" t="s">
        <v>999</v>
      </c>
      <c r="L4314" s="1" t="s">
        <v>1425</v>
      </c>
      <c r="N4314" s="1" t="s">
        <v>1426</v>
      </c>
      <c r="P4314" s="1" t="s">
        <v>8329</v>
      </c>
      <c r="Q4314" s="3">
        <v>0</v>
      </c>
      <c r="R4314" s="22" t="s">
        <v>2722</v>
      </c>
      <c r="S4314" s="42" t="s">
        <v>6911</v>
      </c>
      <c r="T4314" s="3" t="s">
        <v>4866</v>
      </c>
      <c r="U4314" s="45">
        <v>35</v>
      </c>
      <c r="V4314" t="s">
        <v>8324</v>
      </c>
      <c r="W4314" s="1" t="str">
        <f>HYPERLINK("http://ictvonline.org/taxonomy/p/taxonomy-history?taxnode_id=201907671","ICTVonline=201907671")</f>
        <v>ICTVonline=201907671</v>
      </c>
    </row>
    <row r="4315" spans="1:23">
      <c r="A4315" s="3">
        <v>4314</v>
      </c>
      <c r="B4315" s="1" t="s">
        <v>5910</v>
      </c>
      <c r="D4315" s="1" t="s">
        <v>8187</v>
      </c>
      <c r="F4315" s="1" t="s">
        <v>5588</v>
      </c>
      <c r="G4315" s="1" t="s">
        <v>5589</v>
      </c>
      <c r="H4315" s="1" t="s">
        <v>5604</v>
      </c>
      <c r="J4315" s="1" t="s">
        <v>999</v>
      </c>
      <c r="L4315" s="1" t="s">
        <v>1425</v>
      </c>
      <c r="N4315" s="1" t="s">
        <v>1426</v>
      </c>
      <c r="P4315" s="1" t="s">
        <v>8330</v>
      </c>
      <c r="Q4315" s="3">
        <v>0</v>
      </c>
      <c r="R4315" s="22" t="s">
        <v>2722</v>
      </c>
      <c r="S4315" s="42" t="s">
        <v>6911</v>
      </c>
      <c r="T4315" s="3" t="s">
        <v>4866</v>
      </c>
      <c r="U4315" s="45">
        <v>35</v>
      </c>
      <c r="V4315" t="s">
        <v>8324</v>
      </c>
      <c r="W4315" s="1" t="str">
        <f>HYPERLINK("http://ictvonline.org/taxonomy/p/taxonomy-history?taxnode_id=201907672","ICTVonline=201907672")</f>
        <v>ICTVonline=201907672</v>
      </c>
    </row>
    <row r="4316" spans="1:23">
      <c r="A4316" s="3">
        <v>4315</v>
      </c>
      <c r="B4316" s="1" t="s">
        <v>5910</v>
      </c>
      <c r="D4316" s="1" t="s">
        <v>8187</v>
      </c>
      <c r="F4316" s="1" t="s">
        <v>5588</v>
      </c>
      <c r="G4316" s="1" t="s">
        <v>5589</v>
      </c>
      <c r="H4316" s="1" t="s">
        <v>5604</v>
      </c>
      <c r="J4316" s="1" t="s">
        <v>999</v>
      </c>
      <c r="L4316" s="1" t="s">
        <v>1425</v>
      </c>
      <c r="N4316" s="1" t="s">
        <v>1426</v>
      </c>
      <c r="P4316" s="1" t="s">
        <v>3525</v>
      </c>
      <c r="Q4316" s="3">
        <v>0</v>
      </c>
      <c r="R4316" s="22" t="s">
        <v>2722</v>
      </c>
      <c r="S4316" s="42" t="s">
        <v>6911</v>
      </c>
      <c r="T4316" s="3" t="s">
        <v>4868</v>
      </c>
      <c r="U4316" s="45">
        <v>35</v>
      </c>
      <c r="V4316" t="s">
        <v>8191</v>
      </c>
      <c r="W4316" s="1" t="str">
        <f>HYPERLINK("http://ictvonline.org/taxonomy/p/taxonomy-history?taxnode_id=201901675","ICTVonline=201901675")</f>
        <v>ICTVonline=201901675</v>
      </c>
    </row>
    <row r="4317" spans="1:23">
      <c r="A4317" s="3">
        <v>4316</v>
      </c>
      <c r="B4317" s="1" t="s">
        <v>5910</v>
      </c>
      <c r="D4317" s="1" t="s">
        <v>8187</v>
      </c>
      <c r="F4317" s="1" t="s">
        <v>5588</v>
      </c>
      <c r="G4317" s="1" t="s">
        <v>5589</v>
      </c>
      <c r="H4317" s="1" t="s">
        <v>5604</v>
      </c>
      <c r="J4317" s="1" t="s">
        <v>999</v>
      </c>
      <c r="L4317" s="1" t="s">
        <v>1425</v>
      </c>
      <c r="N4317" s="1" t="s">
        <v>1426</v>
      </c>
      <c r="P4317" s="1" t="s">
        <v>3526</v>
      </c>
      <c r="Q4317" s="3">
        <v>0</v>
      </c>
      <c r="R4317" s="22" t="s">
        <v>2722</v>
      </c>
      <c r="S4317" s="42" t="s">
        <v>6911</v>
      </c>
      <c r="T4317" s="3" t="s">
        <v>4868</v>
      </c>
      <c r="U4317" s="45">
        <v>35</v>
      </c>
      <c r="V4317" t="s">
        <v>8191</v>
      </c>
      <c r="W4317" s="1" t="str">
        <f>HYPERLINK("http://ictvonline.org/taxonomy/p/taxonomy-history?taxnode_id=201901676","ICTVonline=201901676")</f>
        <v>ICTVonline=201901676</v>
      </c>
    </row>
    <row r="4318" spans="1:23">
      <c r="A4318" s="3">
        <v>4317</v>
      </c>
      <c r="B4318" s="1" t="s">
        <v>5910</v>
      </c>
      <c r="D4318" s="1" t="s">
        <v>8187</v>
      </c>
      <c r="F4318" s="1" t="s">
        <v>5588</v>
      </c>
      <c r="G4318" s="1" t="s">
        <v>5589</v>
      </c>
      <c r="H4318" s="1" t="s">
        <v>5604</v>
      </c>
      <c r="J4318" s="1" t="s">
        <v>999</v>
      </c>
      <c r="L4318" s="1" t="s">
        <v>1425</v>
      </c>
      <c r="N4318" s="1" t="s">
        <v>1426</v>
      </c>
      <c r="P4318" s="1" t="s">
        <v>8331</v>
      </c>
      <c r="Q4318" s="3">
        <v>0</v>
      </c>
      <c r="R4318" s="22" t="s">
        <v>2722</v>
      </c>
      <c r="S4318" s="42" t="s">
        <v>6911</v>
      </c>
      <c r="T4318" s="3" t="s">
        <v>4866</v>
      </c>
      <c r="U4318" s="45">
        <v>35</v>
      </c>
      <c r="V4318" t="s">
        <v>8324</v>
      </c>
      <c r="W4318" s="1" t="str">
        <f>HYPERLINK("http://ictvonline.org/taxonomy/p/taxonomy-history?taxnode_id=201907673","ICTVonline=201907673")</f>
        <v>ICTVonline=201907673</v>
      </c>
    </row>
    <row r="4319" spans="1:23">
      <c r="A4319" s="3">
        <v>4318</v>
      </c>
      <c r="B4319" s="1" t="s">
        <v>5910</v>
      </c>
      <c r="D4319" s="1" t="s">
        <v>8187</v>
      </c>
      <c r="F4319" s="1" t="s">
        <v>5588</v>
      </c>
      <c r="G4319" s="1" t="s">
        <v>5589</v>
      </c>
      <c r="H4319" s="1" t="s">
        <v>5604</v>
      </c>
      <c r="J4319" s="1" t="s">
        <v>999</v>
      </c>
      <c r="L4319" s="1" t="s">
        <v>1425</v>
      </c>
      <c r="N4319" s="1" t="s">
        <v>1426</v>
      </c>
      <c r="P4319" s="1" t="s">
        <v>3527</v>
      </c>
      <c r="Q4319" s="3">
        <v>0</v>
      </c>
      <c r="R4319" s="22" t="s">
        <v>2722</v>
      </c>
      <c r="S4319" s="42" t="s">
        <v>6911</v>
      </c>
      <c r="T4319" s="3" t="s">
        <v>4868</v>
      </c>
      <c r="U4319" s="45">
        <v>35</v>
      </c>
      <c r="V4319" t="s">
        <v>8191</v>
      </c>
      <c r="W4319" s="1" t="str">
        <f>HYPERLINK("http://ictvonline.org/taxonomy/p/taxonomy-history?taxnode_id=201901677","ICTVonline=201901677")</f>
        <v>ICTVonline=201901677</v>
      </c>
    </row>
    <row r="4320" spans="1:23">
      <c r="A4320" s="3">
        <v>4319</v>
      </c>
      <c r="B4320" s="1" t="s">
        <v>5910</v>
      </c>
      <c r="D4320" s="1" t="s">
        <v>8187</v>
      </c>
      <c r="F4320" s="1" t="s">
        <v>5588</v>
      </c>
      <c r="G4320" s="1" t="s">
        <v>5589</v>
      </c>
      <c r="H4320" s="1" t="s">
        <v>5604</v>
      </c>
      <c r="J4320" s="1" t="s">
        <v>999</v>
      </c>
      <c r="L4320" s="1" t="s">
        <v>1425</v>
      </c>
      <c r="N4320" s="1" t="s">
        <v>1426</v>
      </c>
      <c r="P4320" s="1" t="s">
        <v>8332</v>
      </c>
      <c r="Q4320" s="3">
        <v>0</v>
      </c>
      <c r="R4320" s="22" t="s">
        <v>2722</v>
      </c>
      <c r="S4320" s="42" t="s">
        <v>6911</v>
      </c>
      <c r="T4320" s="3" t="s">
        <v>4866</v>
      </c>
      <c r="U4320" s="45">
        <v>35</v>
      </c>
      <c r="V4320" t="s">
        <v>8324</v>
      </c>
      <c r="W4320" s="1" t="str">
        <f>HYPERLINK("http://ictvonline.org/taxonomy/p/taxonomy-history?taxnode_id=201907675","ICTVonline=201907675")</f>
        <v>ICTVonline=201907675</v>
      </c>
    </row>
    <row r="4321" spans="1:23">
      <c r="A4321" s="3">
        <v>4320</v>
      </c>
      <c r="B4321" s="1" t="s">
        <v>5910</v>
      </c>
      <c r="D4321" s="1" t="s">
        <v>8187</v>
      </c>
      <c r="F4321" s="1" t="s">
        <v>5588</v>
      </c>
      <c r="G4321" s="1" t="s">
        <v>5589</v>
      </c>
      <c r="H4321" s="1" t="s">
        <v>5604</v>
      </c>
      <c r="J4321" s="1" t="s">
        <v>999</v>
      </c>
      <c r="L4321" s="1" t="s">
        <v>1425</v>
      </c>
      <c r="N4321" s="1" t="s">
        <v>1426</v>
      </c>
      <c r="P4321" s="1" t="s">
        <v>8333</v>
      </c>
      <c r="Q4321" s="3">
        <v>0</v>
      </c>
      <c r="R4321" s="22" t="s">
        <v>2722</v>
      </c>
      <c r="S4321" s="42" t="s">
        <v>6911</v>
      </c>
      <c r="T4321" s="3" t="s">
        <v>4866</v>
      </c>
      <c r="U4321" s="45">
        <v>35</v>
      </c>
      <c r="V4321" t="s">
        <v>8324</v>
      </c>
      <c r="W4321" s="1" t="str">
        <f>HYPERLINK("http://ictvonline.org/taxonomy/p/taxonomy-history?taxnode_id=201907676","ICTVonline=201907676")</f>
        <v>ICTVonline=201907676</v>
      </c>
    </row>
    <row r="4322" spans="1:23">
      <c r="A4322" s="3">
        <v>4321</v>
      </c>
      <c r="B4322" s="1" t="s">
        <v>5910</v>
      </c>
      <c r="D4322" s="1" t="s">
        <v>8187</v>
      </c>
      <c r="F4322" s="1" t="s">
        <v>5588</v>
      </c>
      <c r="G4322" s="1" t="s">
        <v>5589</v>
      </c>
      <c r="H4322" s="1" t="s">
        <v>5604</v>
      </c>
      <c r="J4322" s="1" t="s">
        <v>999</v>
      </c>
      <c r="L4322" s="1" t="s">
        <v>1425</v>
      </c>
      <c r="N4322" s="1" t="s">
        <v>1426</v>
      </c>
      <c r="P4322" s="1" t="s">
        <v>8334</v>
      </c>
      <c r="Q4322" s="3">
        <v>0</v>
      </c>
      <c r="R4322" s="22" t="s">
        <v>2722</v>
      </c>
      <c r="S4322" s="42" t="s">
        <v>6911</v>
      </c>
      <c r="T4322" s="3" t="s">
        <v>4866</v>
      </c>
      <c r="U4322" s="45">
        <v>35</v>
      </c>
      <c r="V4322" t="s">
        <v>8324</v>
      </c>
      <c r="W4322" s="1" t="str">
        <f>HYPERLINK("http://ictvonline.org/taxonomy/p/taxonomy-history?taxnode_id=201907677","ICTVonline=201907677")</f>
        <v>ICTVonline=201907677</v>
      </c>
    </row>
    <row r="4323" spans="1:23">
      <c r="A4323" s="3">
        <v>4322</v>
      </c>
      <c r="B4323" s="1" t="s">
        <v>5910</v>
      </c>
      <c r="D4323" s="1" t="s">
        <v>8187</v>
      </c>
      <c r="F4323" s="1" t="s">
        <v>5588</v>
      </c>
      <c r="G4323" s="1" t="s">
        <v>5589</v>
      </c>
      <c r="H4323" s="1" t="s">
        <v>5604</v>
      </c>
      <c r="J4323" s="1" t="s">
        <v>999</v>
      </c>
      <c r="L4323" s="1" t="s">
        <v>1425</v>
      </c>
      <c r="N4323" s="1" t="s">
        <v>1426</v>
      </c>
      <c r="P4323" s="1" t="s">
        <v>8335</v>
      </c>
      <c r="Q4323" s="3">
        <v>0</v>
      </c>
      <c r="R4323" s="22" t="s">
        <v>2722</v>
      </c>
      <c r="S4323" s="42" t="s">
        <v>6911</v>
      </c>
      <c r="T4323" s="3" t="s">
        <v>4866</v>
      </c>
      <c r="U4323" s="45">
        <v>35</v>
      </c>
      <c r="V4323" t="s">
        <v>8324</v>
      </c>
      <c r="W4323" s="1" t="str">
        <f>HYPERLINK("http://ictvonline.org/taxonomy/p/taxonomy-history?taxnode_id=201907674","ICTVonline=201907674")</f>
        <v>ICTVonline=201907674</v>
      </c>
    </row>
    <row r="4324" spans="1:23">
      <c r="A4324" s="3">
        <v>4323</v>
      </c>
      <c r="B4324" s="1" t="s">
        <v>5910</v>
      </c>
      <c r="D4324" s="1" t="s">
        <v>8187</v>
      </c>
      <c r="F4324" s="1" t="s">
        <v>5588</v>
      </c>
      <c r="G4324" s="1" t="s">
        <v>5589</v>
      </c>
      <c r="H4324" s="1" t="s">
        <v>5604</v>
      </c>
      <c r="J4324" s="1" t="s">
        <v>999</v>
      </c>
      <c r="L4324" s="1" t="s">
        <v>1425</v>
      </c>
      <c r="N4324" s="1" t="s">
        <v>3528</v>
      </c>
      <c r="P4324" s="1" t="s">
        <v>5985</v>
      </c>
      <c r="Q4324" s="3">
        <v>0</v>
      </c>
      <c r="R4324" s="22" t="s">
        <v>2722</v>
      </c>
      <c r="S4324" s="42" t="s">
        <v>6911</v>
      </c>
      <c r="T4324" s="3" t="s">
        <v>4868</v>
      </c>
      <c r="U4324" s="45">
        <v>35</v>
      </c>
      <c r="V4324" t="s">
        <v>8191</v>
      </c>
      <c r="W4324" s="1" t="str">
        <f>HYPERLINK("http://ictvonline.org/taxonomy/p/taxonomy-history?taxnode_id=201906289","ICTVonline=201906289")</f>
        <v>ICTVonline=201906289</v>
      </c>
    </row>
    <row r="4325" spans="1:23">
      <c r="A4325" s="3">
        <v>4324</v>
      </c>
      <c r="B4325" s="1" t="s">
        <v>5910</v>
      </c>
      <c r="D4325" s="1" t="s">
        <v>8187</v>
      </c>
      <c r="F4325" s="1" t="s">
        <v>5588</v>
      </c>
      <c r="G4325" s="1" t="s">
        <v>5589</v>
      </c>
      <c r="H4325" s="1" t="s">
        <v>5604</v>
      </c>
      <c r="J4325" s="1" t="s">
        <v>999</v>
      </c>
      <c r="L4325" s="1" t="s">
        <v>1425</v>
      </c>
      <c r="N4325" s="1" t="s">
        <v>3528</v>
      </c>
      <c r="P4325" s="1" t="s">
        <v>5986</v>
      </c>
      <c r="Q4325" s="3">
        <v>0</v>
      </c>
      <c r="R4325" s="22" t="s">
        <v>2722</v>
      </c>
      <c r="S4325" s="42" t="s">
        <v>6911</v>
      </c>
      <c r="T4325" s="3" t="s">
        <v>4868</v>
      </c>
      <c r="U4325" s="45">
        <v>35</v>
      </c>
      <c r="V4325" t="s">
        <v>8191</v>
      </c>
      <c r="W4325" s="1" t="str">
        <f>HYPERLINK("http://ictvonline.org/taxonomy/p/taxonomy-history?taxnode_id=201906287","ICTVonline=201906287")</f>
        <v>ICTVonline=201906287</v>
      </c>
    </row>
    <row r="4326" spans="1:23">
      <c r="A4326" s="3">
        <v>4325</v>
      </c>
      <c r="B4326" s="1" t="s">
        <v>5910</v>
      </c>
      <c r="D4326" s="1" t="s">
        <v>8187</v>
      </c>
      <c r="F4326" s="1" t="s">
        <v>5588</v>
      </c>
      <c r="G4326" s="1" t="s">
        <v>5589</v>
      </c>
      <c r="H4326" s="1" t="s">
        <v>5604</v>
      </c>
      <c r="J4326" s="1" t="s">
        <v>999</v>
      </c>
      <c r="L4326" s="1" t="s">
        <v>1425</v>
      </c>
      <c r="N4326" s="1" t="s">
        <v>3528</v>
      </c>
      <c r="P4326" s="1" t="s">
        <v>5987</v>
      </c>
      <c r="Q4326" s="3">
        <v>0</v>
      </c>
      <c r="R4326" s="22" t="s">
        <v>2722</v>
      </c>
      <c r="S4326" s="42" t="s">
        <v>6911</v>
      </c>
      <c r="T4326" s="3" t="s">
        <v>4868</v>
      </c>
      <c r="U4326" s="45">
        <v>35</v>
      </c>
      <c r="V4326" t="s">
        <v>8191</v>
      </c>
      <c r="W4326" s="1" t="str">
        <f>HYPERLINK("http://ictvonline.org/taxonomy/p/taxonomy-history?taxnode_id=201906288","ICTVonline=201906288")</f>
        <v>ICTVonline=201906288</v>
      </c>
    </row>
    <row r="4327" spans="1:23">
      <c r="A4327" s="3">
        <v>4326</v>
      </c>
      <c r="B4327" s="1" t="s">
        <v>5910</v>
      </c>
      <c r="D4327" s="1" t="s">
        <v>8187</v>
      </c>
      <c r="F4327" s="1" t="s">
        <v>5588</v>
      </c>
      <c r="G4327" s="1" t="s">
        <v>5589</v>
      </c>
      <c r="H4327" s="1" t="s">
        <v>5604</v>
      </c>
      <c r="J4327" s="1" t="s">
        <v>999</v>
      </c>
      <c r="L4327" s="1" t="s">
        <v>1425</v>
      </c>
      <c r="N4327" s="1" t="s">
        <v>3528</v>
      </c>
      <c r="P4327" s="1" t="s">
        <v>3529</v>
      </c>
      <c r="Q4327" s="3">
        <v>0</v>
      </c>
      <c r="R4327" s="22" t="s">
        <v>2722</v>
      </c>
      <c r="S4327" s="42" t="s">
        <v>6911</v>
      </c>
      <c r="T4327" s="3" t="s">
        <v>4868</v>
      </c>
      <c r="U4327" s="45">
        <v>35</v>
      </c>
      <c r="V4327" t="s">
        <v>8191</v>
      </c>
      <c r="W4327" s="1" t="str">
        <f>HYPERLINK("http://ictvonline.org/taxonomy/p/taxonomy-history?taxnode_id=201901679","ICTVonline=201901679")</f>
        <v>ICTVonline=201901679</v>
      </c>
    </row>
    <row r="4328" spans="1:23">
      <c r="A4328" s="3">
        <v>4327</v>
      </c>
      <c r="B4328" s="1" t="s">
        <v>5910</v>
      </c>
      <c r="D4328" s="1" t="s">
        <v>8187</v>
      </c>
      <c r="F4328" s="1" t="s">
        <v>5588</v>
      </c>
      <c r="G4328" s="1" t="s">
        <v>5589</v>
      </c>
      <c r="H4328" s="1" t="s">
        <v>5604</v>
      </c>
      <c r="J4328" s="1" t="s">
        <v>999</v>
      </c>
      <c r="L4328" s="1" t="s">
        <v>1425</v>
      </c>
      <c r="N4328" s="1" t="s">
        <v>3528</v>
      </c>
      <c r="P4328" s="1" t="s">
        <v>3530</v>
      </c>
      <c r="Q4328" s="3">
        <v>1</v>
      </c>
      <c r="R4328" s="22" t="s">
        <v>2722</v>
      </c>
      <c r="S4328" s="42" t="s">
        <v>6911</v>
      </c>
      <c r="T4328" s="3" t="s">
        <v>4868</v>
      </c>
      <c r="U4328" s="45">
        <v>35</v>
      </c>
      <c r="V4328" t="s">
        <v>8191</v>
      </c>
      <c r="W4328" s="1" t="str">
        <f>HYPERLINK("http://ictvonline.org/taxonomy/p/taxonomy-history?taxnode_id=201901680","ICTVonline=201901680")</f>
        <v>ICTVonline=201901680</v>
      </c>
    </row>
    <row r="4329" spans="1:23">
      <c r="A4329" s="3">
        <v>4328</v>
      </c>
      <c r="B4329" s="1" t="s">
        <v>5910</v>
      </c>
      <c r="D4329" s="1" t="s">
        <v>8187</v>
      </c>
      <c r="F4329" s="1" t="s">
        <v>5588</v>
      </c>
      <c r="G4329" s="1" t="s">
        <v>5589</v>
      </c>
      <c r="H4329" s="1" t="s">
        <v>5604</v>
      </c>
      <c r="J4329" s="1" t="s">
        <v>999</v>
      </c>
      <c r="L4329" s="1" t="s">
        <v>1425</v>
      </c>
      <c r="N4329" s="1" t="s">
        <v>1369</v>
      </c>
      <c r="P4329" s="1" t="s">
        <v>3531</v>
      </c>
      <c r="Q4329" s="3">
        <v>0</v>
      </c>
      <c r="R4329" s="22" t="s">
        <v>2722</v>
      </c>
      <c r="S4329" s="42" t="s">
        <v>6911</v>
      </c>
      <c r="T4329" s="3" t="s">
        <v>4868</v>
      </c>
      <c r="U4329" s="45">
        <v>35</v>
      </c>
      <c r="V4329" t="s">
        <v>8191</v>
      </c>
      <c r="W4329" s="1" t="str">
        <f>HYPERLINK("http://ictvonline.org/taxonomy/p/taxonomy-history?taxnode_id=201901682","ICTVonline=201901682")</f>
        <v>ICTVonline=201901682</v>
      </c>
    </row>
    <row r="4330" spans="1:23">
      <c r="A4330" s="3">
        <v>4329</v>
      </c>
      <c r="B4330" s="1" t="s">
        <v>5910</v>
      </c>
      <c r="D4330" s="1" t="s">
        <v>8187</v>
      </c>
      <c r="F4330" s="1" t="s">
        <v>5588</v>
      </c>
      <c r="G4330" s="1" t="s">
        <v>5589</v>
      </c>
      <c r="H4330" s="1" t="s">
        <v>5604</v>
      </c>
      <c r="J4330" s="1" t="s">
        <v>999</v>
      </c>
      <c r="L4330" s="1" t="s">
        <v>1425</v>
      </c>
      <c r="N4330" s="1" t="s">
        <v>1369</v>
      </c>
      <c r="P4330" s="1" t="s">
        <v>3532</v>
      </c>
      <c r="Q4330" s="3">
        <v>0</v>
      </c>
      <c r="R4330" s="22" t="s">
        <v>2722</v>
      </c>
      <c r="S4330" s="42" t="s">
        <v>6911</v>
      </c>
      <c r="T4330" s="3" t="s">
        <v>4868</v>
      </c>
      <c r="U4330" s="45">
        <v>35</v>
      </c>
      <c r="V4330" t="s">
        <v>8191</v>
      </c>
      <c r="W4330" s="1" t="str">
        <f>HYPERLINK("http://ictvonline.org/taxonomy/p/taxonomy-history?taxnode_id=201901683","ICTVonline=201901683")</f>
        <v>ICTVonline=201901683</v>
      </c>
    </row>
    <row r="4331" spans="1:23">
      <c r="A4331" s="3">
        <v>4330</v>
      </c>
      <c r="B4331" s="1" t="s">
        <v>5910</v>
      </c>
      <c r="D4331" s="1" t="s">
        <v>8187</v>
      </c>
      <c r="F4331" s="1" t="s">
        <v>5588</v>
      </c>
      <c r="G4331" s="1" t="s">
        <v>5589</v>
      </c>
      <c r="H4331" s="1" t="s">
        <v>5604</v>
      </c>
      <c r="J4331" s="1" t="s">
        <v>999</v>
      </c>
      <c r="L4331" s="1" t="s">
        <v>1425</v>
      </c>
      <c r="N4331" s="1" t="s">
        <v>1369</v>
      </c>
      <c r="P4331" s="1" t="s">
        <v>3533</v>
      </c>
      <c r="Q4331" s="3">
        <v>1</v>
      </c>
      <c r="R4331" s="22" t="s">
        <v>2722</v>
      </c>
      <c r="S4331" s="42" t="s">
        <v>6911</v>
      </c>
      <c r="T4331" s="3" t="s">
        <v>4868</v>
      </c>
      <c r="U4331" s="45">
        <v>35</v>
      </c>
      <c r="V4331" t="s">
        <v>8191</v>
      </c>
      <c r="W4331" s="1" t="str">
        <f>HYPERLINK("http://ictvonline.org/taxonomy/p/taxonomy-history?taxnode_id=201901684","ICTVonline=201901684")</f>
        <v>ICTVonline=201901684</v>
      </c>
    </row>
    <row r="4332" spans="1:23">
      <c r="A4332" s="3">
        <v>4331</v>
      </c>
      <c r="B4332" s="1" t="s">
        <v>5910</v>
      </c>
      <c r="D4332" s="1" t="s">
        <v>8187</v>
      </c>
      <c r="F4332" s="1" t="s">
        <v>5588</v>
      </c>
      <c r="G4332" s="1" t="s">
        <v>5589</v>
      </c>
      <c r="H4332" s="1" t="s">
        <v>5604</v>
      </c>
      <c r="J4332" s="1" t="s">
        <v>999</v>
      </c>
      <c r="L4332" s="1" t="s">
        <v>1425</v>
      </c>
      <c r="N4332" s="1" t="s">
        <v>1369</v>
      </c>
      <c r="P4332" s="1" t="s">
        <v>4473</v>
      </c>
      <c r="Q4332" s="3">
        <v>0</v>
      </c>
      <c r="R4332" s="22" t="s">
        <v>2722</v>
      </c>
      <c r="S4332" s="42" t="s">
        <v>6911</v>
      </c>
      <c r="T4332" s="3" t="s">
        <v>4868</v>
      </c>
      <c r="U4332" s="45">
        <v>35</v>
      </c>
      <c r="V4332" t="s">
        <v>8191</v>
      </c>
      <c r="W4332" s="1" t="str">
        <f>HYPERLINK("http://ictvonline.org/taxonomy/p/taxonomy-history?taxnode_id=201901685","ICTVonline=201901685")</f>
        <v>ICTVonline=201901685</v>
      </c>
    </row>
    <row r="4333" spans="1:23">
      <c r="A4333" s="3">
        <v>4332</v>
      </c>
      <c r="B4333" s="1" t="s">
        <v>5910</v>
      </c>
      <c r="D4333" s="1" t="s">
        <v>8187</v>
      </c>
      <c r="F4333" s="1" t="s">
        <v>5588</v>
      </c>
      <c r="G4333" s="1" t="s">
        <v>5589</v>
      </c>
      <c r="H4333" s="1" t="s">
        <v>5604</v>
      </c>
      <c r="J4333" s="1" t="s">
        <v>999</v>
      </c>
      <c r="L4333" s="1" t="s">
        <v>1425</v>
      </c>
      <c r="N4333" s="1" t="s">
        <v>1369</v>
      </c>
      <c r="P4333" s="1" t="s">
        <v>4474</v>
      </c>
      <c r="Q4333" s="3">
        <v>0</v>
      </c>
      <c r="R4333" s="22" t="s">
        <v>2722</v>
      </c>
      <c r="S4333" s="42" t="s">
        <v>6911</v>
      </c>
      <c r="T4333" s="3" t="s">
        <v>4868</v>
      </c>
      <c r="U4333" s="45">
        <v>35</v>
      </c>
      <c r="V4333" t="s">
        <v>8191</v>
      </c>
      <c r="W4333" s="1" t="str">
        <f>HYPERLINK("http://ictvonline.org/taxonomy/p/taxonomy-history?taxnode_id=201901686","ICTVonline=201901686")</f>
        <v>ICTVonline=201901686</v>
      </c>
    </row>
    <row r="4334" spans="1:23">
      <c r="A4334" s="3">
        <v>4333</v>
      </c>
      <c r="B4334" s="1" t="s">
        <v>5910</v>
      </c>
      <c r="D4334" s="1" t="s">
        <v>8187</v>
      </c>
      <c r="F4334" s="1" t="s">
        <v>5588</v>
      </c>
      <c r="G4334" s="1" t="s">
        <v>5589</v>
      </c>
      <c r="H4334" s="1" t="s">
        <v>5604</v>
      </c>
      <c r="J4334" s="1" t="s">
        <v>999</v>
      </c>
      <c r="L4334" s="1" t="s">
        <v>1425</v>
      </c>
      <c r="N4334" s="1" t="s">
        <v>1369</v>
      </c>
      <c r="P4334" s="1" t="s">
        <v>3996</v>
      </c>
      <c r="Q4334" s="3">
        <v>0</v>
      </c>
      <c r="R4334" s="22" t="s">
        <v>2722</v>
      </c>
      <c r="S4334" s="42" t="s">
        <v>6911</v>
      </c>
      <c r="T4334" s="3" t="s">
        <v>4868</v>
      </c>
      <c r="U4334" s="45">
        <v>35</v>
      </c>
      <c r="V4334" t="s">
        <v>8191</v>
      </c>
      <c r="W4334" s="1" t="str">
        <f>HYPERLINK("http://ictvonline.org/taxonomy/p/taxonomy-history?taxnode_id=201901687","ICTVonline=201901687")</f>
        <v>ICTVonline=201901687</v>
      </c>
    </row>
    <row r="4335" spans="1:23">
      <c r="A4335" s="3">
        <v>4334</v>
      </c>
      <c r="B4335" s="1" t="s">
        <v>5910</v>
      </c>
      <c r="D4335" s="1" t="s">
        <v>8187</v>
      </c>
      <c r="F4335" s="1" t="s">
        <v>5588</v>
      </c>
      <c r="G4335" s="1" t="s">
        <v>5589</v>
      </c>
      <c r="H4335" s="1" t="s">
        <v>5604</v>
      </c>
      <c r="J4335" s="1" t="s">
        <v>999</v>
      </c>
      <c r="L4335" s="1" t="s">
        <v>1425</v>
      </c>
      <c r="N4335" s="1" t="s">
        <v>1369</v>
      </c>
      <c r="P4335" s="1" t="s">
        <v>3534</v>
      </c>
      <c r="Q4335" s="3">
        <v>0</v>
      </c>
      <c r="R4335" s="22" t="s">
        <v>2722</v>
      </c>
      <c r="S4335" s="42" t="s">
        <v>6911</v>
      </c>
      <c r="T4335" s="3" t="s">
        <v>4868</v>
      </c>
      <c r="U4335" s="45">
        <v>35</v>
      </c>
      <c r="V4335" t="s">
        <v>8191</v>
      </c>
      <c r="W4335" s="1" t="str">
        <f>HYPERLINK("http://ictvonline.org/taxonomy/p/taxonomy-history?taxnode_id=201901688","ICTVonline=201901688")</f>
        <v>ICTVonline=201901688</v>
      </c>
    </row>
    <row r="4336" spans="1:23">
      <c r="A4336" s="3">
        <v>4335</v>
      </c>
      <c r="B4336" s="1" t="s">
        <v>5910</v>
      </c>
      <c r="D4336" s="1" t="s">
        <v>8187</v>
      </c>
      <c r="F4336" s="1" t="s">
        <v>5588</v>
      </c>
      <c r="G4336" s="1" t="s">
        <v>5589</v>
      </c>
      <c r="H4336" s="1" t="s">
        <v>5604</v>
      </c>
      <c r="J4336" s="1" t="s">
        <v>999</v>
      </c>
      <c r="L4336" s="1" t="s">
        <v>1425</v>
      </c>
      <c r="N4336" s="1" t="s">
        <v>1369</v>
      </c>
      <c r="P4336" s="1" t="s">
        <v>4475</v>
      </c>
      <c r="Q4336" s="3">
        <v>0</v>
      </c>
      <c r="R4336" s="22" t="s">
        <v>2722</v>
      </c>
      <c r="S4336" s="42" t="s">
        <v>6911</v>
      </c>
      <c r="T4336" s="3" t="s">
        <v>4868</v>
      </c>
      <c r="U4336" s="45">
        <v>35</v>
      </c>
      <c r="V4336" t="s">
        <v>8191</v>
      </c>
      <c r="W4336" s="1" t="str">
        <f>HYPERLINK("http://ictvonline.org/taxonomy/p/taxonomy-history?taxnode_id=201901689","ICTVonline=201901689")</f>
        <v>ICTVonline=201901689</v>
      </c>
    </row>
    <row r="4337" spans="1:23">
      <c r="A4337" s="3">
        <v>4336</v>
      </c>
      <c r="B4337" s="1" t="s">
        <v>5910</v>
      </c>
      <c r="D4337" s="1" t="s">
        <v>8187</v>
      </c>
      <c r="F4337" s="1" t="s">
        <v>5588</v>
      </c>
      <c r="G4337" s="1" t="s">
        <v>5589</v>
      </c>
      <c r="H4337" s="1" t="s">
        <v>5604</v>
      </c>
      <c r="J4337" s="1" t="s">
        <v>999</v>
      </c>
      <c r="L4337" s="1" t="s">
        <v>1425</v>
      </c>
      <c r="N4337" s="1" t="s">
        <v>8336</v>
      </c>
      <c r="P4337" s="1" t="s">
        <v>8337</v>
      </c>
      <c r="Q4337" s="3">
        <v>1</v>
      </c>
      <c r="R4337" s="22" t="s">
        <v>2722</v>
      </c>
      <c r="S4337" s="42" t="s">
        <v>6911</v>
      </c>
      <c r="T4337" s="3" t="s">
        <v>4872</v>
      </c>
      <c r="U4337" s="45">
        <v>35</v>
      </c>
      <c r="V4337" t="s">
        <v>8301</v>
      </c>
      <c r="W4337" s="1" t="str">
        <f>HYPERLINK("http://ictvonline.org/taxonomy/p/taxonomy-history?taxnode_id=201901744","ICTVonline=201901744")</f>
        <v>ICTVonline=201901744</v>
      </c>
    </row>
    <row r="4338" spans="1:23">
      <c r="A4338" s="3">
        <v>4337</v>
      </c>
      <c r="B4338" s="1" t="s">
        <v>5910</v>
      </c>
      <c r="D4338" s="1" t="s">
        <v>8187</v>
      </c>
      <c r="F4338" s="1" t="s">
        <v>5588</v>
      </c>
      <c r="G4338" s="1" t="s">
        <v>5589</v>
      </c>
      <c r="H4338" s="1" t="s">
        <v>5604</v>
      </c>
      <c r="J4338" s="1" t="s">
        <v>999</v>
      </c>
      <c r="L4338" s="1" t="s">
        <v>1425</v>
      </c>
      <c r="N4338" s="1" t="s">
        <v>4073</v>
      </c>
      <c r="P4338" s="1" t="s">
        <v>4074</v>
      </c>
      <c r="Q4338" s="3">
        <v>1</v>
      </c>
      <c r="R4338" s="22" t="s">
        <v>2722</v>
      </c>
      <c r="S4338" s="42" t="s">
        <v>6911</v>
      </c>
      <c r="T4338" s="3" t="s">
        <v>4868</v>
      </c>
      <c r="U4338" s="45">
        <v>35</v>
      </c>
      <c r="V4338" t="s">
        <v>8191</v>
      </c>
      <c r="W4338" s="1" t="str">
        <f>HYPERLINK("http://ictvonline.org/taxonomy/p/taxonomy-history?taxnode_id=201901691","ICTVonline=201901691")</f>
        <v>ICTVonline=201901691</v>
      </c>
    </row>
    <row r="4339" spans="1:23">
      <c r="A4339" s="3">
        <v>4338</v>
      </c>
      <c r="B4339" s="1" t="s">
        <v>5910</v>
      </c>
      <c r="D4339" s="1" t="s">
        <v>8187</v>
      </c>
      <c r="F4339" s="1" t="s">
        <v>5588</v>
      </c>
      <c r="G4339" s="1" t="s">
        <v>5589</v>
      </c>
      <c r="H4339" s="1" t="s">
        <v>5604</v>
      </c>
      <c r="J4339" s="1" t="s">
        <v>999</v>
      </c>
      <c r="L4339" s="1" t="s">
        <v>1425</v>
      </c>
      <c r="N4339" s="1" t="s">
        <v>4073</v>
      </c>
      <c r="P4339" s="1" t="s">
        <v>4476</v>
      </c>
      <c r="Q4339" s="3">
        <v>0</v>
      </c>
      <c r="R4339" s="22" t="s">
        <v>2722</v>
      </c>
      <c r="S4339" s="42" t="s">
        <v>6911</v>
      </c>
      <c r="T4339" s="3" t="s">
        <v>4868</v>
      </c>
      <c r="U4339" s="45">
        <v>35</v>
      </c>
      <c r="V4339" t="s">
        <v>8191</v>
      </c>
      <c r="W4339" s="1" t="str">
        <f>HYPERLINK("http://ictvonline.org/taxonomy/p/taxonomy-history?taxnode_id=201901692","ICTVonline=201901692")</f>
        <v>ICTVonline=201901692</v>
      </c>
    </row>
    <row r="4340" spans="1:23">
      <c r="A4340" s="3">
        <v>4339</v>
      </c>
      <c r="B4340" s="1" t="s">
        <v>5910</v>
      </c>
      <c r="D4340" s="1" t="s">
        <v>8187</v>
      </c>
      <c r="F4340" s="1" t="s">
        <v>5588</v>
      </c>
      <c r="G4340" s="1" t="s">
        <v>5589</v>
      </c>
      <c r="H4340" s="1" t="s">
        <v>5604</v>
      </c>
      <c r="J4340" s="1" t="s">
        <v>999</v>
      </c>
      <c r="L4340" s="1" t="s">
        <v>1425</v>
      </c>
      <c r="N4340" s="1" t="s">
        <v>4073</v>
      </c>
      <c r="P4340" s="1" t="s">
        <v>4477</v>
      </c>
      <c r="Q4340" s="3">
        <v>0</v>
      </c>
      <c r="R4340" s="22" t="s">
        <v>2722</v>
      </c>
      <c r="S4340" s="42" t="s">
        <v>6911</v>
      </c>
      <c r="T4340" s="3" t="s">
        <v>4868</v>
      </c>
      <c r="U4340" s="45">
        <v>35</v>
      </c>
      <c r="V4340" t="s">
        <v>8191</v>
      </c>
      <c r="W4340" s="1" t="str">
        <f>HYPERLINK("http://ictvonline.org/taxonomy/p/taxonomy-history?taxnode_id=201901693","ICTVonline=201901693")</f>
        <v>ICTVonline=201901693</v>
      </c>
    </row>
    <row r="4341" spans="1:23">
      <c r="A4341" s="3">
        <v>4340</v>
      </c>
      <c r="B4341" s="1" t="s">
        <v>5910</v>
      </c>
      <c r="D4341" s="1" t="s">
        <v>8187</v>
      </c>
      <c r="F4341" s="1" t="s">
        <v>5588</v>
      </c>
      <c r="G4341" s="1" t="s">
        <v>5589</v>
      </c>
      <c r="H4341" s="1" t="s">
        <v>5604</v>
      </c>
      <c r="J4341" s="1" t="s">
        <v>999</v>
      </c>
      <c r="L4341" s="1" t="s">
        <v>1425</v>
      </c>
      <c r="N4341" s="1" t="s">
        <v>4073</v>
      </c>
      <c r="P4341" s="1" t="s">
        <v>8338</v>
      </c>
      <c r="Q4341" s="3">
        <v>0</v>
      </c>
      <c r="R4341" s="22" t="s">
        <v>2722</v>
      </c>
      <c r="S4341" s="42" t="s">
        <v>6911</v>
      </c>
      <c r="T4341" s="3" t="s">
        <v>4866</v>
      </c>
      <c r="U4341" s="45">
        <v>35</v>
      </c>
      <c r="V4341" t="s">
        <v>8339</v>
      </c>
      <c r="W4341" s="1" t="str">
        <f>HYPERLINK("http://ictvonline.org/taxonomy/p/taxonomy-history?taxnode_id=201907103","ICTVonline=201907103")</f>
        <v>ICTVonline=201907103</v>
      </c>
    </row>
    <row r="4342" spans="1:23">
      <c r="A4342" s="3">
        <v>4341</v>
      </c>
      <c r="B4342" s="1" t="s">
        <v>5910</v>
      </c>
      <c r="D4342" s="1" t="s">
        <v>8187</v>
      </c>
      <c r="F4342" s="1" t="s">
        <v>5588</v>
      </c>
      <c r="G4342" s="1" t="s">
        <v>5589</v>
      </c>
      <c r="H4342" s="1" t="s">
        <v>5604</v>
      </c>
      <c r="J4342" s="1" t="s">
        <v>999</v>
      </c>
      <c r="L4342" s="1" t="s">
        <v>1425</v>
      </c>
      <c r="N4342" s="1" t="s">
        <v>4073</v>
      </c>
      <c r="P4342" s="1" t="s">
        <v>4478</v>
      </c>
      <c r="Q4342" s="3">
        <v>0</v>
      </c>
      <c r="R4342" s="22" t="s">
        <v>2722</v>
      </c>
      <c r="S4342" s="42" t="s">
        <v>6911</v>
      </c>
      <c r="T4342" s="3" t="s">
        <v>4868</v>
      </c>
      <c r="U4342" s="45">
        <v>35</v>
      </c>
      <c r="V4342" t="s">
        <v>8191</v>
      </c>
      <c r="W4342" s="1" t="str">
        <f>HYPERLINK("http://ictvonline.org/taxonomy/p/taxonomy-history?taxnode_id=201901694","ICTVonline=201901694")</f>
        <v>ICTVonline=201901694</v>
      </c>
    </row>
    <row r="4343" spans="1:23">
      <c r="A4343" s="3">
        <v>4342</v>
      </c>
      <c r="B4343" s="1" t="s">
        <v>5910</v>
      </c>
      <c r="D4343" s="1" t="s">
        <v>8187</v>
      </c>
      <c r="F4343" s="1" t="s">
        <v>5588</v>
      </c>
      <c r="G4343" s="1" t="s">
        <v>5589</v>
      </c>
      <c r="H4343" s="1" t="s">
        <v>5604</v>
      </c>
      <c r="J4343" s="1" t="s">
        <v>999</v>
      </c>
      <c r="L4343" s="1" t="s">
        <v>1425</v>
      </c>
      <c r="N4343" s="1" t="s">
        <v>4073</v>
      </c>
      <c r="P4343" s="1" t="s">
        <v>4479</v>
      </c>
      <c r="Q4343" s="3">
        <v>0</v>
      </c>
      <c r="R4343" s="22" t="s">
        <v>2722</v>
      </c>
      <c r="S4343" s="42" t="s">
        <v>6911</v>
      </c>
      <c r="T4343" s="3" t="s">
        <v>4868</v>
      </c>
      <c r="U4343" s="45">
        <v>35</v>
      </c>
      <c r="V4343" t="s">
        <v>8191</v>
      </c>
      <c r="W4343" s="1" t="str">
        <f>HYPERLINK("http://ictvonline.org/taxonomy/p/taxonomy-history?taxnode_id=201901695","ICTVonline=201901695")</f>
        <v>ICTVonline=201901695</v>
      </c>
    </row>
    <row r="4344" spans="1:23">
      <c r="A4344" s="3">
        <v>4343</v>
      </c>
      <c r="B4344" s="1" t="s">
        <v>5910</v>
      </c>
      <c r="D4344" s="1" t="s">
        <v>8187</v>
      </c>
      <c r="F4344" s="1" t="s">
        <v>5588</v>
      </c>
      <c r="G4344" s="1" t="s">
        <v>5589</v>
      </c>
      <c r="H4344" s="1" t="s">
        <v>5604</v>
      </c>
      <c r="J4344" s="1" t="s">
        <v>999</v>
      </c>
      <c r="L4344" s="1" t="s">
        <v>1425</v>
      </c>
      <c r="N4344" s="1" t="s">
        <v>4073</v>
      </c>
      <c r="P4344" s="1" t="s">
        <v>4480</v>
      </c>
      <c r="Q4344" s="3">
        <v>0</v>
      </c>
      <c r="R4344" s="22" t="s">
        <v>2722</v>
      </c>
      <c r="S4344" s="42" t="s">
        <v>6911</v>
      </c>
      <c r="T4344" s="3" t="s">
        <v>4868</v>
      </c>
      <c r="U4344" s="45">
        <v>35</v>
      </c>
      <c r="V4344" t="s">
        <v>8191</v>
      </c>
      <c r="W4344" s="1" t="str">
        <f>HYPERLINK("http://ictvonline.org/taxonomy/p/taxonomy-history?taxnode_id=201901696","ICTVonline=201901696")</f>
        <v>ICTVonline=201901696</v>
      </c>
    </row>
    <row r="4345" spans="1:23">
      <c r="A4345" s="3">
        <v>4344</v>
      </c>
      <c r="B4345" s="1" t="s">
        <v>5910</v>
      </c>
      <c r="D4345" s="1" t="s">
        <v>8187</v>
      </c>
      <c r="F4345" s="1" t="s">
        <v>5588</v>
      </c>
      <c r="G4345" s="1" t="s">
        <v>5589</v>
      </c>
      <c r="H4345" s="1" t="s">
        <v>5604</v>
      </c>
      <c r="J4345" s="1" t="s">
        <v>999</v>
      </c>
      <c r="L4345" s="1" t="s">
        <v>1425</v>
      </c>
      <c r="N4345" s="1" t="s">
        <v>4073</v>
      </c>
      <c r="P4345" s="1" t="s">
        <v>4481</v>
      </c>
      <c r="Q4345" s="3">
        <v>0</v>
      </c>
      <c r="R4345" s="22" t="s">
        <v>2722</v>
      </c>
      <c r="S4345" s="42" t="s">
        <v>6911</v>
      </c>
      <c r="T4345" s="3" t="s">
        <v>4868</v>
      </c>
      <c r="U4345" s="45">
        <v>35</v>
      </c>
      <c r="V4345" t="s">
        <v>8191</v>
      </c>
      <c r="W4345" s="1" t="str">
        <f>HYPERLINK("http://ictvonline.org/taxonomy/p/taxonomy-history?taxnode_id=201901697","ICTVonline=201901697")</f>
        <v>ICTVonline=201901697</v>
      </c>
    </row>
    <row r="4346" spans="1:23">
      <c r="A4346" s="3">
        <v>4345</v>
      </c>
      <c r="B4346" s="1" t="s">
        <v>5910</v>
      </c>
      <c r="D4346" s="1" t="s">
        <v>8187</v>
      </c>
      <c r="F4346" s="1" t="s">
        <v>5588</v>
      </c>
      <c r="G4346" s="1" t="s">
        <v>5589</v>
      </c>
      <c r="H4346" s="1" t="s">
        <v>5604</v>
      </c>
      <c r="J4346" s="1" t="s">
        <v>999</v>
      </c>
      <c r="L4346" s="1" t="s">
        <v>1425</v>
      </c>
      <c r="N4346" s="1" t="s">
        <v>4073</v>
      </c>
      <c r="P4346" s="1" t="s">
        <v>4482</v>
      </c>
      <c r="Q4346" s="3">
        <v>0</v>
      </c>
      <c r="R4346" s="22" t="s">
        <v>2722</v>
      </c>
      <c r="S4346" s="42" t="s">
        <v>6911</v>
      </c>
      <c r="T4346" s="3" t="s">
        <v>4868</v>
      </c>
      <c r="U4346" s="45">
        <v>35</v>
      </c>
      <c r="V4346" t="s">
        <v>8191</v>
      </c>
      <c r="W4346" s="1" t="str">
        <f>HYPERLINK("http://ictvonline.org/taxonomy/p/taxonomy-history?taxnode_id=201901698","ICTVonline=201901698")</f>
        <v>ICTVonline=201901698</v>
      </c>
    </row>
    <row r="4347" spans="1:23">
      <c r="A4347" s="3">
        <v>4346</v>
      </c>
      <c r="B4347" s="1" t="s">
        <v>5910</v>
      </c>
      <c r="D4347" s="1" t="s">
        <v>8187</v>
      </c>
      <c r="F4347" s="1" t="s">
        <v>5588</v>
      </c>
      <c r="G4347" s="1" t="s">
        <v>5589</v>
      </c>
      <c r="H4347" s="1" t="s">
        <v>5604</v>
      </c>
      <c r="J4347" s="1" t="s">
        <v>999</v>
      </c>
      <c r="L4347" s="1" t="s">
        <v>1425</v>
      </c>
      <c r="N4347" s="1" t="s">
        <v>4073</v>
      </c>
      <c r="P4347" s="1" t="s">
        <v>4483</v>
      </c>
      <c r="Q4347" s="3">
        <v>0</v>
      </c>
      <c r="R4347" s="22" t="s">
        <v>2722</v>
      </c>
      <c r="S4347" s="42" t="s">
        <v>6911</v>
      </c>
      <c r="T4347" s="3" t="s">
        <v>4868</v>
      </c>
      <c r="U4347" s="45">
        <v>35</v>
      </c>
      <c r="V4347" t="s">
        <v>8191</v>
      </c>
      <c r="W4347" s="1" t="str">
        <f>HYPERLINK("http://ictvonline.org/taxonomy/p/taxonomy-history?taxnode_id=201901699","ICTVonline=201901699")</f>
        <v>ICTVonline=201901699</v>
      </c>
    </row>
    <row r="4348" spans="1:23">
      <c r="A4348" s="3">
        <v>4347</v>
      </c>
      <c r="B4348" s="1" t="s">
        <v>5910</v>
      </c>
      <c r="D4348" s="1" t="s">
        <v>8187</v>
      </c>
      <c r="F4348" s="1" t="s">
        <v>5588</v>
      </c>
      <c r="G4348" s="1" t="s">
        <v>5589</v>
      </c>
      <c r="H4348" s="1" t="s">
        <v>5604</v>
      </c>
      <c r="J4348" s="1" t="s">
        <v>999</v>
      </c>
      <c r="L4348" s="1" t="s">
        <v>1425</v>
      </c>
      <c r="N4348" s="1" t="s">
        <v>4073</v>
      </c>
      <c r="P4348" s="1" t="s">
        <v>4484</v>
      </c>
      <c r="Q4348" s="3">
        <v>0</v>
      </c>
      <c r="R4348" s="22" t="s">
        <v>2722</v>
      </c>
      <c r="S4348" s="42" t="s">
        <v>6911</v>
      </c>
      <c r="T4348" s="3" t="s">
        <v>4868</v>
      </c>
      <c r="U4348" s="45">
        <v>35</v>
      </c>
      <c r="V4348" t="s">
        <v>8191</v>
      </c>
      <c r="W4348" s="1" t="str">
        <f>HYPERLINK("http://ictvonline.org/taxonomy/p/taxonomy-history?taxnode_id=201901700","ICTVonline=201901700")</f>
        <v>ICTVonline=201901700</v>
      </c>
    </row>
    <row r="4349" spans="1:23">
      <c r="A4349" s="3">
        <v>4348</v>
      </c>
      <c r="B4349" s="1" t="s">
        <v>5910</v>
      </c>
      <c r="D4349" s="1" t="s">
        <v>8187</v>
      </c>
      <c r="F4349" s="1" t="s">
        <v>5588</v>
      </c>
      <c r="G4349" s="1" t="s">
        <v>5589</v>
      </c>
      <c r="H4349" s="1" t="s">
        <v>5604</v>
      </c>
      <c r="J4349" s="1" t="s">
        <v>999</v>
      </c>
      <c r="L4349" s="1" t="s">
        <v>1425</v>
      </c>
      <c r="N4349" s="1" t="s">
        <v>4073</v>
      </c>
      <c r="P4349" s="1" t="s">
        <v>4485</v>
      </c>
      <c r="Q4349" s="3">
        <v>0</v>
      </c>
      <c r="R4349" s="22" t="s">
        <v>2722</v>
      </c>
      <c r="S4349" s="42" t="s">
        <v>6911</v>
      </c>
      <c r="T4349" s="3" t="s">
        <v>4868</v>
      </c>
      <c r="U4349" s="45">
        <v>35</v>
      </c>
      <c r="V4349" t="s">
        <v>8191</v>
      </c>
      <c r="W4349" s="1" t="str">
        <f>HYPERLINK("http://ictvonline.org/taxonomy/p/taxonomy-history?taxnode_id=201901701","ICTVonline=201901701")</f>
        <v>ICTVonline=201901701</v>
      </c>
    </row>
    <row r="4350" spans="1:23">
      <c r="A4350" s="3">
        <v>4349</v>
      </c>
      <c r="B4350" s="1" t="s">
        <v>5910</v>
      </c>
      <c r="D4350" s="1" t="s">
        <v>8187</v>
      </c>
      <c r="F4350" s="1" t="s">
        <v>5588</v>
      </c>
      <c r="G4350" s="1" t="s">
        <v>5589</v>
      </c>
      <c r="H4350" s="1" t="s">
        <v>5604</v>
      </c>
      <c r="J4350" s="1" t="s">
        <v>999</v>
      </c>
      <c r="L4350" s="1" t="s">
        <v>1425</v>
      </c>
      <c r="N4350" s="1" t="s">
        <v>4073</v>
      </c>
      <c r="P4350" s="1" t="s">
        <v>4075</v>
      </c>
      <c r="Q4350" s="3">
        <v>0</v>
      </c>
      <c r="R4350" s="22" t="s">
        <v>2722</v>
      </c>
      <c r="S4350" s="42" t="s">
        <v>6911</v>
      </c>
      <c r="T4350" s="3" t="s">
        <v>4868</v>
      </c>
      <c r="U4350" s="45">
        <v>35</v>
      </c>
      <c r="V4350" t="s">
        <v>8191</v>
      </c>
      <c r="W4350" s="1" t="str">
        <f>HYPERLINK("http://ictvonline.org/taxonomy/p/taxonomy-history?taxnode_id=201901702","ICTVonline=201901702")</f>
        <v>ICTVonline=201901702</v>
      </c>
    </row>
    <row r="4351" spans="1:23">
      <c r="A4351" s="3">
        <v>4350</v>
      </c>
      <c r="B4351" s="1" t="s">
        <v>5910</v>
      </c>
      <c r="D4351" s="1" t="s">
        <v>8187</v>
      </c>
      <c r="F4351" s="1" t="s">
        <v>5588</v>
      </c>
      <c r="G4351" s="1" t="s">
        <v>5589</v>
      </c>
      <c r="H4351" s="1" t="s">
        <v>5604</v>
      </c>
      <c r="J4351" s="1" t="s">
        <v>999</v>
      </c>
      <c r="L4351" s="1" t="s">
        <v>1425</v>
      </c>
      <c r="N4351" s="1" t="s">
        <v>4073</v>
      </c>
      <c r="P4351" s="1" t="s">
        <v>4486</v>
      </c>
      <c r="Q4351" s="3">
        <v>0</v>
      </c>
      <c r="R4351" s="22" t="s">
        <v>2722</v>
      </c>
      <c r="S4351" s="42" t="s">
        <v>6911</v>
      </c>
      <c r="T4351" s="3" t="s">
        <v>4868</v>
      </c>
      <c r="U4351" s="45">
        <v>35</v>
      </c>
      <c r="V4351" t="s">
        <v>8191</v>
      </c>
      <c r="W4351" s="1" t="str">
        <f>HYPERLINK("http://ictvonline.org/taxonomy/p/taxonomy-history?taxnode_id=201901703","ICTVonline=201901703")</f>
        <v>ICTVonline=201901703</v>
      </c>
    </row>
    <row r="4352" spans="1:23">
      <c r="A4352" s="3">
        <v>4351</v>
      </c>
      <c r="B4352" s="1" t="s">
        <v>5910</v>
      </c>
      <c r="D4352" s="1" t="s">
        <v>8187</v>
      </c>
      <c r="F4352" s="1" t="s">
        <v>5588</v>
      </c>
      <c r="G4352" s="1" t="s">
        <v>5589</v>
      </c>
      <c r="H4352" s="1" t="s">
        <v>5604</v>
      </c>
      <c r="J4352" s="1" t="s">
        <v>999</v>
      </c>
      <c r="L4352" s="1" t="s">
        <v>1425</v>
      </c>
      <c r="N4352" s="1" t="s">
        <v>4073</v>
      </c>
      <c r="P4352" s="1" t="s">
        <v>4487</v>
      </c>
      <c r="Q4352" s="3">
        <v>0</v>
      </c>
      <c r="R4352" s="22" t="s">
        <v>2722</v>
      </c>
      <c r="S4352" s="42" t="s">
        <v>6911</v>
      </c>
      <c r="T4352" s="3" t="s">
        <v>4868</v>
      </c>
      <c r="U4352" s="45">
        <v>35</v>
      </c>
      <c r="V4352" t="s">
        <v>8191</v>
      </c>
      <c r="W4352" s="1" t="str">
        <f>HYPERLINK("http://ictvonline.org/taxonomy/p/taxonomy-history?taxnode_id=201901704","ICTVonline=201901704")</f>
        <v>ICTVonline=201901704</v>
      </c>
    </row>
    <row r="4353" spans="1:23">
      <c r="A4353" s="3">
        <v>4352</v>
      </c>
      <c r="B4353" s="1" t="s">
        <v>5910</v>
      </c>
      <c r="D4353" s="1" t="s">
        <v>8187</v>
      </c>
      <c r="F4353" s="1" t="s">
        <v>5588</v>
      </c>
      <c r="G4353" s="1" t="s">
        <v>5589</v>
      </c>
      <c r="H4353" s="1" t="s">
        <v>5604</v>
      </c>
      <c r="J4353" s="1" t="s">
        <v>999</v>
      </c>
      <c r="L4353" s="1" t="s">
        <v>1425</v>
      </c>
      <c r="N4353" s="1" t="s">
        <v>4073</v>
      </c>
      <c r="P4353" s="1" t="s">
        <v>4076</v>
      </c>
      <c r="Q4353" s="3">
        <v>0</v>
      </c>
      <c r="R4353" s="22" t="s">
        <v>2722</v>
      </c>
      <c r="S4353" s="42" t="s">
        <v>6911</v>
      </c>
      <c r="T4353" s="3" t="s">
        <v>4868</v>
      </c>
      <c r="U4353" s="45">
        <v>35</v>
      </c>
      <c r="V4353" t="s">
        <v>8191</v>
      </c>
      <c r="W4353" s="1" t="str">
        <f>HYPERLINK("http://ictvonline.org/taxonomy/p/taxonomy-history?taxnode_id=201901705","ICTVonline=201901705")</f>
        <v>ICTVonline=201901705</v>
      </c>
    </row>
    <row r="4354" spans="1:23">
      <c r="A4354" s="3">
        <v>4353</v>
      </c>
      <c r="B4354" s="1" t="s">
        <v>5910</v>
      </c>
      <c r="D4354" s="1" t="s">
        <v>8187</v>
      </c>
      <c r="F4354" s="1" t="s">
        <v>5588</v>
      </c>
      <c r="G4354" s="1" t="s">
        <v>5589</v>
      </c>
      <c r="H4354" s="1" t="s">
        <v>5604</v>
      </c>
      <c r="J4354" s="1" t="s">
        <v>999</v>
      </c>
      <c r="L4354" s="1" t="s">
        <v>1425</v>
      </c>
      <c r="N4354" s="1" t="s">
        <v>4488</v>
      </c>
      <c r="P4354" s="1" t="s">
        <v>4489</v>
      </c>
      <c r="Q4354" s="3">
        <v>0</v>
      </c>
      <c r="R4354" s="22" t="s">
        <v>2722</v>
      </c>
      <c r="S4354" s="42" t="s">
        <v>6911</v>
      </c>
      <c r="T4354" s="3" t="s">
        <v>4868</v>
      </c>
      <c r="U4354" s="45">
        <v>35</v>
      </c>
      <c r="V4354" t="s">
        <v>8191</v>
      </c>
      <c r="W4354" s="1" t="str">
        <f>HYPERLINK("http://ictvonline.org/taxonomy/p/taxonomy-history?taxnode_id=201901707","ICTVonline=201901707")</f>
        <v>ICTVonline=201901707</v>
      </c>
    </row>
    <row r="4355" spans="1:23">
      <c r="A4355" s="3">
        <v>4354</v>
      </c>
      <c r="B4355" s="1" t="s">
        <v>5910</v>
      </c>
      <c r="D4355" s="1" t="s">
        <v>8187</v>
      </c>
      <c r="F4355" s="1" t="s">
        <v>5588</v>
      </c>
      <c r="G4355" s="1" t="s">
        <v>5589</v>
      </c>
      <c r="H4355" s="1" t="s">
        <v>5604</v>
      </c>
      <c r="J4355" s="1" t="s">
        <v>999</v>
      </c>
      <c r="L4355" s="1" t="s">
        <v>1425</v>
      </c>
      <c r="N4355" s="1" t="s">
        <v>4488</v>
      </c>
      <c r="P4355" s="1" t="s">
        <v>4490</v>
      </c>
      <c r="Q4355" s="3">
        <v>0</v>
      </c>
      <c r="R4355" s="22" t="s">
        <v>2722</v>
      </c>
      <c r="S4355" s="42" t="s">
        <v>6911</v>
      </c>
      <c r="T4355" s="3" t="s">
        <v>4868</v>
      </c>
      <c r="U4355" s="45">
        <v>35</v>
      </c>
      <c r="V4355" t="s">
        <v>8191</v>
      </c>
      <c r="W4355" s="1" t="str">
        <f>HYPERLINK("http://ictvonline.org/taxonomy/p/taxonomy-history?taxnode_id=201901708","ICTVonline=201901708")</f>
        <v>ICTVonline=201901708</v>
      </c>
    </row>
    <row r="4356" spans="1:23">
      <c r="A4356" s="3">
        <v>4355</v>
      </c>
      <c r="B4356" s="1" t="s">
        <v>5910</v>
      </c>
      <c r="D4356" s="1" t="s">
        <v>8187</v>
      </c>
      <c r="F4356" s="1" t="s">
        <v>5588</v>
      </c>
      <c r="G4356" s="1" t="s">
        <v>5589</v>
      </c>
      <c r="H4356" s="1" t="s">
        <v>5604</v>
      </c>
      <c r="J4356" s="1" t="s">
        <v>999</v>
      </c>
      <c r="L4356" s="1" t="s">
        <v>1425</v>
      </c>
      <c r="N4356" s="1" t="s">
        <v>4488</v>
      </c>
      <c r="P4356" s="1" t="s">
        <v>4491</v>
      </c>
      <c r="Q4356" s="3">
        <v>0</v>
      </c>
      <c r="R4356" s="22" t="s">
        <v>2722</v>
      </c>
      <c r="S4356" s="42" t="s">
        <v>6911</v>
      </c>
      <c r="T4356" s="3" t="s">
        <v>4868</v>
      </c>
      <c r="U4356" s="45">
        <v>35</v>
      </c>
      <c r="V4356" t="s">
        <v>8191</v>
      </c>
      <c r="W4356" s="1" t="str">
        <f>HYPERLINK("http://ictvonline.org/taxonomy/p/taxonomy-history?taxnode_id=201901709","ICTVonline=201901709")</f>
        <v>ICTVonline=201901709</v>
      </c>
    </row>
    <row r="4357" spans="1:23">
      <c r="A4357" s="3">
        <v>4356</v>
      </c>
      <c r="B4357" s="1" t="s">
        <v>5910</v>
      </c>
      <c r="D4357" s="1" t="s">
        <v>8187</v>
      </c>
      <c r="F4357" s="1" t="s">
        <v>5588</v>
      </c>
      <c r="G4357" s="1" t="s">
        <v>5589</v>
      </c>
      <c r="H4357" s="1" t="s">
        <v>5604</v>
      </c>
      <c r="J4357" s="1" t="s">
        <v>999</v>
      </c>
      <c r="L4357" s="1" t="s">
        <v>1425</v>
      </c>
      <c r="N4357" s="1" t="s">
        <v>4488</v>
      </c>
      <c r="P4357" s="1" t="s">
        <v>5048</v>
      </c>
      <c r="Q4357" s="3">
        <v>0</v>
      </c>
      <c r="R4357" s="22" t="s">
        <v>2722</v>
      </c>
      <c r="S4357" s="42" t="s">
        <v>6911</v>
      </c>
      <c r="T4357" s="3" t="s">
        <v>4868</v>
      </c>
      <c r="U4357" s="45">
        <v>35</v>
      </c>
      <c r="V4357" t="s">
        <v>8191</v>
      </c>
      <c r="W4357" s="1" t="str">
        <f>HYPERLINK("http://ictvonline.org/taxonomy/p/taxonomy-history?taxnode_id=201905580","ICTVonline=201905580")</f>
        <v>ICTVonline=201905580</v>
      </c>
    </row>
    <row r="4358" spans="1:23">
      <c r="A4358" s="3">
        <v>4357</v>
      </c>
      <c r="B4358" s="1" t="s">
        <v>5910</v>
      </c>
      <c r="D4358" s="1" t="s">
        <v>8187</v>
      </c>
      <c r="F4358" s="1" t="s">
        <v>5588</v>
      </c>
      <c r="G4358" s="1" t="s">
        <v>5589</v>
      </c>
      <c r="H4358" s="1" t="s">
        <v>5604</v>
      </c>
      <c r="J4358" s="1" t="s">
        <v>999</v>
      </c>
      <c r="L4358" s="1" t="s">
        <v>1425</v>
      </c>
      <c r="N4358" s="1" t="s">
        <v>4488</v>
      </c>
      <c r="P4358" s="1" t="s">
        <v>4492</v>
      </c>
      <c r="Q4358" s="3">
        <v>0</v>
      </c>
      <c r="R4358" s="22" t="s">
        <v>2722</v>
      </c>
      <c r="S4358" s="42" t="s">
        <v>6911</v>
      </c>
      <c r="T4358" s="3" t="s">
        <v>4868</v>
      </c>
      <c r="U4358" s="45">
        <v>35</v>
      </c>
      <c r="V4358" t="s">
        <v>8191</v>
      </c>
      <c r="W4358" s="1" t="str">
        <f>HYPERLINK("http://ictvonline.org/taxonomy/p/taxonomy-history?taxnode_id=201901710","ICTVonline=201901710")</f>
        <v>ICTVonline=201901710</v>
      </c>
    </row>
    <row r="4359" spans="1:23">
      <c r="A4359" s="3">
        <v>4358</v>
      </c>
      <c r="B4359" s="1" t="s">
        <v>5910</v>
      </c>
      <c r="D4359" s="1" t="s">
        <v>8187</v>
      </c>
      <c r="F4359" s="1" t="s">
        <v>5588</v>
      </c>
      <c r="G4359" s="1" t="s">
        <v>5589</v>
      </c>
      <c r="H4359" s="1" t="s">
        <v>5604</v>
      </c>
      <c r="J4359" s="1" t="s">
        <v>999</v>
      </c>
      <c r="L4359" s="1" t="s">
        <v>1425</v>
      </c>
      <c r="N4359" s="1" t="s">
        <v>4488</v>
      </c>
      <c r="P4359" s="1" t="s">
        <v>4493</v>
      </c>
      <c r="Q4359" s="3">
        <v>0</v>
      </c>
      <c r="R4359" s="22" t="s">
        <v>2722</v>
      </c>
      <c r="S4359" s="42" t="s">
        <v>6911</v>
      </c>
      <c r="T4359" s="3" t="s">
        <v>4868</v>
      </c>
      <c r="U4359" s="45">
        <v>35</v>
      </c>
      <c r="V4359" t="s">
        <v>8191</v>
      </c>
      <c r="W4359" s="1" t="str">
        <f>HYPERLINK("http://ictvonline.org/taxonomy/p/taxonomy-history?taxnode_id=201901711","ICTVonline=201901711")</f>
        <v>ICTVonline=201901711</v>
      </c>
    </row>
    <row r="4360" spans="1:23">
      <c r="A4360" s="3">
        <v>4359</v>
      </c>
      <c r="B4360" s="1" t="s">
        <v>5910</v>
      </c>
      <c r="D4360" s="1" t="s">
        <v>8187</v>
      </c>
      <c r="F4360" s="1" t="s">
        <v>5588</v>
      </c>
      <c r="G4360" s="1" t="s">
        <v>5589</v>
      </c>
      <c r="H4360" s="1" t="s">
        <v>5604</v>
      </c>
      <c r="J4360" s="1" t="s">
        <v>999</v>
      </c>
      <c r="L4360" s="1" t="s">
        <v>1425</v>
      </c>
      <c r="N4360" s="1" t="s">
        <v>4488</v>
      </c>
      <c r="P4360" s="1" t="s">
        <v>4494</v>
      </c>
      <c r="Q4360" s="3">
        <v>0</v>
      </c>
      <c r="R4360" s="22" t="s">
        <v>2722</v>
      </c>
      <c r="S4360" s="42" t="s">
        <v>6911</v>
      </c>
      <c r="T4360" s="3" t="s">
        <v>4868</v>
      </c>
      <c r="U4360" s="45">
        <v>35</v>
      </c>
      <c r="V4360" t="s">
        <v>8191</v>
      </c>
      <c r="W4360" s="1" t="str">
        <f>HYPERLINK("http://ictvonline.org/taxonomy/p/taxonomy-history?taxnode_id=201901712","ICTVonline=201901712")</f>
        <v>ICTVonline=201901712</v>
      </c>
    </row>
    <row r="4361" spans="1:23">
      <c r="A4361" s="3">
        <v>4360</v>
      </c>
      <c r="B4361" s="1" t="s">
        <v>5910</v>
      </c>
      <c r="D4361" s="1" t="s">
        <v>8187</v>
      </c>
      <c r="F4361" s="1" t="s">
        <v>5588</v>
      </c>
      <c r="G4361" s="1" t="s">
        <v>5589</v>
      </c>
      <c r="H4361" s="1" t="s">
        <v>5604</v>
      </c>
      <c r="J4361" s="1" t="s">
        <v>999</v>
      </c>
      <c r="L4361" s="1" t="s">
        <v>1425</v>
      </c>
      <c r="N4361" s="1" t="s">
        <v>4488</v>
      </c>
      <c r="P4361" s="1" t="s">
        <v>4495</v>
      </c>
      <c r="Q4361" s="3">
        <v>0</v>
      </c>
      <c r="R4361" s="22" t="s">
        <v>2722</v>
      </c>
      <c r="S4361" s="42" t="s">
        <v>6911</v>
      </c>
      <c r="T4361" s="3" t="s">
        <v>4868</v>
      </c>
      <c r="U4361" s="45">
        <v>35</v>
      </c>
      <c r="V4361" t="s">
        <v>8191</v>
      </c>
      <c r="W4361" s="1" t="str">
        <f>HYPERLINK("http://ictvonline.org/taxonomy/p/taxonomy-history?taxnode_id=201901713","ICTVonline=201901713")</f>
        <v>ICTVonline=201901713</v>
      </c>
    </row>
    <row r="4362" spans="1:23">
      <c r="A4362" s="3">
        <v>4361</v>
      </c>
      <c r="B4362" s="1" t="s">
        <v>5910</v>
      </c>
      <c r="D4362" s="1" t="s">
        <v>8187</v>
      </c>
      <c r="F4362" s="1" t="s">
        <v>5588</v>
      </c>
      <c r="G4362" s="1" t="s">
        <v>5589</v>
      </c>
      <c r="H4362" s="1" t="s">
        <v>5604</v>
      </c>
      <c r="J4362" s="1" t="s">
        <v>999</v>
      </c>
      <c r="L4362" s="1" t="s">
        <v>1425</v>
      </c>
      <c r="N4362" s="1" t="s">
        <v>4488</v>
      </c>
      <c r="P4362" s="1" t="s">
        <v>4496</v>
      </c>
      <c r="Q4362" s="3">
        <v>1</v>
      </c>
      <c r="R4362" s="22" t="s">
        <v>2722</v>
      </c>
      <c r="S4362" s="42" t="s">
        <v>6911</v>
      </c>
      <c r="T4362" s="3" t="s">
        <v>4868</v>
      </c>
      <c r="U4362" s="45">
        <v>35</v>
      </c>
      <c r="V4362" t="s">
        <v>8191</v>
      </c>
      <c r="W4362" s="1" t="str">
        <f>HYPERLINK("http://ictvonline.org/taxonomy/p/taxonomy-history?taxnode_id=201901714","ICTVonline=201901714")</f>
        <v>ICTVonline=201901714</v>
      </c>
    </row>
    <row r="4363" spans="1:23">
      <c r="A4363" s="3">
        <v>4362</v>
      </c>
      <c r="B4363" s="1" t="s">
        <v>5910</v>
      </c>
      <c r="D4363" s="1" t="s">
        <v>8187</v>
      </c>
      <c r="F4363" s="1" t="s">
        <v>5588</v>
      </c>
      <c r="G4363" s="1" t="s">
        <v>5589</v>
      </c>
      <c r="H4363" s="1" t="s">
        <v>5604</v>
      </c>
      <c r="J4363" s="1" t="s">
        <v>999</v>
      </c>
      <c r="L4363" s="1" t="s">
        <v>1425</v>
      </c>
      <c r="N4363" s="1" t="s">
        <v>4488</v>
      </c>
      <c r="P4363" s="1" t="s">
        <v>4497</v>
      </c>
      <c r="Q4363" s="3">
        <v>0</v>
      </c>
      <c r="R4363" s="22" t="s">
        <v>2722</v>
      </c>
      <c r="S4363" s="42" t="s">
        <v>6911</v>
      </c>
      <c r="T4363" s="3" t="s">
        <v>4868</v>
      </c>
      <c r="U4363" s="45">
        <v>35</v>
      </c>
      <c r="V4363" t="s">
        <v>8191</v>
      </c>
      <c r="W4363" s="1" t="str">
        <f>HYPERLINK("http://ictvonline.org/taxonomy/p/taxonomy-history?taxnode_id=201901715","ICTVonline=201901715")</f>
        <v>ICTVonline=201901715</v>
      </c>
    </row>
    <row r="4364" spans="1:23">
      <c r="A4364" s="3">
        <v>4363</v>
      </c>
      <c r="B4364" s="1" t="s">
        <v>5910</v>
      </c>
      <c r="D4364" s="1" t="s">
        <v>8187</v>
      </c>
      <c r="F4364" s="1" t="s">
        <v>5588</v>
      </c>
      <c r="G4364" s="1" t="s">
        <v>5589</v>
      </c>
      <c r="H4364" s="1" t="s">
        <v>5604</v>
      </c>
      <c r="J4364" s="1" t="s">
        <v>999</v>
      </c>
      <c r="L4364" s="1" t="s">
        <v>1425</v>
      </c>
      <c r="N4364" s="1" t="s">
        <v>4488</v>
      </c>
      <c r="P4364" s="1" t="s">
        <v>4498</v>
      </c>
      <c r="Q4364" s="3">
        <v>0</v>
      </c>
      <c r="R4364" s="22" t="s">
        <v>2722</v>
      </c>
      <c r="S4364" s="42" t="s">
        <v>6911</v>
      </c>
      <c r="T4364" s="3" t="s">
        <v>4868</v>
      </c>
      <c r="U4364" s="45">
        <v>35</v>
      </c>
      <c r="V4364" t="s">
        <v>8191</v>
      </c>
      <c r="W4364" s="1" t="str">
        <f>HYPERLINK("http://ictvonline.org/taxonomy/p/taxonomy-history?taxnode_id=201901716","ICTVonline=201901716")</f>
        <v>ICTVonline=201901716</v>
      </c>
    </row>
    <row r="4365" spans="1:23">
      <c r="A4365" s="3">
        <v>4364</v>
      </c>
      <c r="B4365" s="1" t="s">
        <v>5910</v>
      </c>
      <c r="D4365" s="1" t="s">
        <v>8187</v>
      </c>
      <c r="F4365" s="1" t="s">
        <v>5588</v>
      </c>
      <c r="G4365" s="1" t="s">
        <v>5589</v>
      </c>
      <c r="H4365" s="1" t="s">
        <v>5604</v>
      </c>
      <c r="J4365" s="1" t="s">
        <v>999</v>
      </c>
      <c r="L4365" s="1" t="s">
        <v>1425</v>
      </c>
      <c r="N4365" s="1" t="s">
        <v>4488</v>
      </c>
      <c r="P4365" s="1" t="s">
        <v>4499</v>
      </c>
      <c r="Q4365" s="3">
        <v>0</v>
      </c>
      <c r="R4365" s="22" t="s">
        <v>2722</v>
      </c>
      <c r="S4365" s="42" t="s">
        <v>6911</v>
      </c>
      <c r="T4365" s="3" t="s">
        <v>4868</v>
      </c>
      <c r="U4365" s="45">
        <v>35</v>
      </c>
      <c r="V4365" t="s">
        <v>8191</v>
      </c>
      <c r="W4365" s="1" t="str">
        <f>HYPERLINK("http://ictvonline.org/taxonomy/p/taxonomy-history?taxnode_id=201901717","ICTVonline=201901717")</f>
        <v>ICTVonline=201901717</v>
      </c>
    </row>
    <row r="4366" spans="1:23">
      <c r="A4366" s="3">
        <v>4365</v>
      </c>
      <c r="B4366" s="1" t="s">
        <v>5910</v>
      </c>
      <c r="D4366" s="1" t="s">
        <v>8187</v>
      </c>
      <c r="F4366" s="1" t="s">
        <v>5588</v>
      </c>
      <c r="G4366" s="1" t="s">
        <v>5589</v>
      </c>
      <c r="H4366" s="1" t="s">
        <v>5604</v>
      </c>
      <c r="J4366" s="1" t="s">
        <v>999</v>
      </c>
      <c r="L4366" s="1" t="s">
        <v>1425</v>
      </c>
      <c r="N4366" s="1" t="s">
        <v>4488</v>
      </c>
      <c r="P4366" s="1" t="s">
        <v>4500</v>
      </c>
      <c r="Q4366" s="3">
        <v>0</v>
      </c>
      <c r="R4366" s="22" t="s">
        <v>2722</v>
      </c>
      <c r="S4366" s="42" t="s">
        <v>6911</v>
      </c>
      <c r="T4366" s="3" t="s">
        <v>4868</v>
      </c>
      <c r="U4366" s="45">
        <v>35</v>
      </c>
      <c r="V4366" t="s">
        <v>8191</v>
      </c>
      <c r="W4366" s="1" t="str">
        <f>HYPERLINK("http://ictvonline.org/taxonomy/p/taxonomy-history?taxnode_id=201901718","ICTVonline=201901718")</f>
        <v>ICTVonline=201901718</v>
      </c>
    </row>
    <row r="4367" spans="1:23">
      <c r="A4367" s="3">
        <v>4366</v>
      </c>
      <c r="B4367" s="1" t="s">
        <v>5910</v>
      </c>
      <c r="D4367" s="1" t="s">
        <v>8187</v>
      </c>
      <c r="F4367" s="1" t="s">
        <v>5588</v>
      </c>
      <c r="G4367" s="1" t="s">
        <v>5589</v>
      </c>
      <c r="H4367" s="1" t="s">
        <v>5604</v>
      </c>
      <c r="J4367" s="1" t="s">
        <v>999</v>
      </c>
      <c r="L4367" s="1" t="s">
        <v>1425</v>
      </c>
      <c r="N4367" s="1" t="s">
        <v>4488</v>
      </c>
      <c r="P4367" s="1" t="s">
        <v>5988</v>
      </c>
      <c r="Q4367" s="3">
        <v>0</v>
      </c>
      <c r="R4367" s="22" t="s">
        <v>2722</v>
      </c>
      <c r="S4367" s="42" t="s">
        <v>6911</v>
      </c>
      <c r="T4367" s="3" t="s">
        <v>4868</v>
      </c>
      <c r="U4367" s="45">
        <v>35</v>
      </c>
      <c r="V4367" t="s">
        <v>8191</v>
      </c>
      <c r="W4367" s="1" t="str">
        <f>HYPERLINK("http://ictvonline.org/taxonomy/p/taxonomy-history?taxnode_id=201906313","ICTVonline=201906313")</f>
        <v>ICTVonline=201906313</v>
      </c>
    </row>
    <row r="4368" spans="1:23">
      <c r="A4368" s="3">
        <v>4367</v>
      </c>
      <c r="B4368" s="1" t="s">
        <v>5910</v>
      </c>
      <c r="D4368" s="1" t="s">
        <v>8187</v>
      </c>
      <c r="F4368" s="1" t="s">
        <v>5588</v>
      </c>
      <c r="G4368" s="1" t="s">
        <v>5589</v>
      </c>
      <c r="H4368" s="1" t="s">
        <v>5604</v>
      </c>
      <c r="J4368" s="1" t="s">
        <v>999</v>
      </c>
      <c r="L4368" s="1" t="s">
        <v>1425</v>
      </c>
      <c r="N4368" s="1" t="s">
        <v>4488</v>
      </c>
      <c r="P4368" s="1" t="s">
        <v>4501</v>
      </c>
      <c r="Q4368" s="3">
        <v>0</v>
      </c>
      <c r="R4368" s="22" t="s">
        <v>2722</v>
      </c>
      <c r="S4368" s="42" t="s">
        <v>6911</v>
      </c>
      <c r="T4368" s="3" t="s">
        <v>4868</v>
      </c>
      <c r="U4368" s="45">
        <v>35</v>
      </c>
      <c r="V4368" t="s">
        <v>8191</v>
      </c>
      <c r="W4368" s="1" t="str">
        <f>HYPERLINK("http://ictvonline.org/taxonomy/p/taxonomy-history?taxnode_id=201901719","ICTVonline=201901719")</f>
        <v>ICTVonline=201901719</v>
      </c>
    </row>
    <row r="4369" spans="1:23">
      <c r="A4369" s="3">
        <v>4368</v>
      </c>
      <c r="B4369" s="1" t="s">
        <v>5910</v>
      </c>
      <c r="D4369" s="1" t="s">
        <v>8187</v>
      </c>
      <c r="F4369" s="1" t="s">
        <v>5588</v>
      </c>
      <c r="G4369" s="1" t="s">
        <v>5589</v>
      </c>
      <c r="H4369" s="1" t="s">
        <v>5604</v>
      </c>
      <c r="J4369" s="1" t="s">
        <v>999</v>
      </c>
      <c r="L4369" s="1" t="s">
        <v>1425</v>
      </c>
      <c r="N4369" s="1" t="s">
        <v>4488</v>
      </c>
      <c r="P4369" s="1" t="s">
        <v>4502</v>
      </c>
      <c r="Q4369" s="3">
        <v>0</v>
      </c>
      <c r="R4369" s="22" t="s">
        <v>2722</v>
      </c>
      <c r="S4369" s="42" t="s">
        <v>6911</v>
      </c>
      <c r="T4369" s="3" t="s">
        <v>4868</v>
      </c>
      <c r="U4369" s="45">
        <v>35</v>
      </c>
      <c r="V4369" t="s">
        <v>8191</v>
      </c>
      <c r="W4369" s="1" t="str">
        <f>HYPERLINK("http://ictvonline.org/taxonomy/p/taxonomy-history?taxnode_id=201901720","ICTVonline=201901720")</f>
        <v>ICTVonline=201901720</v>
      </c>
    </row>
    <row r="4370" spans="1:23">
      <c r="A4370" s="3">
        <v>4369</v>
      </c>
      <c r="B4370" s="1" t="s">
        <v>5910</v>
      </c>
      <c r="D4370" s="1" t="s">
        <v>8187</v>
      </c>
      <c r="F4370" s="1" t="s">
        <v>5588</v>
      </c>
      <c r="G4370" s="1" t="s">
        <v>5589</v>
      </c>
      <c r="H4370" s="1" t="s">
        <v>5604</v>
      </c>
      <c r="J4370" s="1" t="s">
        <v>999</v>
      </c>
      <c r="L4370" s="1" t="s">
        <v>1425</v>
      </c>
      <c r="N4370" s="1" t="s">
        <v>8803</v>
      </c>
      <c r="P4370" s="1" t="s">
        <v>8804</v>
      </c>
      <c r="Q4370" s="3">
        <v>1</v>
      </c>
      <c r="R4370" s="22" t="s">
        <v>2722</v>
      </c>
      <c r="S4370" s="42" t="s">
        <v>6911</v>
      </c>
      <c r="T4370" s="3" t="s">
        <v>4866</v>
      </c>
      <c r="U4370" s="45">
        <v>35</v>
      </c>
      <c r="V4370" t="s">
        <v>8344</v>
      </c>
      <c r="W4370" s="1" t="str">
        <f>HYPERLINK("http://ictvonline.org/taxonomy/p/taxonomy-history?taxnode_id=201907391","ICTVonline=201907391")</f>
        <v>ICTVonline=201907391</v>
      </c>
    </row>
    <row r="4371" spans="1:23">
      <c r="A4371" s="3">
        <v>4370</v>
      </c>
      <c r="B4371" s="1" t="s">
        <v>5910</v>
      </c>
      <c r="D4371" s="1" t="s">
        <v>8187</v>
      </c>
      <c r="F4371" s="1" t="s">
        <v>5588</v>
      </c>
      <c r="G4371" s="1" t="s">
        <v>5589</v>
      </c>
      <c r="H4371" s="1" t="s">
        <v>5604</v>
      </c>
      <c r="J4371" s="1" t="s">
        <v>999</v>
      </c>
      <c r="L4371" s="1" t="s">
        <v>1425</v>
      </c>
      <c r="N4371" s="1" t="s">
        <v>1370</v>
      </c>
      <c r="P4371" s="1" t="s">
        <v>3535</v>
      </c>
      <c r="Q4371" s="3">
        <v>0</v>
      </c>
      <c r="R4371" s="22" t="s">
        <v>2722</v>
      </c>
      <c r="S4371" s="42" t="s">
        <v>6911</v>
      </c>
      <c r="T4371" s="3" t="s">
        <v>4868</v>
      </c>
      <c r="U4371" s="45">
        <v>35</v>
      </c>
      <c r="V4371" t="s">
        <v>8191</v>
      </c>
      <c r="W4371" s="1" t="str">
        <f>HYPERLINK("http://ictvonline.org/taxonomy/p/taxonomy-history?taxnode_id=201901722","ICTVonline=201901722")</f>
        <v>ICTVonline=201901722</v>
      </c>
    </row>
    <row r="4372" spans="1:23">
      <c r="A4372" s="3">
        <v>4371</v>
      </c>
      <c r="B4372" s="1" t="s">
        <v>5910</v>
      </c>
      <c r="D4372" s="1" t="s">
        <v>8187</v>
      </c>
      <c r="F4372" s="1" t="s">
        <v>5588</v>
      </c>
      <c r="G4372" s="1" t="s">
        <v>5589</v>
      </c>
      <c r="H4372" s="1" t="s">
        <v>5604</v>
      </c>
      <c r="J4372" s="1" t="s">
        <v>999</v>
      </c>
      <c r="L4372" s="1" t="s">
        <v>1425</v>
      </c>
      <c r="N4372" s="1" t="s">
        <v>1370</v>
      </c>
      <c r="P4372" s="1" t="s">
        <v>1371</v>
      </c>
      <c r="Q4372" s="3">
        <v>0</v>
      </c>
      <c r="R4372" s="22" t="s">
        <v>2722</v>
      </c>
      <c r="S4372" s="42" t="s">
        <v>6911</v>
      </c>
      <c r="T4372" s="3" t="s">
        <v>4868</v>
      </c>
      <c r="U4372" s="45">
        <v>35</v>
      </c>
      <c r="V4372" t="s">
        <v>8191</v>
      </c>
      <c r="W4372" s="1" t="str">
        <f>HYPERLINK("http://ictvonline.org/taxonomy/p/taxonomy-history?taxnode_id=201901723","ICTVonline=201901723")</f>
        <v>ICTVonline=201901723</v>
      </c>
    </row>
    <row r="4373" spans="1:23">
      <c r="A4373" s="3">
        <v>4372</v>
      </c>
      <c r="B4373" s="1" t="s">
        <v>5910</v>
      </c>
      <c r="D4373" s="1" t="s">
        <v>8187</v>
      </c>
      <c r="F4373" s="1" t="s">
        <v>5588</v>
      </c>
      <c r="G4373" s="1" t="s">
        <v>5589</v>
      </c>
      <c r="H4373" s="1" t="s">
        <v>5604</v>
      </c>
      <c r="J4373" s="1" t="s">
        <v>999</v>
      </c>
      <c r="L4373" s="1" t="s">
        <v>1425</v>
      </c>
      <c r="N4373" s="1" t="s">
        <v>1370</v>
      </c>
      <c r="P4373" s="1" t="s">
        <v>2284</v>
      </c>
      <c r="Q4373" s="3">
        <v>0</v>
      </c>
      <c r="R4373" s="22" t="s">
        <v>2722</v>
      </c>
      <c r="S4373" s="42" t="s">
        <v>6911</v>
      </c>
      <c r="T4373" s="3" t="s">
        <v>4868</v>
      </c>
      <c r="U4373" s="45">
        <v>35</v>
      </c>
      <c r="V4373" t="s">
        <v>8191</v>
      </c>
      <c r="W4373" s="1" t="str">
        <f>HYPERLINK("http://ictvonline.org/taxonomy/p/taxonomy-history?taxnode_id=201901724","ICTVonline=201901724")</f>
        <v>ICTVonline=201901724</v>
      </c>
    </row>
    <row r="4374" spans="1:23">
      <c r="A4374" s="3">
        <v>4373</v>
      </c>
      <c r="B4374" s="1" t="s">
        <v>5910</v>
      </c>
      <c r="D4374" s="1" t="s">
        <v>8187</v>
      </c>
      <c r="F4374" s="1" t="s">
        <v>5588</v>
      </c>
      <c r="G4374" s="1" t="s">
        <v>5589</v>
      </c>
      <c r="H4374" s="1" t="s">
        <v>5604</v>
      </c>
      <c r="J4374" s="1" t="s">
        <v>999</v>
      </c>
      <c r="L4374" s="1" t="s">
        <v>1425</v>
      </c>
      <c r="N4374" s="1" t="s">
        <v>1370</v>
      </c>
      <c r="P4374" s="1" t="s">
        <v>3536</v>
      </c>
      <c r="Q4374" s="3">
        <v>0</v>
      </c>
      <c r="R4374" s="22" t="s">
        <v>2722</v>
      </c>
      <c r="S4374" s="42" t="s">
        <v>6911</v>
      </c>
      <c r="T4374" s="3" t="s">
        <v>4868</v>
      </c>
      <c r="U4374" s="45">
        <v>35</v>
      </c>
      <c r="V4374" t="s">
        <v>8191</v>
      </c>
      <c r="W4374" s="1" t="str">
        <f>HYPERLINK("http://ictvonline.org/taxonomy/p/taxonomy-history?taxnode_id=201901725","ICTVonline=201901725")</f>
        <v>ICTVonline=201901725</v>
      </c>
    </row>
    <row r="4375" spans="1:23">
      <c r="A4375" s="3">
        <v>4374</v>
      </c>
      <c r="B4375" s="1" t="s">
        <v>5910</v>
      </c>
      <c r="D4375" s="1" t="s">
        <v>8187</v>
      </c>
      <c r="F4375" s="1" t="s">
        <v>5588</v>
      </c>
      <c r="G4375" s="1" t="s">
        <v>5589</v>
      </c>
      <c r="H4375" s="1" t="s">
        <v>5604</v>
      </c>
      <c r="J4375" s="1" t="s">
        <v>999</v>
      </c>
      <c r="L4375" s="1" t="s">
        <v>1425</v>
      </c>
      <c r="N4375" s="1" t="s">
        <v>1370</v>
      </c>
      <c r="P4375" s="1" t="s">
        <v>3537</v>
      </c>
      <c r="Q4375" s="3">
        <v>0</v>
      </c>
      <c r="R4375" s="22" t="s">
        <v>2722</v>
      </c>
      <c r="S4375" s="42" t="s">
        <v>6911</v>
      </c>
      <c r="T4375" s="3" t="s">
        <v>4868</v>
      </c>
      <c r="U4375" s="45">
        <v>35</v>
      </c>
      <c r="V4375" t="s">
        <v>8191</v>
      </c>
      <c r="W4375" s="1" t="str">
        <f>HYPERLINK("http://ictvonline.org/taxonomy/p/taxonomy-history?taxnode_id=201901726","ICTVonline=201901726")</f>
        <v>ICTVonline=201901726</v>
      </c>
    </row>
    <row r="4376" spans="1:23">
      <c r="A4376" s="3">
        <v>4375</v>
      </c>
      <c r="B4376" s="1" t="s">
        <v>5910</v>
      </c>
      <c r="D4376" s="1" t="s">
        <v>8187</v>
      </c>
      <c r="F4376" s="1" t="s">
        <v>5588</v>
      </c>
      <c r="G4376" s="1" t="s">
        <v>5589</v>
      </c>
      <c r="H4376" s="1" t="s">
        <v>5604</v>
      </c>
      <c r="J4376" s="1" t="s">
        <v>999</v>
      </c>
      <c r="L4376" s="1" t="s">
        <v>1425</v>
      </c>
      <c r="N4376" s="1" t="s">
        <v>1370</v>
      </c>
      <c r="P4376" s="1" t="s">
        <v>3538</v>
      </c>
      <c r="Q4376" s="3">
        <v>0</v>
      </c>
      <c r="R4376" s="22" t="s">
        <v>2722</v>
      </c>
      <c r="S4376" s="42" t="s">
        <v>6911</v>
      </c>
      <c r="T4376" s="3" t="s">
        <v>4868</v>
      </c>
      <c r="U4376" s="45">
        <v>35</v>
      </c>
      <c r="V4376" t="s">
        <v>8191</v>
      </c>
      <c r="W4376" s="1" t="str">
        <f>HYPERLINK("http://ictvonline.org/taxonomy/p/taxonomy-history?taxnode_id=201901727","ICTVonline=201901727")</f>
        <v>ICTVonline=201901727</v>
      </c>
    </row>
    <row r="4377" spans="1:23">
      <c r="A4377" s="3">
        <v>4376</v>
      </c>
      <c r="B4377" s="1" t="s">
        <v>5910</v>
      </c>
      <c r="D4377" s="1" t="s">
        <v>8187</v>
      </c>
      <c r="F4377" s="1" t="s">
        <v>5588</v>
      </c>
      <c r="G4377" s="1" t="s">
        <v>5589</v>
      </c>
      <c r="H4377" s="1" t="s">
        <v>5604</v>
      </c>
      <c r="J4377" s="1" t="s">
        <v>999</v>
      </c>
      <c r="L4377" s="1" t="s">
        <v>1425</v>
      </c>
      <c r="N4377" s="1" t="s">
        <v>1370</v>
      </c>
      <c r="P4377" s="1" t="s">
        <v>5050</v>
      </c>
      <c r="Q4377" s="3">
        <v>0</v>
      </c>
      <c r="R4377" s="22" t="s">
        <v>2722</v>
      </c>
      <c r="S4377" s="42" t="s">
        <v>6911</v>
      </c>
      <c r="T4377" s="3" t="s">
        <v>4868</v>
      </c>
      <c r="U4377" s="45">
        <v>35</v>
      </c>
      <c r="V4377" t="s">
        <v>8191</v>
      </c>
      <c r="W4377" s="1" t="str">
        <f>HYPERLINK("http://ictvonline.org/taxonomy/p/taxonomy-history?taxnode_id=201905581","ICTVonline=201905581")</f>
        <v>ICTVonline=201905581</v>
      </c>
    </row>
    <row r="4378" spans="1:23">
      <c r="A4378" s="3">
        <v>4377</v>
      </c>
      <c r="B4378" s="1" t="s">
        <v>5910</v>
      </c>
      <c r="D4378" s="1" t="s">
        <v>8187</v>
      </c>
      <c r="F4378" s="1" t="s">
        <v>5588</v>
      </c>
      <c r="G4378" s="1" t="s">
        <v>5589</v>
      </c>
      <c r="H4378" s="1" t="s">
        <v>5604</v>
      </c>
      <c r="J4378" s="1" t="s">
        <v>999</v>
      </c>
      <c r="L4378" s="1" t="s">
        <v>1425</v>
      </c>
      <c r="N4378" s="1" t="s">
        <v>1370</v>
      </c>
      <c r="P4378" s="1" t="s">
        <v>2285</v>
      </c>
      <c r="Q4378" s="3">
        <v>0</v>
      </c>
      <c r="R4378" s="22" t="s">
        <v>2722</v>
      </c>
      <c r="S4378" s="42" t="s">
        <v>6911</v>
      </c>
      <c r="T4378" s="3" t="s">
        <v>4868</v>
      </c>
      <c r="U4378" s="45">
        <v>35</v>
      </c>
      <c r="V4378" t="s">
        <v>8191</v>
      </c>
      <c r="W4378" s="1" t="str">
        <f>HYPERLINK("http://ictvonline.org/taxonomy/p/taxonomy-history?taxnode_id=201901728","ICTVonline=201901728")</f>
        <v>ICTVonline=201901728</v>
      </c>
    </row>
    <row r="4379" spans="1:23">
      <c r="A4379" s="3">
        <v>4378</v>
      </c>
      <c r="B4379" s="1" t="s">
        <v>5910</v>
      </c>
      <c r="D4379" s="1" t="s">
        <v>8187</v>
      </c>
      <c r="F4379" s="1" t="s">
        <v>5588</v>
      </c>
      <c r="G4379" s="1" t="s">
        <v>5589</v>
      </c>
      <c r="H4379" s="1" t="s">
        <v>5604</v>
      </c>
      <c r="J4379" s="1" t="s">
        <v>999</v>
      </c>
      <c r="L4379" s="1" t="s">
        <v>1425</v>
      </c>
      <c r="N4379" s="1" t="s">
        <v>1370</v>
      </c>
      <c r="P4379" s="1" t="s">
        <v>3539</v>
      </c>
      <c r="Q4379" s="3">
        <v>0</v>
      </c>
      <c r="R4379" s="22" t="s">
        <v>2722</v>
      </c>
      <c r="S4379" s="42" t="s">
        <v>6911</v>
      </c>
      <c r="T4379" s="3" t="s">
        <v>4868</v>
      </c>
      <c r="U4379" s="45">
        <v>35</v>
      </c>
      <c r="V4379" t="s">
        <v>8191</v>
      </c>
      <c r="W4379" s="1" t="str">
        <f>HYPERLINK("http://ictvonline.org/taxonomy/p/taxonomy-history?taxnode_id=201901729","ICTVonline=201901729")</f>
        <v>ICTVonline=201901729</v>
      </c>
    </row>
    <row r="4380" spans="1:23">
      <c r="A4380" s="3">
        <v>4379</v>
      </c>
      <c r="B4380" s="1" t="s">
        <v>5910</v>
      </c>
      <c r="D4380" s="1" t="s">
        <v>8187</v>
      </c>
      <c r="F4380" s="1" t="s">
        <v>5588</v>
      </c>
      <c r="G4380" s="1" t="s">
        <v>5589</v>
      </c>
      <c r="H4380" s="1" t="s">
        <v>5604</v>
      </c>
      <c r="J4380" s="1" t="s">
        <v>999</v>
      </c>
      <c r="L4380" s="1" t="s">
        <v>1425</v>
      </c>
      <c r="N4380" s="1" t="s">
        <v>1370</v>
      </c>
      <c r="P4380" s="1" t="s">
        <v>3540</v>
      </c>
      <c r="Q4380" s="3">
        <v>0</v>
      </c>
      <c r="R4380" s="22" t="s">
        <v>2722</v>
      </c>
      <c r="S4380" s="42" t="s">
        <v>6911</v>
      </c>
      <c r="T4380" s="3" t="s">
        <v>4868</v>
      </c>
      <c r="U4380" s="45">
        <v>35</v>
      </c>
      <c r="V4380" t="s">
        <v>8191</v>
      </c>
      <c r="W4380" s="1" t="str">
        <f>HYPERLINK("http://ictvonline.org/taxonomy/p/taxonomy-history?taxnode_id=201901730","ICTVonline=201901730")</f>
        <v>ICTVonline=201901730</v>
      </c>
    </row>
    <row r="4381" spans="1:23">
      <c r="A4381" s="3">
        <v>4380</v>
      </c>
      <c r="B4381" s="1" t="s">
        <v>5910</v>
      </c>
      <c r="D4381" s="1" t="s">
        <v>8187</v>
      </c>
      <c r="F4381" s="1" t="s">
        <v>5588</v>
      </c>
      <c r="G4381" s="1" t="s">
        <v>5589</v>
      </c>
      <c r="H4381" s="1" t="s">
        <v>5604</v>
      </c>
      <c r="J4381" s="1" t="s">
        <v>999</v>
      </c>
      <c r="L4381" s="1" t="s">
        <v>1425</v>
      </c>
      <c r="N4381" s="1" t="s">
        <v>1370</v>
      </c>
      <c r="P4381" s="1" t="s">
        <v>3541</v>
      </c>
      <c r="Q4381" s="3">
        <v>0</v>
      </c>
      <c r="R4381" s="22" t="s">
        <v>2722</v>
      </c>
      <c r="S4381" s="42" t="s">
        <v>6911</v>
      </c>
      <c r="T4381" s="3" t="s">
        <v>4868</v>
      </c>
      <c r="U4381" s="45">
        <v>35</v>
      </c>
      <c r="V4381" t="s">
        <v>8191</v>
      </c>
      <c r="W4381" s="1" t="str">
        <f>HYPERLINK("http://ictvonline.org/taxonomy/p/taxonomy-history?taxnode_id=201901731","ICTVonline=201901731")</f>
        <v>ICTVonline=201901731</v>
      </c>
    </row>
    <row r="4382" spans="1:23">
      <c r="A4382" s="3">
        <v>4381</v>
      </c>
      <c r="B4382" s="1" t="s">
        <v>5910</v>
      </c>
      <c r="D4382" s="1" t="s">
        <v>8187</v>
      </c>
      <c r="F4382" s="1" t="s">
        <v>5588</v>
      </c>
      <c r="G4382" s="1" t="s">
        <v>5589</v>
      </c>
      <c r="H4382" s="1" t="s">
        <v>5604</v>
      </c>
      <c r="J4382" s="1" t="s">
        <v>999</v>
      </c>
      <c r="L4382" s="1" t="s">
        <v>1425</v>
      </c>
      <c r="N4382" s="1" t="s">
        <v>1370</v>
      </c>
      <c r="P4382" s="1" t="s">
        <v>5051</v>
      </c>
      <c r="Q4382" s="3">
        <v>0</v>
      </c>
      <c r="R4382" s="22" t="s">
        <v>2722</v>
      </c>
      <c r="S4382" s="42" t="s">
        <v>6911</v>
      </c>
      <c r="T4382" s="3" t="s">
        <v>4868</v>
      </c>
      <c r="U4382" s="45">
        <v>35</v>
      </c>
      <c r="V4382" t="s">
        <v>8191</v>
      </c>
      <c r="W4382" s="1" t="str">
        <f>HYPERLINK("http://ictvonline.org/taxonomy/p/taxonomy-history?taxnode_id=201905582","ICTVonline=201905582")</f>
        <v>ICTVonline=201905582</v>
      </c>
    </row>
    <row r="4383" spans="1:23">
      <c r="A4383" s="3">
        <v>4382</v>
      </c>
      <c r="B4383" s="1" t="s">
        <v>5910</v>
      </c>
      <c r="D4383" s="1" t="s">
        <v>8187</v>
      </c>
      <c r="F4383" s="1" t="s">
        <v>5588</v>
      </c>
      <c r="G4383" s="1" t="s">
        <v>5589</v>
      </c>
      <c r="H4383" s="1" t="s">
        <v>5604</v>
      </c>
      <c r="J4383" s="1" t="s">
        <v>999</v>
      </c>
      <c r="L4383" s="1" t="s">
        <v>1425</v>
      </c>
      <c r="N4383" s="1" t="s">
        <v>1370</v>
      </c>
      <c r="P4383" s="1" t="s">
        <v>3542</v>
      </c>
      <c r="Q4383" s="3">
        <v>0</v>
      </c>
      <c r="R4383" s="22" t="s">
        <v>2722</v>
      </c>
      <c r="S4383" s="42" t="s">
        <v>6911</v>
      </c>
      <c r="T4383" s="3" t="s">
        <v>4868</v>
      </c>
      <c r="U4383" s="45">
        <v>35</v>
      </c>
      <c r="V4383" t="s">
        <v>8191</v>
      </c>
      <c r="W4383" s="1" t="str">
        <f>HYPERLINK("http://ictvonline.org/taxonomy/p/taxonomy-history?taxnode_id=201901732","ICTVonline=201901732")</f>
        <v>ICTVonline=201901732</v>
      </c>
    </row>
    <row r="4384" spans="1:23">
      <c r="A4384" s="3">
        <v>4383</v>
      </c>
      <c r="B4384" s="1" t="s">
        <v>5910</v>
      </c>
      <c r="D4384" s="1" t="s">
        <v>8187</v>
      </c>
      <c r="F4384" s="1" t="s">
        <v>5588</v>
      </c>
      <c r="G4384" s="1" t="s">
        <v>5589</v>
      </c>
      <c r="H4384" s="1" t="s">
        <v>5604</v>
      </c>
      <c r="J4384" s="1" t="s">
        <v>999</v>
      </c>
      <c r="L4384" s="1" t="s">
        <v>1425</v>
      </c>
      <c r="N4384" s="1" t="s">
        <v>1370</v>
      </c>
      <c r="P4384" s="1" t="s">
        <v>3543</v>
      </c>
      <c r="Q4384" s="3">
        <v>1</v>
      </c>
      <c r="R4384" s="22" t="s">
        <v>2722</v>
      </c>
      <c r="S4384" s="42" t="s">
        <v>6911</v>
      </c>
      <c r="T4384" s="3" t="s">
        <v>4868</v>
      </c>
      <c r="U4384" s="45">
        <v>35</v>
      </c>
      <c r="V4384" t="s">
        <v>8191</v>
      </c>
      <c r="W4384" s="1" t="str">
        <f>HYPERLINK("http://ictvonline.org/taxonomy/p/taxonomy-history?taxnode_id=201901733","ICTVonline=201901733")</f>
        <v>ICTVonline=201901733</v>
      </c>
    </row>
    <row r="4385" spans="1:23">
      <c r="A4385" s="3">
        <v>4384</v>
      </c>
      <c r="B4385" s="1" t="s">
        <v>5910</v>
      </c>
      <c r="D4385" s="1" t="s">
        <v>8187</v>
      </c>
      <c r="F4385" s="1" t="s">
        <v>5588</v>
      </c>
      <c r="G4385" s="1" t="s">
        <v>5589</v>
      </c>
      <c r="H4385" s="1" t="s">
        <v>5604</v>
      </c>
      <c r="J4385" s="1" t="s">
        <v>999</v>
      </c>
      <c r="L4385" s="1" t="s">
        <v>1425</v>
      </c>
      <c r="N4385" s="1" t="s">
        <v>1370</v>
      </c>
      <c r="P4385" s="1" t="s">
        <v>3544</v>
      </c>
      <c r="Q4385" s="3">
        <v>0</v>
      </c>
      <c r="R4385" s="22" t="s">
        <v>2722</v>
      </c>
      <c r="S4385" s="42" t="s">
        <v>6911</v>
      </c>
      <c r="T4385" s="3" t="s">
        <v>4868</v>
      </c>
      <c r="U4385" s="45">
        <v>35</v>
      </c>
      <c r="V4385" t="s">
        <v>8191</v>
      </c>
      <c r="W4385" s="1" t="str">
        <f>HYPERLINK("http://ictvonline.org/taxonomy/p/taxonomy-history?taxnode_id=201901734","ICTVonline=201901734")</f>
        <v>ICTVonline=201901734</v>
      </c>
    </row>
    <row r="4386" spans="1:23">
      <c r="A4386" s="3">
        <v>4385</v>
      </c>
      <c r="B4386" s="1" t="s">
        <v>5910</v>
      </c>
      <c r="D4386" s="1" t="s">
        <v>8187</v>
      </c>
      <c r="F4386" s="1" t="s">
        <v>5588</v>
      </c>
      <c r="G4386" s="1" t="s">
        <v>5589</v>
      </c>
      <c r="H4386" s="1" t="s">
        <v>5604</v>
      </c>
      <c r="J4386" s="1" t="s">
        <v>999</v>
      </c>
      <c r="L4386" s="1" t="s">
        <v>1425</v>
      </c>
      <c r="N4386" s="1" t="s">
        <v>1370</v>
      </c>
      <c r="P4386" s="1" t="s">
        <v>8340</v>
      </c>
      <c r="Q4386" s="3">
        <v>0</v>
      </c>
      <c r="R4386" s="22" t="s">
        <v>2722</v>
      </c>
      <c r="S4386" s="42" t="s">
        <v>6911</v>
      </c>
      <c r="T4386" s="3" t="s">
        <v>4866</v>
      </c>
      <c r="U4386" s="45">
        <v>35</v>
      </c>
      <c r="V4386" t="s">
        <v>8341</v>
      </c>
      <c r="W4386" s="1" t="str">
        <f>HYPERLINK("http://ictvonline.org/taxonomy/p/taxonomy-history?taxnode_id=201908672","ICTVonline=201908672")</f>
        <v>ICTVonline=201908672</v>
      </c>
    </row>
    <row r="4387" spans="1:23">
      <c r="A4387" s="3">
        <v>4386</v>
      </c>
      <c r="B4387" s="1" t="s">
        <v>5910</v>
      </c>
      <c r="D4387" s="1" t="s">
        <v>8187</v>
      </c>
      <c r="F4387" s="1" t="s">
        <v>5588</v>
      </c>
      <c r="G4387" s="1" t="s">
        <v>5589</v>
      </c>
      <c r="H4387" s="1" t="s">
        <v>5604</v>
      </c>
      <c r="J4387" s="1" t="s">
        <v>999</v>
      </c>
      <c r="L4387" s="1" t="s">
        <v>1425</v>
      </c>
      <c r="N4387" s="1" t="s">
        <v>1370</v>
      </c>
      <c r="P4387" s="1" t="s">
        <v>3545</v>
      </c>
      <c r="Q4387" s="3">
        <v>0</v>
      </c>
      <c r="R4387" s="22" t="s">
        <v>2722</v>
      </c>
      <c r="S4387" s="42" t="s">
        <v>6911</v>
      </c>
      <c r="T4387" s="3" t="s">
        <v>4868</v>
      </c>
      <c r="U4387" s="45">
        <v>35</v>
      </c>
      <c r="V4387" t="s">
        <v>8191</v>
      </c>
      <c r="W4387" s="1" t="str">
        <f>HYPERLINK("http://ictvonline.org/taxonomy/p/taxonomy-history?taxnode_id=201901735","ICTVonline=201901735")</f>
        <v>ICTVonline=201901735</v>
      </c>
    </row>
    <row r="4388" spans="1:23">
      <c r="A4388" s="3">
        <v>4387</v>
      </c>
      <c r="B4388" s="1" t="s">
        <v>5910</v>
      </c>
      <c r="D4388" s="1" t="s">
        <v>8187</v>
      </c>
      <c r="F4388" s="1" t="s">
        <v>5588</v>
      </c>
      <c r="G4388" s="1" t="s">
        <v>5589</v>
      </c>
      <c r="H4388" s="1" t="s">
        <v>5604</v>
      </c>
      <c r="J4388" s="1" t="s">
        <v>999</v>
      </c>
      <c r="L4388" s="1" t="s">
        <v>1425</v>
      </c>
      <c r="N4388" s="1" t="s">
        <v>8342</v>
      </c>
      <c r="P4388" s="1" t="s">
        <v>8343</v>
      </c>
      <c r="Q4388" s="3">
        <v>1</v>
      </c>
      <c r="R4388" s="22" t="s">
        <v>2722</v>
      </c>
      <c r="S4388" s="42" t="s">
        <v>6911</v>
      </c>
      <c r="T4388" s="3" t="s">
        <v>4872</v>
      </c>
      <c r="U4388" s="45">
        <v>35</v>
      </c>
      <c r="V4388" t="s">
        <v>8344</v>
      </c>
      <c r="W4388" s="1" t="str">
        <f>HYPERLINK("http://ictvonline.org/taxonomy/p/taxonomy-history?taxnode_id=201901785","ICTVonline=201901785")</f>
        <v>ICTVonline=201901785</v>
      </c>
    </row>
    <row r="4389" spans="1:23">
      <c r="A4389" s="3">
        <v>4388</v>
      </c>
      <c r="B4389" s="1" t="s">
        <v>5910</v>
      </c>
      <c r="D4389" s="1" t="s">
        <v>8187</v>
      </c>
      <c r="F4389" s="1" t="s">
        <v>5588</v>
      </c>
      <c r="G4389" s="1" t="s">
        <v>5589</v>
      </c>
      <c r="H4389" s="1" t="s">
        <v>5604</v>
      </c>
      <c r="J4389" s="1" t="s">
        <v>999</v>
      </c>
      <c r="L4389" s="1" t="s">
        <v>1425</v>
      </c>
      <c r="N4389" s="1" t="s">
        <v>1116</v>
      </c>
      <c r="P4389" s="1" t="s">
        <v>3546</v>
      </c>
      <c r="Q4389" s="3">
        <v>0</v>
      </c>
      <c r="R4389" s="22" t="s">
        <v>2722</v>
      </c>
      <c r="S4389" s="42" t="s">
        <v>6911</v>
      </c>
      <c r="T4389" s="3" t="s">
        <v>4868</v>
      </c>
      <c r="U4389" s="45">
        <v>35</v>
      </c>
      <c r="V4389" t="s">
        <v>8191</v>
      </c>
      <c r="W4389" s="1" t="str">
        <f>HYPERLINK("http://ictvonline.org/taxonomy/p/taxonomy-history?taxnode_id=201901737","ICTVonline=201901737")</f>
        <v>ICTVonline=201901737</v>
      </c>
    </row>
    <row r="4390" spans="1:23">
      <c r="A4390" s="3">
        <v>4389</v>
      </c>
      <c r="B4390" s="1" t="s">
        <v>5910</v>
      </c>
      <c r="D4390" s="1" t="s">
        <v>8187</v>
      </c>
      <c r="F4390" s="1" t="s">
        <v>5588</v>
      </c>
      <c r="G4390" s="1" t="s">
        <v>5589</v>
      </c>
      <c r="H4390" s="1" t="s">
        <v>5604</v>
      </c>
      <c r="J4390" s="1" t="s">
        <v>999</v>
      </c>
      <c r="L4390" s="1" t="s">
        <v>1425</v>
      </c>
      <c r="N4390" s="1" t="s">
        <v>1116</v>
      </c>
      <c r="P4390" s="1" t="s">
        <v>4895</v>
      </c>
      <c r="Q4390" s="3">
        <v>0</v>
      </c>
      <c r="R4390" s="22" t="s">
        <v>2722</v>
      </c>
      <c r="S4390" s="42" t="s">
        <v>6911</v>
      </c>
      <c r="T4390" s="3" t="s">
        <v>4868</v>
      </c>
      <c r="U4390" s="45">
        <v>35</v>
      </c>
      <c r="V4390" t="s">
        <v>8191</v>
      </c>
      <c r="W4390" s="1" t="str">
        <f>HYPERLINK("http://ictvonline.org/taxonomy/p/taxonomy-history?taxnode_id=201901738","ICTVonline=201901738")</f>
        <v>ICTVonline=201901738</v>
      </c>
    </row>
    <row r="4391" spans="1:23">
      <c r="A4391" s="3">
        <v>4390</v>
      </c>
      <c r="B4391" s="1" t="s">
        <v>5910</v>
      </c>
      <c r="D4391" s="1" t="s">
        <v>8187</v>
      </c>
      <c r="F4391" s="1" t="s">
        <v>5588</v>
      </c>
      <c r="G4391" s="1" t="s">
        <v>5589</v>
      </c>
      <c r="H4391" s="1" t="s">
        <v>5604</v>
      </c>
      <c r="J4391" s="1" t="s">
        <v>999</v>
      </c>
      <c r="L4391" s="1" t="s">
        <v>1425</v>
      </c>
      <c r="N4391" s="1" t="s">
        <v>1116</v>
      </c>
      <c r="P4391" s="1" t="s">
        <v>4896</v>
      </c>
      <c r="Q4391" s="3">
        <v>1</v>
      </c>
      <c r="R4391" s="22" t="s">
        <v>2722</v>
      </c>
      <c r="S4391" s="42" t="s">
        <v>6911</v>
      </c>
      <c r="T4391" s="3" t="s">
        <v>4868</v>
      </c>
      <c r="U4391" s="45">
        <v>35</v>
      </c>
      <c r="V4391" t="s">
        <v>8191</v>
      </c>
      <c r="W4391" s="1" t="str">
        <f>HYPERLINK("http://ictvonline.org/taxonomy/p/taxonomy-history?taxnode_id=201901739","ICTVonline=201901739")</f>
        <v>ICTVonline=201901739</v>
      </c>
    </row>
    <row r="4392" spans="1:23">
      <c r="A4392" s="3">
        <v>4391</v>
      </c>
      <c r="B4392" s="1" t="s">
        <v>5910</v>
      </c>
      <c r="D4392" s="1" t="s">
        <v>8187</v>
      </c>
      <c r="F4392" s="1" t="s">
        <v>5588</v>
      </c>
      <c r="G4392" s="1" t="s">
        <v>5589</v>
      </c>
      <c r="H4392" s="1" t="s">
        <v>5604</v>
      </c>
      <c r="J4392" s="1" t="s">
        <v>999</v>
      </c>
      <c r="L4392" s="1" t="s">
        <v>1425</v>
      </c>
      <c r="N4392" s="1" t="s">
        <v>1116</v>
      </c>
      <c r="P4392" s="1" t="s">
        <v>3547</v>
      </c>
      <c r="Q4392" s="3">
        <v>0</v>
      </c>
      <c r="R4392" s="22" t="s">
        <v>2722</v>
      </c>
      <c r="S4392" s="42" t="s">
        <v>6911</v>
      </c>
      <c r="T4392" s="3" t="s">
        <v>4868</v>
      </c>
      <c r="U4392" s="45">
        <v>35</v>
      </c>
      <c r="V4392" t="s">
        <v>8191</v>
      </c>
      <c r="W4392" s="1" t="str">
        <f>HYPERLINK("http://ictvonline.org/taxonomy/p/taxonomy-history?taxnode_id=201901740","ICTVonline=201901740")</f>
        <v>ICTVonline=201901740</v>
      </c>
    </row>
    <row r="4393" spans="1:23">
      <c r="A4393" s="3">
        <v>4392</v>
      </c>
      <c r="B4393" s="1" t="s">
        <v>5910</v>
      </c>
      <c r="D4393" s="1" t="s">
        <v>8187</v>
      </c>
      <c r="F4393" s="1" t="s">
        <v>5588</v>
      </c>
      <c r="G4393" s="1" t="s">
        <v>5589</v>
      </c>
      <c r="H4393" s="1" t="s">
        <v>5604</v>
      </c>
      <c r="J4393" s="1" t="s">
        <v>999</v>
      </c>
      <c r="L4393" s="1" t="s">
        <v>1425</v>
      </c>
      <c r="N4393" s="1" t="s">
        <v>8345</v>
      </c>
      <c r="P4393" s="1" t="s">
        <v>8346</v>
      </c>
      <c r="Q4393" s="3">
        <v>0</v>
      </c>
      <c r="R4393" s="22" t="s">
        <v>2722</v>
      </c>
      <c r="S4393" s="42" t="s">
        <v>6911</v>
      </c>
      <c r="T4393" s="3" t="s">
        <v>4866</v>
      </c>
      <c r="U4393" s="45">
        <v>35</v>
      </c>
      <c r="V4393" t="s">
        <v>8347</v>
      </c>
      <c r="W4393" s="1" t="str">
        <f>HYPERLINK("http://ictvonline.org/taxonomy/p/taxonomy-history?taxnode_id=201907696","ICTVonline=201907696")</f>
        <v>ICTVonline=201907696</v>
      </c>
    </row>
    <row r="4394" spans="1:23">
      <c r="A4394" s="3">
        <v>4393</v>
      </c>
      <c r="B4394" s="1" t="s">
        <v>5910</v>
      </c>
      <c r="D4394" s="1" t="s">
        <v>8187</v>
      </c>
      <c r="F4394" s="1" t="s">
        <v>5588</v>
      </c>
      <c r="G4394" s="1" t="s">
        <v>5589</v>
      </c>
      <c r="H4394" s="1" t="s">
        <v>5604</v>
      </c>
      <c r="J4394" s="1" t="s">
        <v>999</v>
      </c>
      <c r="L4394" s="1" t="s">
        <v>1425</v>
      </c>
      <c r="N4394" s="1" t="s">
        <v>8345</v>
      </c>
      <c r="P4394" s="1" t="s">
        <v>8348</v>
      </c>
      <c r="Q4394" s="3">
        <v>0</v>
      </c>
      <c r="R4394" s="22" t="s">
        <v>2722</v>
      </c>
      <c r="S4394" s="42" t="s">
        <v>6911</v>
      </c>
      <c r="T4394" s="3" t="s">
        <v>4866</v>
      </c>
      <c r="U4394" s="45">
        <v>35</v>
      </c>
      <c r="V4394" t="s">
        <v>8347</v>
      </c>
      <c r="W4394" s="1" t="str">
        <f>HYPERLINK("http://ictvonline.org/taxonomy/p/taxonomy-history?taxnode_id=201907697","ICTVonline=201907697")</f>
        <v>ICTVonline=201907697</v>
      </c>
    </row>
    <row r="4395" spans="1:23">
      <c r="A4395" s="3">
        <v>4394</v>
      </c>
      <c r="B4395" s="1" t="s">
        <v>5910</v>
      </c>
      <c r="D4395" s="1" t="s">
        <v>8187</v>
      </c>
      <c r="F4395" s="1" t="s">
        <v>5588</v>
      </c>
      <c r="G4395" s="1" t="s">
        <v>5589</v>
      </c>
      <c r="H4395" s="1" t="s">
        <v>5604</v>
      </c>
      <c r="J4395" s="1" t="s">
        <v>999</v>
      </c>
      <c r="L4395" s="1" t="s">
        <v>1425</v>
      </c>
      <c r="N4395" s="1" t="s">
        <v>8345</v>
      </c>
      <c r="P4395" s="1" t="s">
        <v>8349</v>
      </c>
      <c r="Q4395" s="3">
        <v>1</v>
      </c>
      <c r="R4395" s="22" t="s">
        <v>2722</v>
      </c>
      <c r="S4395" s="42" t="s">
        <v>6911</v>
      </c>
      <c r="T4395" s="3" t="s">
        <v>4866</v>
      </c>
      <c r="U4395" s="45">
        <v>35</v>
      </c>
      <c r="V4395" t="s">
        <v>8347</v>
      </c>
      <c r="W4395" s="1" t="str">
        <f>HYPERLINK("http://ictvonline.org/taxonomy/p/taxonomy-history?taxnode_id=201907693","ICTVonline=201907693")</f>
        <v>ICTVonline=201907693</v>
      </c>
    </row>
    <row r="4396" spans="1:23">
      <c r="A4396" s="3">
        <v>4395</v>
      </c>
      <c r="B4396" s="1" t="s">
        <v>5910</v>
      </c>
      <c r="D4396" s="1" t="s">
        <v>8187</v>
      </c>
      <c r="F4396" s="1" t="s">
        <v>5588</v>
      </c>
      <c r="G4396" s="1" t="s">
        <v>5589</v>
      </c>
      <c r="H4396" s="1" t="s">
        <v>5604</v>
      </c>
      <c r="J4396" s="1" t="s">
        <v>999</v>
      </c>
      <c r="L4396" s="1" t="s">
        <v>1425</v>
      </c>
      <c r="N4396" s="1" t="s">
        <v>8345</v>
      </c>
      <c r="P4396" s="1" t="s">
        <v>8350</v>
      </c>
      <c r="Q4396" s="3">
        <v>0</v>
      </c>
      <c r="R4396" s="22" t="s">
        <v>2722</v>
      </c>
      <c r="S4396" s="42" t="s">
        <v>6911</v>
      </c>
      <c r="T4396" s="3" t="s">
        <v>4866</v>
      </c>
      <c r="U4396" s="45">
        <v>35</v>
      </c>
      <c r="V4396" t="s">
        <v>8347</v>
      </c>
      <c r="W4396" s="1" t="str">
        <f>HYPERLINK("http://ictvonline.org/taxonomy/p/taxonomy-history?taxnode_id=201907695","ICTVonline=201907695")</f>
        <v>ICTVonline=201907695</v>
      </c>
    </row>
    <row r="4397" spans="1:23">
      <c r="A4397" s="3">
        <v>4396</v>
      </c>
      <c r="B4397" s="1" t="s">
        <v>5910</v>
      </c>
      <c r="D4397" s="1" t="s">
        <v>8187</v>
      </c>
      <c r="F4397" s="1" t="s">
        <v>5588</v>
      </c>
      <c r="G4397" s="1" t="s">
        <v>5589</v>
      </c>
      <c r="H4397" s="1" t="s">
        <v>5604</v>
      </c>
      <c r="J4397" s="1" t="s">
        <v>999</v>
      </c>
      <c r="L4397" s="1" t="s">
        <v>1425</v>
      </c>
      <c r="N4397" s="1" t="s">
        <v>8345</v>
      </c>
      <c r="P4397" s="1" t="s">
        <v>8351</v>
      </c>
      <c r="Q4397" s="3">
        <v>0</v>
      </c>
      <c r="R4397" s="22" t="s">
        <v>2722</v>
      </c>
      <c r="S4397" s="42" t="s">
        <v>6911</v>
      </c>
      <c r="T4397" s="3" t="s">
        <v>4866</v>
      </c>
      <c r="U4397" s="45">
        <v>35</v>
      </c>
      <c r="V4397" t="s">
        <v>8347</v>
      </c>
      <c r="W4397" s="1" t="str">
        <f>HYPERLINK("http://ictvonline.org/taxonomy/p/taxonomy-history?taxnode_id=201907694","ICTVonline=201907694")</f>
        <v>ICTVonline=201907694</v>
      </c>
    </row>
    <row r="4398" spans="1:23">
      <c r="A4398" s="3">
        <v>4397</v>
      </c>
      <c r="B4398" s="1" t="s">
        <v>5910</v>
      </c>
      <c r="D4398" s="1" t="s">
        <v>8187</v>
      </c>
      <c r="F4398" s="1" t="s">
        <v>5588</v>
      </c>
      <c r="G4398" s="1" t="s">
        <v>5589</v>
      </c>
      <c r="H4398" s="1" t="s">
        <v>5604</v>
      </c>
      <c r="J4398" s="1" t="s">
        <v>999</v>
      </c>
      <c r="L4398" s="1" t="s">
        <v>1425</v>
      </c>
      <c r="N4398" s="1" t="s">
        <v>2144</v>
      </c>
      <c r="P4398" s="1" t="s">
        <v>3548</v>
      </c>
      <c r="Q4398" s="3">
        <v>0</v>
      </c>
      <c r="R4398" s="22" t="s">
        <v>2722</v>
      </c>
      <c r="S4398" s="42" t="s">
        <v>6911</v>
      </c>
      <c r="T4398" s="3" t="s">
        <v>4868</v>
      </c>
      <c r="U4398" s="45">
        <v>35</v>
      </c>
      <c r="V4398" t="s">
        <v>8191</v>
      </c>
      <c r="W4398" s="1" t="str">
        <f>HYPERLINK("http://ictvonline.org/taxonomy/p/taxonomy-history?taxnode_id=201901753","ICTVonline=201901753")</f>
        <v>ICTVonline=201901753</v>
      </c>
    </row>
    <row r="4399" spans="1:23">
      <c r="A4399" s="3">
        <v>4398</v>
      </c>
      <c r="B4399" s="1" t="s">
        <v>5910</v>
      </c>
      <c r="D4399" s="1" t="s">
        <v>8187</v>
      </c>
      <c r="F4399" s="1" t="s">
        <v>5588</v>
      </c>
      <c r="G4399" s="1" t="s">
        <v>5589</v>
      </c>
      <c r="H4399" s="1" t="s">
        <v>5604</v>
      </c>
      <c r="J4399" s="1" t="s">
        <v>999</v>
      </c>
      <c r="L4399" s="1" t="s">
        <v>1425</v>
      </c>
      <c r="N4399" s="1" t="s">
        <v>2144</v>
      </c>
      <c r="P4399" s="1" t="s">
        <v>3549</v>
      </c>
      <c r="Q4399" s="3">
        <v>1</v>
      </c>
      <c r="R4399" s="22" t="s">
        <v>2722</v>
      </c>
      <c r="S4399" s="42" t="s">
        <v>6911</v>
      </c>
      <c r="T4399" s="3" t="s">
        <v>4868</v>
      </c>
      <c r="U4399" s="45">
        <v>35</v>
      </c>
      <c r="V4399" t="s">
        <v>8191</v>
      </c>
      <c r="W4399" s="1" t="str">
        <f>HYPERLINK("http://ictvonline.org/taxonomy/p/taxonomy-history?taxnode_id=201901754","ICTVonline=201901754")</f>
        <v>ICTVonline=201901754</v>
      </c>
    </row>
    <row r="4400" spans="1:23">
      <c r="A4400" s="3">
        <v>4399</v>
      </c>
      <c r="B4400" s="1" t="s">
        <v>5910</v>
      </c>
      <c r="D4400" s="1" t="s">
        <v>8187</v>
      </c>
      <c r="F4400" s="1" t="s">
        <v>5588</v>
      </c>
      <c r="G4400" s="1" t="s">
        <v>5589</v>
      </c>
      <c r="H4400" s="1" t="s">
        <v>5604</v>
      </c>
      <c r="J4400" s="1" t="s">
        <v>999</v>
      </c>
      <c r="L4400" s="1" t="s">
        <v>1425</v>
      </c>
      <c r="N4400" s="1" t="s">
        <v>2144</v>
      </c>
      <c r="P4400" s="1" t="s">
        <v>3550</v>
      </c>
      <c r="Q4400" s="3">
        <v>0</v>
      </c>
      <c r="R4400" s="22" t="s">
        <v>2722</v>
      </c>
      <c r="S4400" s="42" t="s">
        <v>6911</v>
      </c>
      <c r="T4400" s="3" t="s">
        <v>4868</v>
      </c>
      <c r="U4400" s="45">
        <v>35</v>
      </c>
      <c r="V4400" t="s">
        <v>8191</v>
      </c>
      <c r="W4400" s="1" t="str">
        <f>HYPERLINK("http://ictvonline.org/taxonomy/p/taxonomy-history?taxnode_id=201901755","ICTVonline=201901755")</f>
        <v>ICTVonline=201901755</v>
      </c>
    </row>
    <row r="4401" spans="1:23">
      <c r="A4401" s="3">
        <v>4400</v>
      </c>
      <c r="B4401" s="1" t="s">
        <v>5910</v>
      </c>
      <c r="D4401" s="1" t="s">
        <v>8187</v>
      </c>
      <c r="F4401" s="1" t="s">
        <v>5588</v>
      </c>
      <c r="G4401" s="1" t="s">
        <v>5589</v>
      </c>
      <c r="H4401" s="1" t="s">
        <v>5604</v>
      </c>
      <c r="J4401" s="1" t="s">
        <v>999</v>
      </c>
      <c r="L4401" s="1" t="s">
        <v>1425</v>
      </c>
      <c r="N4401" s="1" t="s">
        <v>8805</v>
      </c>
      <c r="P4401" s="1" t="s">
        <v>8806</v>
      </c>
      <c r="Q4401" s="3">
        <v>0</v>
      </c>
      <c r="R4401" s="22" t="s">
        <v>2722</v>
      </c>
      <c r="S4401" s="42" t="s">
        <v>6911</v>
      </c>
      <c r="T4401" s="3" t="s">
        <v>4866</v>
      </c>
      <c r="U4401" s="45">
        <v>35</v>
      </c>
      <c r="V4401" t="s">
        <v>8344</v>
      </c>
      <c r="W4401" s="1" t="str">
        <f>HYPERLINK("http://ictvonline.org/taxonomy/p/taxonomy-history?taxnode_id=201907386","ICTVonline=201907386")</f>
        <v>ICTVonline=201907386</v>
      </c>
    </row>
    <row r="4402" spans="1:23">
      <c r="A4402" s="3">
        <v>4401</v>
      </c>
      <c r="B4402" s="1" t="s">
        <v>5910</v>
      </c>
      <c r="D4402" s="1" t="s">
        <v>8187</v>
      </c>
      <c r="F4402" s="1" t="s">
        <v>5588</v>
      </c>
      <c r="G4402" s="1" t="s">
        <v>5589</v>
      </c>
      <c r="H4402" s="1" t="s">
        <v>5604</v>
      </c>
      <c r="J4402" s="1" t="s">
        <v>999</v>
      </c>
      <c r="L4402" s="1" t="s">
        <v>1425</v>
      </c>
      <c r="N4402" s="1" t="s">
        <v>8805</v>
      </c>
      <c r="P4402" s="1" t="s">
        <v>8807</v>
      </c>
      <c r="Q4402" s="3">
        <v>0</v>
      </c>
      <c r="R4402" s="22" t="s">
        <v>2722</v>
      </c>
      <c r="S4402" s="42" t="s">
        <v>6911</v>
      </c>
      <c r="T4402" s="3" t="s">
        <v>4866</v>
      </c>
      <c r="U4402" s="45">
        <v>35</v>
      </c>
      <c r="V4402" t="s">
        <v>8344</v>
      </c>
      <c r="W4402" s="1" t="str">
        <f>HYPERLINK("http://ictvonline.org/taxonomy/p/taxonomy-history?taxnode_id=201907387","ICTVonline=201907387")</f>
        <v>ICTVonline=201907387</v>
      </c>
    </row>
    <row r="4403" spans="1:23">
      <c r="A4403" s="3">
        <v>4402</v>
      </c>
      <c r="B4403" s="1" t="s">
        <v>5910</v>
      </c>
      <c r="D4403" s="1" t="s">
        <v>8187</v>
      </c>
      <c r="F4403" s="1" t="s">
        <v>5588</v>
      </c>
      <c r="G4403" s="1" t="s">
        <v>5589</v>
      </c>
      <c r="H4403" s="1" t="s">
        <v>5604</v>
      </c>
      <c r="J4403" s="1" t="s">
        <v>999</v>
      </c>
      <c r="L4403" s="1" t="s">
        <v>1425</v>
      </c>
      <c r="N4403" s="1" t="s">
        <v>8805</v>
      </c>
      <c r="P4403" s="1" t="s">
        <v>8808</v>
      </c>
      <c r="Q4403" s="3">
        <v>0</v>
      </c>
      <c r="R4403" s="22" t="s">
        <v>2722</v>
      </c>
      <c r="S4403" s="42" t="s">
        <v>6911</v>
      </c>
      <c r="T4403" s="3" t="s">
        <v>4866</v>
      </c>
      <c r="U4403" s="45">
        <v>35</v>
      </c>
      <c r="V4403" t="s">
        <v>8344</v>
      </c>
      <c r="W4403" s="1" t="str">
        <f>HYPERLINK("http://ictvonline.org/taxonomy/p/taxonomy-history?taxnode_id=201907385","ICTVonline=201907385")</f>
        <v>ICTVonline=201907385</v>
      </c>
    </row>
    <row r="4404" spans="1:23">
      <c r="A4404" s="3">
        <v>4403</v>
      </c>
      <c r="B4404" s="1" t="s">
        <v>5910</v>
      </c>
      <c r="D4404" s="1" t="s">
        <v>8187</v>
      </c>
      <c r="F4404" s="1" t="s">
        <v>5588</v>
      </c>
      <c r="G4404" s="1" t="s">
        <v>5589</v>
      </c>
      <c r="H4404" s="1" t="s">
        <v>5604</v>
      </c>
      <c r="J4404" s="1" t="s">
        <v>999</v>
      </c>
      <c r="L4404" s="1" t="s">
        <v>1425</v>
      </c>
      <c r="N4404" s="1" t="s">
        <v>8805</v>
      </c>
      <c r="P4404" s="1" t="s">
        <v>8809</v>
      </c>
      <c r="Q4404" s="3">
        <v>1</v>
      </c>
      <c r="R4404" s="22" t="s">
        <v>2722</v>
      </c>
      <c r="S4404" s="42" t="s">
        <v>6911</v>
      </c>
      <c r="T4404" s="3" t="s">
        <v>4866</v>
      </c>
      <c r="U4404" s="45">
        <v>35</v>
      </c>
      <c r="V4404" t="s">
        <v>8344</v>
      </c>
      <c r="W4404" s="1" t="str">
        <f>HYPERLINK("http://ictvonline.org/taxonomy/p/taxonomy-history?taxnode_id=201907384","ICTVonline=201907384")</f>
        <v>ICTVonline=201907384</v>
      </c>
    </row>
    <row r="4405" spans="1:23">
      <c r="A4405" s="3">
        <v>4404</v>
      </c>
      <c r="B4405" s="1" t="s">
        <v>5910</v>
      </c>
      <c r="D4405" s="1" t="s">
        <v>8187</v>
      </c>
      <c r="F4405" s="1" t="s">
        <v>5588</v>
      </c>
      <c r="G4405" s="1" t="s">
        <v>5589</v>
      </c>
      <c r="H4405" s="1" t="s">
        <v>5604</v>
      </c>
      <c r="J4405" s="1" t="s">
        <v>999</v>
      </c>
      <c r="L4405" s="1" t="s">
        <v>1425</v>
      </c>
      <c r="N4405" s="1" t="s">
        <v>2145</v>
      </c>
      <c r="P4405" s="1" t="s">
        <v>2146</v>
      </c>
      <c r="Q4405" s="3">
        <v>0</v>
      </c>
      <c r="R4405" s="22" t="s">
        <v>2722</v>
      </c>
      <c r="S4405" s="42" t="s">
        <v>6911</v>
      </c>
      <c r="T4405" s="3" t="s">
        <v>4868</v>
      </c>
      <c r="U4405" s="45">
        <v>35</v>
      </c>
      <c r="V4405" t="s">
        <v>8191</v>
      </c>
      <c r="W4405" s="1" t="str">
        <f>HYPERLINK("http://ictvonline.org/taxonomy/p/taxonomy-history?taxnode_id=201901757","ICTVonline=201901757")</f>
        <v>ICTVonline=201901757</v>
      </c>
    </row>
    <row r="4406" spans="1:23">
      <c r="A4406" s="3">
        <v>4405</v>
      </c>
      <c r="B4406" s="1" t="s">
        <v>5910</v>
      </c>
      <c r="D4406" s="1" t="s">
        <v>8187</v>
      </c>
      <c r="F4406" s="1" t="s">
        <v>5588</v>
      </c>
      <c r="G4406" s="1" t="s">
        <v>5589</v>
      </c>
      <c r="H4406" s="1" t="s">
        <v>5604</v>
      </c>
      <c r="J4406" s="1" t="s">
        <v>999</v>
      </c>
      <c r="L4406" s="1" t="s">
        <v>1425</v>
      </c>
      <c r="N4406" s="1" t="s">
        <v>2145</v>
      </c>
      <c r="P4406" s="1" t="s">
        <v>2147</v>
      </c>
      <c r="Q4406" s="3">
        <v>0</v>
      </c>
      <c r="R4406" s="22" t="s">
        <v>2722</v>
      </c>
      <c r="S4406" s="42" t="s">
        <v>6911</v>
      </c>
      <c r="T4406" s="3" t="s">
        <v>4868</v>
      </c>
      <c r="U4406" s="45">
        <v>35</v>
      </c>
      <c r="V4406" t="s">
        <v>8191</v>
      </c>
      <c r="W4406" s="1" t="str">
        <f>HYPERLINK("http://ictvonline.org/taxonomy/p/taxonomy-history?taxnode_id=201901758","ICTVonline=201901758")</f>
        <v>ICTVonline=201901758</v>
      </c>
    </row>
    <row r="4407" spans="1:23">
      <c r="A4407" s="3">
        <v>4406</v>
      </c>
      <c r="B4407" s="1" t="s">
        <v>5910</v>
      </c>
      <c r="D4407" s="1" t="s">
        <v>8187</v>
      </c>
      <c r="F4407" s="1" t="s">
        <v>5588</v>
      </c>
      <c r="G4407" s="1" t="s">
        <v>5589</v>
      </c>
      <c r="H4407" s="1" t="s">
        <v>5604</v>
      </c>
      <c r="J4407" s="1" t="s">
        <v>999</v>
      </c>
      <c r="L4407" s="1" t="s">
        <v>1425</v>
      </c>
      <c r="N4407" s="1" t="s">
        <v>2145</v>
      </c>
      <c r="P4407" s="1" t="s">
        <v>2148</v>
      </c>
      <c r="Q4407" s="3">
        <v>0</v>
      </c>
      <c r="R4407" s="22" t="s">
        <v>2722</v>
      </c>
      <c r="S4407" s="42" t="s">
        <v>6911</v>
      </c>
      <c r="T4407" s="3" t="s">
        <v>4868</v>
      </c>
      <c r="U4407" s="45">
        <v>35</v>
      </c>
      <c r="V4407" t="s">
        <v>8191</v>
      </c>
      <c r="W4407" s="1" t="str">
        <f>HYPERLINK("http://ictvonline.org/taxonomy/p/taxonomy-history?taxnode_id=201901759","ICTVonline=201901759")</f>
        <v>ICTVonline=201901759</v>
      </c>
    </row>
    <row r="4408" spans="1:23">
      <c r="A4408" s="3">
        <v>4407</v>
      </c>
      <c r="B4408" s="1" t="s">
        <v>5910</v>
      </c>
      <c r="D4408" s="1" t="s">
        <v>8187</v>
      </c>
      <c r="F4408" s="1" t="s">
        <v>5588</v>
      </c>
      <c r="G4408" s="1" t="s">
        <v>5589</v>
      </c>
      <c r="H4408" s="1" t="s">
        <v>5604</v>
      </c>
      <c r="J4408" s="1" t="s">
        <v>999</v>
      </c>
      <c r="L4408" s="1" t="s">
        <v>1425</v>
      </c>
      <c r="N4408" s="1" t="s">
        <v>2145</v>
      </c>
      <c r="P4408" s="1" t="s">
        <v>2149</v>
      </c>
      <c r="Q4408" s="3">
        <v>1</v>
      </c>
      <c r="R4408" s="22" t="s">
        <v>2722</v>
      </c>
      <c r="S4408" s="42" t="s">
        <v>6911</v>
      </c>
      <c r="T4408" s="3" t="s">
        <v>4868</v>
      </c>
      <c r="U4408" s="45">
        <v>35</v>
      </c>
      <c r="V4408" t="s">
        <v>8191</v>
      </c>
      <c r="W4408" s="1" t="str">
        <f>HYPERLINK("http://ictvonline.org/taxonomy/p/taxonomy-history?taxnode_id=201901760","ICTVonline=201901760")</f>
        <v>ICTVonline=201901760</v>
      </c>
    </row>
    <row r="4409" spans="1:23">
      <c r="A4409" s="3">
        <v>4408</v>
      </c>
      <c r="B4409" s="1" t="s">
        <v>5910</v>
      </c>
      <c r="D4409" s="1" t="s">
        <v>8187</v>
      </c>
      <c r="F4409" s="1" t="s">
        <v>5588</v>
      </c>
      <c r="G4409" s="1" t="s">
        <v>5589</v>
      </c>
      <c r="H4409" s="1" t="s">
        <v>5604</v>
      </c>
      <c r="J4409" s="1" t="s">
        <v>999</v>
      </c>
      <c r="L4409" s="1" t="s">
        <v>1425</v>
      </c>
      <c r="N4409" s="1" t="s">
        <v>2145</v>
      </c>
      <c r="P4409" s="1" t="s">
        <v>2150</v>
      </c>
      <c r="Q4409" s="3">
        <v>0</v>
      </c>
      <c r="R4409" s="22" t="s">
        <v>2722</v>
      </c>
      <c r="S4409" s="42" t="s">
        <v>6911</v>
      </c>
      <c r="T4409" s="3" t="s">
        <v>4868</v>
      </c>
      <c r="U4409" s="45">
        <v>35</v>
      </c>
      <c r="V4409" t="s">
        <v>8191</v>
      </c>
      <c r="W4409" s="1" t="str">
        <f>HYPERLINK("http://ictvonline.org/taxonomy/p/taxonomy-history?taxnode_id=201901761","ICTVonline=201901761")</f>
        <v>ICTVonline=201901761</v>
      </c>
    </row>
    <row r="4410" spans="1:23">
      <c r="A4410" s="3">
        <v>4409</v>
      </c>
      <c r="B4410" s="1" t="s">
        <v>5910</v>
      </c>
      <c r="D4410" s="1" t="s">
        <v>8187</v>
      </c>
      <c r="F4410" s="1" t="s">
        <v>5588</v>
      </c>
      <c r="G4410" s="1" t="s">
        <v>5589</v>
      </c>
      <c r="H4410" s="1" t="s">
        <v>5604</v>
      </c>
      <c r="J4410" s="1" t="s">
        <v>999</v>
      </c>
      <c r="L4410" s="1" t="s">
        <v>1425</v>
      </c>
      <c r="N4410" s="1" t="s">
        <v>2145</v>
      </c>
      <c r="P4410" s="1" t="s">
        <v>2151</v>
      </c>
      <c r="Q4410" s="3">
        <v>0</v>
      </c>
      <c r="R4410" s="22" t="s">
        <v>2722</v>
      </c>
      <c r="S4410" s="42" t="s">
        <v>6911</v>
      </c>
      <c r="T4410" s="3" t="s">
        <v>4868</v>
      </c>
      <c r="U4410" s="45">
        <v>35</v>
      </c>
      <c r="V4410" t="s">
        <v>8191</v>
      </c>
      <c r="W4410" s="1" t="str">
        <f>HYPERLINK("http://ictvonline.org/taxonomy/p/taxonomy-history?taxnode_id=201901762","ICTVonline=201901762")</f>
        <v>ICTVonline=201901762</v>
      </c>
    </row>
    <row r="4411" spans="1:23">
      <c r="A4411" s="3">
        <v>4410</v>
      </c>
      <c r="B4411" s="1" t="s">
        <v>5910</v>
      </c>
      <c r="D4411" s="1" t="s">
        <v>8187</v>
      </c>
      <c r="F4411" s="1" t="s">
        <v>5588</v>
      </c>
      <c r="G4411" s="1" t="s">
        <v>5589</v>
      </c>
      <c r="H4411" s="1" t="s">
        <v>5604</v>
      </c>
      <c r="J4411" s="1" t="s">
        <v>999</v>
      </c>
      <c r="L4411" s="1" t="s">
        <v>1425</v>
      </c>
      <c r="N4411" s="1" t="s">
        <v>2145</v>
      </c>
      <c r="P4411" s="1" t="s">
        <v>2152</v>
      </c>
      <c r="Q4411" s="3">
        <v>0</v>
      </c>
      <c r="R4411" s="22" t="s">
        <v>2722</v>
      </c>
      <c r="S4411" s="42" t="s">
        <v>6911</v>
      </c>
      <c r="T4411" s="3" t="s">
        <v>4868</v>
      </c>
      <c r="U4411" s="45">
        <v>35</v>
      </c>
      <c r="V4411" t="s">
        <v>8191</v>
      </c>
      <c r="W4411" s="1" t="str">
        <f>HYPERLINK("http://ictvonline.org/taxonomy/p/taxonomy-history?taxnode_id=201901763","ICTVonline=201901763")</f>
        <v>ICTVonline=201901763</v>
      </c>
    </row>
    <row r="4412" spans="1:23">
      <c r="A4412" s="3">
        <v>4411</v>
      </c>
      <c r="B4412" s="1" t="s">
        <v>5910</v>
      </c>
      <c r="D4412" s="1" t="s">
        <v>8187</v>
      </c>
      <c r="F4412" s="1" t="s">
        <v>5588</v>
      </c>
      <c r="G4412" s="1" t="s">
        <v>5589</v>
      </c>
      <c r="H4412" s="1" t="s">
        <v>5604</v>
      </c>
      <c r="J4412" s="1" t="s">
        <v>999</v>
      </c>
      <c r="L4412" s="1" t="s">
        <v>1425</v>
      </c>
      <c r="N4412" s="1" t="s">
        <v>2286</v>
      </c>
      <c r="P4412" s="1" t="s">
        <v>3551</v>
      </c>
      <c r="Q4412" s="3">
        <v>1</v>
      </c>
      <c r="R4412" s="22" t="s">
        <v>2722</v>
      </c>
      <c r="S4412" s="42" t="s">
        <v>6911</v>
      </c>
      <c r="T4412" s="3" t="s">
        <v>4868</v>
      </c>
      <c r="U4412" s="45">
        <v>35</v>
      </c>
      <c r="V4412" t="s">
        <v>8191</v>
      </c>
      <c r="W4412" s="1" t="str">
        <f>HYPERLINK("http://ictvonline.org/taxonomy/p/taxonomy-history?taxnode_id=201901765","ICTVonline=201901765")</f>
        <v>ICTVonline=201901765</v>
      </c>
    </row>
    <row r="4413" spans="1:23">
      <c r="A4413" s="3">
        <v>4412</v>
      </c>
      <c r="B4413" s="1" t="s">
        <v>5910</v>
      </c>
      <c r="D4413" s="1" t="s">
        <v>8187</v>
      </c>
      <c r="F4413" s="1" t="s">
        <v>5588</v>
      </c>
      <c r="G4413" s="1" t="s">
        <v>5589</v>
      </c>
      <c r="H4413" s="1" t="s">
        <v>5604</v>
      </c>
      <c r="J4413" s="1" t="s">
        <v>999</v>
      </c>
      <c r="L4413" s="1" t="s">
        <v>1425</v>
      </c>
      <c r="N4413" s="1" t="s">
        <v>2286</v>
      </c>
      <c r="P4413" s="1" t="s">
        <v>3552</v>
      </c>
      <c r="Q4413" s="3">
        <v>0</v>
      </c>
      <c r="R4413" s="22" t="s">
        <v>2722</v>
      </c>
      <c r="S4413" s="42" t="s">
        <v>6911</v>
      </c>
      <c r="T4413" s="3" t="s">
        <v>4868</v>
      </c>
      <c r="U4413" s="45">
        <v>35</v>
      </c>
      <c r="V4413" t="s">
        <v>8191</v>
      </c>
      <c r="W4413" s="1" t="str">
        <f>HYPERLINK("http://ictvonline.org/taxonomy/p/taxonomy-history?taxnode_id=201901766","ICTVonline=201901766")</f>
        <v>ICTVonline=201901766</v>
      </c>
    </row>
    <row r="4414" spans="1:23">
      <c r="A4414" s="3">
        <v>4413</v>
      </c>
      <c r="B4414" s="1" t="s">
        <v>5910</v>
      </c>
      <c r="D4414" s="1" t="s">
        <v>8187</v>
      </c>
      <c r="F4414" s="1" t="s">
        <v>5588</v>
      </c>
      <c r="G4414" s="1" t="s">
        <v>5589</v>
      </c>
      <c r="H4414" s="1" t="s">
        <v>5604</v>
      </c>
      <c r="J4414" s="1" t="s">
        <v>999</v>
      </c>
      <c r="L4414" s="1" t="s">
        <v>1425</v>
      </c>
      <c r="N4414" s="1" t="s">
        <v>4503</v>
      </c>
      <c r="P4414" s="1" t="s">
        <v>4504</v>
      </c>
      <c r="Q4414" s="3">
        <v>0</v>
      </c>
      <c r="R4414" s="22" t="s">
        <v>2722</v>
      </c>
      <c r="S4414" s="42" t="s">
        <v>6911</v>
      </c>
      <c r="T4414" s="3" t="s">
        <v>4868</v>
      </c>
      <c r="U4414" s="45">
        <v>35</v>
      </c>
      <c r="V4414" t="s">
        <v>8191</v>
      </c>
      <c r="W4414" s="1" t="str">
        <f>HYPERLINK("http://ictvonline.org/taxonomy/p/taxonomy-history?taxnode_id=201901768","ICTVonline=201901768")</f>
        <v>ICTVonline=201901768</v>
      </c>
    </row>
    <row r="4415" spans="1:23">
      <c r="A4415" s="3">
        <v>4414</v>
      </c>
      <c r="B4415" s="1" t="s">
        <v>5910</v>
      </c>
      <c r="D4415" s="1" t="s">
        <v>8187</v>
      </c>
      <c r="F4415" s="1" t="s">
        <v>5588</v>
      </c>
      <c r="G4415" s="1" t="s">
        <v>5589</v>
      </c>
      <c r="H4415" s="1" t="s">
        <v>5604</v>
      </c>
      <c r="J4415" s="1" t="s">
        <v>999</v>
      </c>
      <c r="L4415" s="1" t="s">
        <v>1425</v>
      </c>
      <c r="N4415" s="1" t="s">
        <v>4503</v>
      </c>
      <c r="P4415" s="1" t="s">
        <v>4505</v>
      </c>
      <c r="Q4415" s="3">
        <v>0</v>
      </c>
      <c r="R4415" s="22" t="s">
        <v>2722</v>
      </c>
      <c r="S4415" s="42" t="s">
        <v>6911</v>
      </c>
      <c r="T4415" s="3" t="s">
        <v>4868</v>
      </c>
      <c r="U4415" s="45">
        <v>35</v>
      </c>
      <c r="V4415" t="s">
        <v>8191</v>
      </c>
      <c r="W4415" s="1" t="str">
        <f>HYPERLINK("http://ictvonline.org/taxonomy/p/taxonomy-history?taxnode_id=201901769","ICTVonline=201901769")</f>
        <v>ICTVonline=201901769</v>
      </c>
    </row>
    <row r="4416" spans="1:23">
      <c r="A4416" s="3">
        <v>4415</v>
      </c>
      <c r="B4416" s="1" t="s">
        <v>5910</v>
      </c>
      <c r="D4416" s="1" t="s">
        <v>8187</v>
      </c>
      <c r="F4416" s="1" t="s">
        <v>5588</v>
      </c>
      <c r="G4416" s="1" t="s">
        <v>5589</v>
      </c>
      <c r="H4416" s="1" t="s">
        <v>5604</v>
      </c>
      <c r="J4416" s="1" t="s">
        <v>999</v>
      </c>
      <c r="L4416" s="1" t="s">
        <v>1425</v>
      </c>
      <c r="N4416" s="1" t="s">
        <v>4503</v>
      </c>
      <c r="P4416" s="1" t="s">
        <v>8352</v>
      </c>
      <c r="Q4416" s="3">
        <v>0</v>
      </c>
      <c r="R4416" s="22" t="s">
        <v>2722</v>
      </c>
      <c r="S4416" s="42" t="s">
        <v>6911</v>
      </c>
      <c r="T4416" s="3" t="s">
        <v>4866</v>
      </c>
      <c r="U4416" s="45">
        <v>35</v>
      </c>
      <c r="V4416" t="s">
        <v>8353</v>
      </c>
      <c r="W4416" s="1" t="str">
        <f>HYPERLINK("http://ictvonline.org/taxonomy/p/taxonomy-history?taxnode_id=201907405","ICTVonline=201907405")</f>
        <v>ICTVonline=201907405</v>
      </c>
    </row>
    <row r="4417" spans="1:23">
      <c r="A4417" s="3">
        <v>4416</v>
      </c>
      <c r="B4417" s="1" t="s">
        <v>5910</v>
      </c>
      <c r="D4417" s="1" t="s">
        <v>8187</v>
      </c>
      <c r="F4417" s="1" t="s">
        <v>5588</v>
      </c>
      <c r="G4417" s="1" t="s">
        <v>5589</v>
      </c>
      <c r="H4417" s="1" t="s">
        <v>5604</v>
      </c>
      <c r="J4417" s="1" t="s">
        <v>999</v>
      </c>
      <c r="L4417" s="1" t="s">
        <v>1425</v>
      </c>
      <c r="N4417" s="1" t="s">
        <v>4503</v>
      </c>
      <c r="P4417" s="1" t="s">
        <v>8354</v>
      </c>
      <c r="Q4417" s="3">
        <v>0</v>
      </c>
      <c r="R4417" s="22" t="s">
        <v>2722</v>
      </c>
      <c r="S4417" s="42" t="s">
        <v>6911</v>
      </c>
      <c r="T4417" s="3" t="s">
        <v>4866</v>
      </c>
      <c r="U4417" s="45">
        <v>35</v>
      </c>
      <c r="V4417" t="s">
        <v>8353</v>
      </c>
      <c r="W4417" s="1" t="str">
        <f>HYPERLINK("http://ictvonline.org/taxonomy/p/taxonomy-history?taxnode_id=201907406","ICTVonline=201907406")</f>
        <v>ICTVonline=201907406</v>
      </c>
    </row>
    <row r="4418" spans="1:23">
      <c r="A4418" s="3">
        <v>4417</v>
      </c>
      <c r="B4418" s="1" t="s">
        <v>5910</v>
      </c>
      <c r="D4418" s="1" t="s">
        <v>8187</v>
      </c>
      <c r="F4418" s="1" t="s">
        <v>5588</v>
      </c>
      <c r="G4418" s="1" t="s">
        <v>5589</v>
      </c>
      <c r="H4418" s="1" t="s">
        <v>5604</v>
      </c>
      <c r="J4418" s="1" t="s">
        <v>999</v>
      </c>
      <c r="L4418" s="1" t="s">
        <v>1425</v>
      </c>
      <c r="N4418" s="1" t="s">
        <v>4503</v>
      </c>
      <c r="P4418" s="1" t="s">
        <v>8355</v>
      </c>
      <c r="Q4418" s="3">
        <v>0</v>
      </c>
      <c r="R4418" s="22" t="s">
        <v>2722</v>
      </c>
      <c r="S4418" s="42" t="s">
        <v>6911</v>
      </c>
      <c r="T4418" s="3" t="s">
        <v>4866</v>
      </c>
      <c r="U4418" s="45">
        <v>35</v>
      </c>
      <c r="V4418" t="s">
        <v>8353</v>
      </c>
      <c r="W4418" s="1" t="str">
        <f>HYPERLINK("http://ictvonline.org/taxonomy/p/taxonomy-history?taxnode_id=201907407","ICTVonline=201907407")</f>
        <v>ICTVonline=201907407</v>
      </c>
    </row>
    <row r="4419" spans="1:23">
      <c r="A4419" s="3">
        <v>4418</v>
      </c>
      <c r="B4419" s="1" t="s">
        <v>5910</v>
      </c>
      <c r="D4419" s="1" t="s">
        <v>8187</v>
      </c>
      <c r="F4419" s="1" t="s">
        <v>5588</v>
      </c>
      <c r="G4419" s="1" t="s">
        <v>5589</v>
      </c>
      <c r="H4419" s="1" t="s">
        <v>5604</v>
      </c>
      <c r="J4419" s="1" t="s">
        <v>999</v>
      </c>
      <c r="L4419" s="1" t="s">
        <v>1425</v>
      </c>
      <c r="N4419" s="1" t="s">
        <v>4503</v>
      </c>
      <c r="P4419" s="1" t="s">
        <v>4506</v>
      </c>
      <c r="Q4419" s="3">
        <v>1</v>
      </c>
      <c r="R4419" s="22" t="s">
        <v>2722</v>
      </c>
      <c r="S4419" s="42" t="s">
        <v>6911</v>
      </c>
      <c r="T4419" s="3" t="s">
        <v>4868</v>
      </c>
      <c r="U4419" s="45">
        <v>35</v>
      </c>
      <c r="V4419" t="s">
        <v>8191</v>
      </c>
      <c r="W4419" s="1" t="str">
        <f>HYPERLINK("http://ictvonline.org/taxonomy/p/taxonomy-history?taxnode_id=201901770","ICTVonline=201901770")</f>
        <v>ICTVonline=201901770</v>
      </c>
    </row>
    <row r="4420" spans="1:23">
      <c r="A4420" s="3">
        <v>4419</v>
      </c>
      <c r="B4420" s="1" t="s">
        <v>5910</v>
      </c>
      <c r="D4420" s="1" t="s">
        <v>8187</v>
      </c>
      <c r="F4420" s="1" t="s">
        <v>5588</v>
      </c>
      <c r="G4420" s="1" t="s">
        <v>5589</v>
      </c>
      <c r="H4420" s="1" t="s">
        <v>5604</v>
      </c>
      <c r="J4420" s="1" t="s">
        <v>999</v>
      </c>
      <c r="L4420" s="1" t="s">
        <v>1425</v>
      </c>
      <c r="N4420" s="1" t="s">
        <v>4503</v>
      </c>
      <c r="P4420" s="1" t="s">
        <v>4507</v>
      </c>
      <c r="Q4420" s="3">
        <v>0</v>
      </c>
      <c r="R4420" s="22" t="s">
        <v>2722</v>
      </c>
      <c r="S4420" s="42" t="s">
        <v>6911</v>
      </c>
      <c r="T4420" s="3" t="s">
        <v>4868</v>
      </c>
      <c r="U4420" s="45">
        <v>35</v>
      </c>
      <c r="V4420" t="s">
        <v>8191</v>
      </c>
      <c r="W4420" s="1" t="str">
        <f>HYPERLINK("http://ictvonline.org/taxonomy/p/taxonomy-history?taxnode_id=201901771","ICTVonline=201901771")</f>
        <v>ICTVonline=201901771</v>
      </c>
    </row>
    <row r="4421" spans="1:23">
      <c r="A4421" s="3">
        <v>4420</v>
      </c>
      <c r="B4421" s="1" t="s">
        <v>5910</v>
      </c>
      <c r="D4421" s="1" t="s">
        <v>8187</v>
      </c>
      <c r="F4421" s="1" t="s">
        <v>5588</v>
      </c>
      <c r="G4421" s="1" t="s">
        <v>5589</v>
      </c>
      <c r="H4421" s="1" t="s">
        <v>5604</v>
      </c>
      <c r="J4421" s="1" t="s">
        <v>999</v>
      </c>
      <c r="L4421" s="1" t="s">
        <v>1425</v>
      </c>
      <c r="N4421" s="1" t="s">
        <v>4503</v>
      </c>
      <c r="P4421" s="1" t="s">
        <v>4508</v>
      </c>
      <c r="Q4421" s="3">
        <v>0</v>
      </c>
      <c r="R4421" s="22" t="s">
        <v>2722</v>
      </c>
      <c r="S4421" s="42" t="s">
        <v>6911</v>
      </c>
      <c r="T4421" s="3" t="s">
        <v>4868</v>
      </c>
      <c r="U4421" s="45">
        <v>35</v>
      </c>
      <c r="V4421" t="s">
        <v>8191</v>
      </c>
      <c r="W4421" s="1" t="str">
        <f>HYPERLINK("http://ictvonline.org/taxonomy/p/taxonomy-history?taxnode_id=201901772","ICTVonline=201901772")</f>
        <v>ICTVonline=201901772</v>
      </c>
    </row>
    <row r="4422" spans="1:23">
      <c r="A4422" s="3">
        <v>4421</v>
      </c>
      <c r="B4422" s="1" t="s">
        <v>5910</v>
      </c>
      <c r="D4422" s="1" t="s">
        <v>8187</v>
      </c>
      <c r="F4422" s="1" t="s">
        <v>5588</v>
      </c>
      <c r="G4422" s="1" t="s">
        <v>5589</v>
      </c>
      <c r="H4422" s="1" t="s">
        <v>5604</v>
      </c>
      <c r="J4422" s="1" t="s">
        <v>999</v>
      </c>
      <c r="L4422" s="1" t="s">
        <v>1425</v>
      </c>
      <c r="N4422" s="1" t="s">
        <v>8356</v>
      </c>
      <c r="P4422" s="1" t="s">
        <v>8357</v>
      </c>
      <c r="Q4422" s="3">
        <v>0</v>
      </c>
      <c r="R4422" s="22" t="s">
        <v>2722</v>
      </c>
      <c r="S4422" s="42" t="s">
        <v>6911</v>
      </c>
      <c r="T4422" s="3" t="s">
        <v>4866</v>
      </c>
      <c r="U4422" s="45">
        <v>35</v>
      </c>
      <c r="V4422" t="s">
        <v>8358</v>
      </c>
      <c r="W4422" s="1" t="str">
        <f>HYPERLINK("http://ictvonline.org/taxonomy/p/taxonomy-history?taxnode_id=201907125","ICTVonline=201907125")</f>
        <v>ICTVonline=201907125</v>
      </c>
    </row>
    <row r="4423" spans="1:23">
      <c r="A4423" s="3">
        <v>4422</v>
      </c>
      <c r="B4423" s="1" t="s">
        <v>5910</v>
      </c>
      <c r="D4423" s="1" t="s">
        <v>8187</v>
      </c>
      <c r="F4423" s="1" t="s">
        <v>5588</v>
      </c>
      <c r="G4423" s="1" t="s">
        <v>5589</v>
      </c>
      <c r="H4423" s="1" t="s">
        <v>5604</v>
      </c>
      <c r="J4423" s="1" t="s">
        <v>999</v>
      </c>
      <c r="L4423" s="1" t="s">
        <v>1425</v>
      </c>
      <c r="N4423" s="1" t="s">
        <v>8356</v>
      </c>
      <c r="P4423" s="1" t="s">
        <v>8359</v>
      </c>
      <c r="Q4423" s="3">
        <v>0</v>
      </c>
      <c r="R4423" s="22" t="s">
        <v>2722</v>
      </c>
      <c r="S4423" s="42" t="s">
        <v>6911</v>
      </c>
      <c r="T4423" s="3" t="s">
        <v>4866</v>
      </c>
      <c r="U4423" s="45">
        <v>35</v>
      </c>
      <c r="V4423" t="s">
        <v>8358</v>
      </c>
      <c r="W4423" s="1" t="str">
        <f>HYPERLINK("http://ictvonline.org/taxonomy/p/taxonomy-history?taxnode_id=201907126","ICTVonline=201907126")</f>
        <v>ICTVonline=201907126</v>
      </c>
    </row>
    <row r="4424" spans="1:23">
      <c r="A4424" s="3">
        <v>4423</v>
      </c>
      <c r="B4424" s="1" t="s">
        <v>5910</v>
      </c>
      <c r="D4424" s="1" t="s">
        <v>8187</v>
      </c>
      <c r="F4424" s="1" t="s">
        <v>5588</v>
      </c>
      <c r="G4424" s="1" t="s">
        <v>5589</v>
      </c>
      <c r="H4424" s="1" t="s">
        <v>5604</v>
      </c>
      <c r="J4424" s="1" t="s">
        <v>999</v>
      </c>
      <c r="L4424" s="1" t="s">
        <v>1425</v>
      </c>
      <c r="N4424" s="1" t="s">
        <v>8356</v>
      </c>
      <c r="P4424" s="1" t="s">
        <v>8360</v>
      </c>
      <c r="Q4424" s="3">
        <v>0</v>
      </c>
      <c r="R4424" s="22" t="s">
        <v>2722</v>
      </c>
      <c r="S4424" s="42" t="s">
        <v>6911</v>
      </c>
      <c r="T4424" s="3" t="s">
        <v>4866</v>
      </c>
      <c r="U4424" s="45">
        <v>35</v>
      </c>
      <c r="V4424" t="s">
        <v>8358</v>
      </c>
      <c r="W4424" s="1" t="str">
        <f>HYPERLINK("http://ictvonline.org/taxonomy/p/taxonomy-history?taxnode_id=201907128","ICTVonline=201907128")</f>
        <v>ICTVonline=201907128</v>
      </c>
    </row>
    <row r="4425" spans="1:23">
      <c r="A4425" s="3">
        <v>4424</v>
      </c>
      <c r="B4425" s="1" t="s">
        <v>5910</v>
      </c>
      <c r="D4425" s="1" t="s">
        <v>8187</v>
      </c>
      <c r="F4425" s="1" t="s">
        <v>5588</v>
      </c>
      <c r="G4425" s="1" t="s">
        <v>5589</v>
      </c>
      <c r="H4425" s="1" t="s">
        <v>5604</v>
      </c>
      <c r="J4425" s="1" t="s">
        <v>999</v>
      </c>
      <c r="L4425" s="1" t="s">
        <v>1425</v>
      </c>
      <c r="N4425" s="1" t="s">
        <v>8356</v>
      </c>
      <c r="P4425" s="1" t="s">
        <v>8361</v>
      </c>
      <c r="Q4425" s="3">
        <v>0</v>
      </c>
      <c r="R4425" s="22" t="s">
        <v>2722</v>
      </c>
      <c r="S4425" s="42" t="s">
        <v>6911</v>
      </c>
      <c r="T4425" s="3" t="s">
        <v>4866</v>
      </c>
      <c r="U4425" s="45">
        <v>35</v>
      </c>
      <c r="V4425" t="s">
        <v>8358</v>
      </c>
      <c r="W4425" s="1" t="str">
        <f>HYPERLINK("http://ictvonline.org/taxonomy/p/taxonomy-history?taxnode_id=201907129","ICTVonline=201907129")</f>
        <v>ICTVonline=201907129</v>
      </c>
    </row>
    <row r="4426" spans="1:23">
      <c r="A4426" s="3">
        <v>4425</v>
      </c>
      <c r="B4426" s="1" t="s">
        <v>5910</v>
      </c>
      <c r="D4426" s="1" t="s">
        <v>8187</v>
      </c>
      <c r="F4426" s="1" t="s">
        <v>5588</v>
      </c>
      <c r="G4426" s="1" t="s">
        <v>5589</v>
      </c>
      <c r="H4426" s="1" t="s">
        <v>5604</v>
      </c>
      <c r="J4426" s="1" t="s">
        <v>999</v>
      </c>
      <c r="L4426" s="1" t="s">
        <v>1425</v>
      </c>
      <c r="N4426" s="1" t="s">
        <v>8356</v>
      </c>
      <c r="P4426" s="1" t="s">
        <v>8362</v>
      </c>
      <c r="Q4426" s="3">
        <v>1</v>
      </c>
      <c r="R4426" s="22" t="s">
        <v>2722</v>
      </c>
      <c r="S4426" s="42" t="s">
        <v>6911</v>
      </c>
      <c r="T4426" s="3" t="s">
        <v>4866</v>
      </c>
      <c r="U4426" s="45">
        <v>35</v>
      </c>
      <c r="V4426" t="s">
        <v>8358</v>
      </c>
      <c r="W4426" s="1" t="str">
        <f>HYPERLINK("http://ictvonline.org/taxonomy/p/taxonomy-history?taxnode_id=201907124","ICTVonline=201907124")</f>
        <v>ICTVonline=201907124</v>
      </c>
    </row>
    <row r="4427" spans="1:23">
      <c r="A4427" s="3">
        <v>4426</v>
      </c>
      <c r="B4427" s="1" t="s">
        <v>5910</v>
      </c>
      <c r="D4427" s="1" t="s">
        <v>8187</v>
      </c>
      <c r="F4427" s="1" t="s">
        <v>5588</v>
      </c>
      <c r="G4427" s="1" t="s">
        <v>5589</v>
      </c>
      <c r="H4427" s="1" t="s">
        <v>5604</v>
      </c>
      <c r="J4427" s="1" t="s">
        <v>999</v>
      </c>
      <c r="L4427" s="1" t="s">
        <v>1425</v>
      </c>
      <c r="N4427" s="1" t="s">
        <v>8356</v>
      </c>
      <c r="P4427" s="1" t="s">
        <v>8363</v>
      </c>
      <c r="Q4427" s="3">
        <v>0</v>
      </c>
      <c r="R4427" s="22" t="s">
        <v>2722</v>
      </c>
      <c r="S4427" s="42" t="s">
        <v>6911</v>
      </c>
      <c r="T4427" s="3" t="s">
        <v>4866</v>
      </c>
      <c r="U4427" s="45">
        <v>35</v>
      </c>
      <c r="V4427" t="s">
        <v>8358</v>
      </c>
      <c r="W4427" s="1" t="str">
        <f>HYPERLINK("http://ictvonline.org/taxonomy/p/taxonomy-history?taxnode_id=201907127","ICTVonline=201907127")</f>
        <v>ICTVonline=201907127</v>
      </c>
    </row>
    <row r="4428" spans="1:23">
      <c r="A4428" s="3">
        <v>4427</v>
      </c>
      <c r="B4428" s="1" t="s">
        <v>5910</v>
      </c>
      <c r="D4428" s="1" t="s">
        <v>8187</v>
      </c>
      <c r="F4428" s="1" t="s">
        <v>5588</v>
      </c>
      <c r="G4428" s="1" t="s">
        <v>5589</v>
      </c>
      <c r="H4428" s="1" t="s">
        <v>5604</v>
      </c>
      <c r="J4428" s="1" t="s">
        <v>999</v>
      </c>
      <c r="L4428" s="1" t="s">
        <v>1425</v>
      </c>
      <c r="N4428" s="1" t="s">
        <v>2153</v>
      </c>
      <c r="P4428" s="1" t="s">
        <v>4509</v>
      </c>
      <c r="Q4428" s="3">
        <v>0</v>
      </c>
      <c r="R4428" s="22" t="s">
        <v>2722</v>
      </c>
      <c r="S4428" s="42" t="s">
        <v>6911</v>
      </c>
      <c r="T4428" s="3" t="s">
        <v>4868</v>
      </c>
      <c r="U4428" s="45">
        <v>35</v>
      </c>
      <c r="V4428" t="s">
        <v>8191</v>
      </c>
      <c r="W4428" s="1" t="str">
        <f>HYPERLINK("http://ictvonline.org/taxonomy/p/taxonomy-history?taxnode_id=201901774","ICTVonline=201901774")</f>
        <v>ICTVonline=201901774</v>
      </c>
    </row>
    <row r="4429" spans="1:23">
      <c r="A4429" s="3">
        <v>4428</v>
      </c>
      <c r="B4429" s="1" t="s">
        <v>5910</v>
      </c>
      <c r="D4429" s="1" t="s">
        <v>8187</v>
      </c>
      <c r="F4429" s="1" t="s">
        <v>5588</v>
      </c>
      <c r="G4429" s="1" t="s">
        <v>5589</v>
      </c>
      <c r="H4429" s="1" t="s">
        <v>5604</v>
      </c>
      <c r="J4429" s="1" t="s">
        <v>999</v>
      </c>
      <c r="L4429" s="1" t="s">
        <v>1425</v>
      </c>
      <c r="N4429" s="1" t="s">
        <v>2153</v>
      </c>
      <c r="P4429" s="1" t="s">
        <v>5052</v>
      </c>
      <c r="Q4429" s="3">
        <v>0</v>
      </c>
      <c r="R4429" s="22" t="s">
        <v>2722</v>
      </c>
      <c r="S4429" s="42" t="s">
        <v>6911</v>
      </c>
      <c r="T4429" s="3" t="s">
        <v>4868</v>
      </c>
      <c r="U4429" s="45">
        <v>35</v>
      </c>
      <c r="V4429" t="s">
        <v>8191</v>
      </c>
      <c r="W4429" s="1" t="str">
        <f>HYPERLINK("http://ictvonline.org/taxonomy/p/taxonomy-history?taxnode_id=201905583","ICTVonline=201905583")</f>
        <v>ICTVonline=201905583</v>
      </c>
    </row>
    <row r="4430" spans="1:23">
      <c r="A4430" s="3">
        <v>4429</v>
      </c>
      <c r="B4430" s="1" t="s">
        <v>5910</v>
      </c>
      <c r="D4430" s="1" t="s">
        <v>8187</v>
      </c>
      <c r="F4430" s="1" t="s">
        <v>5588</v>
      </c>
      <c r="G4430" s="1" t="s">
        <v>5589</v>
      </c>
      <c r="H4430" s="1" t="s">
        <v>5604</v>
      </c>
      <c r="J4430" s="1" t="s">
        <v>999</v>
      </c>
      <c r="L4430" s="1" t="s">
        <v>1425</v>
      </c>
      <c r="N4430" s="1" t="s">
        <v>2153</v>
      </c>
      <c r="P4430" s="1" t="s">
        <v>3553</v>
      </c>
      <c r="Q4430" s="3">
        <v>0</v>
      </c>
      <c r="R4430" s="22" t="s">
        <v>2722</v>
      </c>
      <c r="S4430" s="42" t="s">
        <v>6911</v>
      </c>
      <c r="T4430" s="3" t="s">
        <v>4868</v>
      </c>
      <c r="U4430" s="45">
        <v>35</v>
      </c>
      <c r="V4430" t="s">
        <v>8191</v>
      </c>
      <c r="W4430" s="1" t="str">
        <f>HYPERLINK("http://ictvonline.org/taxonomy/p/taxonomy-history?taxnode_id=201901775","ICTVonline=201901775")</f>
        <v>ICTVonline=201901775</v>
      </c>
    </row>
    <row r="4431" spans="1:23">
      <c r="A4431" s="3">
        <v>4430</v>
      </c>
      <c r="B4431" s="1" t="s">
        <v>5910</v>
      </c>
      <c r="D4431" s="1" t="s">
        <v>8187</v>
      </c>
      <c r="F4431" s="1" t="s">
        <v>5588</v>
      </c>
      <c r="G4431" s="1" t="s">
        <v>5589</v>
      </c>
      <c r="H4431" s="1" t="s">
        <v>5604</v>
      </c>
      <c r="J4431" s="1" t="s">
        <v>999</v>
      </c>
      <c r="L4431" s="1" t="s">
        <v>1425</v>
      </c>
      <c r="N4431" s="1" t="s">
        <v>2153</v>
      </c>
      <c r="P4431" s="1" t="s">
        <v>4510</v>
      </c>
      <c r="Q4431" s="3">
        <v>0</v>
      </c>
      <c r="R4431" s="22" t="s">
        <v>2722</v>
      </c>
      <c r="S4431" s="42" t="s">
        <v>6911</v>
      </c>
      <c r="T4431" s="3" t="s">
        <v>4868</v>
      </c>
      <c r="U4431" s="45">
        <v>35</v>
      </c>
      <c r="V4431" t="s">
        <v>8191</v>
      </c>
      <c r="W4431" s="1" t="str">
        <f>HYPERLINK("http://ictvonline.org/taxonomy/p/taxonomy-history?taxnode_id=201901776","ICTVonline=201901776")</f>
        <v>ICTVonline=201901776</v>
      </c>
    </row>
    <row r="4432" spans="1:23">
      <c r="A4432" s="3">
        <v>4431</v>
      </c>
      <c r="B4432" s="1" t="s">
        <v>5910</v>
      </c>
      <c r="D4432" s="1" t="s">
        <v>8187</v>
      </c>
      <c r="F4432" s="1" t="s">
        <v>5588</v>
      </c>
      <c r="G4432" s="1" t="s">
        <v>5589</v>
      </c>
      <c r="H4432" s="1" t="s">
        <v>5604</v>
      </c>
      <c r="J4432" s="1" t="s">
        <v>999</v>
      </c>
      <c r="L4432" s="1" t="s">
        <v>1425</v>
      </c>
      <c r="N4432" s="1" t="s">
        <v>2153</v>
      </c>
      <c r="P4432" s="1" t="s">
        <v>4511</v>
      </c>
      <c r="Q4432" s="3">
        <v>0</v>
      </c>
      <c r="R4432" s="22" t="s">
        <v>2722</v>
      </c>
      <c r="S4432" s="42" t="s">
        <v>6911</v>
      </c>
      <c r="T4432" s="3" t="s">
        <v>4868</v>
      </c>
      <c r="U4432" s="45">
        <v>35</v>
      </c>
      <c r="V4432" t="s">
        <v>8191</v>
      </c>
      <c r="W4432" s="1" t="str">
        <f>HYPERLINK("http://ictvonline.org/taxonomy/p/taxonomy-history?taxnode_id=201901777","ICTVonline=201901777")</f>
        <v>ICTVonline=201901777</v>
      </c>
    </row>
    <row r="4433" spans="1:23">
      <c r="A4433" s="3">
        <v>4432</v>
      </c>
      <c r="B4433" s="1" t="s">
        <v>5910</v>
      </c>
      <c r="D4433" s="1" t="s">
        <v>8187</v>
      </c>
      <c r="F4433" s="1" t="s">
        <v>5588</v>
      </c>
      <c r="G4433" s="1" t="s">
        <v>5589</v>
      </c>
      <c r="H4433" s="1" t="s">
        <v>5604</v>
      </c>
      <c r="J4433" s="1" t="s">
        <v>999</v>
      </c>
      <c r="L4433" s="1" t="s">
        <v>1425</v>
      </c>
      <c r="N4433" s="1" t="s">
        <v>2153</v>
      </c>
      <c r="P4433" s="1" t="s">
        <v>4512</v>
      </c>
      <c r="Q4433" s="3">
        <v>0</v>
      </c>
      <c r="R4433" s="22" t="s">
        <v>2722</v>
      </c>
      <c r="S4433" s="42" t="s">
        <v>6911</v>
      </c>
      <c r="T4433" s="3" t="s">
        <v>4868</v>
      </c>
      <c r="U4433" s="45">
        <v>35</v>
      </c>
      <c r="V4433" t="s">
        <v>8191</v>
      </c>
      <c r="W4433" s="1" t="str">
        <f>HYPERLINK("http://ictvonline.org/taxonomy/p/taxonomy-history?taxnode_id=201901778","ICTVonline=201901778")</f>
        <v>ICTVonline=201901778</v>
      </c>
    </row>
    <row r="4434" spans="1:23">
      <c r="A4434" s="3">
        <v>4433</v>
      </c>
      <c r="B4434" s="1" t="s">
        <v>5910</v>
      </c>
      <c r="D4434" s="1" t="s">
        <v>8187</v>
      </c>
      <c r="F4434" s="1" t="s">
        <v>5588</v>
      </c>
      <c r="G4434" s="1" t="s">
        <v>5589</v>
      </c>
      <c r="H4434" s="1" t="s">
        <v>5604</v>
      </c>
      <c r="J4434" s="1" t="s">
        <v>999</v>
      </c>
      <c r="L4434" s="1" t="s">
        <v>1425</v>
      </c>
      <c r="N4434" s="1" t="s">
        <v>2153</v>
      </c>
      <c r="P4434" s="1" t="s">
        <v>3554</v>
      </c>
      <c r="Q4434" s="3">
        <v>1</v>
      </c>
      <c r="R4434" s="22" t="s">
        <v>2722</v>
      </c>
      <c r="S4434" s="42" t="s">
        <v>6911</v>
      </c>
      <c r="T4434" s="3" t="s">
        <v>4868</v>
      </c>
      <c r="U4434" s="45">
        <v>35</v>
      </c>
      <c r="V4434" t="s">
        <v>8191</v>
      </c>
      <c r="W4434" s="1" t="str">
        <f>HYPERLINK("http://ictvonline.org/taxonomy/p/taxonomy-history?taxnode_id=201901779","ICTVonline=201901779")</f>
        <v>ICTVonline=201901779</v>
      </c>
    </row>
    <row r="4435" spans="1:23">
      <c r="A4435" s="3">
        <v>4434</v>
      </c>
      <c r="B4435" s="1" t="s">
        <v>5910</v>
      </c>
      <c r="D4435" s="1" t="s">
        <v>8187</v>
      </c>
      <c r="F4435" s="1" t="s">
        <v>5588</v>
      </c>
      <c r="G4435" s="1" t="s">
        <v>5589</v>
      </c>
      <c r="H4435" s="1" t="s">
        <v>5604</v>
      </c>
      <c r="J4435" s="1" t="s">
        <v>999</v>
      </c>
      <c r="L4435" s="1" t="s">
        <v>1425</v>
      </c>
      <c r="N4435" s="1" t="s">
        <v>2287</v>
      </c>
      <c r="P4435" s="1" t="s">
        <v>3555</v>
      </c>
      <c r="Q4435" s="3">
        <v>1</v>
      </c>
      <c r="R4435" s="22" t="s">
        <v>2722</v>
      </c>
      <c r="S4435" s="42" t="s">
        <v>6911</v>
      </c>
      <c r="T4435" s="3" t="s">
        <v>4868</v>
      </c>
      <c r="U4435" s="45">
        <v>35</v>
      </c>
      <c r="V4435" t="s">
        <v>8191</v>
      </c>
      <c r="W4435" s="1" t="str">
        <f>HYPERLINK("http://ictvonline.org/taxonomy/p/taxonomy-history?taxnode_id=201901781","ICTVonline=201901781")</f>
        <v>ICTVonline=201901781</v>
      </c>
    </row>
    <row r="4436" spans="1:23">
      <c r="A4436" s="3">
        <v>4435</v>
      </c>
      <c r="B4436" s="1" t="s">
        <v>5910</v>
      </c>
      <c r="D4436" s="1" t="s">
        <v>8187</v>
      </c>
      <c r="F4436" s="1" t="s">
        <v>5588</v>
      </c>
      <c r="G4436" s="1" t="s">
        <v>5589</v>
      </c>
      <c r="H4436" s="1" t="s">
        <v>5604</v>
      </c>
      <c r="J4436" s="1" t="s">
        <v>999</v>
      </c>
      <c r="L4436" s="1" t="s">
        <v>1425</v>
      </c>
      <c r="N4436" s="1" t="s">
        <v>2287</v>
      </c>
      <c r="P4436" s="1" t="s">
        <v>4513</v>
      </c>
      <c r="Q4436" s="3">
        <v>0</v>
      </c>
      <c r="R4436" s="22" t="s">
        <v>2722</v>
      </c>
      <c r="S4436" s="42" t="s">
        <v>6911</v>
      </c>
      <c r="T4436" s="3" t="s">
        <v>4868</v>
      </c>
      <c r="U4436" s="45">
        <v>35</v>
      </c>
      <c r="V4436" t="s">
        <v>8191</v>
      </c>
      <c r="W4436" s="1" t="str">
        <f>HYPERLINK("http://ictvonline.org/taxonomy/p/taxonomy-history?taxnode_id=201901782","ICTVonline=201901782")</f>
        <v>ICTVonline=201901782</v>
      </c>
    </row>
    <row r="4437" spans="1:23">
      <c r="A4437" s="3">
        <v>4436</v>
      </c>
      <c r="B4437" s="1" t="s">
        <v>5910</v>
      </c>
      <c r="D4437" s="1" t="s">
        <v>8187</v>
      </c>
      <c r="F4437" s="1" t="s">
        <v>5588</v>
      </c>
      <c r="G4437" s="1" t="s">
        <v>5589</v>
      </c>
      <c r="H4437" s="1" t="s">
        <v>5604</v>
      </c>
      <c r="J4437" s="1" t="s">
        <v>999</v>
      </c>
      <c r="L4437" s="1" t="s">
        <v>1425</v>
      </c>
      <c r="N4437" s="1" t="s">
        <v>2287</v>
      </c>
      <c r="P4437" s="1" t="s">
        <v>3556</v>
      </c>
      <c r="Q4437" s="3">
        <v>0</v>
      </c>
      <c r="R4437" s="22" t="s">
        <v>2722</v>
      </c>
      <c r="S4437" s="42" t="s">
        <v>6911</v>
      </c>
      <c r="T4437" s="3" t="s">
        <v>4868</v>
      </c>
      <c r="U4437" s="45">
        <v>35</v>
      </c>
      <c r="V4437" t="s">
        <v>8191</v>
      </c>
      <c r="W4437" s="1" t="str">
        <f>HYPERLINK("http://ictvonline.org/taxonomy/p/taxonomy-history?taxnode_id=201901783","ICTVonline=201901783")</f>
        <v>ICTVonline=201901783</v>
      </c>
    </row>
    <row r="4438" spans="1:23">
      <c r="A4438" s="3">
        <v>4437</v>
      </c>
      <c r="B4438" s="1" t="s">
        <v>5910</v>
      </c>
      <c r="D4438" s="1" t="s">
        <v>8187</v>
      </c>
      <c r="F4438" s="1" t="s">
        <v>5588</v>
      </c>
      <c r="G4438" s="1" t="s">
        <v>5589</v>
      </c>
      <c r="H4438" s="1" t="s">
        <v>5604</v>
      </c>
      <c r="J4438" s="1" t="s">
        <v>999</v>
      </c>
      <c r="L4438" s="1" t="s">
        <v>1425</v>
      </c>
      <c r="N4438" s="1" t="s">
        <v>1506</v>
      </c>
      <c r="P4438" s="1" t="s">
        <v>3557</v>
      </c>
      <c r="Q4438" s="3">
        <v>1</v>
      </c>
      <c r="R4438" s="22" t="s">
        <v>2722</v>
      </c>
      <c r="S4438" s="42" t="s">
        <v>6911</v>
      </c>
      <c r="T4438" s="3" t="s">
        <v>4868</v>
      </c>
      <c r="U4438" s="45">
        <v>35</v>
      </c>
      <c r="V4438" t="s">
        <v>8191</v>
      </c>
      <c r="W4438" s="1" t="str">
        <f>HYPERLINK("http://ictvonline.org/taxonomy/p/taxonomy-history?taxnode_id=201901787","ICTVonline=201901787")</f>
        <v>ICTVonline=201901787</v>
      </c>
    </row>
    <row r="4439" spans="1:23">
      <c r="A4439" s="3">
        <v>4438</v>
      </c>
      <c r="B4439" s="1" t="s">
        <v>5910</v>
      </c>
      <c r="D4439" s="1" t="s">
        <v>8187</v>
      </c>
      <c r="F4439" s="1" t="s">
        <v>5588</v>
      </c>
      <c r="G4439" s="1" t="s">
        <v>5589</v>
      </c>
      <c r="H4439" s="1" t="s">
        <v>5604</v>
      </c>
      <c r="J4439" s="1" t="s">
        <v>999</v>
      </c>
      <c r="L4439" s="1" t="s">
        <v>1425</v>
      </c>
      <c r="N4439" s="1" t="s">
        <v>1427</v>
      </c>
      <c r="P4439" s="1" t="s">
        <v>3558</v>
      </c>
      <c r="Q4439" s="3">
        <v>0</v>
      </c>
      <c r="R4439" s="22" t="s">
        <v>2722</v>
      </c>
      <c r="S4439" s="42" t="s">
        <v>6911</v>
      </c>
      <c r="T4439" s="3" t="s">
        <v>4868</v>
      </c>
      <c r="U4439" s="45">
        <v>35</v>
      </c>
      <c r="V4439" t="s">
        <v>8191</v>
      </c>
      <c r="W4439" s="1" t="str">
        <f>HYPERLINK("http://ictvonline.org/taxonomy/p/taxonomy-history?taxnode_id=201901789","ICTVonline=201901789")</f>
        <v>ICTVonline=201901789</v>
      </c>
    </row>
    <row r="4440" spans="1:23">
      <c r="A4440" s="3">
        <v>4439</v>
      </c>
      <c r="B4440" s="1" t="s">
        <v>5910</v>
      </c>
      <c r="D4440" s="1" t="s">
        <v>8187</v>
      </c>
      <c r="F4440" s="1" t="s">
        <v>5588</v>
      </c>
      <c r="G4440" s="1" t="s">
        <v>5589</v>
      </c>
      <c r="H4440" s="1" t="s">
        <v>5604</v>
      </c>
      <c r="J4440" s="1" t="s">
        <v>999</v>
      </c>
      <c r="L4440" s="1" t="s">
        <v>1425</v>
      </c>
      <c r="N4440" s="1" t="s">
        <v>1427</v>
      </c>
      <c r="P4440" s="1" t="s">
        <v>4514</v>
      </c>
      <c r="Q4440" s="3">
        <v>0</v>
      </c>
      <c r="R4440" s="22" t="s">
        <v>2722</v>
      </c>
      <c r="S4440" s="42" t="s">
        <v>6911</v>
      </c>
      <c r="T4440" s="3" t="s">
        <v>4868</v>
      </c>
      <c r="U4440" s="45">
        <v>35</v>
      </c>
      <c r="V4440" t="s">
        <v>8191</v>
      </c>
      <c r="W4440" s="1" t="str">
        <f>HYPERLINK("http://ictvonline.org/taxonomy/p/taxonomy-history?taxnode_id=201901790","ICTVonline=201901790")</f>
        <v>ICTVonline=201901790</v>
      </c>
    </row>
    <row r="4441" spans="1:23">
      <c r="A4441" s="3">
        <v>4440</v>
      </c>
      <c r="B4441" s="1" t="s">
        <v>5910</v>
      </c>
      <c r="D4441" s="1" t="s">
        <v>8187</v>
      </c>
      <c r="F4441" s="1" t="s">
        <v>5588</v>
      </c>
      <c r="G4441" s="1" t="s">
        <v>5589</v>
      </c>
      <c r="H4441" s="1" t="s">
        <v>5604</v>
      </c>
      <c r="J4441" s="1" t="s">
        <v>999</v>
      </c>
      <c r="L4441" s="1" t="s">
        <v>1425</v>
      </c>
      <c r="N4441" s="1" t="s">
        <v>1427</v>
      </c>
      <c r="P4441" s="1" t="s">
        <v>3559</v>
      </c>
      <c r="Q4441" s="3">
        <v>0</v>
      </c>
      <c r="R4441" s="22" t="s">
        <v>2722</v>
      </c>
      <c r="S4441" s="42" t="s">
        <v>6911</v>
      </c>
      <c r="T4441" s="3" t="s">
        <v>4868</v>
      </c>
      <c r="U4441" s="45">
        <v>35</v>
      </c>
      <c r="V4441" t="s">
        <v>8191</v>
      </c>
      <c r="W4441" s="1" t="str">
        <f>HYPERLINK("http://ictvonline.org/taxonomy/p/taxonomy-history?taxnode_id=201901791","ICTVonline=201901791")</f>
        <v>ICTVonline=201901791</v>
      </c>
    </row>
    <row r="4442" spans="1:23">
      <c r="A4442" s="3">
        <v>4441</v>
      </c>
      <c r="B4442" s="1" t="s">
        <v>5910</v>
      </c>
      <c r="D4442" s="1" t="s">
        <v>8187</v>
      </c>
      <c r="F4442" s="1" t="s">
        <v>5588</v>
      </c>
      <c r="G4442" s="1" t="s">
        <v>5589</v>
      </c>
      <c r="H4442" s="1" t="s">
        <v>5604</v>
      </c>
      <c r="J4442" s="1" t="s">
        <v>999</v>
      </c>
      <c r="L4442" s="1" t="s">
        <v>1425</v>
      </c>
      <c r="N4442" s="1" t="s">
        <v>1427</v>
      </c>
      <c r="P4442" s="1" t="s">
        <v>3560</v>
      </c>
      <c r="Q4442" s="3">
        <v>0</v>
      </c>
      <c r="R4442" s="22" t="s">
        <v>2722</v>
      </c>
      <c r="S4442" s="42" t="s">
        <v>6911</v>
      </c>
      <c r="T4442" s="3" t="s">
        <v>4868</v>
      </c>
      <c r="U4442" s="45">
        <v>35</v>
      </c>
      <c r="V4442" t="s">
        <v>8191</v>
      </c>
      <c r="W4442" s="1" t="str">
        <f>HYPERLINK("http://ictvonline.org/taxonomy/p/taxonomy-history?taxnode_id=201901792","ICTVonline=201901792")</f>
        <v>ICTVonline=201901792</v>
      </c>
    </row>
    <row r="4443" spans="1:23">
      <c r="A4443" s="3">
        <v>4442</v>
      </c>
      <c r="B4443" s="1" t="s">
        <v>5910</v>
      </c>
      <c r="D4443" s="1" t="s">
        <v>8187</v>
      </c>
      <c r="F4443" s="1" t="s">
        <v>5588</v>
      </c>
      <c r="G4443" s="1" t="s">
        <v>5589</v>
      </c>
      <c r="H4443" s="1" t="s">
        <v>5604</v>
      </c>
      <c r="J4443" s="1" t="s">
        <v>999</v>
      </c>
      <c r="L4443" s="1" t="s">
        <v>1425</v>
      </c>
      <c r="N4443" s="1" t="s">
        <v>1427</v>
      </c>
      <c r="P4443" s="1" t="s">
        <v>3561</v>
      </c>
      <c r="Q4443" s="3">
        <v>0</v>
      </c>
      <c r="R4443" s="22" t="s">
        <v>2722</v>
      </c>
      <c r="S4443" s="42" t="s">
        <v>6911</v>
      </c>
      <c r="T4443" s="3" t="s">
        <v>4868</v>
      </c>
      <c r="U4443" s="45">
        <v>35</v>
      </c>
      <c r="V4443" t="s">
        <v>8191</v>
      </c>
      <c r="W4443" s="1" t="str">
        <f>HYPERLINK("http://ictvonline.org/taxonomy/p/taxonomy-history?taxnode_id=201901793","ICTVonline=201901793")</f>
        <v>ICTVonline=201901793</v>
      </c>
    </row>
    <row r="4444" spans="1:23">
      <c r="A4444" s="3">
        <v>4443</v>
      </c>
      <c r="B4444" s="1" t="s">
        <v>5910</v>
      </c>
      <c r="D4444" s="1" t="s">
        <v>8187</v>
      </c>
      <c r="F4444" s="1" t="s">
        <v>5588</v>
      </c>
      <c r="G4444" s="1" t="s">
        <v>5589</v>
      </c>
      <c r="H4444" s="1" t="s">
        <v>5604</v>
      </c>
      <c r="J4444" s="1" t="s">
        <v>999</v>
      </c>
      <c r="L4444" s="1" t="s">
        <v>1425</v>
      </c>
      <c r="N4444" s="1" t="s">
        <v>1427</v>
      </c>
      <c r="P4444" s="1" t="s">
        <v>3562</v>
      </c>
      <c r="Q4444" s="3">
        <v>1</v>
      </c>
      <c r="R4444" s="22" t="s">
        <v>2722</v>
      </c>
      <c r="S4444" s="42" t="s">
        <v>6911</v>
      </c>
      <c r="T4444" s="3" t="s">
        <v>4868</v>
      </c>
      <c r="U4444" s="45">
        <v>35</v>
      </c>
      <c r="V4444" t="s">
        <v>8191</v>
      </c>
      <c r="W4444" s="1" t="str">
        <f>HYPERLINK("http://ictvonline.org/taxonomy/p/taxonomy-history?taxnode_id=201901794","ICTVonline=201901794")</f>
        <v>ICTVonline=201901794</v>
      </c>
    </row>
    <row r="4445" spans="1:23">
      <c r="A4445" s="3">
        <v>4444</v>
      </c>
      <c r="B4445" s="1" t="s">
        <v>5910</v>
      </c>
      <c r="D4445" s="1" t="s">
        <v>8187</v>
      </c>
      <c r="F4445" s="1" t="s">
        <v>5588</v>
      </c>
      <c r="G4445" s="1" t="s">
        <v>5589</v>
      </c>
      <c r="H4445" s="1" t="s">
        <v>5604</v>
      </c>
      <c r="J4445" s="1" t="s">
        <v>999</v>
      </c>
      <c r="L4445" s="1" t="s">
        <v>1425</v>
      </c>
      <c r="N4445" s="1" t="s">
        <v>1427</v>
      </c>
      <c r="P4445" s="1" t="s">
        <v>3563</v>
      </c>
      <c r="Q4445" s="3">
        <v>0</v>
      </c>
      <c r="R4445" s="22" t="s">
        <v>2722</v>
      </c>
      <c r="S4445" s="42" t="s">
        <v>6911</v>
      </c>
      <c r="T4445" s="3" t="s">
        <v>4868</v>
      </c>
      <c r="U4445" s="45">
        <v>35</v>
      </c>
      <c r="V4445" t="s">
        <v>8191</v>
      </c>
      <c r="W4445" s="1" t="str">
        <f>HYPERLINK("http://ictvonline.org/taxonomy/p/taxonomy-history?taxnode_id=201901795","ICTVonline=201901795")</f>
        <v>ICTVonline=201901795</v>
      </c>
    </row>
    <row r="4446" spans="1:23">
      <c r="A4446" s="3">
        <v>4445</v>
      </c>
      <c r="B4446" s="1" t="s">
        <v>5910</v>
      </c>
      <c r="D4446" s="1" t="s">
        <v>8187</v>
      </c>
      <c r="F4446" s="1" t="s">
        <v>5588</v>
      </c>
      <c r="G4446" s="1" t="s">
        <v>5589</v>
      </c>
      <c r="H4446" s="1" t="s">
        <v>5604</v>
      </c>
      <c r="J4446" s="1" t="s">
        <v>999</v>
      </c>
      <c r="L4446" s="1" t="s">
        <v>1425</v>
      </c>
      <c r="N4446" s="1" t="s">
        <v>1427</v>
      </c>
      <c r="P4446" s="1" t="s">
        <v>4515</v>
      </c>
      <c r="Q4446" s="3">
        <v>0</v>
      </c>
      <c r="R4446" s="22" t="s">
        <v>2722</v>
      </c>
      <c r="S4446" s="42" t="s">
        <v>6911</v>
      </c>
      <c r="T4446" s="3" t="s">
        <v>4868</v>
      </c>
      <c r="U4446" s="45">
        <v>35</v>
      </c>
      <c r="V4446" t="s">
        <v>8191</v>
      </c>
      <c r="W4446" s="1" t="str">
        <f>HYPERLINK("http://ictvonline.org/taxonomy/p/taxonomy-history?taxnode_id=201901796","ICTVonline=201901796")</f>
        <v>ICTVonline=201901796</v>
      </c>
    </row>
    <row r="4447" spans="1:23">
      <c r="A4447" s="3">
        <v>4446</v>
      </c>
      <c r="B4447" s="1" t="s">
        <v>5910</v>
      </c>
      <c r="D4447" s="1" t="s">
        <v>8187</v>
      </c>
      <c r="F4447" s="1" t="s">
        <v>5588</v>
      </c>
      <c r="G4447" s="1" t="s">
        <v>5589</v>
      </c>
      <c r="H4447" s="1" t="s">
        <v>5604</v>
      </c>
      <c r="J4447" s="1" t="s">
        <v>999</v>
      </c>
      <c r="L4447" s="1" t="s">
        <v>1425</v>
      </c>
      <c r="N4447" s="1" t="s">
        <v>1427</v>
      </c>
      <c r="P4447" s="1" t="s">
        <v>4516</v>
      </c>
      <c r="Q4447" s="3">
        <v>0</v>
      </c>
      <c r="R4447" s="22" t="s">
        <v>2722</v>
      </c>
      <c r="S4447" s="42" t="s">
        <v>6911</v>
      </c>
      <c r="T4447" s="3" t="s">
        <v>4868</v>
      </c>
      <c r="U4447" s="45">
        <v>35</v>
      </c>
      <c r="V4447" t="s">
        <v>8191</v>
      </c>
      <c r="W4447" s="1" t="str">
        <f>HYPERLINK("http://ictvonline.org/taxonomy/p/taxonomy-history?taxnode_id=201901797","ICTVonline=201901797")</f>
        <v>ICTVonline=201901797</v>
      </c>
    </row>
    <row r="4448" spans="1:23">
      <c r="A4448" s="3">
        <v>4447</v>
      </c>
      <c r="B4448" s="1" t="s">
        <v>5910</v>
      </c>
      <c r="D4448" s="1" t="s">
        <v>8187</v>
      </c>
      <c r="F4448" s="1" t="s">
        <v>5588</v>
      </c>
      <c r="G4448" s="1" t="s">
        <v>5589</v>
      </c>
      <c r="H4448" s="1" t="s">
        <v>5604</v>
      </c>
      <c r="J4448" s="1" t="s">
        <v>999</v>
      </c>
      <c r="L4448" s="1" t="s">
        <v>1425</v>
      </c>
      <c r="N4448" s="1" t="s">
        <v>1427</v>
      </c>
      <c r="P4448" s="1" t="s">
        <v>3564</v>
      </c>
      <c r="Q4448" s="3">
        <v>0</v>
      </c>
      <c r="R4448" s="22" t="s">
        <v>2722</v>
      </c>
      <c r="S4448" s="42" t="s">
        <v>6911</v>
      </c>
      <c r="T4448" s="3" t="s">
        <v>4868</v>
      </c>
      <c r="U4448" s="45">
        <v>35</v>
      </c>
      <c r="V4448" t="s">
        <v>8191</v>
      </c>
      <c r="W4448" s="1" t="str">
        <f>HYPERLINK("http://ictvonline.org/taxonomy/p/taxonomy-history?taxnode_id=201901798","ICTVonline=201901798")</f>
        <v>ICTVonline=201901798</v>
      </c>
    </row>
    <row r="4449" spans="1:23">
      <c r="A4449" s="3">
        <v>4448</v>
      </c>
      <c r="B4449" s="1" t="s">
        <v>5910</v>
      </c>
      <c r="D4449" s="1" t="s">
        <v>8187</v>
      </c>
      <c r="F4449" s="1" t="s">
        <v>5588</v>
      </c>
      <c r="G4449" s="1" t="s">
        <v>5589</v>
      </c>
      <c r="H4449" s="1" t="s">
        <v>5604</v>
      </c>
      <c r="J4449" s="1" t="s">
        <v>999</v>
      </c>
      <c r="L4449" s="1" t="s">
        <v>1425</v>
      </c>
      <c r="N4449" s="1" t="s">
        <v>1427</v>
      </c>
      <c r="P4449" s="1" t="s">
        <v>4517</v>
      </c>
      <c r="Q4449" s="3">
        <v>0</v>
      </c>
      <c r="R4449" s="22" t="s">
        <v>2722</v>
      </c>
      <c r="S4449" s="42" t="s">
        <v>6911</v>
      </c>
      <c r="T4449" s="3" t="s">
        <v>4868</v>
      </c>
      <c r="U4449" s="45">
        <v>35</v>
      </c>
      <c r="V4449" t="s">
        <v>8191</v>
      </c>
      <c r="W4449" s="1" t="str">
        <f>HYPERLINK("http://ictvonline.org/taxonomy/p/taxonomy-history?taxnode_id=201901799","ICTVonline=201901799")</f>
        <v>ICTVonline=201901799</v>
      </c>
    </row>
    <row r="4450" spans="1:23">
      <c r="A4450" s="3">
        <v>4449</v>
      </c>
      <c r="B4450" s="1" t="s">
        <v>5910</v>
      </c>
      <c r="D4450" s="1" t="s">
        <v>8187</v>
      </c>
      <c r="F4450" s="1" t="s">
        <v>5588</v>
      </c>
      <c r="G4450" s="1" t="s">
        <v>5589</v>
      </c>
      <c r="H4450" s="1" t="s">
        <v>5604</v>
      </c>
      <c r="J4450" s="1" t="s">
        <v>999</v>
      </c>
      <c r="L4450" s="1" t="s">
        <v>1425</v>
      </c>
      <c r="N4450" s="1" t="s">
        <v>1427</v>
      </c>
      <c r="P4450" s="1" t="s">
        <v>3565</v>
      </c>
      <c r="Q4450" s="3">
        <v>0</v>
      </c>
      <c r="R4450" s="22" t="s">
        <v>2722</v>
      </c>
      <c r="S4450" s="42" t="s">
        <v>6911</v>
      </c>
      <c r="T4450" s="3" t="s">
        <v>4868</v>
      </c>
      <c r="U4450" s="45">
        <v>35</v>
      </c>
      <c r="V4450" t="s">
        <v>8191</v>
      </c>
      <c r="W4450" s="1" t="str">
        <f>HYPERLINK("http://ictvonline.org/taxonomy/p/taxonomy-history?taxnode_id=201901800","ICTVonline=201901800")</f>
        <v>ICTVonline=201901800</v>
      </c>
    </row>
    <row r="4451" spans="1:23">
      <c r="A4451" s="3">
        <v>4450</v>
      </c>
      <c r="B4451" s="1" t="s">
        <v>5910</v>
      </c>
      <c r="D4451" s="1" t="s">
        <v>8187</v>
      </c>
      <c r="F4451" s="1" t="s">
        <v>5588</v>
      </c>
      <c r="G4451" s="1" t="s">
        <v>5589</v>
      </c>
      <c r="H4451" s="1" t="s">
        <v>5604</v>
      </c>
      <c r="J4451" s="1" t="s">
        <v>999</v>
      </c>
      <c r="L4451" s="1" t="s">
        <v>1425</v>
      </c>
      <c r="N4451" s="1" t="s">
        <v>1427</v>
      </c>
      <c r="P4451" s="1" t="s">
        <v>4518</v>
      </c>
      <c r="Q4451" s="3">
        <v>0</v>
      </c>
      <c r="R4451" s="22" t="s">
        <v>2722</v>
      </c>
      <c r="S4451" s="42" t="s">
        <v>6911</v>
      </c>
      <c r="T4451" s="3" t="s">
        <v>4868</v>
      </c>
      <c r="U4451" s="45">
        <v>35</v>
      </c>
      <c r="V4451" t="s">
        <v>8191</v>
      </c>
      <c r="W4451" s="1" t="str">
        <f>HYPERLINK("http://ictvonline.org/taxonomy/p/taxonomy-history?taxnode_id=201901801","ICTVonline=201901801")</f>
        <v>ICTVonline=201901801</v>
      </c>
    </row>
    <row r="4452" spans="1:23">
      <c r="A4452" s="3">
        <v>4451</v>
      </c>
      <c r="B4452" s="1" t="s">
        <v>5910</v>
      </c>
      <c r="D4452" s="1" t="s">
        <v>8187</v>
      </c>
      <c r="F4452" s="1" t="s">
        <v>5588</v>
      </c>
      <c r="G4452" s="1" t="s">
        <v>5589</v>
      </c>
      <c r="H4452" s="1" t="s">
        <v>5604</v>
      </c>
      <c r="J4452" s="1" t="s">
        <v>999</v>
      </c>
      <c r="L4452" s="1" t="s">
        <v>1425</v>
      </c>
      <c r="N4452" s="1" t="s">
        <v>1427</v>
      </c>
      <c r="P4452" s="1" t="s">
        <v>3566</v>
      </c>
      <c r="Q4452" s="3">
        <v>0</v>
      </c>
      <c r="R4452" s="22" t="s">
        <v>2722</v>
      </c>
      <c r="S4452" s="42" t="s">
        <v>6911</v>
      </c>
      <c r="T4452" s="3" t="s">
        <v>4868</v>
      </c>
      <c r="U4452" s="45">
        <v>35</v>
      </c>
      <c r="V4452" t="s">
        <v>8191</v>
      </c>
      <c r="W4452" s="1" t="str">
        <f>HYPERLINK("http://ictvonline.org/taxonomy/p/taxonomy-history?taxnode_id=201901802","ICTVonline=201901802")</f>
        <v>ICTVonline=201901802</v>
      </c>
    </row>
    <row r="4453" spans="1:23">
      <c r="A4453" s="3">
        <v>4452</v>
      </c>
      <c r="B4453" s="1" t="s">
        <v>5910</v>
      </c>
      <c r="D4453" s="1" t="s">
        <v>8187</v>
      </c>
      <c r="F4453" s="1" t="s">
        <v>5588</v>
      </c>
      <c r="G4453" s="1" t="s">
        <v>5589</v>
      </c>
      <c r="H4453" s="1" t="s">
        <v>5604</v>
      </c>
      <c r="J4453" s="1" t="s">
        <v>999</v>
      </c>
      <c r="L4453" s="1" t="s">
        <v>1425</v>
      </c>
      <c r="N4453" s="1" t="s">
        <v>1427</v>
      </c>
      <c r="P4453" s="1" t="s">
        <v>4519</v>
      </c>
      <c r="Q4453" s="3">
        <v>0</v>
      </c>
      <c r="R4453" s="22" t="s">
        <v>2722</v>
      </c>
      <c r="S4453" s="42" t="s">
        <v>6911</v>
      </c>
      <c r="T4453" s="3" t="s">
        <v>4868</v>
      </c>
      <c r="U4453" s="45">
        <v>35</v>
      </c>
      <c r="V4453" t="s">
        <v>8191</v>
      </c>
      <c r="W4453" s="1" t="str">
        <f>HYPERLINK("http://ictvonline.org/taxonomy/p/taxonomy-history?taxnode_id=201901803","ICTVonline=201901803")</f>
        <v>ICTVonline=201901803</v>
      </c>
    </row>
    <row r="4454" spans="1:23">
      <c r="A4454" s="3">
        <v>4453</v>
      </c>
      <c r="B4454" s="1" t="s">
        <v>5910</v>
      </c>
      <c r="D4454" s="1" t="s">
        <v>8187</v>
      </c>
      <c r="F4454" s="1" t="s">
        <v>5588</v>
      </c>
      <c r="G4454" s="1" t="s">
        <v>5589</v>
      </c>
      <c r="H4454" s="1" t="s">
        <v>5604</v>
      </c>
      <c r="J4454" s="1" t="s">
        <v>999</v>
      </c>
      <c r="L4454" s="1" t="s">
        <v>1425</v>
      </c>
      <c r="N4454" s="1" t="s">
        <v>1427</v>
      </c>
      <c r="P4454" s="1" t="s">
        <v>4520</v>
      </c>
      <c r="Q4454" s="3">
        <v>0</v>
      </c>
      <c r="R4454" s="22" t="s">
        <v>2722</v>
      </c>
      <c r="S4454" s="42" t="s">
        <v>6911</v>
      </c>
      <c r="T4454" s="3" t="s">
        <v>4868</v>
      </c>
      <c r="U4454" s="45">
        <v>35</v>
      </c>
      <c r="V4454" t="s">
        <v>8191</v>
      </c>
      <c r="W4454" s="1" t="str">
        <f>HYPERLINK("http://ictvonline.org/taxonomy/p/taxonomy-history?taxnode_id=201901804","ICTVonline=201901804")</f>
        <v>ICTVonline=201901804</v>
      </c>
    </row>
    <row r="4455" spans="1:23">
      <c r="A4455" s="3">
        <v>4454</v>
      </c>
      <c r="B4455" s="1" t="s">
        <v>5910</v>
      </c>
      <c r="D4455" s="1" t="s">
        <v>8187</v>
      </c>
      <c r="F4455" s="1" t="s">
        <v>5588</v>
      </c>
      <c r="G4455" s="1" t="s">
        <v>5589</v>
      </c>
      <c r="H4455" s="1" t="s">
        <v>5604</v>
      </c>
      <c r="J4455" s="1" t="s">
        <v>999</v>
      </c>
      <c r="L4455" s="1" t="s">
        <v>1425</v>
      </c>
      <c r="N4455" s="1" t="s">
        <v>8810</v>
      </c>
      <c r="P4455" s="1" t="s">
        <v>8811</v>
      </c>
      <c r="Q4455" s="3">
        <v>1</v>
      </c>
      <c r="R4455" s="22" t="s">
        <v>2722</v>
      </c>
      <c r="S4455" s="42" t="s">
        <v>6911</v>
      </c>
      <c r="T4455" s="3" t="s">
        <v>4866</v>
      </c>
      <c r="U4455" s="45">
        <v>35</v>
      </c>
      <c r="V4455" t="s">
        <v>8344</v>
      </c>
      <c r="W4455" s="1" t="str">
        <f>HYPERLINK("http://ictvonline.org/taxonomy/p/taxonomy-history?taxnode_id=201907389","ICTVonline=201907389")</f>
        <v>ICTVonline=201907389</v>
      </c>
    </row>
    <row r="4456" spans="1:23">
      <c r="A4456" s="3">
        <v>4455</v>
      </c>
      <c r="B4456" s="1" t="s">
        <v>5910</v>
      </c>
      <c r="D4456" s="1" t="s">
        <v>8187</v>
      </c>
      <c r="F4456" s="1" t="s">
        <v>5588</v>
      </c>
      <c r="G4456" s="1" t="s">
        <v>5589</v>
      </c>
      <c r="H4456" s="1" t="s">
        <v>5604</v>
      </c>
      <c r="J4456" s="1" t="s">
        <v>999</v>
      </c>
      <c r="L4456" s="1" t="s">
        <v>3567</v>
      </c>
      <c r="N4456" s="1" t="s">
        <v>3568</v>
      </c>
      <c r="P4456" s="1" t="s">
        <v>3569</v>
      </c>
      <c r="Q4456" s="3">
        <v>1</v>
      </c>
      <c r="R4456" s="22" t="s">
        <v>2722</v>
      </c>
      <c r="S4456" s="42" t="s">
        <v>6911</v>
      </c>
      <c r="T4456" s="3" t="s">
        <v>4868</v>
      </c>
      <c r="U4456" s="45">
        <v>35</v>
      </c>
      <c r="V4456" t="s">
        <v>8191</v>
      </c>
      <c r="W4456" s="1" t="str">
        <f>HYPERLINK("http://ictvonline.org/taxonomy/p/taxonomy-history?taxnode_id=201901808","ICTVonline=201901808")</f>
        <v>ICTVonline=201901808</v>
      </c>
    </row>
    <row r="4457" spans="1:23">
      <c r="A4457" s="3">
        <v>4456</v>
      </c>
      <c r="B4457" s="1" t="s">
        <v>5910</v>
      </c>
      <c r="D4457" s="1" t="s">
        <v>8187</v>
      </c>
      <c r="F4457" s="1" t="s">
        <v>5588</v>
      </c>
      <c r="G4457" s="1" t="s">
        <v>5589</v>
      </c>
      <c r="H4457" s="1" t="s">
        <v>5604</v>
      </c>
      <c r="J4457" s="1" t="s">
        <v>999</v>
      </c>
      <c r="L4457" s="1" t="s">
        <v>5665</v>
      </c>
      <c r="N4457" s="1" t="s">
        <v>3570</v>
      </c>
      <c r="P4457" s="1" t="s">
        <v>5666</v>
      </c>
      <c r="Q4457" s="3">
        <v>0</v>
      </c>
      <c r="R4457" s="22" t="s">
        <v>2722</v>
      </c>
      <c r="S4457" s="42" t="s">
        <v>6911</v>
      </c>
      <c r="T4457" s="3" t="s">
        <v>4868</v>
      </c>
      <c r="U4457" s="45">
        <v>35</v>
      </c>
      <c r="V4457" t="s">
        <v>8191</v>
      </c>
      <c r="W4457" s="1" t="str">
        <f>HYPERLINK("http://ictvonline.org/taxonomy/p/taxonomy-history?taxnode_id=201906262","ICTVonline=201906262")</f>
        <v>ICTVonline=201906262</v>
      </c>
    </row>
    <row r="4458" spans="1:23">
      <c r="A4458" s="3">
        <v>4457</v>
      </c>
      <c r="B4458" s="1" t="s">
        <v>5910</v>
      </c>
      <c r="D4458" s="1" t="s">
        <v>8187</v>
      </c>
      <c r="F4458" s="1" t="s">
        <v>5588</v>
      </c>
      <c r="G4458" s="1" t="s">
        <v>5589</v>
      </c>
      <c r="H4458" s="1" t="s">
        <v>5604</v>
      </c>
      <c r="J4458" s="1" t="s">
        <v>999</v>
      </c>
      <c r="L4458" s="1" t="s">
        <v>5665</v>
      </c>
      <c r="N4458" s="1" t="s">
        <v>3570</v>
      </c>
      <c r="P4458" s="1" t="s">
        <v>5667</v>
      </c>
      <c r="Q4458" s="3">
        <v>0</v>
      </c>
      <c r="R4458" s="22" t="s">
        <v>2722</v>
      </c>
      <c r="S4458" s="42" t="s">
        <v>6911</v>
      </c>
      <c r="T4458" s="3" t="s">
        <v>4868</v>
      </c>
      <c r="U4458" s="45">
        <v>35</v>
      </c>
      <c r="V4458" t="s">
        <v>8191</v>
      </c>
      <c r="W4458" s="1" t="str">
        <f>HYPERLINK("http://ictvonline.org/taxonomy/p/taxonomy-history?taxnode_id=201906265","ICTVonline=201906265")</f>
        <v>ICTVonline=201906265</v>
      </c>
    </row>
    <row r="4459" spans="1:23">
      <c r="A4459" s="3">
        <v>4458</v>
      </c>
      <c r="B4459" s="1" t="s">
        <v>5910</v>
      </c>
      <c r="D4459" s="1" t="s">
        <v>8187</v>
      </c>
      <c r="F4459" s="1" t="s">
        <v>5588</v>
      </c>
      <c r="G4459" s="1" t="s">
        <v>5589</v>
      </c>
      <c r="H4459" s="1" t="s">
        <v>5604</v>
      </c>
      <c r="J4459" s="1" t="s">
        <v>999</v>
      </c>
      <c r="L4459" s="1" t="s">
        <v>5665</v>
      </c>
      <c r="N4459" s="1" t="s">
        <v>3570</v>
      </c>
      <c r="P4459" s="1" t="s">
        <v>5668</v>
      </c>
      <c r="Q4459" s="3">
        <v>0</v>
      </c>
      <c r="R4459" s="22" t="s">
        <v>2722</v>
      </c>
      <c r="S4459" s="42" t="s">
        <v>6911</v>
      </c>
      <c r="T4459" s="3" t="s">
        <v>4868</v>
      </c>
      <c r="U4459" s="45">
        <v>35</v>
      </c>
      <c r="V4459" t="s">
        <v>8191</v>
      </c>
      <c r="W4459" s="1" t="str">
        <f>HYPERLINK("http://ictvonline.org/taxonomy/p/taxonomy-history?taxnode_id=201906263","ICTVonline=201906263")</f>
        <v>ICTVonline=201906263</v>
      </c>
    </row>
    <row r="4460" spans="1:23">
      <c r="A4460" s="3">
        <v>4459</v>
      </c>
      <c r="B4460" s="1" t="s">
        <v>5910</v>
      </c>
      <c r="D4460" s="1" t="s">
        <v>8187</v>
      </c>
      <c r="F4460" s="1" t="s">
        <v>5588</v>
      </c>
      <c r="G4460" s="1" t="s">
        <v>5589</v>
      </c>
      <c r="H4460" s="1" t="s">
        <v>5604</v>
      </c>
      <c r="J4460" s="1" t="s">
        <v>999</v>
      </c>
      <c r="L4460" s="1" t="s">
        <v>5665</v>
      </c>
      <c r="N4460" s="1" t="s">
        <v>3570</v>
      </c>
      <c r="P4460" s="1" t="s">
        <v>5669</v>
      </c>
      <c r="Q4460" s="3">
        <v>0</v>
      </c>
      <c r="R4460" s="22" t="s">
        <v>2722</v>
      </c>
      <c r="S4460" s="42" t="s">
        <v>6911</v>
      </c>
      <c r="T4460" s="3" t="s">
        <v>4868</v>
      </c>
      <c r="U4460" s="45">
        <v>35</v>
      </c>
      <c r="V4460" t="s">
        <v>8191</v>
      </c>
      <c r="W4460" s="1" t="str">
        <f>HYPERLINK("http://ictvonline.org/taxonomy/p/taxonomy-history?taxnode_id=201906261","ICTVonline=201906261")</f>
        <v>ICTVonline=201906261</v>
      </c>
    </row>
    <row r="4461" spans="1:23">
      <c r="A4461" s="3">
        <v>4460</v>
      </c>
      <c r="B4461" s="1" t="s">
        <v>5910</v>
      </c>
      <c r="D4461" s="1" t="s">
        <v>8187</v>
      </c>
      <c r="F4461" s="1" t="s">
        <v>5588</v>
      </c>
      <c r="G4461" s="1" t="s">
        <v>5589</v>
      </c>
      <c r="H4461" s="1" t="s">
        <v>5604</v>
      </c>
      <c r="J4461" s="1" t="s">
        <v>999</v>
      </c>
      <c r="L4461" s="1" t="s">
        <v>5665</v>
      </c>
      <c r="N4461" s="1" t="s">
        <v>3570</v>
      </c>
      <c r="P4461" s="1" t="s">
        <v>5670</v>
      </c>
      <c r="Q4461" s="3">
        <v>0</v>
      </c>
      <c r="R4461" s="22" t="s">
        <v>2722</v>
      </c>
      <c r="S4461" s="42" t="s">
        <v>6911</v>
      </c>
      <c r="T4461" s="3" t="s">
        <v>4868</v>
      </c>
      <c r="U4461" s="45">
        <v>35</v>
      </c>
      <c r="V4461" t="s">
        <v>8191</v>
      </c>
      <c r="W4461" s="1" t="str">
        <f>HYPERLINK("http://ictvonline.org/taxonomy/p/taxonomy-history?taxnode_id=201906260","ICTVonline=201906260")</f>
        <v>ICTVonline=201906260</v>
      </c>
    </row>
    <row r="4462" spans="1:23">
      <c r="A4462" s="3">
        <v>4461</v>
      </c>
      <c r="B4462" s="1" t="s">
        <v>5910</v>
      </c>
      <c r="D4462" s="1" t="s">
        <v>8187</v>
      </c>
      <c r="F4462" s="1" t="s">
        <v>5588</v>
      </c>
      <c r="G4462" s="1" t="s">
        <v>5589</v>
      </c>
      <c r="H4462" s="1" t="s">
        <v>5604</v>
      </c>
      <c r="J4462" s="1" t="s">
        <v>999</v>
      </c>
      <c r="L4462" s="1" t="s">
        <v>5665</v>
      </c>
      <c r="N4462" s="1" t="s">
        <v>3570</v>
      </c>
      <c r="P4462" s="1" t="s">
        <v>5671</v>
      </c>
      <c r="Q4462" s="3">
        <v>0</v>
      </c>
      <c r="R4462" s="22" t="s">
        <v>2722</v>
      </c>
      <c r="S4462" s="42" t="s">
        <v>6911</v>
      </c>
      <c r="T4462" s="3" t="s">
        <v>4868</v>
      </c>
      <c r="U4462" s="45">
        <v>35</v>
      </c>
      <c r="V4462" t="s">
        <v>8191</v>
      </c>
      <c r="W4462" s="1" t="str">
        <f>HYPERLINK("http://ictvonline.org/taxonomy/p/taxonomy-history?taxnode_id=201906264","ICTVonline=201906264")</f>
        <v>ICTVonline=201906264</v>
      </c>
    </row>
    <row r="4463" spans="1:23">
      <c r="A4463" s="3">
        <v>4462</v>
      </c>
      <c r="B4463" s="1" t="s">
        <v>5910</v>
      </c>
      <c r="D4463" s="1" t="s">
        <v>8187</v>
      </c>
      <c r="F4463" s="1" t="s">
        <v>5588</v>
      </c>
      <c r="G4463" s="1" t="s">
        <v>5589</v>
      </c>
      <c r="H4463" s="1" t="s">
        <v>5604</v>
      </c>
      <c r="J4463" s="1" t="s">
        <v>999</v>
      </c>
      <c r="L4463" s="1" t="s">
        <v>5665</v>
      </c>
      <c r="N4463" s="1" t="s">
        <v>3570</v>
      </c>
      <c r="P4463" s="1" t="s">
        <v>3571</v>
      </c>
      <c r="Q4463" s="3">
        <v>1</v>
      </c>
      <c r="R4463" s="22" t="s">
        <v>2722</v>
      </c>
      <c r="S4463" s="42" t="s">
        <v>6911</v>
      </c>
      <c r="T4463" s="3" t="s">
        <v>4868</v>
      </c>
      <c r="U4463" s="45">
        <v>35</v>
      </c>
      <c r="V4463" t="s">
        <v>8191</v>
      </c>
      <c r="W4463" s="1" t="str">
        <f>HYPERLINK("http://ictvonline.org/taxonomy/p/taxonomy-history?taxnode_id=201901812","ICTVonline=201901812")</f>
        <v>ICTVonline=201901812</v>
      </c>
    </row>
    <row r="4464" spans="1:23">
      <c r="A4464" s="3">
        <v>4463</v>
      </c>
      <c r="B4464" s="1" t="s">
        <v>5910</v>
      </c>
      <c r="D4464" s="1" t="s">
        <v>8187</v>
      </c>
      <c r="F4464" s="1" t="s">
        <v>5588</v>
      </c>
      <c r="G4464" s="1" t="s">
        <v>5589</v>
      </c>
      <c r="H4464" s="1" t="s">
        <v>5672</v>
      </c>
      <c r="J4464" s="1" t="s">
        <v>5673</v>
      </c>
      <c r="L4464" s="1" t="s">
        <v>5674</v>
      </c>
      <c r="N4464" s="1" t="s">
        <v>5675</v>
      </c>
      <c r="P4464" s="1" t="s">
        <v>5676</v>
      </c>
      <c r="Q4464" s="3">
        <v>1</v>
      </c>
      <c r="R4464" s="22" t="s">
        <v>2722</v>
      </c>
      <c r="S4464" s="42" t="s">
        <v>6911</v>
      </c>
      <c r="T4464" s="3" t="s">
        <v>4868</v>
      </c>
      <c r="U4464" s="45">
        <v>35</v>
      </c>
      <c r="V4464" t="s">
        <v>8191</v>
      </c>
      <c r="W4464" s="1" t="str">
        <f>HYPERLINK("http://ictvonline.org/taxonomy/p/taxonomy-history?taxnode_id=201906075","ICTVonline=201906075")</f>
        <v>ICTVonline=201906075</v>
      </c>
    </row>
    <row r="4465" spans="1:23">
      <c r="A4465" s="3">
        <v>4464</v>
      </c>
      <c r="B4465" s="1" t="s">
        <v>5910</v>
      </c>
      <c r="D4465" s="1" t="s">
        <v>8187</v>
      </c>
      <c r="F4465" s="1" t="s">
        <v>5588</v>
      </c>
      <c r="G4465" s="1" t="s">
        <v>5589</v>
      </c>
      <c r="H4465" s="1" t="s">
        <v>5672</v>
      </c>
      <c r="J4465" s="1" t="s">
        <v>5673</v>
      </c>
      <c r="L4465" s="1" t="s">
        <v>5674</v>
      </c>
      <c r="N4465" s="1" t="s">
        <v>5675</v>
      </c>
      <c r="P4465" s="1" t="s">
        <v>5677</v>
      </c>
      <c r="Q4465" s="3">
        <v>0</v>
      </c>
      <c r="R4465" s="22" t="s">
        <v>2722</v>
      </c>
      <c r="S4465" s="42" t="s">
        <v>6911</v>
      </c>
      <c r="T4465" s="3" t="s">
        <v>4868</v>
      </c>
      <c r="U4465" s="45">
        <v>35</v>
      </c>
      <c r="V4465" t="s">
        <v>8191</v>
      </c>
      <c r="W4465" s="1" t="str">
        <f>HYPERLINK("http://ictvonline.org/taxonomy/p/taxonomy-history?taxnode_id=201906076","ICTVonline=201906076")</f>
        <v>ICTVonline=201906076</v>
      </c>
    </row>
    <row r="4466" spans="1:23">
      <c r="A4466" s="3">
        <v>4465</v>
      </c>
      <c r="B4466" s="1" t="s">
        <v>5910</v>
      </c>
      <c r="D4466" s="1" t="s">
        <v>8187</v>
      </c>
      <c r="F4466" s="1" t="s">
        <v>5588</v>
      </c>
      <c r="G4466" s="1" t="s">
        <v>5678</v>
      </c>
      <c r="H4466" s="1" t="s">
        <v>5679</v>
      </c>
      <c r="J4466" s="1" t="s">
        <v>4052</v>
      </c>
      <c r="L4466" s="1" t="s">
        <v>1058</v>
      </c>
      <c r="N4466" s="1" t="s">
        <v>5989</v>
      </c>
      <c r="P4466" s="1" t="s">
        <v>5990</v>
      </c>
      <c r="Q4466" s="3">
        <v>0</v>
      </c>
      <c r="R4466" s="22" t="s">
        <v>3635</v>
      </c>
      <c r="S4466" s="42" t="s">
        <v>6912</v>
      </c>
      <c r="T4466" s="3" t="s">
        <v>4868</v>
      </c>
      <c r="U4466" s="45">
        <v>35</v>
      </c>
      <c r="V4466" t="s">
        <v>8191</v>
      </c>
      <c r="W4466" s="1" t="str">
        <f>HYPERLINK("http://ictvonline.org/taxonomy/p/taxonomy-history?taxnode_id=201906321","ICTVonline=201906321")</f>
        <v>ICTVonline=201906321</v>
      </c>
    </row>
    <row r="4467" spans="1:23">
      <c r="A4467" s="3">
        <v>4466</v>
      </c>
      <c r="B4467" s="1" t="s">
        <v>5910</v>
      </c>
      <c r="D4467" s="1" t="s">
        <v>8187</v>
      </c>
      <c r="F4467" s="1" t="s">
        <v>5588</v>
      </c>
      <c r="G4467" s="1" t="s">
        <v>5678</v>
      </c>
      <c r="H4467" s="1" t="s">
        <v>5679</v>
      </c>
      <c r="J4467" s="1" t="s">
        <v>4052</v>
      </c>
      <c r="L4467" s="1" t="s">
        <v>1058</v>
      </c>
      <c r="N4467" s="1" t="s">
        <v>5989</v>
      </c>
      <c r="P4467" s="1" t="s">
        <v>5991</v>
      </c>
      <c r="Q4467" s="3">
        <v>1</v>
      </c>
      <c r="R4467" s="22" t="s">
        <v>3635</v>
      </c>
      <c r="S4467" s="42" t="s">
        <v>6912</v>
      </c>
      <c r="T4467" s="3" t="s">
        <v>4868</v>
      </c>
      <c r="U4467" s="45">
        <v>35</v>
      </c>
      <c r="V4467" t="s">
        <v>8191</v>
      </c>
      <c r="W4467" s="1" t="str">
        <f>HYPERLINK("http://ictvonline.org/taxonomy/p/taxonomy-history?taxnode_id=201906320","ICTVonline=201906320")</f>
        <v>ICTVonline=201906320</v>
      </c>
    </row>
    <row r="4468" spans="1:23">
      <c r="A4468" s="3">
        <v>4467</v>
      </c>
      <c r="B4468" s="1" t="s">
        <v>5910</v>
      </c>
      <c r="D4468" s="1" t="s">
        <v>8187</v>
      </c>
      <c r="F4468" s="1" t="s">
        <v>5588</v>
      </c>
      <c r="G4468" s="1" t="s">
        <v>5678</v>
      </c>
      <c r="H4468" s="1" t="s">
        <v>5679</v>
      </c>
      <c r="J4468" s="1" t="s">
        <v>4052</v>
      </c>
      <c r="L4468" s="1" t="s">
        <v>1058</v>
      </c>
      <c r="N4468" s="1" t="s">
        <v>5251</v>
      </c>
      <c r="P4468" s="1" t="s">
        <v>5252</v>
      </c>
      <c r="Q4468" s="3">
        <v>1</v>
      </c>
      <c r="R4468" s="22" t="s">
        <v>3635</v>
      </c>
      <c r="S4468" s="42" t="s">
        <v>6912</v>
      </c>
      <c r="T4468" s="3" t="s">
        <v>4868</v>
      </c>
      <c r="U4468" s="45">
        <v>35</v>
      </c>
      <c r="V4468" t="s">
        <v>8191</v>
      </c>
      <c r="W4468" s="1" t="str">
        <f>HYPERLINK("http://ictvonline.org/taxonomy/p/taxonomy-history?taxnode_id=201905740","ICTVonline=201905740")</f>
        <v>ICTVonline=201905740</v>
      </c>
    </row>
    <row r="4469" spans="1:23">
      <c r="A4469" s="3">
        <v>4468</v>
      </c>
      <c r="B4469" s="1" t="s">
        <v>5910</v>
      </c>
      <c r="D4469" s="1" t="s">
        <v>8187</v>
      </c>
      <c r="F4469" s="1" t="s">
        <v>5588</v>
      </c>
      <c r="G4469" s="1" t="s">
        <v>5678</v>
      </c>
      <c r="H4469" s="1" t="s">
        <v>5679</v>
      </c>
      <c r="J4469" s="1" t="s">
        <v>4052</v>
      </c>
      <c r="L4469" s="1" t="s">
        <v>1058</v>
      </c>
      <c r="N4469" s="1" t="s">
        <v>5251</v>
      </c>
      <c r="P4469" s="1" t="s">
        <v>8364</v>
      </c>
      <c r="Q4469" s="3">
        <v>0</v>
      </c>
      <c r="R4469" s="22" t="s">
        <v>3635</v>
      </c>
      <c r="S4469" s="42" t="s">
        <v>6912</v>
      </c>
      <c r="T4469" s="3" t="s">
        <v>4866</v>
      </c>
      <c r="U4469" s="45">
        <v>35</v>
      </c>
      <c r="V4469" t="s">
        <v>8365</v>
      </c>
      <c r="W4469" s="1" t="str">
        <f>HYPERLINK("http://ictvonline.org/taxonomy/p/taxonomy-history?taxnode_id=201907277","ICTVonline=201907277")</f>
        <v>ICTVonline=201907277</v>
      </c>
    </row>
    <row r="4470" spans="1:23">
      <c r="A4470" s="3">
        <v>4469</v>
      </c>
      <c r="B4470" s="1" t="s">
        <v>5910</v>
      </c>
      <c r="D4470" s="1" t="s">
        <v>8187</v>
      </c>
      <c r="F4470" s="1" t="s">
        <v>5588</v>
      </c>
      <c r="G4470" s="1" t="s">
        <v>5678</v>
      </c>
      <c r="H4470" s="1" t="s">
        <v>5679</v>
      </c>
      <c r="J4470" s="1" t="s">
        <v>4052</v>
      </c>
      <c r="L4470" s="1" t="s">
        <v>1058</v>
      </c>
      <c r="N4470" s="1" t="s">
        <v>5251</v>
      </c>
      <c r="P4470" s="1" t="s">
        <v>8366</v>
      </c>
      <c r="Q4470" s="3">
        <v>0</v>
      </c>
      <c r="R4470" s="22" t="s">
        <v>3635</v>
      </c>
      <c r="S4470" s="42" t="s">
        <v>6912</v>
      </c>
      <c r="T4470" s="3" t="s">
        <v>4866</v>
      </c>
      <c r="U4470" s="45">
        <v>35</v>
      </c>
      <c r="V4470" t="s">
        <v>8365</v>
      </c>
      <c r="W4470" s="1" t="str">
        <f>HYPERLINK("http://ictvonline.org/taxonomy/p/taxonomy-history?taxnode_id=201907278","ICTVonline=201907278")</f>
        <v>ICTVonline=201907278</v>
      </c>
    </row>
    <row r="4471" spans="1:23">
      <c r="A4471" s="3">
        <v>4470</v>
      </c>
      <c r="B4471" s="1" t="s">
        <v>5910</v>
      </c>
      <c r="D4471" s="1" t="s">
        <v>8187</v>
      </c>
      <c r="F4471" s="1" t="s">
        <v>5588</v>
      </c>
      <c r="G4471" s="1" t="s">
        <v>5678</v>
      </c>
      <c r="H4471" s="1" t="s">
        <v>5679</v>
      </c>
      <c r="J4471" s="1" t="s">
        <v>4052</v>
      </c>
      <c r="L4471" s="1" t="s">
        <v>1058</v>
      </c>
      <c r="N4471" s="1" t="s">
        <v>5251</v>
      </c>
      <c r="P4471" s="1" t="s">
        <v>8367</v>
      </c>
      <c r="Q4471" s="3">
        <v>0</v>
      </c>
      <c r="R4471" s="22" t="s">
        <v>3635</v>
      </c>
      <c r="S4471" s="42" t="s">
        <v>6912</v>
      </c>
      <c r="T4471" s="3" t="s">
        <v>4866</v>
      </c>
      <c r="U4471" s="45">
        <v>35</v>
      </c>
      <c r="V4471" t="s">
        <v>8365</v>
      </c>
      <c r="W4471" s="1" t="str">
        <f>HYPERLINK("http://ictvonline.org/taxonomy/p/taxonomy-history?taxnode_id=201907279","ICTVonline=201907279")</f>
        <v>ICTVonline=201907279</v>
      </c>
    </row>
    <row r="4472" spans="1:23">
      <c r="A4472" s="3">
        <v>4471</v>
      </c>
      <c r="B4472" s="1" t="s">
        <v>5910</v>
      </c>
      <c r="D4472" s="1" t="s">
        <v>8187</v>
      </c>
      <c r="F4472" s="1" t="s">
        <v>5588</v>
      </c>
      <c r="G4472" s="1" t="s">
        <v>5678</v>
      </c>
      <c r="H4472" s="1" t="s">
        <v>5679</v>
      </c>
      <c r="J4472" s="1" t="s">
        <v>4052</v>
      </c>
      <c r="L4472" s="1" t="s">
        <v>1058</v>
      </c>
      <c r="N4472" s="1" t="s">
        <v>2622</v>
      </c>
      <c r="P4472" s="1" t="s">
        <v>2623</v>
      </c>
      <c r="Q4472" s="3">
        <v>0</v>
      </c>
      <c r="R4472" s="22" t="s">
        <v>3635</v>
      </c>
      <c r="S4472" s="42" t="s">
        <v>6912</v>
      </c>
      <c r="T4472" s="3" t="s">
        <v>4868</v>
      </c>
      <c r="U4472" s="45">
        <v>35</v>
      </c>
      <c r="V4472" t="s">
        <v>8191</v>
      </c>
      <c r="W4472" s="1" t="str">
        <f>HYPERLINK("http://ictvonline.org/taxonomy/p/taxonomy-history?taxnode_id=201902570","ICTVonline=201902570")</f>
        <v>ICTVonline=201902570</v>
      </c>
    </row>
    <row r="4473" spans="1:23">
      <c r="A4473" s="3">
        <v>4472</v>
      </c>
      <c r="B4473" s="1" t="s">
        <v>5910</v>
      </c>
      <c r="D4473" s="1" t="s">
        <v>8187</v>
      </c>
      <c r="F4473" s="1" t="s">
        <v>5588</v>
      </c>
      <c r="G4473" s="1" t="s">
        <v>5678</v>
      </c>
      <c r="H4473" s="1" t="s">
        <v>5679</v>
      </c>
      <c r="J4473" s="1" t="s">
        <v>4052</v>
      </c>
      <c r="L4473" s="1" t="s">
        <v>1058</v>
      </c>
      <c r="N4473" s="1" t="s">
        <v>2622</v>
      </c>
      <c r="P4473" s="1" t="s">
        <v>8368</v>
      </c>
      <c r="Q4473" s="3">
        <v>0</v>
      </c>
      <c r="R4473" s="22" t="s">
        <v>3635</v>
      </c>
      <c r="S4473" s="42" t="s">
        <v>6912</v>
      </c>
      <c r="T4473" s="3" t="s">
        <v>4866</v>
      </c>
      <c r="U4473" s="45">
        <v>35</v>
      </c>
      <c r="V4473" t="s">
        <v>8369</v>
      </c>
      <c r="W4473" s="1" t="str">
        <f>HYPERLINK("http://ictvonline.org/taxonomy/p/taxonomy-history?taxnode_id=201907461","ICTVonline=201907461")</f>
        <v>ICTVonline=201907461</v>
      </c>
    </row>
    <row r="4474" spans="1:23">
      <c r="A4474" s="3">
        <v>4473</v>
      </c>
      <c r="B4474" s="1" t="s">
        <v>5910</v>
      </c>
      <c r="D4474" s="1" t="s">
        <v>8187</v>
      </c>
      <c r="F4474" s="1" t="s">
        <v>5588</v>
      </c>
      <c r="G4474" s="1" t="s">
        <v>5678</v>
      </c>
      <c r="H4474" s="1" t="s">
        <v>5679</v>
      </c>
      <c r="J4474" s="1" t="s">
        <v>4052</v>
      </c>
      <c r="L4474" s="1" t="s">
        <v>1058</v>
      </c>
      <c r="N4474" s="1" t="s">
        <v>2622</v>
      </c>
      <c r="P4474" s="1" t="s">
        <v>5253</v>
      </c>
      <c r="Q4474" s="3">
        <v>0</v>
      </c>
      <c r="R4474" s="22" t="s">
        <v>3635</v>
      </c>
      <c r="S4474" s="42" t="s">
        <v>6912</v>
      </c>
      <c r="T4474" s="3" t="s">
        <v>4868</v>
      </c>
      <c r="U4474" s="45">
        <v>35</v>
      </c>
      <c r="V4474" t="s">
        <v>8191</v>
      </c>
      <c r="W4474" s="1" t="str">
        <f>HYPERLINK("http://ictvonline.org/taxonomy/p/taxonomy-history?taxnode_id=201902579","ICTVonline=201902579")</f>
        <v>ICTVonline=201902579</v>
      </c>
    </row>
    <row r="4475" spans="1:23">
      <c r="A4475" s="3">
        <v>4474</v>
      </c>
      <c r="B4475" s="1" t="s">
        <v>5910</v>
      </c>
      <c r="D4475" s="1" t="s">
        <v>8187</v>
      </c>
      <c r="F4475" s="1" t="s">
        <v>5588</v>
      </c>
      <c r="G4475" s="1" t="s">
        <v>5678</v>
      </c>
      <c r="H4475" s="1" t="s">
        <v>5679</v>
      </c>
      <c r="J4475" s="1" t="s">
        <v>4052</v>
      </c>
      <c r="L4475" s="1" t="s">
        <v>1058</v>
      </c>
      <c r="N4475" s="1" t="s">
        <v>2622</v>
      </c>
      <c r="P4475" s="1" t="s">
        <v>2624</v>
      </c>
      <c r="Q4475" s="3">
        <v>0</v>
      </c>
      <c r="R4475" s="22" t="s">
        <v>3635</v>
      </c>
      <c r="S4475" s="42" t="s">
        <v>6912</v>
      </c>
      <c r="T4475" s="3" t="s">
        <v>4868</v>
      </c>
      <c r="U4475" s="45">
        <v>35</v>
      </c>
      <c r="V4475" t="s">
        <v>8191</v>
      </c>
      <c r="W4475" s="1" t="str">
        <f>HYPERLINK("http://ictvonline.org/taxonomy/p/taxonomy-history?taxnode_id=201902572","ICTVonline=201902572")</f>
        <v>ICTVonline=201902572</v>
      </c>
    </row>
    <row r="4476" spans="1:23">
      <c r="A4476" s="3">
        <v>4475</v>
      </c>
      <c r="B4476" s="1" t="s">
        <v>5910</v>
      </c>
      <c r="D4476" s="1" t="s">
        <v>8187</v>
      </c>
      <c r="F4476" s="1" t="s">
        <v>5588</v>
      </c>
      <c r="G4476" s="1" t="s">
        <v>5678</v>
      </c>
      <c r="H4476" s="1" t="s">
        <v>5679</v>
      </c>
      <c r="J4476" s="1" t="s">
        <v>4052</v>
      </c>
      <c r="L4476" s="1" t="s">
        <v>1058</v>
      </c>
      <c r="N4476" s="1" t="s">
        <v>2622</v>
      </c>
      <c r="P4476" s="1" t="s">
        <v>5254</v>
      </c>
      <c r="Q4476" s="3">
        <v>0</v>
      </c>
      <c r="R4476" s="22" t="s">
        <v>3635</v>
      </c>
      <c r="S4476" s="42" t="s">
        <v>6912</v>
      </c>
      <c r="T4476" s="3" t="s">
        <v>4868</v>
      </c>
      <c r="U4476" s="45">
        <v>35</v>
      </c>
      <c r="V4476" t="s">
        <v>8191</v>
      </c>
      <c r="W4476" s="1" t="str">
        <f>HYPERLINK("http://ictvonline.org/taxonomy/p/taxonomy-history?taxnode_id=201902597","ICTVonline=201902597")</f>
        <v>ICTVonline=201902597</v>
      </c>
    </row>
    <row r="4477" spans="1:23">
      <c r="A4477" s="3">
        <v>4476</v>
      </c>
      <c r="B4477" s="1" t="s">
        <v>5910</v>
      </c>
      <c r="D4477" s="1" t="s">
        <v>8187</v>
      </c>
      <c r="F4477" s="1" t="s">
        <v>5588</v>
      </c>
      <c r="G4477" s="1" t="s">
        <v>5678</v>
      </c>
      <c r="H4477" s="1" t="s">
        <v>5679</v>
      </c>
      <c r="J4477" s="1" t="s">
        <v>4052</v>
      </c>
      <c r="L4477" s="1" t="s">
        <v>1058</v>
      </c>
      <c r="N4477" s="1" t="s">
        <v>2622</v>
      </c>
      <c r="P4477" s="1" t="s">
        <v>5255</v>
      </c>
      <c r="Q4477" s="3">
        <v>0</v>
      </c>
      <c r="R4477" s="22" t="s">
        <v>3635</v>
      </c>
      <c r="S4477" s="42" t="s">
        <v>6912</v>
      </c>
      <c r="T4477" s="3" t="s">
        <v>4868</v>
      </c>
      <c r="U4477" s="45">
        <v>35</v>
      </c>
      <c r="V4477" t="s">
        <v>8191</v>
      </c>
      <c r="W4477" s="1" t="str">
        <f>HYPERLINK("http://ictvonline.org/taxonomy/p/taxonomy-history?taxnode_id=201902595","ICTVonline=201902595")</f>
        <v>ICTVonline=201902595</v>
      </c>
    </row>
    <row r="4478" spans="1:23">
      <c r="A4478" s="3">
        <v>4477</v>
      </c>
      <c r="B4478" s="1" t="s">
        <v>5910</v>
      </c>
      <c r="D4478" s="1" t="s">
        <v>8187</v>
      </c>
      <c r="F4478" s="1" t="s">
        <v>5588</v>
      </c>
      <c r="G4478" s="1" t="s">
        <v>5678</v>
      </c>
      <c r="H4478" s="1" t="s">
        <v>5679</v>
      </c>
      <c r="J4478" s="1" t="s">
        <v>4052</v>
      </c>
      <c r="L4478" s="1" t="s">
        <v>1058</v>
      </c>
      <c r="N4478" s="1" t="s">
        <v>2622</v>
      </c>
      <c r="P4478" s="1" t="s">
        <v>2625</v>
      </c>
      <c r="Q4478" s="3">
        <v>0</v>
      </c>
      <c r="R4478" s="22" t="s">
        <v>3635</v>
      </c>
      <c r="S4478" s="42" t="s">
        <v>6912</v>
      </c>
      <c r="T4478" s="3" t="s">
        <v>4868</v>
      </c>
      <c r="U4478" s="45">
        <v>35</v>
      </c>
      <c r="V4478" t="s">
        <v>8191</v>
      </c>
      <c r="W4478" s="1" t="str">
        <f>HYPERLINK("http://ictvonline.org/taxonomy/p/taxonomy-history?taxnode_id=201902573","ICTVonline=201902573")</f>
        <v>ICTVonline=201902573</v>
      </c>
    </row>
    <row r="4479" spans="1:23">
      <c r="A4479" s="3">
        <v>4478</v>
      </c>
      <c r="B4479" s="1" t="s">
        <v>5910</v>
      </c>
      <c r="D4479" s="1" t="s">
        <v>8187</v>
      </c>
      <c r="F4479" s="1" t="s">
        <v>5588</v>
      </c>
      <c r="G4479" s="1" t="s">
        <v>5678</v>
      </c>
      <c r="H4479" s="1" t="s">
        <v>5679</v>
      </c>
      <c r="J4479" s="1" t="s">
        <v>4052</v>
      </c>
      <c r="L4479" s="1" t="s">
        <v>1058</v>
      </c>
      <c r="N4479" s="1" t="s">
        <v>2622</v>
      </c>
      <c r="P4479" s="1" t="s">
        <v>8370</v>
      </c>
      <c r="Q4479" s="3">
        <v>0</v>
      </c>
      <c r="R4479" s="22" t="s">
        <v>3635</v>
      </c>
      <c r="S4479" s="42" t="s">
        <v>6912</v>
      </c>
      <c r="T4479" s="3" t="s">
        <v>4866</v>
      </c>
      <c r="U4479" s="45">
        <v>35</v>
      </c>
      <c r="V4479" t="s">
        <v>8371</v>
      </c>
      <c r="W4479" s="1" t="str">
        <f>HYPERLINK("http://ictvonline.org/taxonomy/p/taxonomy-history?taxnode_id=201907288","ICTVonline=201907288")</f>
        <v>ICTVonline=201907288</v>
      </c>
    </row>
    <row r="4480" spans="1:23">
      <c r="A4480" s="3">
        <v>4479</v>
      </c>
      <c r="B4480" s="1" t="s">
        <v>5910</v>
      </c>
      <c r="D4480" s="1" t="s">
        <v>8187</v>
      </c>
      <c r="F4480" s="1" t="s">
        <v>5588</v>
      </c>
      <c r="G4480" s="1" t="s">
        <v>5678</v>
      </c>
      <c r="H4480" s="1" t="s">
        <v>5679</v>
      </c>
      <c r="J4480" s="1" t="s">
        <v>4052</v>
      </c>
      <c r="L4480" s="1" t="s">
        <v>1058</v>
      </c>
      <c r="N4480" s="1" t="s">
        <v>2622</v>
      </c>
      <c r="P4480" s="1" t="s">
        <v>2626</v>
      </c>
      <c r="Q4480" s="3">
        <v>0</v>
      </c>
      <c r="R4480" s="22" t="s">
        <v>3635</v>
      </c>
      <c r="S4480" s="42" t="s">
        <v>6912</v>
      </c>
      <c r="T4480" s="3" t="s">
        <v>4868</v>
      </c>
      <c r="U4480" s="45">
        <v>35</v>
      </c>
      <c r="V4480" t="s">
        <v>8191</v>
      </c>
      <c r="W4480" s="1" t="str">
        <f>HYPERLINK("http://ictvonline.org/taxonomy/p/taxonomy-history?taxnode_id=201902574","ICTVonline=201902574")</f>
        <v>ICTVonline=201902574</v>
      </c>
    </row>
    <row r="4481" spans="1:23">
      <c r="A4481" s="3">
        <v>4480</v>
      </c>
      <c r="B4481" s="1" t="s">
        <v>5910</v>
      </c>
      <c r="D4481" s="1" t="s">
        <v>8187</v>
      </c>
      <c r="F4481" s="1" t="s">
        <v>5588</v>
      </c>
      <c r="G4481" s="1" t="s">
        <v>5678</v>
      </c>
      <c r="H4481" s="1" t="s">
        <v>5679</v>
      </c>
      <c r="J4481" s="1" t="s">
        <v>4052</v>
      </c>
      <c r="L4481" s="1" t="s">
        <v>1058</v>
      </c>
      <c r="N4481" s="1" t="s">
        <v>2622</v>
      </c>
      <c r="P4481" s="1" t="s">
        <v>2627</v>
      </c>
      <c r="Q4481" s="3">
        <v>0</v>
      </c>
      <c r="R4481" s="22" t="s">
        <v>3635</v>
      </c>
      <c r="S4481" s="42" t="s">
        <v>6912</v>
      </c>
      <c r="T4481" s="3" t="s">
        <v>4868</v>
      </c>
      <c r="U4481" s="45">
        <v>35</v>
      </c>
      <c r="V4481" t="s">
        <v>8191</v>
      </c>
      <c r="W4481" s="1" t="str">
        <f>HYPERLINK("http://ictvonline.org/taxonomy/p/taxonomy-history?taxnode_id=201902575","ICTVonline=201902575")</f>
        <v>ICTVonline=201902575</v>
      </c>
    </row>
    <row r="4482" spans="1:23">
      <c r="A4482" s="3">
        <v>4481</v>
      </c>
      <c r="B4482" s="1" t="s">
        <v>5910</v>
      </c>
      <c r="D4482" s="1" t="s">
        <v>8187</v>
      </c>
      <c r="F4482" s="1" t="s">
        <v>5588</v>
      </c>
      <c r="G4482" s="1" t="s">
        <v>5678</v>
      </c>
      <c r="H4482" s="1" t="s">
        <v>5679</v>
      </c>
      <c r="J4482" s="1" t="s">
        <v>4052</v>
      </c>
      <c r="L4482" s="1" t="s">
        <v>1058</v>
      </c>
      <c r="N4482" s="1" t="s">
        <v>2622</v>
      </c>
      <c r="P4482" s="1" t="s">
        <v>3636</v>
      </c>
      <c r="Q4482" s="3">
        <v>0</v>
      </c>
      <c r="R4482" s="22" t="s">
        <v>3635</v>
      </c>
      <c r="S4482" s="42" t="s">
        <v>6912</v>
      </c>
      <c r="T4482" s="3" t="s">
        <v>4868</v>
      </c>
      <c r="U4482" s="45">
        <v>35</v>
      </c>
      <c r="V4482" t="s">
        <v>8191</v>
      </c>
      <c r="W4482" s="1" t="str">
        <f>HYPERLINK("http://ictvonline.org/taxonomy/p/taxonomy-history?taxnode_id=201902576","ICTVonline=201902576")</f>
        <v>ICTVonline=201902576</v>
      </c>
    </row>
    <row r="4483" spans="1:23">
      <c r="A4483" s="3">
        <v>4482</v>
      </c>
      <c r="B4483" s="1" t="s">
        <v>5910</v>
      </c>
      <c r="D4483" s="1" t="s">
        <v>8187</v>
      </c>
      <c r="F4483" s="1" t="s">
        <v>5588</v>
      </c>
      <c r="G4483" s="1" t="s">
        <v>5678</v>
      </c>
      <c r="H4483" s="1" t="s">
        <v>5679</v>
      </c>
      <c r="J4483" s="1" t="s">
        <v>4052</v>
      </c>
      <c r="L4483" s="1" t="s">
        <v>1058</v>
      </c>
      <c r="N4483" s="1" t="s">
        <v>2622</v>
      </c>
      <c r="P4483" s="1" t="s">
        <v>2628</v>
      </c>
      <c r="Q4483" s="3">
        <v>0</v>
      </c>
      <c r="R4483" s="22" t="s">
        <v>3635</v>
      </c>
      <c r="S4483" s="42" t="s">
        <v>6912</v>
      </c>
      <c r="T4483" s="3" t="s">
        <v>4868</v>
      </c>
      <c r="U4483" s="45">
        <v>35</v>
      </c>
      <c r="V4483" t="s">
        <v>8191</v>
      </c>
      <c r="W4483" s="1" t="str">
        <f>HYPERLINK("http://ictvonline.org/taxonomy/p/taxonomy-history?taxnode_id=201902577","ICTVonline=201902577")</f>
        <v>ICTVonline=201902577</v>
      </c>
    </row>
    <row r="4484" spans="1:23">
      <c r="A4484" s="3">
        <v>4483</v>
      </c>
      <c r="B4484" s="1" t="s">
        <v>5910</v>
      </c>
      <c r="D4484" s="1" t="s">
        <v>8187</v>
      </c>
      <c r="F4484" s="1" t="s">
        <v>5588</v>
      </c>
      <c r="G4484" s="1" t="s">
        <v>5678</v>
      </c>
      <c r="H4484" s="1" t="s">
        <v>5679</v>
      </c>
      <c r="J4484" s="1" t="s">
        <v>4052</v>
      </c>
      <c r="L4484" s="1" t="s">
        <v>1058</v>
      </c>
      <c r="N4484" s="1" t="s">
        <v>2622</v>
      </c>
      <c r="P4484" s="1" t="s">
        <v>2629</v>
      </c>
      <c r="Q4484" s="3">
        <v>0</v>
      </c>
      <c r="R4484" s="22" t="s">
        <v>3635</v>
      </c>
      <c r="S4484" s="42" t="s">
        <v>6912</v>
      </c>
      <c r="T4484" s="3" t="s">
        <v>4868</v>
      </c>
      <c r="U4484" s="45">
        <v>35</v>
      </c>
      <c r="V4484" t="s">
        <v>8191</v>
      </c>
      <c r="W4484" s="1" t="str">
        <f>HYPERLINK("http://ictvonline.org/taxonomy/p/taxonomy-history?taxnode_id=201902578","ICTVonline=201902578")</f>
        <v>ICTVonline=201902578</v>
      </c>
    </row>
    <row r="4485" spans="1:23">
      <c r="A4485" s="3">
        <v>4484</v>
      </c>
      <c r="B4485" s="1" t="s">
        <v>5910</v>
      </c>
      <c r="D4485" s="1" t="s">
        <v>8187</v>
      </c>
      <c r="F4485" s="1" t="s">
        <v>5588</v>
      </c>
      <c r="G4485" s="1" t="s">
        <v>5678</v>
      </c>
      <c r="H4485" s="1" t="s">
        <v>5679</v>
      </c>
      <c r="J4485" s="1" t="s">
        <v>4052</v>
      </c>
      <c r="L4485" s="1" t="s">
        <v>1058</v>
      </c>
      <c r="N4485" s="1" t="s">
        <v>2622</v>
      </c>
      <c r="P4485" s="1" t="s">
        <v>2630</v>
      </c>
      <c r="Q4485" s="3">
        <v>0</v>
      </c>
      <c r="R4485" s="22" t="s">
        <v>3635</v>
      </c>
      <c r="S4485" s="42" t="s">
        <v>6912</v>
      </c>
      <c r="T4485" s="3" t="s">
        <v>4868</v>
      </c>
      <c r="U4485" s="45">
        <v>35</v>
      </c>
      <c r="V4485" t="s">
        <v>8191</v>
      </c>
      <c r="W4485" s="1" t="str">
        <f>HYPERLINK("http://ictvonline.org/taxonomy/p/taxonomy-history?taxnode_id=201902580","ICTVonline=201902580")</f>
        <v>ICTVonline=201902580</v>
      </c>
    </row>
    <row r="4486" spans="1:23">
      <c r="A4486" s="3">
        <v>4485</v>
      </c>
      <c r="B4486" s="1" t="s">
        <v>5910</v>
      </c>
      <c r="D4486" s="1" t="s">
        <v>8187</v>
      </c>
      <c r="F4486" s="1" t="s">
        <v>5588</v>
      </c>
      <c r="G4486" s="1" t="s">
        <v>5678</v>
      </c>
      <c r="H4486" s="1" t="s">
        <v>5679</v>
      </c>
      <c r="J4486" s="1" t="s">
        <v>4052</v>
      </c>
      <c r="L4486" s="1" t="s">
        <v>1058</v>
      </c>
      <c r="N4486" s="1" t="s">
        <v>2622</v>
      </c>
      <c r="P4486" s="1" t="s">
        <v>2631</v>
      </c>
      <c r="Q4486" s="3">
        <v>0</v>
      </c>
      <c r="R4486" s="22" t="s">
        <v>3635</v>
      </c>
      <c r="S4486" s="42" t="s">
        <v>6912</v>
      </c>
      <c r="T4486" s="3" t="s">
        <v>4868</v>
      </c>
      <c r="U4486" s="45">
        <v>35</v>
      </c>
      <c r="V4486" t="s">
        <v>8191</v>
      </c>
      <c r="W4486" s="1" t="str">
        <f>HYPERLINK("http://ictvonline.org/taxonomy/p/taxonomy-history?taxnode_id=201902581","ICTVonline=201902581")</f>
        <v>ICTVonline=201902581</v>
      </c>
    </row>
    <row r="4487" spans="1:23">
      <c r="A4487" s="3">
        <v>4486</v>
      </c>
      <c r="B4487" s="1" t="s">
        <v>5910</v>
      </c>
      <c r="D4487" s="1" t="s">
        <v>8187</v>
      </c>
      <c r="F4487" s="1" t="s">
        <v>5588</v>
      </c>
      <c r="G4487" s="1" t="s">
        <v>5678</v>
      </c>
      <c r="H4487" s="1" t="s">
        <v>5679</v>
      </c>
      <c r="J4487" s="1" t="s">
        <v>4052</v>
      </c>
      <c r="L4487" s="1" t="s">
        <v>1058</v>
      </c>
      <c r="N4487" s="1" t="s">
        <v>2622</v>
      </c>
      <c r="P4487" s="1" t="s">
        <v>4572</v>
      </c>
      <c r="Q4487" s="3">
        <v>0</v>
      </c>
      <c r="R4487" s="22" t="s">
        <v>3635</v>
      </c>
      <c r="S4487" s="42" t="s">
        <v>6912</v>
      </c>
      <c r="T4487" s="3" t="s">
        <v>4868</v>
      </c>
      <c r="U4487" s="45">
        <v>35</v>
      </c>
      <c r="V4487" t="s">
        <v>8191</v>
      </c>
      <c r="W4487" s="1" t="str">
        <f>HYPERLINK("http://ictvonline.org/taxonomy/p/taxonomy-history?taxnode_id=201902582","ICTVonline=201902582")</f>
        <v>ICTVonline=201902582</v>
      </c>
    </row>
    <row r="4488" spans="1:23">
      <c r="A4488" s="3">
        <v>4487</v>
      </c>
      <c r="B4488" s="1" t="s">
        <v>5910</v>
      </c>
      <c r="D4488" s="1" t="s">
        <v>8187</v>
      </c>
      <c r="F4488" s="1" t="s">
        <v>5588</v>
      </c>
      <c r="G4488" s="1" t="s">
        <v>5678</v>
      </c>
      <c r="H4488" s="1" t="s">
        <v>5679</v>
      </c>
      <c r="J4488" s="1" t="s">
        <v>4052</v>
      </c>
      <c r="L4488" s="1" t="s">
        <v>1058</v>
      </c>
      <c r="N4488" s="1" t="s">
        <v>2622</v>
      </c>
      <c r="P4488" s="1" t="s">
        <v>2632</v>
      </c>
      <c r="Q4488" s="3">
        <v>0</v>
      </c>
      <c r="R4488" s="22" t="s">
        <v>3635</v>
      </c>
      <c r="S4488" s="42" t="s">
        <v>6912</v>
      </c>
      <c r="T4488" s="3" t="s">
        <v>4868</v>
      </c>
      <c r="U4488" s="45">
        <v>35</v>
      </c>
      <c r="V4488" t="s">
        <v>8191</v>
      </c>
      <c r="W4488" s="1" t="str">
        <f>HYPERLINK("http://ictvonline.org/taxonomy/p/taxonomy-history?taxnode_id=201902583","ICTVonline=201902583")</f>
        <v>ICTVonline=201902583</v>
      </c>
    </row>
    <row r="4489" spans="1:23">
      <c r="A4489" s="3">
        <v>4488</v>
      </c>
      <c r="B4489" s="1" t="s">
        <v>5910</v>
      </c>
      <c r="D4489" s="1" t="s">
        <v>8187</v>
      </c>
      <c r="F4489" s="1" t="s">
        <v>5588</v>
      </c>
      <c r="G4489" s="1" t="s">
        <v>5678</v>
      </c>
      <c r="H4489" s="1" t="s">
        <v>5679</v>
      </c>
      <c r="J4489" s="1" t="s">
        <v>4052</v>
      </c>
      <c r="L4489" s="1" t="s">
        <v>1058</v>
      </c>
      <c r="N4489" s="1" t="s">
        <v>2622</v>
      </c>
      <c r="P4489" s="1" t="s">
        <v>2633</v>
      </c>
      <c r="Q4489" s="3">
        <v>0</v>
      </c>
      <c r="R4489" s="22" t="s">
        <v>3635</v>
      </c>
      <c r="S4489" s="42" t="s">
        <v>6912</v>
      </c>
      <c r="T4489" s="3" t="s">
        <v>4868</v>
      </c>
      <c r="U4489" s="45">
        <v>35</v>
      </c>
      <c r="V4489" t="s">
        <v>8191</v>
      </c>
      <c r="W4489" s="1" t="str">
        <f>HYPERLINK("http://ictvonline.org/taxonomy/p/taxonomy-history?taxnode_id=201902584","ICTVonline=201902584")</f>
        <v>ICTVonline=201902584</v>
      </c>
    </row>
    <row r="4490" spans="1:23">
      <c r="A4490" s="3">
        <v>4489</v>
      </c>
      <c r="B4490" s="1" t="s">
        <v>5910</v>
      </c>
      <c r="D4490" s="1" t="s">
        <v>8187</v>
      </c>
      <c r="F4490" s="1" t="s">
        <v>5588</v>
      </c>
      <c r="G4490" s="1" t="s">
        <v>5678</v>
      </c>
      <c r="H4490" s="1" t="s">
        <v>5679</v>
      </c>
      <c r="J4490" s="1" t="s">
        <v>4052</v>
      </c>
      <c r="L4490" s="1" t="s">
        <v>1058</v>
      </c>
      <c r="N4490" s="1" t="s">
        <v>2622</v>
      </c>
      <c r="P4490" s="1" t="s">
        <v>2634</v>
      </c>
      <c r="Q4490" s="3">
        <v>0</v>
      </c>
      <c r="R4490" s="22" t="s">
        <v>3635</v>
      </c>
      <c r="S4490" s="42" t="s">
        <v>6912</v>
      </c>
      <c r="T4490" s="3" t="s">
        <v>4868</v>
      </c>
      <c r="U4490" s="45">
        <v>35</v>
      </c>
      <c r="V4490" t="s">
        <v>8191</v>
      </c>
      <c r="W4490" s="1" t="str">
        <f>HYPERLINK("http://ictvonline.org/taxonomy/p/taxonomy-history?taxnode_id=201902585","ICTVonline=201902585")</f>
        <v>ICTVonline=201902585</v>
      </c>
    </row>
    <row r="4491" spans="1:23">
      <c r="A4491" s="3">
        <v>4490</v>
      </c>
      <c r="B4491" s="1" t="s">
        <v>5910</v>
      </c>
      <c r="D4491" s="1" t="s">
        <v>8187</v>
      </c>
      <c r="F4491" s="1" t="s">
        <v>5588</v>
      </c>
      <c r="G4491" s="1" t="s">
        <v>5678</v>
      </c>
      <c r="H4491" s="1" t="s">
        <v>5679</v>
      </c>
      <c r="J4491" s="1" t="s">
        <v>4052</v>
      </c>
      <c r="L4491" s="1" t="s">
        <v>1058</v>
      </c>
      <c r="N4491" s="1" t="s">
        <v>2622</v>
      </c>
      <c r="P4491" s="1" t="s">
        <v>2635</v>
      </c>
      <c r="Q4491" s="3">
        <v>1</v>
      </c>
      <c r="R4491" s="22" t="s">
        <v>3635</v>
      </c>
      <c r="S4491" s="42" t="s">
        <v>6912</v>
      </c>
      <c r="T4491" s="3" t="s">
        <v>4868</v>
      </c>
      <c r="U4491" s="45">
        <v>35</v>
      </c>
      <c r="V4491" t="s">
        <v>8191</v>
      </c>
      <c r="W4491" s="1" t="str">
        <f>HYPERLINK("http://ictvonline.org/taxonomy/p/taxonomy-history?taxnode_id=201902586","ICTVonline=201902586")</f>
        <v>ICTVonline=201902586</v>
      </c>
    </row>
    <row r="4492" spans="1:23">
      <c r="A4492" s="3">
        <v>4491</v>
      </c>
      <c r="B4492" s="1" t="s">
        <v>5910</v>
      </c>
      <c r="D4492" s="1" t="s">
        <v>8187</v>
      </c>
      <c r="F4492" s="1" t="s">
        <v>5588</v>
      </c>
      <c r="G4492" s="1" t="s">
        <v>5678</v>
      </c>
      <c r="H4492" s="1" t="s">
        <v>5679</v>
      </c>
      <c r="J4492" s="1" t="s">
        <v>4052</v>
      </c>
      <c r="L4492" s="1" t="s">
        <v>1058</v>
      </c>
      <c r="N4492" s="1" t="s">
        <v>2622</v>
      </c>
      <c r="P4492" s="1" t="s">
        <v>2636</v>
      </c>
      <c r="Q4492" s="3">
        <v>0</v>
      </c>
      <c r="R4492" s="22" t="s">
        <v>3635</v>
      </c>
      <c r="S4492" s="42" t="s">
        <v>6912</v>
      </c>
      <c r="T4492" s="3" t="s">
        <v>4868</v>
      </c>
      <c r="U4492" s="45">
        <v>35</v>
      </c>
      <c r="V4492" t="s">
        <v>8191</v>
      </c>
      <c r="W4492" s="1" t="str">
        <f>HYPERLINK("http://ictvonline.org/taxonomy/p/taxonomy-history?taxnode_id=201902587","ICTVonline=201902587")</f>
        <v>ICTVonline=201902587</v>
      </c>
    </row>
    <row r="4493" spans="1:23">
      <c r="A4493" s="3">
        <v>4492</v>
      </c>
      <c r="B4493" s="1" t="s">
        <v>5910</v>
      </c>
      <c r="D4493" s="1" t="s">
        <v>8187</v>
      </c>
      <c r="F4493" s="1" t="s">
        <v>5588</v>
      </c>
      <c r="G4493" s="1" t="s">
        <v>5678</v>
      </c>
      <c r="H4493" s="1" t="s">
        <v>5679</v>
      </c>
      <c r="J4493" s="1" t="s">
        <v>4052</v>
      </c>
      <c r="L4493" s="1" t="s">
        <v>1058</v>
      </c>
      <c r="N4493" s="1" t="s">
        <v>2622</v>
      </c>
      <c r="P4493" s="1" t="s">
        <v>3637</v>
      </c>
      <c r="Q4493" s="3">
        <v>0</v>
      </c>
      <c r="R4493" s="22" t="s">
        <v>3635</v>
      </c>
      <c r="S4493" s="42" t="s">
        <v>6912</v>
      </c>
      <c r="T4493" s="3" t="s">
        <v>4868</v>
      </c>
      <c r="U4493" s="45">
        <v>35</v>
      </c>
      <c r="V4493" t="s">
        <v>8191</v>
      </c>
      <c r="W4493" s="1" t="str">
        <f>HYPERLINK("http://ictvonline.org/taxonomy/p/taxonomy-history?taxnode_id=201902588","ICTVonline=201902588")</f>
        <v>ICTVonline=201902588</v>
      </c>
    </row>
    <row r="4494" spans="1:23">
      <c r="A4494" s="3">
        <v>4493</v>
      </c>
      <c r="B4494" s="1" t="s">
        <v>5910</v>
      </c>
      <c r="D4494" s="1" t="s">
        <v>8187</v>
      </c>
      <c r="F4494" s="1" t="s">
        <v>5588</v>
      </c>
      <c r="G4494" s="1" t="s">
        <v>5678</v>
      </c>
      <c r="H4494" s="1" t="s">
        <v>5679</v>
      </c>
      <c r="J4494" s="1" t="s">
        <v>4052</v>
      </c>
      <c r="L4494" s="1" t="s">
        <v>1058</v>
      </c>
      <c r="N4494" s="1" t="s">
        <v>2622</v>
      </c>
      <c r="P4494" s="1" t="s">
        <v>2637</v>
      </c>
      <c r="Q4494" s="3">
        <v>0</v>
      </c>
      <c r="R4494" s="22" t="s">
        <v>3635</v>
      </c>
      <c r="S4494" s="42" t="s">
        <v>6912</v>
      </c>
      <c r="T4494" s="3" t="s">
        <v>4868</v>
      </c>
      <c r="U4494" s="45">
        <v>35</v>
      </c>
      <c r="V4494" t="s">
        <v>8191</v>
      </c>
      <c r="W4494" s="1" t="str">
        <f>HYPERLINK("http://ictvonline.org/taxonomy/p/taxonomy-history?taxnode_id=201902589","ICTVonline=201902589")</f>
        <v>ICTVonline=201902589</v>
      </c>
    </row>
    <row r="4495" spans="1:23">
      <c r="A4495" s="3">
        <v>4494</v>
      </c>
      <c r="B4495" s="1" t="s">
        <v>5910</v>
      </c>
      <c r="D4495" s="1" t="s">
        <v>8187</v>
      </c>
      <c r="F4495" s="1" t="s">
        <v>5588</v>
      </c>
      <c r="G4495" s="1" t="s">
        <v>5678</v>
      </c>
      <c r="H4495" s="1" t="s">
        <v>5679</v>
      </c>
      <c r="J4495" s="1" t="s">
        <v>4052</v>
      </c>
      <c r="L4495" s="1" t="s">
        <v>1058</v>
      </c>
      <c r="N4495" s="1" t="s">
        <v>2622</v>
      </c>
      <c r="P4495" s="1" t="s">
        <v>2638</v>
      </c>
      <c r="Q4495" s="3">
        <v>0</v>
      </c>
      <c r="R4495" s="22" t="s">
        <v>3635</v>
      </c>
      <c r="S4495" s="42" t="s">
        <v>6912</v>
      </c>
      <c r="T4495" s="3" t="s">
        <v>4868</v>
      </c>
      <c r="U4495" s="45">
        <v>35</v>
      </c>
      <c r="V4495" t="s">
        <v>8191</v>
      </c>
      <c r="W4495" s="1" t="str">
        <f>HYPERLINK("http://ictvonline.org/taxonomy/p/taxonomy-history?taxnode_id=201902590","ICTVonline=201902590")</f>
        <v>ICTVonline=201902590</v>
      </c>
    </row>
    <row r="4496" spans="1:23">
      <c r="A4496" s="3">
        <v>4495</v>
      </c>
      <c r="B4496" s="1" t="s">
        <v>5910</v>
      </c>
      <c r="D4496" s="1" t="s">
        <v>8187</v>
      </c>
      <c r="F4496" s="1" t="s">
        <v>5588</v>
      </c>
      <c r="G4496" s="1" t="s">
        <v>5678</v>
      </c>
      <c r="H4496" s="1" t="s">
        <v>5679</v>
      </c>
      <c r="J4496" s="1" t="s">
        <v>4052</v>
      </c>
      <c r="L4496" s="1" t="s">
        <v>1058</v>
      </c>
      <c r="N4496" s="1" t="s">
        <v>2622</v>
      </c>
      <c r="P4496" s="1" t="s">
        <v>2639</v>
      </c>
      <c r="Q4496" s="3">
        <v>0</v>
      </c>
      <c r="R4496" s="22" t="s">
        <v>3635</v>
      </c>
      <c r="S4496" s="42" t="s">
        <v>6912</v>
      </c>
      <c r="T4496" s="3" t="s">
        <v>4868</v>
      </c>
      <c r="U4496" s="45">
        <v>35</v>
      </c>
      <c r="V4496" t="s">
        <v>8191</v>
      </c>
      <c r="W4496" s="1" t="str">
        <f>HYPERLINK("http://ictvonline.org/taxonomy/p/taxonomy-history?taxnode_id=201902591","ICTVonline=201902591")</f>
        <v>ICTVonline=201902591</v>
      </c>
    </row>
    <row r="4497" spans="1:23">
      <c r="A4497" s="3">
        <v>4496</v>
      </c>
      <c r="B4497" s="1" t="s">
        <v>5910</v>
      </c>
      <c r="D4497" s="1" t="s">
        <v>8187</v>
      </c>
      <c r="F4497" s="1" t="s">
        <v>5588</v>
      </c>
      <c r="G4497" s="1" t="s">
        <v>5678</v>
      </c>
      <c r="H4497" s="1" t="s">
        <v>5679</v>
      </c>
      <c r="J4497" s="1" t="s">
        <v>4052</v>
      </c>
      <c r="L4497" s="1" t="s">
        <v>1058</v>
      </c>
      <c r="N4497" s="1" t="s">
        <v>2622</v>
      </c>
      <c r="P4497" s="1" t="s">
        <v>3638</v>
      </c>
      <c r="Q4497" s="3">
        <v>0</v>
      </c>
      <c r="R4497" s="22" t="s">
        <v>3635</v>
      </c>
      <c r="S4497" s="42" t="s">
        <v>6912</v>
      </c>
      <c r="T4497" s="3" t="s">
        <v>4868</v>
      </c>
      <c r="U4497" s="45">
        <v>35</v>
      </c>
      <c r="V4497" t="s">
        <v>8191</v>
      </c>
      <c r="W4497" s="1" t="str">
        <f>HYPERLINK("http://ictvonline.org/taxonomy/p/taxonomy-history?taxnode_id=201902592","ICTVonline=201902592")</f>
        <v>ICTVonline=201902592</v>
      </c>
    </row>
    <row r="4498" spans="1:23">
      <c r="A4498" s="3">
        <v>4497</v>
      </c>
      <c r="B4498" s="1" t="s">
        <v>5910</v>
      </c>
      <c r="D4498" s="1" t="s">
        <v>8187</v>
      </c>
      <c r="F4498" s="1" t="s">
        <v>5588</v>
      </c>
      <c r="G4498" s="1" t="s">
        <v>5678</v>
      </c>
      <c r="H4498" s="1" t="s">
        <v>5679</v>
      </c>
      <c r="J4498" s="1" t="s">
        <v>4052</v>
      </c>
      <c r="L4498" s="1" t="s">
        <v>1058</v>
      </c>
      <c r="N4498" s="1" t="s">
        <v>2622</v>
      </c>
      <c r="P4498" s="1" t="s">
        <v>2640</v>
      </c>
      <c r="Q4498" s="3">
        <v>0</v>
      </c>
      <c r="R4498" s="22" t="s">
        <v>3635</v>
      </c>
      <c r="S4498" s="42" t="s">
        <v>6912</v>
      </c>
      <c r="T4498" s="3" t="s">
        <v>4868</v>
      </c>
      <c r="U4498" s="45">
        <v>35</v>
      </c>
      <c r="V4498" t="s">
        <v>8191</v>
      </c>
      <c r="W4498" s="1" t="str">
        <f>HYPERLINK("http://ictvonline.org/taxonomy/p/taxonomy-history?taxnode_id=201902593","ICTVonline=201902593")</f>
        <v>ICTVonline=201902593</v>
      </c>
    </row>
    <row r="4499" spans="1:23">
      <c r="A4499" s="3">
        <v>4498</v>
      </c>
      <c r="B4499" s="1" t="s">
        <v>5910</v>
      </c>
      <c r="D4499" s="1" t="s">
        <v>8187</v>
      </c>
      <c r="F4499" s="1" t="s">
        <v>5588</v>
      </c>
      <c r="G4499" s="1" t="s">
        <v>5678</v>
      </c>
      <c r="H4499" s="1" t="s">
        <v>5679</v>
      </c>
      <c r="J4499" s="1" t="s">
        <v>4052</v>
      </c>
      <c r="L4499" s="1" t="s">
        <v>1058</v>
      </c>
      <c r="N4499" s="1" t="s">
        <v>2622</v>
      </c>
      <c r="P4499" s="1" t="s">
        <v>5256</v>
      </c>
      <c r="Q4499" s="3">
        <v>0</v>
      </c>
      <c r="R4499" s="22" t="s">
        <v>3635</v>
      </c>
      <c r="S4499" s="42" t="s">
        <v>6912</v>
      </c>
      <c r="T4499" s="3" t="s">
        <v>4868</v>
      </c>
      <c r="U4499" s="45">
        <v>35</v>
      </c>
      <c r="V4499" t="s">
        <v>8191</v>
      </c>
      <c r="W4499" s="1" t="str">
        <f>HYPERLINK("http://ictvonline.org/taxonomy/p/taxonomy-history?taxnode_id=201902594","ICTVonline=201902594")</f>
        <v>ICTVonline=201902594</v>
      </c>
    </row>
    <row r="4500" spans="1:23">
      <c r="A4500" s="3">
        <v>4499</v>
      </c>
      <c r="B4500" s="1" t="s">
        <v>5910</v>
      </c>
      <c r="D4500" s="1" t="s">
        <v>8187</v>
      </c>
      <c r="F4500" s="1" t="s">
        <v>5588</v>
      </c>
      <c r="G4500" s="1" t="s">
        <v>5678</v>
      </c>
      <c r="H4500" s="1" t="s">
        <v>5679</v>
      </c>
      <c r="J4500" s="1" t="s">
        <v>4052</v>
      </c>
      <c r="L4500" s="1" t="s">
        <v>1058</v>
      </c>
      <c r="N4500" s="1" t="s">
        <v>2622</v>
      </c>
      <c r="P4500" s="1" t="s">
        <v>2641</v>
      </c>
      <c r="Q4500" s="3">
        <v>0</v>
      </c>
      <c r="R4500" s="22" t="s">
        <v>3635</v>
      </c>
      <c r="S4500" s="42" t="s">
        <v>6912</v>
      </c>
      <c r="T4500" s="3" t="s">
        <v>4868</v>
      </c>
      <c r="U4500" s="45">
        <v>35</v>
      </c>
      <c r="V4500" t="s">
        <v>8191</v>
      </c>
      <c r="W4500" s="1" t="str">
        <f>HYPERLINK("http://ictvonline.org/taxonomy/p/taxonomy-history?taxnode_id=201902596","ICTVonline=201902596")</f>
        <v>ICTVonline=201902596</v>
      </c>
    </row>
    <row r="4501" spans="1:23">
      <c r="A4501" s="3">
        <v>4500</v>
      </c>
      <c r="B4501" s="1" t="s">
        <v>5910</v>
      </c>
      <c r="D4501" s="1" t="s">
        <v>8187</v>
      </c>
      <c r="F4501" s="1" t="s">
        <v>5588</v>
      </c>
      <c r="G4501" s="1" t="s">
        <v>5678</v>
      </c>
      <c r="H4501" s="1" t="s">
        <v>5679</v>
      </c>
      <c r="J4501" s="1" t="s">
        <v>4052</v>
      </c>
      <c r="L4501" s="1" t="s">
        <v>1058</v>
      </c>
      <c r="N4501" s="1" t="s">
        <v>2622</v>
      </c>
      <c r="P4501" s="1" t="s">
        <v>8372</v>
      </c>
      <c r="Q4501" s="3">
        <v>0</v>
      </c>
      <c r="R4501" s="22" t="s">
        <v>3635</v>
      </c>
      <c r="S4501" s="42" t="s">
        <v>6912</v>
      </c>
      <c r="T4501" s="3" t="s">
        <v>4866</v>
      </c>
      <c r="U4501" s="45">
        <v>35</v>
      </c>
      <c r="V4501" t="s">
        <v>8373</v>
      </c>
      <c r="W4501" s="1" t="str">
        <f>HYPERLINK("http://ictvonline.org/taxonomy/p/taxonomy-history?taxnode_id=201907356","ICTVonline=201907356")</f>
        <v>ICTVonline=201907356</v>
      </c>
    </row>
    <row r="4502" spans="1:23">
      <c r="A4502" s="3">
        <v>4501</v>
      </c>
      <c r="B4502" s="1" t="s">
        <v>5910</v>
      </c>
      <c r="D4502" s="1" t="s">
        <v>8187</v>
      </c>
      <c r="F4502" s="1" t="s">
        <v>5588</v>
      </c>
      <c r="G4502" s="1" t="s">
        <v>5678</v>
      </c>
      <c r="H4502" s="1" t="s">
        <v>5679</v>
      </c>
      <c r="J4502" s="1" t="s">
        <v>4052</v>
      </c>
      <c r="L4502" s="1" t="s">
        <v>1058</v>
      </c>
      <c r="N4502" s="1" t="s">
        <v>2622</v>
      </c>
      <c r="P4502" s="1" t="s">
        <v>5257</v>
      </c>
      <c r="Q4502" s="3">
        <v>0</v>
      </c>
      <c r="R4502" s="22" t="s">
        <v>3635</v>
      </c>
      <c r="S4502" s="42" t="s">
        <v>6912</v>
      </c>
      <c r="T4502" s="3" t="s">
        <v>4868</v>
      </c>
      <c r="U4502" s="45">
        <v>35</v>
      </c>
      <c r="V4502" t="s">
        <v>8191</v>
      </c>
      <c r="W4502" s="1" t="str">
        <f>HYPERLINK("http://ictvonline.org/taxonomy/p/taxonomy-history?taxnode_id=201905742","ICTVonline=201905742")</f>
        <v>ICTVonline=201905742</v>
      </c>
    </row>
    <row r="4503" spans="1:23">
      <c r="A4503" s="3">
        <v>4502</v>
      </c>
      <c r="B4503" s="1" t="s">
        <v>5910</v>
      </c>
      <c r="D4503" s="1" t="s">
        <v>8187</v>
      </c>
      <c r="F4503" s="1" t="s">
        <v>5588</v>
      </c>
      <c r="G4503" s="1" t="s">
        <v>5678</v>
      </c>
      <c r="H4503" s="1" t="s">
        <v>5679</v>
      </c>
      <c r="J4503" s="1" t="s">
        <v>4052</v>
      </c>
      <c r="L4503" s="1" t="s">
        <v>1058</v>
      </c>
      <c r="N4503" s="1" t="s">
        <v>2622</v>
      </c>
      <c r="P4503" s="1" t="s">
        <v>5258</v>
      </c>
      <c r="Q4503" s="3">
        <v>0</v>
      </c>
      <c r="R4503" s="22" t="s">
        <v>3635</v>
      </c>
      <c r="S4503" s="42" t="s">
        <v>6912</v>
      </c>
      <c r="T4503" s="3" t="s">
        <v>4868</v>
      </c>
      <c r="U4503" s="45">
        <v>35</v>
      </c>
      <c r="V4503" t="s">
        <v>8191</v>
      </c>
      <c r="W4503" s="1" t="str">
        <f>HYPERLINK("http://ictvonline.org/taxonomy/p/taxonomy-history?taxnode_id=201902571","ICTVonline=201902571")</f>
        <v>ICTVonline=201902571</v>
      </c>
    </row>
    <row r="4504" spans="1:23">
      <c r="A4504" s="3">
        <v>4503</v>
      </c>
      <c r="B4504" s="1" t="s">
        <v>5910</v>
      </c>
      <c r="D4504" s="1" t="s">
        <v>8187</v>
      </c>
      <c r="F4504" s="1" t="s">
        <v>5588</v>
      </c>
      <c r="G4504" s="1" t="s">
        <v>5678</v>
      </c>
      <c r="H4504" s="1" t="s">
        <v>5679</v>
      </c>
      <c r="J4504" s="1" t="s">
        <v>4052</v>
      </c>
      <c r="L4504" s="1" t="s">
        <v>1058</v>
      </c>
      <c r="N4504" s="1" t="s">
        <v>2622</v>
      </c>
      <c r="P4504" s="1" t="s">
        <v>4573</v>
      </c>
      <c r="Q4504" s="3">
        <v>0</v>
      </c>
      <c r="R4504" s="22" t="s">
        <v>3635</v>
      </c>
      <c r="S4504" s="42" t="s">
        <v>6912</v>
      </c>
      <c r="T4504" s="3" t="s">
        <v>4868</v>
      </c>
      <c r="U4504" s="45">
        <v>35</v>
      </c>
      <c r="V4504" t="s">
        <v>8191</v>
      </c>
      <c r="W4504" s="1" t="str">
        <f>HYPERLINK("http://ictvonline.org/taxonomy/p/taxonomy-history?taxnode_id=201902598","ICTVonline=201902598")</f>
        <v>ICTVonline=201902598</v>
      </c>
    </row>
    <row r="4505" spans="1:23">
      <c r="A4505" s="3">
        <v>4504</v>
      </c>
      <c r="B4505" s="1" t="s">
        <v>5910</v>
      </c>
      <c r="D4505" s="1" t="s">
        <v>8187</v>
      </c>
      <c r="F4505" s="1" t="s">
        <v>5588</v>
      </c>
      <c r="G4505" s="1" t="s">
        <v>5678</v>
      </c>
      <c r="H4505" s="1" t="s">
        <v>5679</v>
      </c>
      <c r="J4505" s="1" t="s">
        <v>4052</v>
      </c>
      <c r="L4505" s="1" t="s">
        <v>1058</v>
      </c>
      <c r="N4505" s="1" t="s">
        <v>2622</v>
      </c>
      <c r="P4505" s="1" t="s">
        <v>5259</v>
      </c>
      <c r="Q4505" s="3">
        <v>0</v>
      </c>
      <c r="R4505" s="22" t="s">
        <v>3635</v>
      </c>
      <c r="S4505" s="42" t="s">
        <v>6912</v>
      </c>
      <c r="T4505" s="3" t="s">
        <v>4868</v>
      </c>
      <c r="U4505" s="45">
        <v>35</v>
      </c>
      <c r="V4505" t="s">
        <v>8191</v>
      </c>
      <c r="W4505" s="1" t="str">
        <f>HYPERLINK("http://ictvonline.org/taxonomy/p/taxonomy-history?taxnode_id=201905743","ICTVonline=201905743")</f>
        <v>ICTVonline=201905743</v>
      </c>
    </row>
    <row r="4506" spans="1:23">
      <c r="A4506" s="3">
        <v>4505</v>
      </c>
      <c r="B4506" s="1" t="s">
        <v>5910</v>
      </c>
      <c r="D4506" s="1" t="s">
        <v>8187</v>
      </c>
      <c r="F4506" s="1" t="s">
        <v>5588</v>
      </c>
      <c r="G4506" s="1" t="s">
        <v>5678</v>
      </c>
      <c r="H4506" s="1" t="s">
        <v>5679</v>
      </c>
      <c r="J4506" s="1" t="s">
        <v>4052</v>
      </c>
      <c r="L4506" s="1" t="s">
        <v>1058</v>
      </c>
      <c r="N4506" s="1" t="s">
        <v>2622</v>
      </c>
      <c r="P4506" s="1" t="s">
        <v>2642</v>
      </c>
      <c r="Q4506" s="3">
        <v>0</v>
      </c>
      <c r="R4506" s="22" t="s">
        <v>3635</v>
      </c>
      <c r="S4506" s="42" t="s">
        <v>6912</v>
      </c>
      <c r="T4506" s="3" t="s">
        <v>4868</v>
      </c>
      <c r="U4506" s="45">
        <v>35</v>
      </c>
      <c r="V4506" t="s">
        <v>8191</v>
      </c>
      <c r="W4506" s="1" t="str">
        <f>HYPERLINK("http://ictvonline.org/taxonomy/p/taxonomy-history?taxnode_id=201902599","ICTVonline=201902599")</f>
        <v>ICTVonline=201902599</v>
      </c>
    </row>
    <row r="4507" spans="1:23">
      <c r="A4507" s="3">
        <v>4506</v>
      </c>
      <c r="B4507" s="1" t="s">
        <v>5910</v>
      </c>
      <c r="D4507" s="1" t="s">
        <v>8187</v>
      </c>
      <c r="F4507" s="1" t="s">
        <v>5588</v>
      </c>
      <c r="G4507" s="1" t="s">
        <v>5678</v>
      </c>
      <c r="H4507" s="1" t="s">
        <v>5679</v>
      </c>
      <c r="J4507" s="1" t="s">
        <v>4052</v>
      </c>
      <c r="L4507" s="1" t="s">
        <v>1058</v>
      </c>
      <c r="N4507" s="1" t="s">
        <v>2622</v>
      </c>
      <c r="P4507" s="1" t="s">
        <v>2643</v>
      </c>
      <c r="Q4507" s="3">
        <v>0</v>
      </c>
      <c r="R4507" s="22" t="s">
        <v>3635</v>
      </c>
      <c r="S4507" s="42" t="s">
        <v>6912</v>
      </c>
      <c r="T4507" s="3" t="s">
        <v>4868</v>
      </c>
      <c r="U4507" s="45">
        <v>35</v>
      </c>
      <c r="V4507" t="s">
        <v>8191</v>
      </c>
      <c r="W4507" s="1" t="str">
        <f>HYPERLINK("http://ictvonline.org/taxonomy/p/taxonomy-history?taxnode_id=201902600","ICTVonline=201902600")</f>
        <v>ICTVonline=201902600</v>
      </c>
    </row>
    <row r="4508" spans="1:23">
      <c r="A4508" s="3">
        <v>4507</v>
      </c>
      <c r="B4508" s="1" t="s">
        <v>5910</v>
      </c>
      <c r="D4508" s="1" t="s">
        <v>8187</v>
      </c>
      <c r="F4508" s="1" t="s">
        <v>5588</v>
      </c>
      <c r="G4508" s="1" t="s">
        <v>5678</v>
      </c>
      <c r="H4508" s="1" t="s">
        <v>5679</v>
      </c>
      <c r="J4508" s="1" t="s">
        <v>4052</v>
      </c>
      <c r="L4508" s="1" t="s">
        <v>1058</v>
      </c>
      <c r="N4508" s="1" t="s">
        <v>2622</v>
      </c>
      <c r="P4508" s="1" t="s">
        <v>3639</v>
      </c>
      <c r="Q4508" s="3">
        <v>0</v>
      </c>
      <c r="R4508" s="22" t="s">
        <v>3635</v>
      </c>
      <c r="S4508" s="42" t="s">
        <v>6912</v>
      </c>
      <c r="T4508" s="3" t="s">
        <v>4868</v>
      </c>
      <c r="U4508" s="45">
        <v>35</v>
      </c>
      <c r="V4508" t="s">
        <v>8191</v>
      </c>
      <c r="W4508" s="1" t="str">
        <f>HYPERLINK("http://ictvonline.org/taxonomy/p/taxonomy-history?taxnode_id=201902601","ICTVonline=201902601")</f>
        <v>ICTVonline=201902601</v>
      </c>
    </row>
    <row r="4509" spans="1:23">
      <c r="A4509" s="3">
        <v>4508</v>
      </c>
      <c r="B4509" s="1" t="s">
        <v>5910</v>
      </c>
      <c r="D4509" s="1" t="s">
        <v>8187</v>
      </c>
      <c r="F4509" s="1" t="s">
        <v>5588</v>
      </c>
      <c r="G4509" s="1" t="s">
        <v>5678</v>
      </c>
      <c r="H4509" s="1" t="s">
        <v>5679</v>
      </c>
      <c r="J4509" s="1" t="s">
        <v>4052</v>
      </c>
      <c r="L4509" s="1" t="s">
        <v>1058</v>
      </c>
      <c r="N4509" s="1" t="s">
        <v>2622</v>
      </c>
      <c r="P4509" s="1" t="s">
        <v>2644</v>
      </c>
      <c r="Q4509" s="3">
        <v>0</v>
      </c>
      <c r="R4509" s="22" t="s">
        <v>3635</v>
      </c>
      <c r="S4509" s="42" t="s">
        <v>6912</v>
      </c>
      <c r="T4509" s="3" t="s">
        <v>4868</v>
      </c>
      <c r="U4509" s="45">
        <v>35</v>
      </c>
      <c r="V4509" t="s">
        <v>8191</v>
      </c>
      <c r="W4509" s="1" t="str">
        <f>HYPERLINK("http://ictvonline.org/taxonomy/p/taxonomy-history?taxnode_id=201902602","ICTVonline=201902602")</f>
        <v>ICTVonline=201902602</v>
      </c>
    </row>
    <row r="4510" spans="1:23">
      <c r="A4510" s="3">
        <v>4509</v>
      </c>
      <c r="B4510" s="1" t="s">
        <v>5910</v>
      </c>
      <c r="D4510" s="1" t="s">
        <v>8187</v>
      </c>
      <c r="F4510" s="1" t="s">
        <v>5588</v>
      </c>
      <c r="G4510" s="1" t="s">
        <v>5678</v>
      </c>
      <c r="H4510" s="1" t="s">
        <v>5679</v>
      </c>
      <c r="J4510" s="1" t="s">
        <v>4052</v>
      </c>
      <c r="L4510" s="1" t="s">
        <v>1058</v>
      </c>
      <c r="N4510" s="1" t="s">
        <v>2622</v>
      </c>
      <c r="P4510" s="1" t="s">
        <v>8374</v>
      </c>
      <c r="Q4510" s="3">
        <v>0</v>
      </c>
      <c r="R4510" s="22" t="s">
        <v>3635</v>
      </c>
      <c r="S4510" s="42" t="s">
        <v>6912</v>
      </c>
      <c r="T4510" s="3" t="s">
        <v>4866</v>
      </c>
      <c r="U4510" s="45">
        <v>35</v>
      </c>
      <c r="V4510" t="s">
        <v>8375</v>
      </c>
      <c r="W4510" s="1" t="str">
        <f>HYPERLINK("http://ictvonline.org/taxonomy/p/taxonomy-history?taxnode_id=201907185","ICTVonline=201907185")</f>
        <v>ICTVonline=201907185</v>
      </c>
    </row>
    <row r="4511" spans="1:23">
      <c r="A4511" s="3">
        <v>4510</v>
      </c>
      <c r="B4511" s="1" t="s">
        <v>5910</v>
      </c>
      <c r="D4511" s="1" t="s">
        <v>8187</v>
      </c>
      <c r="F4511" s="1" t="s">
        <v>5588</v>
      </c>
      <c r="G4511" s="1" t="s">
        <v>5678</v>
      </c>
      <c r="H4511" s="1" t="s">
        <v>5679</v>
      </c>
      <c r="J4511" s="1" t="s">
        <v>4052</v>
      </c>
      <c r="L4511" s="1" t="s">
        <v>1058</v>
      </c>
      <c r="N4511" s="1" t="s">
        <v>2645</v>
      </c>
      <c r="P4511" s="1" t="s">
        <v>5260</v>
      </c>
      <c r="Q4511" s="3">
        <v>0</v>
      </c>
      <c r="R4511" s="22" t="s">
        <v>3635</v>
      </c>
      <c r="S4511" s="42" t="s">
        <v>6912</v>
      </c>
      <c r="T4511" s="3" t="s">
        <v>4868</v>
      </c>
      <c r="U4511" s="45">
        <v>35</v>
      </c>
      <c r="V4511" t="s">
        <v>8191</v>
      </c>
      <c r="W4511" s="1" t="str">
        <f>HYPERLINK("http://ictvonline.org/taxonomy/p/taxonomy-history?taxnode_id=201902605","ICTVonline=201902605")</f>
        <v>ICTVonline=201902605</v>
      </c>
    </row>
    <row r="4512" spans="1:23">
      <c r="A4512" s="3">
        <v>4511</v>
      </c>
      <c r="B4512" s="1" t="s">
        <v>5910</v>
      </c>
      <c r="D4512" s="1" t="s">
        <v>8187</v>
      </c>
      <c r="F4512" s="1" t="s">
        <v>5588</v>
      </c>
      <c r="G4512" s="1" t="s">
        <v>5678</v>
      </c>
      <c r="H4512" s="1" t="s">
        <v>5679</v>
      </c>
      <c r="J4512" s="1" t="s">
        <v>4052</v>
      </c>
      <c r="L4512" s="1" t="s">
        <v>1058</v>
      </c>
      <c r="N4512" s="1" t="s">
        <v>2645</v>
      </c>
      <c r="P4512" s="1" t="s">
        <v>5261</v>
      </c>
      <c r="Q4512" s="3">
        <v>0</v>
      </c>
      <c r="R4512" s="22" t="s">
        <v>3635</v>
      </c>
      <c r="S4512" s="42" t="s">
        <v>6912</v>
      </c>
      <c r="T4512" s="3" t="s">
        <v>4868</v>
      </c>
      <c r="U4512" s="45">
        <v>35</v>
      </c>
      <c r="V4512" t="s">
        <v>8191</v>
      </c>
      <c r="W4512" s="1" t="str">
        <f>HYPERLINK("http://ictvonline.org/taxonomy/p/taxonomy-history?taxnode_id=201905744","ICTVonline=201905744")</f>
        <v>ICTVonline=201905744</v>
      </c>
    </row>
    <row r="4513" spans="1:23">
      <c r="A4513" s="3">
        <v>4512</v>
      </c>
      <c r="B4513" s="1" t="s">
        <v>5910</v>
      </c>
      <c r="D4513" s="1" t="s">
        <v>8187</v>
      </c>
      <c r="F4513" s="1" t="s">
        <v>5588</v>
      </c>
      <c r="G4513" s="1" t="s">
        <v>5678</v>
      </c>
      <c r="H4513" s="1" t="s">
        <v>5679</v>
      </c>
      <c r="J4513" s="1" t="s">
        <v>4052</v>
      </c>
      <c r="L4513" s="1" t="s">
        <v>1058</v>
      </c>
      <c r="N4513" s="1" t="s">
        <v>2645</v>
      </c>
      <c r="P4513" s="1" t="s">
        <v>5262</v>
      </c>
      <c r="Q4513" s="3">
        <v>1</v>
      </c>
      <c r="R4513" s="22" t="s">
        <v>3635</v>
      </c>
      <c r="S4513" s="42" t="s">
        <v>6912</v>
      </c>
      <c r="T4513" s="3" t="s">
        <v>4868</v>
      </c>
      <c r="U4513" s="45">
        <v>35</v>
      </c>
      <c r="V4513" t="s">
        <v>8191</v>
      </c>
      <c r="W4513" s="1" t="str">
        <f>HYPERLINK("http://ictvonline.org/taxonomy/p/taxonomy-history?taxnode_id=201902604","ICTVonline=201902604")</f>
        <v>ICTVonline=201902604</v>
      </c>
    </row>
    <row r="4514" spans="1:23">
      <c r="A4514" s="3">
        <v>4513</v>
      </c>
      <c r="B4514" s="1" t="s">
        <v>5910</v>
      </c>
      <c r="D4514" s="1" t="s">
        <v>8187</v>
      </c>
      <c r="F4514" s="1" t="s">
        <v>5588</v>
      </c>
      <c r="G4514" s="1" t="s">
        <v>5678</v>
      </c>
      <c r="H4514" s="1" t="s">
        <v>5679</v>
      </c>
      <c r="J4514" s="1" t="s">
        <v>4052</v>
      </c>
      <c r="L4514" s="1" t="s">
        <v>1058</v>
      </c>
      <c r="N4514" s="1" t="s">
        <v>2645</v>
      </c>
      <c r="P4514" s="1" t="s">
        <v>5263</v>
      </c>
      <c r="Q4514" s="3">
        <v>0</v>
      </c>
      <c r="R4514" s="22" t="s">
        <v>3635</v>
      </c>
      <c r="S4514" s="42" t="s">
        <v>6912</v>
      </c>
      <c r="T4514" s="3" t="s">
        <v>4868</v>
      </c>
      <c r="U4514" s="45">
        <v>35</v>
      </c>
      <c r="V4514" t="s">
        <v>8191</v>
      </c>
      <c r="W4514" s="1" t="str">
        <f>HYPERLINK("http://ictvonline.org/taxonomy/p/taxonomy-history?taxnode_id=201905745","ICTVonline=201905745")</f>
        <v>ICTVonline=201905745</v>
      </c>
    </row>
    <row r="4515" spans="1:23">
      <c r="A4515" s="3">
        <v>4514</v>
      </c>
      <c r="B4515" s="1" t="s">
        <v>5910</v>
      </c>
      <c r="D4515" s="1" t="s">
        <v>8187</v>
      </c>
      <c r="F4515" s="1" t="s">
        <v>5588</v>
      </c>
      <c r="G4515" s="1" t="s">
        <v>5678</v>
      </c>
      <c r="H4515" s="1" t="s">
        <v>5679</v>
      </c>
      <c r="J4515" s="1" t="s">
        <v>4052</v>
      </c>
      <c r="L4515" s="1" t="s">
        <v>1058</v>
      </c>
      <c r="N4515" s="1" t="s">
        <v>2645</v>
      </c>
      <c r="P4515" s="1" t="s">
        <v>5264</v>
      </c>
      <c r="Q4515" s="3">
        <v>0</v>
      </c>
      <c r="R4515" s="22" t="s">
        <v>3635</v>
      </c>
      <c r="S4515" s="42" t="s">
        <v>6912</v>
      </c>
      <c r="T4515" s="3" t="s">
        <v>4868</v>
      </c>
      <c r="U4515" s="45">
        <v>35</v>
      </c>
      <c r="V4515" t="s">
        <v>8191</v>
      </c>
      <c r="W4515" s="1" t="str">
        <f>HYPERLINK("http://ictvonline.org/taxonomy/p/taxonomy-history?taxnode_id=201902606","ICTVonline=201902606")</f>
        <v>ICTVonline=201902606</v>
      </c>
    </row>
    <row r="4516" spans="1:23">
      <c r="A4516" s="3">
        <v>4515</v>
      </c>
      <c r="B4516" s="1" t="s">
        <v>5910</v>
      </c>
      <c r="D4516" s="1" t="s">
        <v>8187</v>
      </c>
      <c r="F4516" s="1" t="s">
        <v>5588</v>
      </c>
      <c r="G4516" s="1" t="s">
        <v>5678</v>
      </c>
      <c r="H4516" s="1" t="s">
        <v>5679</v>
      </c>
      <c r="J4516" s="1" t="s">
        <v>4052</v>
      </c>
      <c r="L4516" s="1" t="s">
        <v>5680</v>
      </c>
      <c r="N4516" s="1" t="s">
        <v>5681</v>
      </c>
      <c r="P4516" s="1" t="s">
        <v>5682</v>
      </c>
      <c r="Q4516" s="3">
        <v>1</v>
      </c>
      <c r="R4516" s="22" t="s">
        <v>2722</v>
      </c>
      <c r="S4516" s="42" t="s">
        <v>6912</v>
      </c>
      <c r="T4516" s="3" t="s">
        <v>4868</v>
      </c>
      <c r="U4516" s="45">
        <v>35</v>
      </c>
      <c r="V4516" t="s">
        <v>8191</v>
      </c>
      <c r="W4516" s="1" t="str">
        <f>HYPERLINK("http://ictvonline.org/taxonomy/p/taxonomy-history?taxnode_id=201906209","ICTVonline=201906209")</f>
        <v>ICTVonline=201906209</v>
      </c>
    </row>
    <row r="4517" spans="1:23">
      <c r="A4517" s="3">
        <v>4516</v>
      </c>
      <c r="B4517" s="1" t="s">
        <v>5910</v>
      </c>
      <c r="D4517" s="1" t="s">
        <v>8187</v>
      </c>
      <c r="F4517" s="1" t="s">
        <v>5588</v>
      </c>
      <c r="G4517" s="1" t="s">
        <v>5678</v>
      </c>
      <c r="H4517" s="1" t="s">
        <v>5679</v>
      </c>
      <c r="J4517" s="1" t="s">
        <v>4052</v>
      </c>
      <c r="L4517" s="1" t="s">
        <v>4053</v>
      </c>
      <c r="N4517" s="1" t="s">
        <v>549</v>
      </c>
      <c r="P4517" s="1" t="s">
        <v>4087</v>
      </c>
      <c r="Q4517" s="3">
        <v>0</v>
      </c>
      <c r="R4517" s="22" t="s">
        <v>2722</v>
      </c>
      <c r="S4517" s="42" t="s">
        <v>6912</v>
      </c>
      <c r="T4517" s="3" t="s">
        <v>4868</v>
      </c>
      <c r="U4517" s="45">
        <v>35</v>
      </c>
      <c r="V4517" t="s">
        <v>8191</v>
      </c>
      <c r="W4517" s="1" t="str">
        <f>HYPERLINK("http://ictvonline.org/taxonomy/p/taxonomy-history?taxnode_id=201900009","ICTVonline=201900009")</f>
        <v>ICTVonline=201900009</v>
      </c>
    </row>
    <row r="4518" spans="1:23">
      <c r="A4518" s="3">
        <v>4517</v>
      </c>
      <c r="B4518" s="1" t="s">
        <v>5910</v>
      </c>
      <c r="D4518" s="1" t="s">
        <v>8187</v>
      </c>
      <c r="F4518" s="1" t="s">
        <v>5588</v>
      </c>
      <c r="G4518" s="1" t="s">
        <v>5678</v>
      </c>
      <c r="H4518" s="1" t="s">
        <v>5679</v>
      </c>
      <c r="J4518" s="1" t="s">
        <v>4052</v>
      </c>
      <c r="L4518" s="1" t="s">
        <v>4053</v>
      </c>
      <c r="N4518" s="1" t="s">
        <v>549</v>
      </c>
      <c r="P4518" s="1" t="s">
        <v>8376</v>
      </c>
      <c r="Q4518" s="3">
        <v>0</v>
      </c>
      <c r="R4518" s="22" t="s">
        <v>2722</v>
      </c>
      <c r="S4518" s="42" t="s">
        <v>6912</v>
      </c>
      <c r="T4518" s="3" t="s">
        <v>4866</v>
      </c>
      <c r="U4518" s="45">
        <v>35</v>
      </c>
      <c r="V4518" t="s">
        <v>8377</v>
      </c>
      <c r="W4518" s="1" t="str">
        <f>HYPERLINK("http://ictvonline.org/taxonomy/p/taxonomy-history?taxnode_id=201907357","ICTVonline=201907357")</f>
        <v>ICTVonline=201907357</v>
      </c>
    </row>
    <row r="4519" spans="1:23">
      <c r="A4519" s="3">
        <v>4518</v>
      </c>
      <c r="B4519" s="1" t="s">
        <v>5910</v>
      </c>
      <c r="D4519" s="1" t="s">
        <v>8187</v>
      </c>
      <c r="F4519" s="1" t="s">
        <v>5588</v>
      </c>
      <c r="G4519" s="1" t="s">
        <v>5678</v>
      </c>
      <c r="H4519" s="1" t="s">
        <v>5679</v>
      </c>
      <c r="J4519" s="1" t="s">
        <v>4052</v>
      </c>
      <c r="L4519" s="1" t="s">
        <v>4053</v>
      </c>
      <c r="N4519" s="1" t="s">
        <v>549</v>
      </c>
      <c r="P4519" s="1" t="s">
        <v>4004</v>
      </c>
      <c r="Q4519" s="3">
        <v>1</v>
      </c>
      <c r="R4519" s="22" t="s">
        <v>2722</v>
      </c>
      <c r="S4519" s="42" t="s">
        <v>6912</v>
      </c>
      <c r="T4519" s="3" t="s">
        <v>4868</v>
      </c>
      <c r="U4519" s="45">
        <v>35</v>
      </c>
      <c r="V4519" t="s">
        <v>8191</v>
      </c>
      <c r="W4519" s="1" t="str">
        <f>HYPERLINK("http://ictvonline.org/taxonomy/p/taxonomy-history?taxnode_id=201900010","ICTVonline=201900010")</f>
        <v>ICTVonline=201900010</v>
      </c>
    </row>
    <row r="4520" spans="1:23">
      <c r="A4520" s="3">
        <v>4519</v>
      </c>
      <c r="B4520" s="1" t="s">
        <v>5910</v>
      </c>
      <c r="D4520" s="1" t="s">
        <v>8187</v>
      </c>
      <c r="F4520" s="1" t="s">
        <v>5588</v>
      </c>
      <c r="G4520" s="1" t="s">
        <v>5678</v>
      </c>
      <c r="H4520" s="1" t="s">
        <v>5679</v>
      </c>
      <c r="J4520" s="1" t="s">
        <v>4052</v>
      </c>
      <c r="L4520" s="1" t="s">
        <v>4053</v>
      </c>
      <c r="N4520" s="1" t="s">
        <v>549</v>
      </c>
      <c r="P4520" s="1" t="s">
        <v>4005</v>
      </c>
      <c r="Q4520" s="3">
        <v>0</v>
      </c>
      <c r="R4520" s="22" t="s">
        <v>2722</v>
      </c>
      <c r="S4520" s="42" t="s">
        <v>6912</v>
      </c>
      <c r="T4520" s="3" t="s">
        <v>4868</v>
      </c>
      <c r="U4520" s="45">
        <v>35</v>
      </c>
      <c r="V4520" t="s">
        <v>8191</v>
      </c>
      <c r="W4520" s="1" t="str">
        <f>HYPERLINK("http://ictvonline.org/taxonomy/p/taxonomy-history?taxnode_id=201900011","ICTVonline=201900011")</f>
        <v>ICTVonline=201900011</v>
      </c>
    </row>
    <row r="4521" spans="1:23">
      <c r="A4521" s="3">
        <v>4520</v>
      </c>
      <c r="B4521" s="1" t="s">
        <v>5910</v>
      </c>
      <c r="D4521" s="1" t="s">
        <v>8187</v>
      </c>
      <c r="F4521" s="1" t="s">
        <v>5588</v>
      </c>
      <c r="G4521" s="1" t="s">
        <v>5678</v>
      </c>
      <c r="H4521" s="1" t="s">
        <v>5679</v>
      </c>
      <c r="J4521" s="1" t="s">
        <v>4052</v>
      </c>
      <c r="L4521" s="1" t="s">
        <v>4053</v>
      </c>
      <c r="N4521" s="1" t="s">
        <v>549</v>
      </c>
      <c r="P4521" s="1" t="s">
        <v>4006</v>
      </c>
      <c r="Q4521" s="3">
        <v>0</v>
      </c>
      <c r="R4521" s="22" t="s">
        <v>2722</v>
      </c>
      <c r="S4521" s="42" t="s">
        <v>6912</v>
      </c>
      <c r="T4521" s="3" t="s">
        <v>4868</v>
      </c>
      <c r="U4521" s="45">
        <v>35</v>
      </c>
      <c r="V4521" t="s">
        <v>8191</v>
      </c>
      <c r="W4521" s="1" t="str">
        <f>HYPERLINK("http://ictvonline.org/taxonomy/p/taxonomy-history?taxnode_id=201900012","ICTVonline=201900012")</f>
        <v>ICTVonline=201900012</v>
      </c>
    </row>
    <row r="4522" spans="1:23">
      <c r="A4522" s="3">
        <v>4521</v>
      </c>
      <c r="B4522" s="1" t="s">
        <v>5910</v>
      </c>
      <c r="D4522" s="1" t="s">
        <v>8187</v>
      </c>
      <c r="F4522" s="1" t="s">
        <v>5588</v>
      </c>
      <c r="G4522" s="1" t="s">
        <v>5678</v>
      </c>
      <c r="H4522" s="1" t="s">
        <v>5679</v>
      </c>
      <c r="J4522" s="1" t="s">
        <v>4052</v>
      </c>
      <c r="L4522" s="1" t="s">
        <v>4053</v>
      </c>
      <c r="N4522" s="1" t="s">
        <v>549</v>
      </c>
      <c r="P4522" s="1" t="s">
        <v>4007</v>
      </c>
      <c r="Q4522" s="3">
        <v>0</v>
      </c>
      <c r="R4522" s="22" t="s">
        <v>2722</v>
      </c>
      <c r="S4522" s="42" t="s">
        <v>6912</v>
      </c>
      <c r="T4522" s="3" t="s">
        <v>4868</v>
      </c>
      <c r="U4522" s="45">
        <v>35</v>
      </c>
      <c r="V4522" t="s">
        <v>8191</v>
      </c>
      <c r="W4522" s="1" t="str">
        <f>HYPERLINK("http://ictvonline.org/taxonomy/p/taxonomy-history?taxnode_id=201900013","ICTVonline=201900013")</f>
        <v>ICTVonline=201900013</v>
      </c>
    </row>
    <row r="4523" spans="1:23">
      <c r="A4523" s="3">
        <v>4522</v>
      </c>
      <c r="B4523" s="1" t="s">
        <v>5910</v>
      </c>
      <c r="D4523" s="1" t="s">
        <v>8187</v>
      </c>
      <c r="F4523" s="1" t="s">
        <v>5588</v>
      </c>
      <c r="G4523" s="1" t="s">
        <v>5678</v>
      </c>
      <c r="H4523" s="1" t="s">
        <v>5679</v>
      </c>
      <c r="J4523" s="1" t="s">
        <v>4052</v>
      </c>
      <c r="L4523" s="1" t="s">
        <v>4053</v>
      </c>
      <c r="N4523" s="1" t="s">
        <v>549</v>
      </c>
      <c r="P4523" s="1" t="s">
        <v>4088</v>
      </c>
      <c r="Q4523" s="3">
        <v>0</v>
      </c>
      <c r="R4523" s="22" t="s">
        <v>2722</v>
      </c>
      <c r="S4523" s="42" t="s">
        <v>6912</v>
      </c>
      <c r="T4523" s="3" t="s">
        <v>4868</v>
      </c>
      <c r="U4523" s="45">
        <v>35</v>
      </c>
      <c r="V4523" t="s">
        <v>8191</v>
      </c>
      <c r="W4523" s="1" t="str">
        <f>HYPERLINK("http://ictvonline.org/taxonomy/p/taxonomy-history?taxnode_id=201900014","ICTVonline=201900014")</f>
        <v>ICTVonline=201900014</v>
      </c>
    </row>
    <row r="4524" spans="1:23">
      <c r="A4524" s="3">
        <v>4523</v>
      </c>
      <c r="B4524" s="1" t="s">
        <v>5910</v>
      </c>
      <c r="D4524" s="1" t="s">
        <v>8187</v>
      </c>
      <c r="F4524" s="1" t="s">
        <v>5588</v>
      </c>
      <c r="G4524" s="1" t="s">
        <v>5678</v>
      </c>
      <c r="H4524" s="1" t="s">
        <v>5679</v>
      </c>
      <c r="J4524" s="1" t="s">
        <v>4052</v>
      </c>
      <c r="L4524" s="1" t="s">
        <v>4053</v>
      </c>
      <c r="N4524" s="1" t="s">
        <v>549</v>
      </c>
      <c r="P4524" s="1" t="s">
        <v>8378</v>
      </c>
      <c r="Q4524" s="3">
        <v>0</v>
      </c>
      <c r="R4524" s="22" t="s">
        <v>2722</v>
      </c>
      <c r="S4524" s="42" t="s">
        <v>6912</v>
      </c>
      <c r="T4524" s="3" t="s">
        <v>4866</v>
      </c>
      <c r="U4524" s="45">
        <v>35</v>
      </c>
      <c r="V4524" t="s">
        <v>8379</v>
      </c>
      <c r="W4524" s="1" t="str">
        <f>HYPERLINK("http://ictvonline.org/taxonomy/p/taxonomy-history?taxnode_id=201907368","ICTVonline=201907368")</f>
        <v>ICTVonline=201907368</v>
      </c>
    </row>
    <row r="4525" spans="1:23">
      <c r="A4525" s="3">
        <v>4524</v>
      </c>
      <c r="B4525" s="1" t="s">
        <v>5910</v>
      </c>
      <c r="D4525" s="1" t="s">
        <v>8187</v>
      </c>
      <c r="F4525" s="1" t="s">
        <v>5588</v>
      </c>
      <c r="G4525" s="1" t="s">
        <v>5678</v>
      </c>
      <c r="H4525" s="1" t="s">
        <v>5679</v>
      </c>
      <c r="J4525" s="1" t="s">
        <v>4052</v>
      </c>
      <c r="L4525" s="1" t="s">
        <v>4053</v>
      </c>
      <c r="N4525" s="1" t="s">
        <v>549</v>
      </c>
      <c r="P4525" s="1" t="s">
        <v>4008</v>
      </c>
      <c r="Q4525" s="3">
        <v>0</v>
      </c>
      <c r="R4525" s="22" t="s">
        <v>2722</v>
      </c>
      <c r="S4525" s="42" t="s">
        <v>6912</v>
      </c>
      <c r="T4525" s="3" t="s">
        <v>4868</v>
      </c>
      <c r="U4525" s="45">
        <v>35</v>
      </c>
      <c r="V4525" t="s">
        <v>8191</v>
      </c>
      <c r="W4525" s="1" t="str">
        <f>HYPERLINK("http://ictvonline.org/taxonomy/p/taxonomy-history?taxnode_id=201900015","ICTVonline=201900015")</f>
        <v>ICTVonline=201900015</v>
      </c>
    </row>
    <row r="4526" spans="1:23">
      <c r="A4526" s="3">
        <v>4525</v>
      </c>
      <c r="B4526" s="1" t="s">
        <v>5910</v>
      </c>
      <c r="D4526" s="1" t="s">
        <v>8187</v>
      </c>
      <c r="F4526" s="1" t="s">
        <v>5588</v>
      </c>
      <c r="G4526" s="1" t="s">
        <v>5678</v>
      </c>
      <c r="H4526" s="1" t="s">
        <v>5679</v>
      </c>
      <c r="J4526" s="1" t="s">
        <v>4052</v>
      </c>
      <c r="L4526" s="1" t="s">
        <v>4053</v>
      </c>
      <c r="N4526" s="1" t="s">
        <v>549</v>
      </c>
      <c r="P4526" s="1" t="s">
        <v>4089</v>
      </c>
      <c r="Q4526" s="3">
        <v>0</v>
      </c>
      <c r="R4526" s="22" t="s">
        <v>2722</v>
      </c>
      <c r="S4526" s="42" t="s">
        <v>6912</v>
      </c>
      <c r="T4526" s="3" t="s">
        <v>4868</v>
      </c>
      <c r="U4526" s="45">
        <v>35</v>
      </c>
      <c r="V4526" t="s">
        <v>8191</v>
      </c>
      <c r="W4526" s="1" t="str">
        <f>HYPERLINK("http://ictvonline.org/taxonomy/p/taxonomy-history?taxnode_id=201900016","ICTVonline=201900016")</f>
        <v>ICTVonline=201900016</v>
      </c>
    </row>
    <row r="4527" spans="1:23">
      <c r="A4527" s="3">
        <v>4526</v>
      </c>
      <c r="B4527" s="1" t="s">
        <v>5910</v>
      </c>
      <c r="D4527" s="1" t="s">
        <v>8187</v>
      </c>
      <c r="F4527" s="1" t="s">
        <v>5588</v>
      </c>
      <c r="G4527" s="1" t="s">
        <v>5678</v>
      </c>
      <c r="H4527" s="1" t="s">
        <v>5679</v>
      </c>
      <c r="J4527" s="1" t="s">
        <v>4052</v>
      </c>
      <c r="L4527" s="1" t="s">
        <v>4053</v>
      </c>
      <c r="N4527" s="1" t="s">
        <v>549</v>
      </c>
      <c r="P4527" s="1" t="s">
        <v>4009</v>
      </c>
      <c r="Q4527" s="3">
        <v>0</v>
      </c>
      <c r="R4527" s="22" t="s">
        <v>2722</v>
      </c>
      <c r="S4527" s="42" t="s">
        <v>6912</v>
      </c>
      <c r="T4527" s="3" t="s">
        <v>4868</v>
      </c>
      <c r="U4527" s="45">
        <v>35</v>
      </c>
      <c r="V4527" t="s">
        <v>8191</v>
      </c>
      <c r="W4527" s="1" t="str">
        <f>HYPERLINK("http://ictvonline.org/taxonomy/p/taxonomy-history?taxnode_id=201900017","ICTVonline=201900017")</f>
        <v>ICTVonline=201900017</v>
      </c>
    </row>
    <row r="4528" spans="1:23">
      <c r="A4528" s="3">
        <v>4527</v>
      </c>
      <c r="B4528" s="1" t="s">
        <v>5910</v>
      </c>
      <c r="D4528" s="1" t="s">
        <v>8187</v>
      </c>
      <c r="F4528" s="1" t="s">
        <v>5588</v>
      </c>
      <c r="G4528" s="1" t="s">
        <v>5678</v>
      </c>
      <c r="H4528" s="1" t="s">
        <v>5679</v>
      </c>
      <c r="J4528" s="1" t="s">
        <v>4052</v>
      </c>
      <c r="L4528" s="1" t="s">
        <v>4054</v>
      </c>
      <c r="M4528" s="1" t="s">
        <v>5992</v>
      </c>
      <c r="N4528" s="1" t="s">
        <v>5993</v>
      </c>
      <c r="P4528" s="1" t="s">
        <v>5994</v>
      </c>
      <c r="Q4528" s="3">
        <v>1</v>
      </c>
      <c r="R4528" s="22" t="s">
        <v>2722</v>
      </c>
      <c r="S4528" s="42" t="s">
        <v>6912</v>
      </c>
      <c r="T4528" s="3" t="s">
        <v>4868</v>
      </c>
      <c r="U4528" s="45">
        <v>35</v>
      </c>
      <c r="V4528" t="s">
        <v>8191</v>
      </c>
      <c r="W4528" s="1" t="str">
        <f>HYPERLINK("http://ictvonline.org/taxonomy/p/taxonomy-history?taxnode_id=201906428","ICTVonline=201906428")</f>
        <v>ICTVonline=201906428</v>
      </c>
    </row>
    <row r="4529" spans="1:23">
      <c r="A4529" s="3">
        <v>4528</v>
      </c>
      <c r="B4529" s="1" t="s">
        <v>5910</v>
      </c>
      <c r="D4529" s="1" t="s">
        <v>8187</v>
      </c>
      <c r="F4529" s="1" t="s">
        <v>5588</v>
      </c>
      <c r="G4529" s="1" t="s">
        <v>5678</v>
      </c>
      <c r="H4529" s="1" t="s">
        <v>5679</v>
      </c>
      <c r="J4529" s="1" t="s">
        <v>4052</v>
      </c>
      <c r="L4529" s="1" t="s">
        <v>4054</v>
      </c>
      <c r="M4529" s="1" t="s">
        <v>5992</v>
      </c>
      <c r="N4529" s="1" t="s">
        <v>5993</v>
      </c>
      <c r="P4529" s="1" t="s">
        <v>5995</v>
      </c>
      <c r="Q4529" s="3">
        <v>0</v>
      </c>
      <c r="R4529" s="22" t="s">
        <v>2722</v>
      </c>
      <c r="S4529" s="42" t="s">
        <v>6912</v>
      </c>
      <c r="T4529" s="3" t="s">
        <v>4868</v>
      </c>
      <c r="U4529" s="45">
        <v>35</v>
      </c>
      <c r="V4529" t="s">
        <v>8191</v>
      </c>
      <c r="W4529" s="1" t="str">
        <f>HYPERLINK("http://ictvonline.org/taxonomy/p/taxonomy-history?taxnode_id=201906430","ICTVonline=201906430")</f>
        <v>ICTVonline=201906430</v>
      </c>
    </row>
    <row r="4530" spans="1:23">
      <c r="A4530" s="3">
        <v>4529</v>
      </c>
      <c r="B4530" s="1" t="s">
        <v>5910</v>
      </c>
      <c r="D4530" s="1" t="s">
        <v>8187</v>
      </c>
      <c r="F4530" s="1" t="s">
        <v>5588</v>
      </c>
      <c r="G4530" s="1" t="s">
        <v>5678</v>
      </c>
      <c r="H4530" s="1" t="s">
        <v>5679</v>
      </c>
      <c r="J4530" s="1" t="s">
        <v>4052</v>
      </c>
      <c r="L4530" s="1" t="s">
        <v>4054</v>
      </c>
      <c r="M4530" s="1" t="s">
        <v>5992</v>
      </c>
      <c r="N4530" s="1" t="s">
        <v>5993</v>
      </c>
      <c r="P4530" s="1" t="s">
        <v>5996</v>
      </c>
      <c r="Q4530" s="3">
        <v>0</v>
      </c>
      <c r="R4530" s="22" t="s">
        <v>2722</v>
      </c>
      <c r="S4530" s="42" t="s">
        <v>6912</v>
      </c>
      <c r="T4530" s="3" t="s">
        <v>4868</v>
      </c>
      <c r="U4530" s="45">
        <v>35</v>
      </c>
      <c r="V4530" t="s">
        <v>8191</v>
      </c>
      <c r="W4530" s="1" t="str">
        <f>HYPERLINK("http://ictvonline.org/taxonomy/p/taxonomy-history?taxnode_id=201906429","ICTVonline=201906429")</f>
        <v>ICTVonline=201906429</v>
      </c>
    </row>
    <row r="4531" spans="1:23">
      <c r="A4531" s="3">
        <v>4530</v>
      </c>
      <c r="B4531" s="1" t="s">
        <v>5910</v>
      </c>
      <c r="D4531" s="1" t="s">
        <v>8187</v>
      </c>
      <c r="F4531" s="1" t="s">
        <v>5588</v>
      </c>
      <c r="G4531" s="1" t="s">
        <v>5678</v>
      </c>
      <c r="H4531" s="1" t="s">
        <v>5679</v>
      </c>
      <c r="J4531" s="1" t="s">
        <v>4052</v>
      </c>
      <c r="L4531" s="1" t="s">
        <v>4054</v>
      </c>
      <c r="M4531" s="1" t="s">
        <v>5997</v>
      </c>
      <c r="N4531" s="1" t="s">
        <v>5998</v>
      </c>
      <c r="P4531" s="1" t="s">
        <v>5999</v>
      </c>
      <c r="Q4531" s="3">
        <v>1</v>
      </c>
      <c r="R4531" s="22" t="s">
        <v>2722</v>
      </c>
      <c r="S4531" s="42" t="s">
        <v>6912</v>
      </c>
      <c r="T4531" s="3" t="s">
        <v>4868</v>
      </c>
      <c r="U4531" s="45">
        <v>35</v>
      </c>
      <c r="V4531" t="s">
        <v>8191</v>
      </c>
      <c r="W4531" s="1" t="str">
        <f>HYPERLINK("http://ictvonline.org/taxonomy/p/taxonomy-history?taxnode_id=201906433","ICTVonline=201906433")</f>
        <v>ICTVonline=201906433</v>
      </c>
    </row>
    <row r="4532" spans="1:23">
      <c r="A4532" s="3">
        <v>4531</v>
      </c>
      <c r="B4532" s="1" t="s">
        <v>5910</v>
      </c>
      <c r="D4532" s="1" t="s">
        <v>8187</v>
      </c>
      <c r="F4532" s="1" t="s">
        <v>5588</v>
      </c>
      <c r="G4532" s="1" t="s">
        <v>5678</v>
      </c>
      <c r="H4532" s="1" t="s">
        <v>5679</v>
      </c>
      <c r="J4532" s="1" t="s">
        <v>4052</v>
      </c>
      <c r="L4532" s="1" t="s">
        <v>4054</v>
      </c>
      <c r="M4532" s="1" t="s">
        <v>6000</v>
      </c>
      <c r="N4532" s="1" t="s">
        <v>5683</v>
      </c>
      <c r="P4532" s="1" t="s">
        <v>8380</v>
      </c>
      <c r="Q4532" s="3">
        <v>0</v>
      </c>
      <c r="R4532" s="22" t="s">
        <v>2722</v>
      </c>
      <c r="S4532" s="42" t="s">
        <v>6912</v>
      </c>
      <c r="T4532" s="3" t="s">
        <v>4866</v>
      </c>
      <c r="U4532" s="45">
        <v>35</v>
      </c>
      <c r="V4532" t="s">
        <v>8381</v>
      </c>
      <c r="W4532" s="1" t="str">
        <f>HYPERLINK("http://ictvonline.org/taxonomy/p/taxonomy-history?taxnode_id=201907442","ICTVonline=201907442")</f>
        <v>ICTVonline=201907442</v>
      </c>
    </row>
    <row r="4533" spans="1:23">
      <c r="A4533" s="3">
        <v>4532</v>
      </c>
      <c r="B4533" s="1" t="s">
        <v>5910</v>
      </c>
      <c r="D4533" s="1" t="s">
        <v>8187</v>
      </c>
      <c r="F4533" s="1" t="s">
        <v>5588</v>
      </c>
      <c r="G4533" s="1" t="s">
        <v>5678</v>
      </c>
      <c r="H4533" s="1" t="s">
        <v>5679</v>
      </c>
      <c r="J4533" s="1" t="s">
        <v>4052</v>
      </c>
      <c r="L4533" s="1" t="s">
        <v>4054</v>
      </c>
      <c r="M4533" s="1" t="s">
        <v>6000</v>
      </c>
      <c r="N4533" s="1" t="s">
        <v>5683</v>
      </c>
      <c r="P4533" s="1" t="s">
        <v>5684</v>
      </c>
      <c r="Q4533" s="3">
        <v>1</v>
      </c>
      <c r="R4533" s="22" t="s">
        <v>2722</v>
      </c>
      <c r="S4533" s="42" t="s">
        <v>6912</v>
      </c>
      <c r="T4533" s="3" t="s">
        <v>4868</v>
      </c>
      <c r="U4533" s="45">
        <v>35</v>
      </c>
      <c r="V4533" t="s">
        <v>8191</v>
      </c>
      <c r="W4533" s="1" t="str">
        <f>HYPERLINK("http://ictvonline.org/taxonomy/p/taxonomy-history?taxnode_id=201900044","ICTVonline=201900044")</f>
        <v>ICTVonline=201900044</v>
      </c>
    </row>
    <row r="4534" spans="1:23">
      <c r="A4534" s="3">
        <v>4533</v>
      </c>
      <c r="B4534" s="1" t="s">
        <v>5910</v>
      </c>
      <c r="D4534" s="1" t="s">
        <v>8187</v>
      </c>
      <c r="F4534" s="1" t="s">
        <v>5588</v>
      </c>
      <c r="G4534" s="1" t="s">
        <v>5678</v>
      </c>
      <c r="H4534" s="1" t="s">
        <v>5679</v>
      </c>
      <c r="J4534" s="1" t="s">
        <v>4052</v>
      </c>
      <c r="L4534" s="1" t="s">
        <v>4054</v>
      </c>
      <c r="M4534" s="1" t="s">
        <v>6000</v>
      </c>
      <c r="N4534" s="1" t="s">
        <v>5685</v>
      </c>
      <c r="P4534" s="1" t="s">
        <v>5686</v>
      </c>
      <c r="Q4534" s="3">
        <v>0</v>
      </c>
      <c r="R4534" s="22" t="s">
        <v>2722</v>
      </c>
      <c r="S4534" s="42" t="s">
        <v>6912</v>
      </c>
      <c r="T4534" s="3" t="s">
        <v>4868</v>
      </c>
      <c r="U4534" s="45">
        <v>35</v>
      </c>
      <c r="V4534" t="s">
        <v>8191</v>
      </c>
      <c r="W4534" s="1" t="str">
        <f>HYPERLINK("http://ictvonline.org/taxonomy/p/taxonomy-history?taxnode_id=201900043","ICTVonline=201900043")</f>
        <v>ICTVonline=201900043</v>
      </c>
    </row>
    <row r="4535" spans="1:23">
      <c r="A4535" s="3">
        <v>4534</v>
      </c>
      <c r="B4535" s="1" t="s">
        <v>5910</v>
      </c>
      <c r="D4535" s="1" t="s">
        <v>8187</v>
      </c>
      <c r="F4535" s="1" t="s">
        <v>5588</v>
      </c>
      <c r="G4535" s="1" t="s">
        <v>5678</v>
      </c>
      <c r="H4535" s="1" t="s">
        <v>5679</v>
      </c>
      <c r="J4535" s="1" t="s">
        <v>4052</v>
      </c>
      <c r="L4535" s="1" t="s">
        <v>4054</v>
      </c>
      <c r="M4535" s="1" t="s">
        <v>6000</v>
      </c>
      <c r="N4535" s="1" t="s">
        <v>5685</v>
      </c>
      <c r="P4535" s="1" t="s">
        <v>5687</v>
      </c>
      <c r="Q4535" s="3">
        <v>1</v>
      </c>
      <c r="R4535" s="22" t="s">
        <v>2722</v>
      </c>
      <c r="S4535" s="42" t="s">
        <v>6912</v>
      </c>
      <c r="T4535" s="3" t="s">
        <v>4868</v>
      </c>
      <c r="U4535" s="45">
        <v>35</v>
      </c>
      <c r="V4535" t="s">
        <v>8191</v>
      </c>
      <c r="W4535" s="1" t="str">
        <f>HYPERLINK("http://ictvonline.org/taxonomy/p/taxonomy-history?taxnode_id=201900049","ICTVonline=201900049")</f>
        <v>ICTVonline=201900049</v>
      </c>
    </row>
    <row r="4536" spans="1:23">
      <c r="A4536" s="3">
        <v>4535</v>
      </c>
      <c r="B4536" s="1" t="s">
        <v>5910</v>
      </c>
      <c r="D4536" s="1" t="s">
        <v>8187</v>
      </c>
      <c r="F4536" s="1" t="s">
        <v>5588</v>
      </c>
      <c r="G4536" s="1" t="s">
        <v>5678</v>
      </c>
      <c r="H4536" s="1" t="s">
        <v>5679</v>
      </c>
      <c r="J4536" s="1" t="s">
        <v>4052</v>
      </c>
      <c r="L4536" s="1" t="s">
        <v>4054</v>
      </c>
      <c r="M4536" s="1" t="s">
        <v>6000</v>
      </c>
      <c r="N4536" s="1" t="s">
        <v>5685</v>
      </c>
      <c r="P4536" s="1" t="s">
        <v>5688</v>
      </c>
      <c r="Q4536" s="3">
        <v>0</v>
      </c>
      <c r="R4536" s="22" t="s">
        <v>2722</v>
      </c>
      <c r="S4536" s="42" t="s">
        <v>6912</v>
      </c>
      <c r="T4536" s="3" t="s">
        <v>4868</v>
      </c>
      <c r="U4536" s="45">
        <v>35</v>
      </c>
      <c r="V4536" t="s">
        <v>8191</v>
      </c>
      <c r="W4536" s="1" t="str">
        <f>HYPERLINK("http://ictvonline.org/taxonomy/p/taxonomy-history?taxnode_id=201900053","ICTVonline=201900053")</f>
        <v>ICTVonline=201900053</v>
      </c>
    </row>
    <row r="4537" spans="1:23">
      <c r="A4537" s="3">
        <v>4536</v>
      </c>
      <c r="B4537" s="1" t="s">
        <v>5910</v>
      </c>
      <c r="D4537" s="1" t="s">
        <v>8187</v>
      </c>
      <c r="F4537" s="1" t="s">
        <v>5588</v>
      </c>
      <c r="G4537" s="1" t="s">
        <v>5678</v>
      </c>
      <c r="H4537" s="1" t="s">
        <v>5679</v>
      </c>
      <c r="J4537" s="1" t="s">
        <v>4052</v>
      </c>
      <c r="L4537" s="1" t="s">
        <v>4054</v>
      </c>
      <c r="M4537" s="1" t="s">
        <v>6000</v>
      </c>
      <c r="N4537" s="1" t="s">
        <v>4055</v>
      </c>
      <c r="P4537" s="1" t="s">
        <v>4010</v>
      </c>
      <c r="Q4537" s="3">
        <v>0</v>
      </c>
      <c r="R4537" s="22" t="s">
        <v>2722</v>
      </c>
      <c r="S4537" s="42" t="s">
        <v>6912</v>
      </c>
      <c r="T4537" s="3" t="s">
        <v>4868</v>
      </c>
      <c r="U4537" s="45">
        <v>35</v>
      </c>
      <c r="V4537" t="s">
        <v>8191</v>
      </c>
      <c r="W4537" s="1" t="str">
        <f>HYPERLINK("http://ictvonline.org/taxonomy/p/taxonomy-history?taxnode_id=201900022","ICTVonline=201900022")</f>
        <v>ICTVonline=201900022</v>
      </c>
    </row>
    <row r="4538" spans="1:23">
      <c r="A4538" s="3">
        <v>4537</v>
      </c>
      <c r="B4538" s="1" t="s">
        <v>5910</v>
      </c>
      <c r="D4538" s="1" t="s">
        <v>8187</v>
      </c>
      <c r="F4538" s="1" t="s">
        <v>5588</v>
      </c>
      <c r="G4538" s="1" t="s">
        <v>5678</v>
      </c>
      <c r="H4538" s="1" t="s">
        <v>5679</v>
      </c>
      <c r="J4538" s="1" t="s">
        <v>4052</v>
      </c>
      <c r="L4538" s="1" t="s">
        <v>4054</v>
      </c>
      <c r="M4538" s="1" t="s">
        <v>6000</v>
      </c>
      <c r="N4538" s="1" t="s">
        <v>4055</v>
      </c>
      <c r="P4538" s="1" t="s">
        <v>4090</v>
      </c>
      <c r="Q4538" s="3">
        <v>0</v>
      </c>
      <c r="R4538" s="22" t="s">
        <v>2722</v>
      </c>
      <c r="S4538" s="42" t="s">
        <v>6912</v>
      </c>
      <c r="T4538" s="3" t="s">
        <v>4868</v>
      </c>
      <c r="U4538" s="45">
        <v>35</v>
      </c>
      <c r="V4538" t="s">
        <v>8191</v>
      </c>
      <c r="W4538" s="1" t="str">
        <f>HYPERLINK("http://ictvonline.org/taxonomy/p/taxonomy-history?taxnode_id=201900023","ICTVonline=201900023")</f>
        <v>ICTVonline=201900023</v>
      </c>
    </row>
    <row r="4539" spans="1:23">
      <c r="A4539" s="3">
        <v>4538</v>
      </c>
      <c r="B4539" s="1" t="s">
        <v>5910</v>
      </c>
      <c r="D4539" s="1" t="s">
        <v>8187</v>
      </c>
      <c r="F4539" s="1" t="s">
        <v>5588</v>
      </c>
      <c r="G4539" s="1" t="s">
        <v>5678</v>
      </c>
      <c r="H4539" s="1" t="s">
        <v>5679</v>
      </c>
      <c r="J4539" s="1" t="s">
        <v>4052</v>
      </c>
      <c r="L4539" s="1" t="s">
        <v>4054</v>
      </c>
      <c r="M4539" s="1" t="s">
        <v>6000</v>
      </c>
      <c r="N4539" s="1" t="s">
        <v>4055</v>
      </c>
      <c r="P4539" s="1" t="s">
        <v>4091</v>
      </c>
      <c r="Q4539" s="3">
        <v>0</v>
      </c>
      <c r="R4539" s="22" t="s">
        <v>2722</v>
      </c>
      <c r="S4539" s="42" t="s">
        <v>6912</v>
      </c>
      <c r="T4539" s="3" t="s">
        <v>4868</v>
      </c>
      <c r="U4539" s="45">
        <v>35</v>
      </c>
      <c r="V4539" t="s">
        <v>8191</v>
      </c>
      <c r="W4539" s="1" t="str">
        <f>HYPERLINK("http://ictvonline.org/taxonomy/p/taxonomy-history?taxnode_id=201900024","ICTVonline=201900024")</f>
        <v>ICTVonline=201900024</v>
      </c>
    </row>
    <row r="4540" spans="1:23">
      <c r="A4540" s="3">
        <v>4539</v>
      </c>
      <c r="B4540" s="1" t="s">
        <v>5910</v>
      </c>
      <c r="D4540" s="1" t="s">
        <v>8187</v>
      </c>
      <c r="F4540" s="1" t="s">
        <v>5588</v>
      </c>
      <c r="G4540" s="1" t="s">
        <v>5678</v>
      </c>
      <c r="H4540" s="1" t="s">
        <v>5679</v>
      </c>
      <c r="J4540" s="1" t="s">
        <v>4052</v>
      </c>
      <c r="L4540" s="1" t="s">
        <v>4054</v>
      </c>
      <c r="M4540" s="1" t="s">
        <v>6000</v>
      </c>
      <c r="N4540" s="1" t="s">
        <v>4055</v>
      </c>
      <c r="P4540" s="1" t="s">
        <v>4011</v>
      </c>
      <c r="Q4540" s="3">
        <v>0</v>
      </c>
      <c r="R4540" s="22" t="s">
        <v>2722</v>
      </c>
      <c r="S4540" s="42" t="s">
        <v>6912</v>
      </c>
      <c r="T4540" s="3" t="s">
        <v>4868</v>
      </c>
      <c r="U4540" s="45">
        <v>35</v>
      </c>
      <c r="V4540" t="s">
        <v>8191</v>
      </c>
      <c r="W4540" s="1" t="str">
        <f>HYPERLINK("http://ictvonline.org/taxonomy/p/taxonomy-history?taxnode_id=201900025","ICTVonline=201900025")</f>
        <v>ICTVonline=201900025</v>
      </c>
    </row>
    <row r="4541" spans="1:23">
      <c r="A4541" s="3">
        <v>4540</v>
      </c>
      <c r="B4541" s="1" t="s">
        <v>5910</v>
      </c>
      <c r="D4541" s="1" t="s">
        <v>8187</v>
      </c>
      <c r="F4541" s="1" t="s">
        <v>5588</v>
      </c>
      <c r="G4541" s="1" t="s">
        <v>5678</v>
      </c>
      <c r="H4541" s="1" t="s">
        <v>5679</v>
      </c>
      <c r="J4541" s="1" t="s">
        <v>4052</v>
      </c>
      <c r="L4541" s="1" t="s">
        <v>4054</v>
      </c>
      <c r="M4541" s="1" t="s">
        <v>6000</v>
      </c>
      <c r="N4541" s="1" t="s">
        <v>4055</v>
      </c>
      <c r="P4541" s="1" t="s">
        <v>4012</v>
      </c>
      <c r="Q4541" s="3">
        <v>0</v>
      </c>
      <c r="R4541" s="22" t="s">
        <v>2722</v>
      </c>
      <c r="S4541" s="42" t="s">
        <v>6912</v>
      </c>
      <c r="T4541" s="3" t="s">
        <v>4868</v>
      </c>
      <c r="U4541" s="45">
        <v>35</v>
      </c>
      <c r="V4541" t="s">
        <v>8191</v>
      </c>
      <c r="W4541" s="1" t="str">
        <f>HYPERLINK("http://ictvonline.org/taxonomy/p/taxonomy-history?taxnode_id=201900026","ICTVonline=201900026")</f>
        <v>ICTVonline=201900026</v>
      </c>
    </row>
    <row r="4542" spans="1:23">
      <c r="A4542" s="3">
        <v>4541</v>
      </c>
      <c r="B4542" s="1" t="s">
        <v>5910</v>
      </c>
      <c r="D4542" s="1" t="s">
        <v>8187</v>
      </c>
      <c r="F4542" s="1" t="s">
        <v>5588</v>
      </c>
      <c r="G4542" s="1" t="s">
        <v>5678</v>
      </c>
      <c r="H4542" s="1" t="s">
        <v>5679</v>
      </c>
      <c r="J4542" s="1" t="s">
        <v>4052</v>
      </c>
      <c r="L4542" s="1" t="s">
        <v>4054</v>
      </c>
      <c r="M4542" s="1" t="s">
        <v>6000</v>
      </c>
      <c r="N4542" s="1" t="s">
        <v>4055</v>
      </c>
      <c r="P4542" s="1" t="s">
        <v>4092</v>
      </c>
      <c r="Q4542" s="3">
        <v>0</v>
      </c>
      <c r="R4542" s="22" t="s">
        <v>2722</v>
      </c>
      <c r="S4542" s="42" t="s">
        <v>6912</v>
      </c>
      <c r="T4542" s="3" t="s">
        <v>4868</v>
      </c>
      <c r="U4542" s="45">
        <v>35</v>
      </c>
      <c r="V4542" t="s">
        <v>8191</v>
      </c>
      <c r="W4542" s="1" t="str">
        <f>HYPERLINK("http://ictvonline.org/taxonomy/p/taxonomy-history?taxnode_id=201900027","ICTVonline=201900027")</f>
        <v>ICTVonline=201900027</v>
      </c>
    </row>
    <row r="4543" spans="1:23">
      <c r="A4543" s="3">
        <v>4542</v>
      </c>
      <c r="B4543" s="1" t="s">
        <v>5910</v>
      </c>
      <c r="D4543" s="1" t="s">
        <v>8187</v>
      </c>
      <c r="F4543" s="1" t="s">
        <v>5588</v>
      </c>
      <c r="G4543" s="1" t="s">
        <v>5678</v>
      </c>
      <c r="H4543" s="1" t="s">
        <v>5679</v>
      </c>
      <c r="J4543" s="1" t="s">
        <v>4052</v>
      </c>
      <c r="L4543" s="1" t="s">
        <v>4054</v>
      </c>
      <c r="M4543" s="1" t="s">
        <v>6000</v>
      </c>
      <c r="N4543" s="1" t="s">
        <v>4055</v>
      </c>
      <c r="P4543" s="1" t="s">
        <v>4093</v>
      </c>
      <c r="Q4543" s="3">
        <v>0</v>
      </c>
      <c r="R4543" s="22" t="s">
        <v>2722</v>
      </c>
      <c r="S4543" s="42" t="s">
        <v>6912</v>
      </c>
      <c r="T4543" s="3" t="s">
        <v>4868</v>
      </c>
      <c r="U4543" s="45">
        <v>35</v>
      </c>
      <c r="V4543" t="s">
        <v>8191</v>
      </c>
      <c r="W4543" s="1" t="str">
        <f>HYPERLINK("http://ictvonline.org/taxonomy/p/taxonomy-history?taxnode_id=201900028","ICTVonline=201900028")</f>
        <v>ICTVonline=201900028</v>
      </c>
    </row>
    <row r="4544" spans="1:23">
      <c r="A4544" s="3">
        <v>4543</v>
      </c>
      <c r="B4544" s="1" t="s">
        <v>5910</v>
      </c>
      <c r="D4544" s="1" t="s">
        <v>8187</v>
      </c>
      <c r="F4544" s="1" t="s">
        <v>5588</v>
      </c>
      <c r="G4544" s="1" t="s">
        <v>5678</v>
      </c>
      <c r="H4544" s="1" t="s">
        <v>5679</v>
      </c>
      <c r="J4544" s="1" t="s">
        <v>4052</v>
      </c>
      <c r="L4544" s="1" t="s">
        <v>4054</v>
      </c>
      <c r="M4544" s="1" t="s">
        <v>6000</v>
      </c>
      <c r="N4544" s="1" t="s">
        <v>4055</v>
      </c>
      <c r="P4544" s="1" t="s">
        <v>4013</v>
      </c>
      <c r="Q4544" s="3">
        <v>0</v>
      </c>
      <c r="R4544" s="22" t="s">
        <v>2722</v>
      </c>
      <c r="S4544" s="42" t="s">
        <v>6912</v>
      </c>
      <c r="T4544" s="3" t="s">
        <v>4868</v>
      </c>
      <c r="U4544" s="45">
        <v>35</v>
      </c>
      <c r="V4544" t="s">
        <v>8191</v>
      </c>
      <c r="W4544" s="1" t="str">
        <f>HYPERLINK("http://ictvonline.org/taxonomy/p/taxonomy-history?taxnode_id=201900029","ICTVonline=201900029")</f>
        <v>ICTVonline=201900029</v>
      </c>
    </row>
    <row r="4545" spans="1:23">
      <c r="A4545" s="3">
        <v>4544</v>
      </c>
      <c r="B4545" s="1" t="s">
        <v>5910</v>
      </c>
      <c r="D4545" s="1" t="s">
        <v>8187</v>
      </c>
      <c r="F4545" s="1" t="s">
        <v>5588</v>
      </c>
      <c r="G4545" s="1" t="s">
        <v>5678</v>
      </c>
      <c r="H4545" s="1" t="s">
        <v>5679</v>
      </c>
      <c r="J4545" s="1" t="s">
        <v>4052</v>
      </c>
      <c r="L4545" s="1" t="s">
        <v>4054</v>
      </c>
      <c r="M4545" s="1" t="s">
        <v>6000</v>
      </c>
      <c r="N4545" s="1" t="s">
        <v>4055</v>
      </c>
      <c r="P4545" s="1" t="s">
        <v>4094</v>
      </c>
      <c r="Q4545" s="3">
        <v>0</v>
      </c>
      <c r="R4545" s="22" t="s">
        <v>2722</v>
      </c>
      <c r="S4545" s="42" t="s">
        <v>6912</v>
      </c>
      <c r="T4545" s="3" t="s">
        <v>4868</v>
      </c>
      <c r="U4545" s="45">
        <v>35</v>
      </c>
      <c r="V4545" t="s">
        <v>8191</v>
      </c>
      <c r="W4545" s="1" t="str">
        <f>HYPERLINK("http://ictvonline.org/taxonomy/p/taxonomy-history?taxnode_id=201900030","ICTVonline=201900030")</f>
        <v>ICTVonline=201900030</v>
      </c>
    </row>
    <row r="4546" spans="1:23">
      <c r="A4546" s="3">
        <v>4545</v>
      </c>
      <c r="B4546" s="1" t="s">
        <v>5910</v>
      </c>
      <c r="D4546" s="1" t="s">
        <v>8187</v>
      </c>
      <c r="F4546" s="1" t="s">
        <v>5588</v>
      </c>
      <c r="G4546" s="1" t="s">
        <v>5678</v>
      </c>
      <c r="H4546" s="1" t="s">
        <v>5679</v>
      </c>
      <c r="J4546" s="1" t="s">
        <v>4052</v>
      </c>
      <c r="L4546" s="1" t="s">
        <v>4054</v>
      </c>
      <c r="M4546" s="1" t="s">
        <v>6000</v>
      </c>
      <c r="N4546" s="1" t="s">
        <v>4055</v>
      </c>
      <c r="P4546" s="1" t="s">
        <v>4095</v>
      </c>
      <c r="Q4546" s="3">
        <v>0</v>
      </c>
      <c r="R4546" s="22" t="s">
        <v>2722</v>
      </c>
      <c r="S4546" s="42" t="s">
        <v>6912</v>
      </c>
      <c r="T4546" s="3" t="s">
        <v>4868</v>
      </c>
      <c r="U4546" s="45">
        <v>35</v>
      </c>
      <c r="V4546" t="s">
        <v>8191</v>
      </c>
      <c r="W4546" s="1" t="str">
        <f>HYPERLINK("http://ictvonline.org/taxonomy/p/taxonomy-history?taxnode_id=201900031","ICTVonline=201900031")</f>
        <v>ICTVonline=201900031</v>
      </c>
    </row>
    <row r="4547" spans="1:23">
      <c r="A4547" s="3">
        <v>4546</v>
      </c>
      <c r="B4547" s="1" t="s">
        <v>5910</v>
      </c>
      <c r="D4547" s="1" t="s">
        <v>8187</v>
      </c>
      <c r="F4547" s="1" t="s">
        <v>5588</v>
      </c>
      <c r="G4547" s="1" t="s">
        <v>5678</v>
      </c>
      <c r="H4547" s="1" t="s">
        <v>5679</v>
      </c>
      <c r="J4547" s="1" t="s">
        <v>4052</v>
      </c>
      <c r="L4547" s="1" t="s">
        <v>4054</v>
      </c>
      <c r="M4547" s="1" t="s">
        <v>6000</v>
      </c>
      <c r="N4547" s="1" t="s">
        <v>4055</v>
      </c>
      <c r="P4547" s="1" t="s">
        <v>4096</v>
      </c>
      <c r="Q4547" s="3">
        <v>0</v>
      </c>
      <c r="R4547" s="22" t="s">
        <v>2722</v>
      </c>
      <c r="S4547" s="42" t="s">
        <v>6912</v>
      </c>
      <c r="T4547" s="3" t="s">
        <v>4868</v>
      </c>
      <c r="U4547" s="45">
        <v>35</v>
      </c>
      <c r="V4547" t="s">
        <v>8191</v>
      </c>
      <c r="W4547" s="1" t="str">
        <f>HYPERLINK("http://ictvonline.org/taxonomy/p/taxonomy-history?taxnode_id=201900032","ICTVonline=201900032")</f>
        <v>ICTVonline=201900032</v>
      </c>
    </row>
    <row r="4548" spans="1:23">
      <c r="A4548" s="3">
        <v>4547</v>
      </c>
      <c r="B4548" s="1" t="s">
        <v>5910</v>
      </c>
      <c r="D4548" s="1" t="s">
        <v>8187</v>
      </c>
      <c r="F4548" s="1" t="s">
        <v>5588</v>
      </c>
      <c r="G4548" s="1" t="s">
        <v>5678</v>
      </c>
      <c r="H4548" s="1" t="s">
        <v>5679</v>
      </c>
      <c r="J4548" s="1" t="s">
        <v>4052</v>
      </c>
      <c r="L4548" s="1" t="s">
        <v>4054</v>
      </c>
      <c r="M4548" s="1" t="s">
        <v>6000</v>
      </c>
      <c r="N4548" s="1" t="s">
        <v>4055</v>
      </c>
      <c r="P4548" s="1" t="s">
        <v>4014</v>
      </c>
      <c r="Q4548" s="3">
        <v>0</v>
      </c>
      <c r="R4548" s="22" t="s">
        <v>2722</v>
      </c>
      <c r="S4548" s="42" t="s">
        <v>6912</v>
      </c>
      <c r="T4548" s="3" t="s">
        <v>4868</v>
      </c>
      <c r="U4548" s="45">
        <v>35</v>
      </c>
      <c r="V4548" t="s">
        <v>8191</v>
      </c>
      <c r="W4548" s="1" t="str">
        <f>HYPERLINK("http://ictvonline.org/taxonomy/p/taxonomy-history?taxnode_id=201900033","ICTVonline=201900033")</f>
        <v>ICTVonline=201900033</v>
      </c>
    </row>
    <row r="4549" spans="1:23">
      <c r="A4549" s="3">
        <v>4548</v>
      </c>
      <c r="B4549" s="1" t="s">
        <v>5910</v>
      </c>
      <c r="D4549" s="1" t="s">
        <v>8187</v>
      </c>
      <c r="F4549" s="1" t="s">
        <v>5588</v>
      </c>
      <c r="G4549" s="1" t="s">
        <v>5678</v>
      </c>
      <c r="H4549" s="1" t="s">
        <v>5679</v>
      </c>
      <c r="J4549" s="1" t="s">
        <v>4052</v>
      </c>
      <c r="L4549" s="1" t="s">
        <v>4054</v>
      </c>
      <c r="M4549" s="1" t="s">
        <v>6000</v>
      </c>
      <c r="N4549" s="1" t="s">
        <v>4055</v>
      </c>
      <c r="P4549" s="1" t="s">
        <v>4015</v>
      </c>
      <c r="Q4549" s="3">
        <v>0</v>
      </c>
      <c r="R4549" s="22" t="s">
        <v>2722</v>
      </c>
      <c r="S4549" s="42" t="s">
        <v>6912</v>
      </c>
      <c r="T4549" s="3" t="s">
        <v>4868</v>
      </c>
      <c r="U4549" s="45">
        <v>35</v>
      </c>
      <c r="V4549" t="s">
        <v>8191</v>
      </c>
      <c r="W4549" s="1" t="str">
        <f>HYPERLINK("http://ictvonline.org/taxonomy/p/taxonomy-history?taxnode_id=201900034","ICTVonline=201900034")</f>
        <v>ICTVonline=201900034</v>
      </c>
    </row>
    <row r="4550" spans="1:23">
      <c r="A4550" s="3">
        <v>4549</v>
      </c>
      <c r="B4550" s="1" t="s">
        <v>5910</v>
      </c>
      <c r="D4550" s="1" t="s">
        <v>8187</v>
      </c>
      <c r="F4550" s="1" t="s">
        <v>5588</v>
      </c>
      <c r="G4550" s="1" t="s">
        <v>5678</v>
      </c>
      <c r="H4550" s="1" t="s">
        <v>5679</v>
      </c>
      <c r="J4550" s="1" t="s">
        <v>4052</v>
      </c>
      <c r="L4550" s="1" t="s">
        <v>4054</v>
      </c>
      <c r="M4550" s="1" t="s">
        <v>6000</v>
      </c>
      <c r="N4550" s="1" t="s">
        <v>4055</v>
      </c>
      <c r="P4550" s="1" t="s">
        <v>4097</v>
      </c>
      <c r="Q4550" s="3">
        <v>0</v>
      </c>
      <c r="R4550" s="22" t="s">
        <v>2722</v>
      </c>
      <c r="S4550" s="42" t="s">
        <v>6912</v>
      </c>
      <c r="T4550" s="3" t="s">
        <v>4868</v>
      </c>
      <c r="U4550" s="45">
        <v>35</v>
      </c>
      <c r="V4550" t="s">
        <v>8191</v>
      </c>
      <c r="W4550" s="1" t="str">
        <f>HYPERLINK("http://ictvonline.org/taxonomy/p/taxonomy-history?taxnode_id=201900035","ICTVonline=201900035")</f>
        <v>ICTVonline=201900035</v>
      </c>
    </row>
    <row r="4551" spans="1:23">
      <c r="A4551" s="3">
        <v>4550</v>
      </c>
      <c r="B4551" s="1" t="s">
        <v>5910</v>
      </c>
      <c r="D4551" s="1" t="s">
        <v>8187</v>
      </c>
      <c r="F4551" s="1" t="s">
        <v>5588</v>
      </c>
      <c r="G4551" s="1" t="s">
        <v>5678</v>
      </c>
      <c r="H4551" s="1" t="s">
        <v>5679</v>
      </c>
      <c r="J4551" s="1" t="s">
        <v>4052</v>
      </c>
      <c r="L4551" s="1" t="s">
        <v>4054</v>
      </c>
      <c r="M4551" s="1" t="s">
        <v>6000</v>
      </c>
      <c r="N4551" s="1" t="s">
        <v>4055</v>
      </c>
      <c r="P4551" s="1" t="s">
        <v>4098</v>
      </c>
      <c r="Q4551" s="3">
        <v>0</v>
      </c>
      <c r="R4551" s="22" t="s">
        <v>2722</v>
      </c>
      <c r="S4551" s="42" t="s">
        <v>6912</v>
      </c>
      <c r="T4551" s="3" t="s">
        <v>4868</v>
      </c>
      <c r="U4551" s="45">
        <v>35</v>
      </c>
      <c r="V4551" t="s">
        <v>8191</v>
      </c>
      <c r="W4551" s="1" t="str">
        <f>HYPERLINK("http://ictvonline.org/taxonomy/p/taxonomy-history?taxnode_id=201900036","ICTVonline=201900036")</f>
        <v>ICTVonline=201900036</v>
      </c>
    </row>
    <row r="4552" spans="1:23">
      <c r="A4552" s="3">
        <v>4551</v>
      </c>
      <c r="B4552" s="1" t="s">
        <v>5910</v>
      </c>
      <c r="D4552" s="1" t="s">
        <v>8187</v>
      </c>
      <c r="F4552" s="1" t="s">
        <v>5588</v>
      </c>
      <c r="G4552" s="1" t="s">
        <v>5678</v>
      </c>
      <c r="H4552" s="1" t="s">
        <v>5679</v>
      </c>
      <c r="J4552" s="1" t="s">
        <v>4052</v>
      </c>
      <c r="L4552" s="1" t="s">
        <v>4054</v>
      </c>
      <c r="M4552" s="1" t="s">
        <v>6000</v>
      </c>
      <c r="N4552" s="1" t="s">
        <v>4055</v>
      </c>
      <c r="P4552" s="1" t="s">
        <v>4016</v>
      </c>
      <c r="Q4552" s="3">
        <v>1</v>
      </c>
      <c r="R4552" s="22" t="s">
        <v>2722</v>
      </c>
      <c r="S4552" s="42" t="s">
        <v>6912</v>
      </c>
      <c r="T4552" s="3" t="s">
        <v>4868</v>
      </c>
      <c r="U4552" s="45">
        <v>35</v>
      </c>
      <c r="V4552" t="s">
        <v>8191</v>
      </c>
      <c r="W4552" s="1" t="str">
        <f>HYPERLINK("http://ictvonline.org/taxonomy/p/taxonomy-history?taxnode_id=201900037","ICTVonline=201900037")</f>
        <v>ICTVonline=201900037</v>
      </c>
    </row>
    <row r="4553" spans="1:23">
      <c r="A4553" s="3">
        <v>4552</v>
      </c>
      <c r="B4553" s="1" t="s">
        <v>5910</v>
      </c>
      <c r="D4553" s="1" t="s">
        <v>8187</v>
      </c>
      <c r="F4553" s="1" t="s">
        <v>5588</v>
      </c>
      <c r="G4553" s="1" t="s">
        <v>5678</v>
      </c>
      <c r="H4553" s="1" t="s">
        <v>5679</v>
      </c>
      <c r="J4553" s="1" t="s">
        <v>4052</v>
      </c>
      <c r="L4553" s="1" t="s">
        <v>4054</v>
      </c>
      <c r="M4553" s="1" t="s">
        <v>6000</v>
      </c>
      <c r="N4553" s="1" t="s">
        <v>4055</v>
      </c>
      <c r="P4553" s="1" t="s">
        <v>4099</v>
      </c>
      <c r="Q4553" s="3">
        <v>0</v>
      </c>
      <c r="R4553" s="22" t="s">
        <v>2722</v>
      </c>
      <c r="S4553" s="42" t="s">
        <v>6912</v>
      </c>
      <c r="T4553" s="3" t="s">
        <v>4868</v>
      </c>
      <c r="U4553" s="45">
        <v>35</v>
      </c>
      <c r="V4553" t="s">
        <v>8191</v>
      </c>
      <c r="W4553" s="1" t="str">
        <f>HYPERLINK("http://ictvonline.org/taxonomy/p/taxonomy-history?taxnode_id=201900039","ICTVonline=201900039")</f>
        <v>ICTVonline=201900039</v>
      </c>
    </row>
    <row r="4554" spans="1:23">
      <c r="A4554" s="3">
        <v>4553</v>
      </c>
      <c r="B4554" s="1" t="s">
        <v>5910</v>
      </c>
      <c r="D4554" s="1" t="s">
        <v>8187</v>
      </c>
      <c r="F4554" s="1" t="s">
        <v>5588</v>
      </c>
      <c r="G4554" s="1" t="s">
        <v>5678</v>
      </c>
      <c r="H4554" s="1" t="s">
        <v>5679</v>
      </c>
      <c r="J4554" s="1" t="s">
        <v>4052</v>
      </c>
      <c r="L4554" s="1" t="s">
        <v>4054</v>
      </c>
      <c r="M4554" s="1" t="s">
        <v>6000</v>
      </c>
      <c r="N4554" s="1" t="s">
        <v>4055</v>
      </c>
      <c r="P4554" s="1" t="s">
        <v>4100</v>
      </c>
      <c r="Q4554" s="3">
        <v>0</v>
      </c>
      <c r="R4554" s="22" t="s">
        <v>2722</v>
      </c>
      <c r="S4554" s="42" t="s">
        <v>6912</v>
      </c>
      <c r="T4554" s="3" t="s">
        <v>4868</v>
      </c>
      <c r="U4554" s="45">
        <v>35</v>
      </c>
      <c r="V4554" t="s">
        <v>8191</v>
      </c>
      <c r="W4554" s="1" t="str">
        <f>HYPERLINK("http://ictvonline.org/taxonomy/p/taxonomy-history?taxnode_id=201900040","ICTVonline=201900040")</f>
        <v>ICTVonline=201900040</v>
      </c>
    </row>
    <row r="4555" spans="1:23">
      <c r="A4555" s="3">
        <v>4554</v>
      </c>
      <c r="B4555" s="1" t="s">
        <v>5910</v>
      </c>
      <c r="D4555" s="1" t="s">
        <v>8187</v>
      </c>
      <c r="F4555" s="1" t="s">
        <v>5588</v>
      </c>
      <c r="G4555" s="1" t="s">
        <v>5678</v>
      </c>
      <c r="H4555" s="1" t="s">
        <v>5679</v>
      </c>
      <c r="J4555" s="1" t="s">
        <v>4052</v>
      </c>
      <c r="L4555" s="1" t="s">
        <v>4054</v>
      </c>
      <c r="M4555" s="1" t="s">
        <v>6000</v>
      </c>
      <c r="N4555" s="1" t="s">
        <v>4055</v>
      </c>
      <c r="P4555" s="1" t="s">
        <v>4017</v>
      </c>
      <c r="Q4555" s="3">
        <v>0</v>
      </c>
      <c r="R4555" s="22" t="s">
        <v>2722</v>
      </c>
      <c r="S4555" s="42" t="s">
        <v>6912</v>
      </c>
      <c r="T4555" s="3" t="s">
        <v>4868</v>
      </c>
      <c r="U4555" s="45">
        <v>35</v>
      </c>
      <c r="V4555" t="s">
        <v>8191</v>
      </c>
      <c r="W4555" s="1" t="str">
        <f>HYPERLINK("http://ictvonline.org/taxonomy/p/taxonomy-history?taxnode_id=201900041","ICTVonline=201900041")</f>
        <v>ICTVonline=201900041</v>
      </c>
    </row>
    <row r="4556" spans="1:23">
      <c r="A4556" s="3">
        <v>4555</v>
      </c>
      <c r="B4556" s="1" t="s">
        <v>5910</v>
      </c>
      <c r="D4556" s="1" t="s">
        <v>8187</v>
      </c>
      <c r="F4556" s="1" t="s">
        <v>5588</v>
      </c>
      <c r="G4556" s="1" t="s">
        <v>5678</v>
      </c>
      <c r="H4556" s="1" t="s">
        <v>5679</v>
      </c>
      <c r="J4556" s="1" t="s">
        <v>4052</v>
      </c>
      <c r="L4556" s="1" t="s">
        <v>4054</v>
      </c>
      <c r="M4556" s="1" t="s">
        <v>6000</v>
      </c>
      <c r="N4556" s="1" t="s">
        <v>4055</v>
      </c>
      <c r="P4556" s="1" t="s">
        <v>4018</v>
      </c>
      <c r="Q4556" s="3">
        <v>0</v>
      </c>
      <c r="R4556" s="22" t="s">
        <v>2722</v>
      </c>
      <c r="S4556" s="42" t="s">
        <v>6912</v>
      </c>
      <c r="T4556" s="3" t="s">
        <v>4868</v>
      </c>
      <c r="U4556" s="45">
        <v>35</v>
      </c>
      <c r="V4556" t="s">
        <v>8191</v>
      </c>
      <c r="W4556" s="1" t="str">
        <f>HYPERLINK("http://ictvonline.org/taxonomy/p/taxonomy-history?taxnode_id=201900042","ICTVonline=201900042")</f>
        <v>ICTVonline=201900042</v>
      </c>
    </row>
    <row r="4557" spans="1:23">
      <c r="A4557" s="3">
        <v>4556</v>
      </c>
      <c r="B4557" s="1" t="s">
        <v>5910</v>
      </c>
      <c r="D4557" s="1" t="s">
        <v>8187</v>
      </c>
      <c r="F4557" s="1" t="s">
        <v>5588</v>
      </c>
      <c r="G4557" s="1" t="s">
        <v>5678</v>
      </c>
      <c r="H4557" s="1" t="s">
        <v>5679</v>
      </c>
      <c r="J4557" s="1" t="s">
        <v>4052</v>
      </c>
      <c r="L4557" s="1" t="s">
        <v>4054</v>
      </c>
      <c r="M4557" s="1" t="s">
        <v>6000</v>
      </c>
      <c r="N4557" s="1" t="s">
        <v>4055</v>
      </c>
      <c r="P4557" s="1" t="s">
        <v>4101</v>
      </c>
      <c r="Q4557" s="3">
        <v>0</v>
      </c>
      <c r="R4557" s="22" t="s">
        <v>2722</v>
      </c>
      <c r="S4557" s="42" t="s">
        <v>6912</v>
      </c>
      <c r="T4557" s="3" t="s">
        <v>4868</v>
      </c>
      <c r="U4557" s="45">
        <v>35</v>
      </c>
      <c r="V4557" t="s">
        <v>8191</v>
      </c>
      <c r="W4557" s="1" t="str">
        <f>HYPERLINK("http://ictvonline.org/taxonomy/p/taxonomy-history?taxnode_id=201900045","ICTVonline=201900045")</f>
        <v>ICTVonline=201900045</v>
      </c>
    </row>
    <row r="4558" spans="1:23">
      <c r="A4558" s="3">
        <v>4557</v>
      </c>
      <c r="B4558" s="1" t="s">
        <v>5910</v>
      </c>
      <c r="D4558" s="1" t="s">
        <v>8187</v>
      </c>
      <c r="F4558" s="1" t="s">
        <v>5588</v>
      </c>
      <c r="G4558" s="1" t="s">
        <v>5678</v>
      </c>
      <c r="H4558" s="1" t="s">
        <v>5679</v>
      </c>
      <c r="J4558" s="1" t="s">
        <v>4052</v>
      </c>
      <c r="L4558" s="1" t="s">
        <v>4054</v>
      </c>
      <c r="M4558" s="1" t="s">
        <v>6000</v>
      </c>
      <c r="N4558" s="1" t="s">
        <v>4055</v>
      </c>
      <c r="P4558" s="1" t="s">
        <v>4102</v>
      </c>
      <c r="Q4558" s="3">
        <v>0</v>
      </c>
      <c r="R4558" s="22" t="s">
        <v>2722</v>
      </c>
      <c r="S4558" s="42" t="s">
        <v>6912</v>
      </c>
      <c r="T4558" s="3" t="s">
        <v>4868</v>
      </c>
      <c r="U4558" s="45">
        <v>35</v>
      </c>
      <c r="V4558" t="s">
        <v>8191</v>
      </c>
      <c r="W4558" s="1" t="str">
        <f>HYPERLINK("http://ictvonline.org/taxonomy/p/taxonomy-history?taxnode_id=201900046","ICTVonline=201900046")</f>
        <v>ICTVonline=201900046</v>
      </c>
    </row>
    <row r="4559" spans="1:23">
      <c r="A4559" s="3">
        <v>4558</v>
      </c>
      <c r="B4559" s="1" t="s">
        <v>5910</v>
      </c>
      <c r="D4559" s="1" t="s">
        <v>8187</v>
      </c>
      <c r="F4559" s="1" t="s">
        <v>5588</v>
      </c>
      <c r="G4559" s="1" t="s">
        <v>5678</v>
      </c>
      <c r="H4559" s="1" t="s">
        <v>5679</v>
      </c>
      <c r="J4559" s="1" t="s">
        <v>4052</v>
      </c>
      <c r="L4559" s="1" t="s">
        <v>4054</v>
      </c>
      <c r="M4559" s="1" t="s">
        <v>6000</v>
      </c>
      <c r="N4559" s="1" t="s">
        <v>4055</v>
      </c>
      <c r="P4559" s="1" t="s">
        <v>4103</v>
      </c>
      <c r="Q4559" s="3">
        <v>0</v>
      </c>
      <c r="R4559" s="22" t="s">
        <v>2722</v>
      </c>
      <c r="S4559" s="42" t="s">
        <v>6912</v>
      </c>
      <c r="T4559" s="3" t="s">
        <v>4868</v>
      </c>
      <c r="U4559" s="45">
        <v>35</v>
      </c>
      <c r="V4559" t="s">
        <v>8191</v>
      </c>
      <c r="W4559" s="1" t="str">
        <f>HYPERLINK("http://ictvonline.org/taxonomy/p/taxonomy-history?taxnode_id=201900047","ICTVonline=201900047")</f>
        <v>ICTVonline=201900047</v>
      </c>
    </row>
    <row r="4560" spans="1:23">
      <c r="A4560" s="3">
        <v>4559</v>
      </c>
      <c r="B4560" s="1" t="s">
        <v>5910</v>
      </c>
      <c r="D4560" s="1" t="s">
        <v>8187</v>
      </c>
      <c r="F4560" s="1" t="s">
        <v>5588</v>
      </c>
      <c r="G4560" s="1" t="s">
        <v>5678</v>
      </c>
      <c r="H4560" s="1" t="s">
        <v>5679</v>
      </c>
      <c r="J4560" s="1" t="s">
        <v>4052</v>
      </c>
      <c r="L4560" s="1" t="s">
        <v>4054</v>
      </c>
      <c r="M4560" s="1" t="s">
        <v>6000</v>
      </c>
      <c r="N4560" s="1" t="s">
        <v>4055</v>
      </c>
      <c r="P4560" s="1" t="s">
        <v>4104</v>
      </c>
      <c r="Q4560" s="3">
        <v>0</v>
      </c>
      <c r="R4560" s="22" t="s">
        <v>2722</v>
      </c>
      <c r="S4560" s="42" t="s">
        <v>6912</v>
      </c>
      <c r="T4560" s="3" t="s">
        <v>4868</v>
      </c>
      <c r="U4560" s="45">
        <v>35</v>
      </c>
      <c r="V4560" t="s">
        <v>8191</v>
      </c>
      <c r="W4560" s="1" t="str">
        <f>HYPERLINK("http://ictvonline.org/taxonomy/p/taxonomy-history?taxnode_id=201900048","ICTVonline=201900048")</f>
        <v>ICTVonline=201900048</v>
      </c>
    </row>
    <row r="4561" spans="1:23">
      <c r="A4561" s="3">
        <v>4560</v>
      </c>
      <c r="B4561" s="1" t="s">
        <v>5910</v>
      </c>
      <c r="D4561" s="1" t="s">
        <v>8187</v>
      </c>
      <c r="F4561" s="1" t="s">
        <v>5588</v>
      </c>
      <c r="G4561" s="1" t="s">
        <v>5678</v>
      </c>
      <c r="H4561" s="1" t="s">
        <v>5679</v>
      </c>
      <c r="J4561" s="1" t="s">
        <v>4052</v>
      </c>
      <c r="L4561" s="1" t="s">
        <v>4054</v>
      </c>
      <c r="M4561" s="1" t="s">
        <v>6000</v>
      </c>
      <c r="N4561" s="1" t="s">
        <v>4055</v>
      </c>
      <c r="P4561" s="1" t="s">
        <v>4105</v>
      </c>
      <c r="Q4561" s="3">
        <v>0</v>
      </c>
      <c r="R4561" s="22" t="s">
        <v>2722</v>
      </c>
      <c r="S4561" s="42" t="s">
        <v>6912</v>
      </c>
      <c r="T4561" s="3" t="s">
        <v>4868</v>
      </c>
      <c r="U4561" s="45">
        <v>35</v>
      </c>
      <c r="V4561" t="s">
        <v>8191</v>
      </c>
      <c r="W4561" s="1" t="str">
        <f>HYPERLINK("http://ictvonline.org/taxonomy/p/taxonomy-history?taxnode_id=201900050","ICTVonline=201900050")</f>
        <v>ICTVonline=201900050</v>
      </c>
    </row>
    <row r="4562" spans="1:23">
      <c r="A4562" s="3">
        <v>4561</v>
      </c>
      <c r="B4562" s="1" t="s">
        <v>5910</v>
      </c>
      <c r="D4562" s="1" t="s">
        <v>8187</v>
      </c>
      <c r="F4562" s="1" t="s">
        <v>5588</v>
      </c>
      <c r="G4562" s="1" t="s">
        <v>5678</v>
      </c>
      <c r="H4562" s="1" t="s">
        <v>5679</v>
      </c>
      <c r="J4562" s="1" t="s">
        <v>4052</v>
      </c>
      <c r="L4562" s="1" t="s">
        <v>4054</v>
      </c>
      <c r="M4562" s="1" t="s">
        <v>6000</v>
      </c>
      <c r="N4562" s="1" t="s">
        <v>4055</v>
      </c>
      <c r="P4562" s="1" t="s">
        <v>4019</v>
      </c>
      <c r="Q4562" s="3">
        <v>0</v>
      </c>
      <c r="R4562" s="22" t="s">
        <v>2722</v>
      </c>
      <c r="S4562" s="42" t="s">
        <v>6912</v>
      </c>
      <c r="T4562" s="3" t="s">
        <v>4868</v>
      </c>
      <c r="U4562" s="45">
        <v>35</v>
      </c>
      <c r="V4562" t="s">
        <v>8191</v>
      </c>
      <c r="W4562" s="1" t="str">
        <f>HYPERLINK("http://ictvonline.org/taxonomy/p/taxonomy-history?taxnode_id=201900051","ICTVonline=201900051")</f>
        <v>ICTVonline=201900051</v>
      </c>
    </row>
    <row r="4563" spans="1:23">
      <c r="A4563" s="3">
        <v>4562</v>
      </c>
      <c r="B4563" s="1" t="s">
        <v>5910</v>
      </c>
      <c r="D4563" s="1" t="s">
        <v>8187</v>
      </c>
      <c r="F4563" s="1" t="s">
        <v>5588</v>
      </c>
      <c r="G4563" s="1" t="s">
        <v>5678</v>
      </c>
      <c r="H4563" s="1" t="s">
        <v>5679</v>
      </c>
      <c r="J4563" s="1" t="s">
        <v>4052</v>
      </c>
      <c r="L4563" s="1" t="s">
        <v>4054</v>
      </c>
      <c r="M4563" s="1" t="s">
        <v>6000</v>
      </c>
      <c r="N4563" s="1" t="s">
        <v>4055</v>
      </c>
      <c r="P4563" s="1" t="s">
        <v>4020</v>
      </c>
      <c r="Q4563" s="3">
        <v>0</v>
      </c>
      <c r="R4563" s="22" t="s">
        <v>2722</v>
      </c>
      <c r="S4563" s="42" t="s">
        <v>6912</v>
      </c>
      <c r="T4563" s="3" t="s">
        <v>4868</v>
      </c>
      <c r="U4563" s="45">
        <v>35</v>
      </c>
      <c r="V4563" t="s">
        <v>8191</v>
      </c>
      <c r="W4563" s="1" t="str">
        <f>HYPERLINK("http://ictvonline.org/taxonomy/p/taxonomy-history?taxnode_id=201900052","ICTVonline=201900052")</f>
        <v>ICTVonline=201900052</v>
      </c>
    </row>
    <row r="4564" spans="1:23">
      <c r="A4564" s="3">
        <v>4563</v>
      </c>
      <c r="B4564" s="1" t="s">
        <v>5910</v>
      </c>
      <c r="D4564" s="1" t="s">
        <v>8187</v>
      </c>
      <c r="F4564" s="1" t="s">
        <v>5588</v>
      </c>
      <c r="G4564" s="1" t="s">
        <v>5678</v>
      </c>
      <c r="H4564" s="1" t="s">
        <v>5679</v>
      </c>
      <c r="J4564" s="1" t="s">
        <v>4052</v>
      </c>
      <c r="L4564" s="1" t="s">
        <v>4054</v>
      </c>
      <c r="M4564" s="1" t="s">
        <v>6000</v>
      </c>
      <c r="N4564" s="1" t="s">
        <v>4055</v>
      </c>
      <c r="P4564" s="1" t="s">
        <v>4106</v>
      </c>
      <c r="Q4564" s="3">
        <v>0</v>
      </c>
      <c r="R4564" s="22" t="s">
        <v>2722</v>
      </c>
      <c r="S4564" s="42" t="s">
        <v>6912</v>
      </c>
      <c r="T4564" s="3" t="s">
        <v>4868</v>
      </c>
      <c r="U4564" s="45">
        <v>35</v>
      </c>
      <c r="V4564" t="s">
        <v>8191</v>
      </c>
      <c r="W4564" s="1" t="str">
        <f>HYPERLINK("http://ictvonline.org/taxonomy/p/taxonomy-history?taxnode_id=201900054","ICTVonline=201900054")</f>
        <v>ICTVonline=201900054</v>
      </c>
    </row>
    <row r="4565" spans="1:23">
      <c r="A4565" s="3">
        <v>4564</v>
      </c>
      <c r="B4565" s="1" t="s">
        <v>5910</v>
      </c>
      <c r="D4565" s="1" t="s">
        <v>8187</v>
      </c>
      <c r="F4565" s="1" t="s">
        <v>5588</v>
      </c>
      <c r="G4565" s="1" t="s">
        <v>5678</v>
      </c>
      <c r="H4565" s="1" t="s">
        <v>5679</v>
      </c>
      <c r="J4565" s="1" t="s">
        <v>4052</v>
      </c>
      <c r="L4565" s="1" t="s">
        <v>4054</v>
      </c>
      <c r="M4565" s="1" t="s">
        <v>6000</v>
      </c>
      <c r="N4565" s="1" t="s">
        <v>4055</v>
      </c>
      <c r="P4565" s="1" t="s">
        <v>4021</v>
      </c>
      <c r="Q4565" s="3">
        <v>0</v>
      </c>
      <c r="R4565" s="22" t="s">
        <v>2722</v>
      </c>
      <c r="S4565" s="42" t="s">
        <v>6912</v>
      </c>
      <c r="T4565" s="3" t="s">
        <v>4868</v>
      </c>
      <c r="U4565" s="45">
        <v>35</v>
      </c>
      <c r="V4565" t="s">
        <v>8191</v>
      </c>
      <c r="W4565" s="1" t="str">
        <f>HYPERLINK("http://ictvonline.org/taxonomy/p/taxonomy-history?taxnode_id=201900055","ICTVonline=201900055")</f>
        <v>ICTVonline=201900055</v>
      </c>
    </row>
    <row r="4566" spans="1:23">
      <c r="A4566" s="3">
        <v>4565</v>
      </c>
      <c r="B4566" s="1" t="s">
        <v>5910</v>
      </c>
      <c r="D4566" s="1" t="s">
        <v>8187</v>
      </c>
      <c r="F4566" s="1" t="s">
        <v>5588</v>
      </c>
      <c r="G4566" s="1" t="s">
        <v>5678</v>
      </c>
      <c r="H4566" s="1" t="s">
        <v>5679</v>
      </c>
      <c r="J4566" s="1" t="s">
        <v>4052</v>
      </c>
      <c r="L4566" s="1" t="s">
        <v>4054</v>
      </c>
      <c r="M4566" s="1" t="s">
        <v>6000</v>
      </c>
      <c r="N4566" s="1" t="s">
        <v>4055</v>
      </c>
      <c r="P4566" s="1" t="s">
        <v>6001</v>
      </c>
      <c r="Q4566" s="3">
        <v>0</v>
      </c>
      <c r="R4566" s="22" t="s">
        <v>2722</v>
      </c>
      <c r="S4566" s="42" t="s">
        <v>6912</v>
      </c>
      <c r="T4566" s="3" t="s">
        <v>4868</v>
      </c>
      <c r="U4566" s="45">
        <v>35</v>
      </c>
      <c r="V4566" t="s">
        <v>8191</v>
      </c>
      <c r="W4566" s="1" t="str">
        <f>HYPERLINK("http://ictvonline.org/taxonomy/p/taxonomy-history?taxnode_id=201900021","ICTVonline=201900021")</f>
        <v>ICTVonline=201900021</v>
      </c>
    </row>
    <row r="4567" spans="1:23">
      <c r="A4567" s="3">
        <v>4566</v>
      </c>
      <c r="B4567" s="1" t="s">
        <v>5910</v>
      </c>
      <c r="D4567" s="1" t="s">
        <v>8187</v>
      </c>
      <c r="F4567" s="1" t="s">
        <v>5588</v>
      </c>
      <c r="G4567" s="1" t="s">
        <v>5678</v>
      </c>
      <c r="H4567" s="1" t="s">
        <v>5679</v>
      </c>
      <c r="J4567" s="1" t="s">
        <v>4052</v>
      </c>
      <c r="L4567" s="1" t="s">
        <v>4054</v>
      </c>
      <c r="M4567" s="1" t="s">
        <v>6000</v>
      </c>
      <c r="N4567" s="1" t="s">
        <v>4055</v>
      </c>
      <c r="P4567" s="1" t="s">
        <v>4022</v>
      </c>
      <c r="Q4567" s="3">
        <v>0</v>
      </c>
      <c r="R4567" s="22" t="s">
        <v>2722</v>
      </c>
      <c r="S4567" s="42" t="s">
        <v>6912</v>
      </c>
      <c r="T4567" s="3" t="s">
        <v>4868</v>
      </c>
      <c r="U4567" s="45">
        <v>35</v>
      </c>
      <c r="V4567" t="s">
        <v>8191</v>
      </c>
      <c r="W4567" s="1" t="str">
        <f>HYPERLINK("http://ictvonline.org/taxonomy/p/taxonomy-history?taxnode_id=201900056","ICTVonline=201900056")</f>
        <v>ICTVonline=201900056</v>
      </c>
    </row>
    <row r="4568" spans="1:23">
      <c r="A4568" s="3">
        <v>4567</v>
      </c>
      <c r="B4568" s="1" t="s">
        <v>5910</v>
      </c>
      <c r="D4568" s="1" t="s">
        <v>8187</v>
      </c>
      <c r="F4568" s="1" t="s">
        <v>5588</v>
      </c>
      <c r="G4568" s="1" t="s">
        <v>5678</v>
      </c>
      <c r="H4568" s="1" t="s">
        <v>5679</v>
      </c>
      <c r="J4568" s="1" t="s">
        <v>4052</v>
      </c>
      <c r="L4568" s="1" t="s">
        <v>4054</v>
      </c>
      <c r="M4568" s="1" t="s">
        <v>6000</v>
      </c>
      <c r="N4568" s="1" t="s">
        <v>4055</v>
      </c>
      <c r="P4568" s="1" t="s">
        <v>4023</v>
      </c>
      <c r="Q4568" s="3">
        <v>0</v>
      </c>
      <c r="R4568" s="22" t="s">
        <v>2722</v>
      </c>
      <c r="S4568" s="42" t="s">
        <v>6912</v>
      </c>
      <c r="T4568" s="3" t="s">
        <v>4868</v>
      </c>
      <c r="U4568" s="45">
        <v>35</v>
      </c>
      <c r="V4568" t="s">
        <v>8191</v>
      </c>
      <c r="W4568" s="1" t="str">
        <f>HYPERLINK("http://ictvonline.org/taxonomy/p/taxonomy-history?taxnode_id=201900057","ICTVonline=201900057")</f>
        <v>ICTVonline=201900057</v>
      </c>
    </row>
    <row r="4569" spans="1:23">
      <c r="A4569" s="3">
        <v>4568</v>
      </c>
      <c r="B4569" s="1" t="s">
        <v>5910</v>
      </c>
      <c r="D4569" s="1" t="s">
        <v>8187</v>
      </c>
      <c r="F4569" s="1" t="s">
        <v>5588</v>
      </c>
      <c r="G4569" s="1" t="s">
        <v>5678</v>
      </c>
      <c r="H4569" s="1" t="s">
        <v>5679</v>
      </c>
      <c r="J4569" s="1" t="s">
        <v>4052</v>
      </c>
      <c r="L4569" s="1" t="s">
        <v>4054</v>
      </c>
      <c r="M4569" s="1" t="s">
        <v>6000</v>
      </c>
      <c r="N4569" s="1" t="s">
        <v>4055</v>
      </c>
      <c r="P4569" s="1" t="s">
        <v>4024</v>
      </c>
      <c r="Q4569" s="3">
        <v>0</v>
      </c>
      <c r="R4569" s="22" t="s">
        <v>2722</v>
      </c>
      <c r="S4569" s="42" t="s">
        <v>6912</v>
      </c>
      <c r="T4569" s="3" t="s">
        <v>4868</v>
      </c>
      <c r="U4569" s="45">
        <v>35</v>
      </c>
      <c r="V4569" t="s">
        <v>8191</v>
      </c>
      <c r="W4569" s="1" t="str">
        <f>HYPERLINK("http://ictvonline.org/taxonomy/p/taxonomy-history?taxnode_id=201900058","ICTVonline=201900058")</f>
        <v>ICTVonline=201900058</v>
      </c>
    </row>
    <row r="4570" spans="1:23">
      <c r="A4570" s="3">
        <v>4569</v>
      </c>
      <c r="B4570" s="1" t="s">
        <v>5910</v>
      </c>
      <c r="D4570" s="1" t="s">
        <v>8187</v>
      </c>
      <c r="F4570" s="1" t="s">
        <v>5588</v>
      </c>
      <c r="G4570" s="1" t="s">
        <v>5678</v>
      </c>
      <c r="H4570" s="1" t="s">
        <v>5679</v>
      </c>
      <c r="J4570" s="1" t="s">
        <v>4052</v>
      </c>
      <c r="L4570" s="1" t="s">
        <v>4054</v>
      </c>
      <c r="M4570" s="1" t="s">
        <v>6000</v>
      </c>
      <c r="N4570" s="1" t="s">
        <v>4055</v>
      </c>
      <c r="P4570" s="1" t="s">
        <v>6002</v>
      </c>
      <c r="Q4570" s="3">
        <v>0</v>
      </c>
      <c r="R4570" s="22" t="s">
        <v>2722</v>
      </c>
      <c r="S4570" s="42" t="s">
        <v>6912</v>
      </c>
      <c r="T4570" s="3" t="s">
        <v>4868</v>
      </c>
      <c r="U4570" s="45">
        <v>35</v>
      </c>
      <c r="V4570" t="s">
        <v>8191</v>
      </c>
      <c r="W4570" s="1" t="str">
        <f>HYPERLINK("http://ictvonline.org/taxonomy/p/taxonomy-history?taxnode_id=201906435","ICTVonline=201906435")</f>
        <v>ICTVonline=201906435</v>
      </c>
    </row>
    <row r="4571" spans="1:23">
      <c r="A4571" s="3">
        <v>4570</v>
      </c>
      <c r="B4571" s="1" t="s">
        <v>5910</v>
      </c>
      <c r="D4571" s="1" t="s">
        <v>8187</v>
      </c>
      <c r="F4571" s="1" t="s">
        <v>5588</v>
      </c>
      <c r="G4571" s="1" t="s">
        <v>5678</v>
      </c>
      <c r="H4571" s="1" t="s">
        <v>5679</v>
      </c>
      <c r="J4571" s="1" t="s">
        <v>4052</v>
      </c>
      <c r="L4571" s="1" t="s">
        <v>4054</v>
      </c>
      <c r="M4571" s="1" t="s">
        <v>6000</v>
      </c>
      <c r="N4571" s="1" t="s">
        <v>4055</v>
      </c>
      <c r="P4571" s="1" t="s">
        <v>4025</v>
      </c>
      <c r="Q4571" s="3">
        <v>0</v>
      </c>
      <c r="R4571" s="22" t="s">
        <v>2722</v>
      </c>
      <c r="S4571" s="42" t="s">
        <v>6912</v>
      </c>
      <c r="T4571" s="3" t="s">
        <v>4868</v>
      </c>
      <c r="U4571" s="45">
        <v>35</v>
      </c>
      <c r="V4571" t="s">
        <v>8191</v>
      </c>
      <c r="W4571" s="1" t="str">
        <f>HYPERLINK("http://ictvonline.org/taxonomy/p/taxonomy-history?taxnode_id=201900060","ICTVonline=201900060")</f>
        <v>ICTVonline=201900060</v>
      </c>
    </row>
    <row r="4572" spans="1:23">
      <c r="A4572" s="3">
        <v>4571</v>
      </c>
      <c r="B4572" s="1" t="s">
        <v>5910</v>
      </c>
      <c r="D4572" s="1" t="s">
        <v>8187</v>
      </c>
      <c r="F4572" s="1" t="s">
        <v>5588</v>
      </c>
      <c r="G4572" s="1" t="s">
        <v>5678</v>
      </c>
      <c r="H4572" s="1" t="s">
        <v>5679</v>
      </c>
      <c r="J4572" s="1" t="s">
        <v>4052</v>
      </c>
      <c r="L4572" s="1" t="s">
        <v>4054</v>
      </c>
      <c r="M4572" s="1" t="s">
        <v>6000</v>
      </c>
      <c r="N4572" s="1" t="s">
        <v>4055</v>
      </c>
      <c r="P4572" s="1" t="s">
        <v>4107</v>
      </c>
      <c r="Q4572" s="3">
        <v>0</v>
      </c>
      <c r="R4572" s="22" t="s">
        <v>2722</v>
      </c>
      <c r="S4572" s="42" t="s">
        <v>6912</v>
      </c>
      <c r="T4572" s="3" t="s">
        <v>4868</v>
      </c>
      <c r="U4572" s="45">
        <v>35</v>
      </c>
      <c r="V4572" t="s">
        <v>8191</v>
      </c>
      <c r="W4572" s="1" t="str">
        <f>HYPERLINK("http://ictvonline.org/taxonomy/p/taxonomy-history?taxnode_id=201900061","ICTVonline=201900061")</f>
        <v>ICTVonline=201900061</v>
      </c>
    </row>
    <row r="4573" spans="1:23">
      <c r="A4573" s="3">
        <v>4572</v>
      </c>
      <c r="B4573" s="1" t="s">
        <v>5910</v>
      </c>
      <c r="D4573" s="1" t="s">
        <v>8187</v>
      </c>
      <c r="F4573" s="1" t="s">
        <v>5588</v>
      </c>
      <c r="G4573" s="1" t="s">
        <v>5678</v>
      </c>
      <c r="H4573" s="1" t="s">
        <v>5679</v>
      </c>
      <c r="J4573" s="1" t="s">
        <v>4052</v>
      </c>
      <c r="L4573" s="1" t="s">
        <v>4054</v>
      </c>
      <c r="M4573" s="1" t="s">
        <v>6000</v>
      </c>
      <c r="N4573" s="1" t="s">
        <v>5689</v>
      </c>
      <c r="P4573" s="1" t="s">
        <v>5690</v>
      </c>
      <c r="Q4573" s="3">
        <v>0</v>
      </c>
      <c r="R4573" s="22" t="s">
        <v>2722</v>
      </c>
      <c r="S4573" s="42" t="s">
        <v>6912</v>
      </c>
      <c r="T4573" s="3" t="s">
        <v>4868</v>
      </c>
      <c r="U4573" s="45">
        <v>35</v>
      </c>
      <c r="V4573" t="s">
        <v>8191</v>
      </c>
      <c r="W4573" s="1" t="str">
        <f>HYPERLINK("http://ictvonline.org/taxonomy/p/taxonomy-history?taxnode_id=201900038","ICTVonline=201900038")</f>
        <v>ICTVonline=201900038</v>
      </c>
    </row>
    <row r="4574" spans="1:23">
      <c r="A4574" s="3">
        <v>4573</v>
      </c>
      <c r="B4574" s="1" t="s">
        <v>5910</v>
      </c>
      <c r="D4574" s="1" t="s">
        <v>8187</v>
      </c>
      <c r="F4574" s="1" t="s">
        <v>5588</v>
      </c>
      <c r="G4574" s="1" t="s">
        <v>5678</v>
      </c>
      <c r="H4574" s="1" t="s">
        <v>5679</v>
      </c>
      <c r="J4574" s="1" t="s">
        <v>4052</v>
      </c>
      <c r="L4574" s="1" t="s">
        <v>4054</v>
      </c>
      <c r="M4574" s="1" t="s">
        <v>6000</v>
      </c>
      <c r="N4574" s="1" t="s">
        <v>5689</v>
      </c>
      <c r="P4574" s="1" t="s">
        <v>5691</v>
      </c>
      <c r="Q4574" s="3">
        <v>1</v>
      </c>
      <c r="R4574" s="22" t="s">
        <v>2722</v>
      </c>
      <c r="S4574" s="42" t="s">
        <v>6912</v>
      </c>
      <c r="T4574" s="3" t="s">
        <v>4868</v>
      </c>
      <c r="U4574" s="45">
        <v>35</v>
      </c>
      <c r="V4574" t="s">
        <v>8191</v>
      </c>
      <c r="W4574" s="1" t="str">
        <f>HYPERLINK("http://ictvonline.org/taxonomy/p/taxonomy-history?taxnode_id=201900059","ICTVonline=201900059")</f>
        <v>ICTVonline=201900059</v>
      </c>
    </row>
    <row r="4575" spans="1:23">
      <c r="A4575" s="3">
        <v>4574</v>
      </c>
      <c r="B4575" s="1" t="s">
        <v>5910</v>
      </c>
      <c r="D4575" s="1" t="s">
        <v>8187</v>
      </c>
      <c r="F4575" s="1" t="s">
        <v>5588</v>
      </c>
      <c r="G4575" s="1" t="s">
        <v>5678</v>
      </c>
      <c r="H4575" s="1" t="s">
        <v>5679</v>
      </c>
      <c r="J4575" s="1" t="s">
        <v>4052</v>
      </c>
      <c r="L4575" s="1" t="s">
        <v>4054</v>
      </c>
      <c r="M4575" s="1" t="s">
        <v>6003</v>
      </c>
      <c r="N4575" s="1" t="s">
        <v>6004</v>
      </c>
      <c r="P4575" s="1" t="s">
        <v>6005</v>
      </c>
      <c r="Q4575" s="3">
        <v>1</v>
      </c>
      <c r="R4575" s="22" t="s">
        <v>2722</v>
      </c>
      <c r="S4575" s="42" t="s">
        <v>6912</v>
      </c>
      <c r="T4575" s="3" t="s">
        <v>4868</v>
      </c>
      <c r="U4575" s="45">
        <v>35</v>
      </c>
      <c r="V4575" t="s">
        <v>8191</v>
      </c>
      <c r="W4575" s="1" t="str">
        <f>HYPERLINK("http://ictvonline.org/taxonomy/p/taxonomy-history?taxnode_id=201906438","ICTVonline=201906438")</f>
        <v>ICTVonline=201906438</v>
      </c>
    </row>
    <row r="4576" spans="1:23">
      <c r="A4576" s="3">
        <v>4575</v>
      </c>
      <c r="B4576" s="1" t="s">
        <v>5910</v>
      </c>
      <c r="D4576" s="1" t="s">
        <v>8187</v>
      </c>
      <c r="F4576" s="1" t="s">
        <v>5588</v>
      </c>
      <c r="G4576" s="1" t="s">
        <v>5678</v>
      </c>
      <c r="H4576" s="1" t="s">
        <v>5679</v>
      </c>
      <c r="J4576" s="1" t="s">
        <v>4052</v>
      </c>
      <c r="L4576" s="1" t="s">
        <v>6006</v>
      </c>
      <c r="N4576" s="1" t="s">
        <v>6007</v>
      </c>
      <c r="P4576" s="1" t="s">
        <v>6008</v>
      </c>
      <c r="Q4576" s="3">
        <v>1</v>
      </c>
      <c r="R4576" s="22" t="s">
        <v>2722</v>
      </c>
      <c r="S4576" s="42" t="s">
        <v>6912</v>
      </c>
      <c r="T4576" s="3" t="s">
        <v>4868</v>
      </c>
      <c r="U4576" s="45">
        <v>35</v>
      </c>
      <c r="V4576" t="s">
        <v>8191</v>
      </c>
      <c r="W4576" s="1" t="str">
        <f>HYPERLINK("http://ictvonline.org/taxonomy/p/taxonomy-history?taxnode_id=201906595","ICTVonline=201906595")</f>
        <v>ICTVonline=201906595</v>
      </c>
    </row>
    <row r="4577" spans="1:23">
      <c r="A4577" s="3">
        <v>4576</v>
      </c>
      <c r="B4577" s="1" t="s">
        <v>5910</v>
      </c>
      <c r="D4577" s="1" t="s">
        <v>8187</v>
      </c>
      <c r="F4577" s="1" t="s">
        <v>5588</v>
      </c>
      <c r="G4577" s="1" t="s">
        <v>5678</v>
      </c>
      <c r="H4577" s="1" t="s">
        <v>5679</v>
      </c>
      <c r="J4577" s="1" t="s">
        <v>4052</v>
      </c>
      <c r="L4577" s="1" t="s">
        <v>5692</v>
      </c>
      <c r="N4577" s="1" t="s">
        <v>5693</v>
      </c>
      <c r="P4577" s="1" t="s">
        <v>5694</v>
      </c>
      <c r="Q4577" s="3">
        <v>1</v>
      </c>
      <c r="R4577" s="22" t="s">
        <v>2722</v>
      </c>
      <c r="S4577" s="42" t="s">
        <v>6912</v>
      </c>
      <c r="T4577" s="3" t="s">
        <v>4868</v>
      </c>
      <c r="U4577" s="45">
        <v>35</v>
      </c>
      <c r="V4577" t="s">
        <v>8191</v>
      </c>
      <c r="W4577" s="1" t="str">
        <f>HYPERLINK("http://ictvonline.org/taxonomy/p/taxonomy-history?taxnode_id=201906215","ICTVonline=201906215")</f>
        <v>ICTVonline=201906215</v>
      </c>
    </row>
    <row r="4578" spans="1:23">
      <c r="A4578" s="3">
        <v>4577</v>
      </c>
      <c r="B4578" s="1" t="s">
        <v>5910</v>
      </c>
      <c r="D4578" s="1" t="s">
        <v>8187</v>
      </c>
      <c r="F4578" s="1" t="s">
        <v>5588</v>
      </c>
      <c r="G4578" s="1" t="s">
        <v>5678</v>
      </c>
      <c r="H4578" s="1" t="s">
        <v>5679</v>
      </c>
      <c r="J4578" s="1" t="s">
        <v>4052</v>
      </c>
      <c r="L4578" s="1" t="s">
        <v>4056</v>
      </c>
      <c r="N4578" s="1" t="s">
        <v>4057</v>
      </c>
      <c r="P4578" s="1" t="s">
        <v>4932</v>
      </c>
      <c r="Q4578" s="3">
        <v>0</v>
      </c>
      <c r="R4578" s="22" t="s">
        <v>2722</v>
      </c>
      <c r="S4578" s="42" t="s">
        <v>6912</v>
      </c>
      <c r="T4578" s="3" t="s">
        <v>4868</v>
      </c>
      <c r="U4578" s="45">
        <v>35</v>
      </c>
      <c r="V4578" t="s">
        <v>8191</v>
      </c>
      <c r="W4578" s="1" t="str">
        <f>HYPERLINK("http://ictvonline.org/taxonomy/p/taxonomy-history?taxnode_id=201905462","ICTVonline=201905462")</f>
        <v>ICTVonline=201905462</v>
      </c>
    </row>
    <row r="4579" spans="1:23">
      <c r="A4579" s="3">
        <v>4578</v>
      </c>
      <c r="B4579" s="1" t="s">
        <v>5910</v>
      </c>
      <c r="D4579" s="1" t="s">
        <v>8187</v>
      </c>
      <c r="F4579" s="1" t="s">
        <v>5588</v>
      </c>
      <c r="G4579" s="1" t="s">
        <v>5678</v>
      </c>
      <c r="H4579" s="1" t="s">
        <v>5679</v>
      </c>
      <c r="J4579" s="1" t="s">
        <v>4052</v>
      </c>
      <c r="L4579" s="1" t="s">
        <v>4056</v>
      </c>
      <c r="N4579" s="1" t="s">
        <v>4057</v>
      </c>
      <c r="P4579" s="1" t="s">
        <v>4933</v>
      </c>
      <c r="Q4579" s="3">
        <v>0</v>
      </c>
      <c r="R4579" s="22" t="s">
        <v>2722</v>
      </c>
      <c r="S4579" s="42" t="s">
        <v>6912</v>
      </c>
      <c r="T4579" s="3" t="s">
        <v>4868</v>
      </c>
      <c r="U4579" s="45">
        <v>35</v>
      </c>
      <c r="V4579" t="s">
        <v>8191</v>
      </c>
      <c r="W4579" s="1" t="str">
        <f>HYPERLINK("http://ictvonline.org/taxonomy/p/taxonomy-history?taxnode_id=201905463","ICTVonline=201905463")</f>
        <v>ICTVonline=201905463</v>
      </c>
    </row>
    <row r="4580" spans="1:23">
      <c r="A4580" s="3">
        <v>4579</v>
      </c>
      <c r="B4580" s="1" t="s">
        <v>5910</v>
      </c>
      <c r="D4580" s="1" t="s">
        <v>8187</v>
      </c>
      <c r="F4580" s="1" t="s">
        <v>5588</v>
      </c>
      <c r="G4580" s="1" t="s">
        <v>5678</v>
      </c>
      <c r="H4580" s="1" t="s">
        <v>5679</v>
      </c>
      <c r="J4580" s="1" t="s">
        <v>4052</v>
      </c>
      <c r="L4580" s="1" t="s">
        <v>4056</v>
      </c>
      <c r="N4580" s="1" t="s">
        <v>4057</v>
      </c>
      <c r="P4580" s="1" t="s">
        <v>4026</v>
      </c>
      <c r="Q4580" s="3">
        <v>0</v>
      </c>
      <c r="R4580" s="22" t="s">
        <v>2722</v>
      </c>
      <c r="S4580" s="42" t="s">
        <v>6912</v>
      </c>
      <c r="T4580" s="3" t="s">
        <v>4868</v>
      </c>
      <c r="U4580" s="45">
        <v>35</v>
      </c>
      <c r="V4580" t="s">
        <v>8191</v>
      </c>
      <c r="W4580" s="1" t="str">
        <f>HYPERLINK("http://ictvonline.org/taxonomy/p/taxonomy-history?taxnode_id=201900070","ICTVonline=201900070")</f>
        <v>ICTVonline=201900070</v>
      </c>
    </row>
    <row r="4581" spans="1:23">
      <c r="A4581" s="3">
        <v>4580</v>
      </c>
      <c r="B4581" s="1" t="s">
        <v>5910</v>
      </c>
      <c r="D4581" s="1" t="s">
        <v>8187</v>
      </c>
      <c r="F4581" s="1" t="s">
        <v>5588</v>
      </c>
      <c r="G4581" s="1" t="s">
        <v>5678</v>
      </c>
      <c r="H4581" s="1" t="s">
        <v>5679</v>
      </c>
      <c r="J4581" s="1" t="s">
        <v>4052</v>
      </c>
      <c r="L4581" s="1" t="s">
        <v>4056</v>
      </c>
      <c r="N4581" s="1" t="s">
        <v>4057</v>
      </c>
      <c r="P4581" s="1" t="s">
        <v>4027</v>
      </c>
      <c r="Q4581" s="3">
        <v>0</v>
      </c>
      <c r="R4581" s="22" t="s">
        <v>2722</v>
      </c>
      <c r="S4581" s="42" t="s">
        <v>6912</v>
      </c>
      <c r="T4581" s="3" t="s">
        <v>4868</v>
      </c>
      <c r="U4581" s="45">
        <v>35</v>
      </c>
      <c r="V4581" t="s">
        <v>8191</v>
      </c>
      <c r="W4581" s="1" t="str">
        <f>HYPERLINK("http://ictvonline.org/taxonomy/p/taxonomy-history?taxnode_id=201900071","ICTVonline=201900071")</f>
        <v>ICTVonline=201900071</v>
      </c>
    </row>
    <row r="4582" spans="1:23">
      <c r="A4582" s="3">
        <v>4581</v>
      </c>
      <c r="B4582" s="1" t="s">
        <v>5910</v>
      </c>
      <c r="D4582" s="1" t="s">
        <v>8187</v>
      </c>
      <c r="F4582" s="1" t="s">
        <v>5588</v>
      </c>
      <c r="G4582" s="1" t="s">
        <v>5678</v>
      </c>
      <c r="H4582" s="1" t="s">
        <v>5679</v>
      </c>
      <c r="J4582" s="1" t="s">
        <v>4052</v>
      </c>
      <c r="L4582" s="1" t="s">
        <v>4056</v>
      </c>
      <c r="N4582" s="1" t="s">
        <v>4057</v>
      </c>
      <c r="P4582" s="1" t="s">
        <v>4028</v>
      </c>
      <c r="Q4582" s="3">
        <v>1</v>
      </c>
      <c r="R4582" s="22" t="s">
        <v>2722</v>
      </c>
      <c r="S4582" s="42" t="s">
        <v>6912</v>
      </c>
      <c r="T4582" s="3" t="s">
        <v>4868</v>
      </c>
      <c r="U4582" s="45">
        <v>35</v>
      </c>
      <c r="V4582" t="s">
        <v>8191</v>
      </c>
      <c r="W4582" s="1" t="str">
        <f>HYPERLINK("http://ictvonline.org/taxonomy/p/taxonomy-history?taxnode_id=201900072","ICTVonline=201900072")</f>
        <v>ICTVonline=201900072</v>
      </c>
    </row>
    <row r="4583" spans="1:23">
      <c r="A4583" s="3">
        <v>4582</v>
      </c>
      <c r="B4583" s="1" t="s">
        <v>5910</v>
      </c>
      <c r="D4583" s="1" t="s">
        <v>8187</v>
      </c>
      <c r="F4583" s="1" t="s">
        <v>5588</v>
      </c>
      <c r="G4583" s="1" t="s">
        <v>5678</v>
      </c>
      <c r="H4583" s="1" t="s">
        <v>5679</v>
      </c>
      <c r="J4583" s="1" t="s">
        <v>4052</v>
      </c>
      <c r="L4583" s="1" t="s">
        <v>4056</v>
      </c>
      <c r="N4583" s="1" t="s">
        <v>4057</v>
      </c>
      <c r="P4583" s="1" t="s">
        <v>6009</v>
      </c>
      <c r="Q4583" s="3">
        <v>0</v>
      </c>
      <c r="R4583" s="22" t="s">
        <v>2722</v>
      </c>
      <c r="S4583" s="42" t="s">
        <v>6912</v>
      </c>
      <c r="T4583" s="3" t="s">
        <v>4868</v>
      </c>
      <c r="U4583" s="45">
        <v>35</v>
      </c>
      <c r="V4583" t="s">
        <v>8191</v>
      </c>
      <c r="W4583" s="1" t="str">
        <f>HYPERLINK("http://ictvonline.org/taxonomy/p/taxonomy-history?taxnode_id=201900107","ICTVonline=201900107")</f>
        <v>ICTVonline=201900107</v>
      </c>
    </row>
    <row r="4584" spans="1:23">
      <c r="A4584" s="3">
        <v>4583</v>
      </c>
      <c r="B4584" s="1" t="s">
        <v>5910</v>
      </c>
      <c r="D4584" s="1" t="s">
        <v>8187</v>
      </c>
      <c r="F4584" s="1" t="s">
        <v>5588</v>
      </c>
      <c r="G4584" s="1" t="s">
        <v>5678</v>
      </c>
      <c r="H4584" s="1" t="s">
        <v>5679</v>
      </c>
      <c r="J4584" s="1" t="s">
        <v>4052</v>
      </c>
      <c r="L4584" s="1" t="s">
        <v>4056</v>
      </c>
      <c r="N4584" s="1" t="s">
        <v>4057</v>
      </c>
      <c r="P4584" s="1" t="s">
        <v>4112</v>
      </c>
      <c r="Q4584" s="3">
        <v>0</v>
      </c>
      <c r="R4584" s="22" t="s">
        <v>2722</v>
      </c>
      <c r="S4584" s="42" t="s">
        <v>6912</v>
      </c>
      <c r="T4584" s="3" t="s">
        <v>4868</v>
      </c>
      <c r="U4584" s="45">
        <v>35</v>
      </c>
      <c r="V4584" t="s">
        <v>8191</v>
      </c>
      <c r="W4584" s="1" t="str">
        <f>HYPERLINK("http://ictvonline.org/taxonomy/p/taxonomy-history?taxnode_id=201900073","ICTVonline=201900073")</f>
        <v>ICTVonline=201900073</v>
      </c>
    </row>
    <row r="4585" spans="1:23">
      <c r="A4585" s="3">
        <v>4584</v>
      </c>
      <c r="B4585" s="1" t="s">
        <v>5910</v>
      </c>
      <c r="D4585" s="1" t="s">
        <v>8187</v>
      </c>
      <c r="F4585" s="1" t="s">
        <v>5588</v>
      </c>
      <c r="G4585" s="1" t="s">
        <v>5678</v>
      </c>
      <c r="H4585" s="1" t="s">
        <v>5679</v>
      </c>
      <c r="J4585" s="1" t="s">
        <v>4052</v>
      </c>
      <c r="L4585" s="1" t="s">
        <v>4056</v>
      </c>
      <c r="N4585" s="1" t="s">
        <v>4057</v>
      </c>
      <c r="P4585" s="1" t="s">
        <v>4029</v>
      </c>
      <c r="Q4585" s="3">
        <v>0</v>
      </c>
      <c r="R4585" s="22" t="s">
        <v>2722</v>
      </c>
      <c r="S4585" s="42" t="s">
        <v>6912</v>
      </c>
      <c r="T4585" s="3" t="s">
        <v>4868</v>
      </c>
      <c r="U4585" s="45">
        <v>35</v>
      </c>
      <c r="V4585" t="s">
        <v>8191</v>
      </c>
      <c r="W4585" s="1" t="str">
        <f>HYPERLINK("http://ictvonline.org/taxonomy/p/taxonomy-history?taxnode_id=201900074","ICTVonline=201900074")</f>
        <v>ICTVonline=201900074</v>
      </c>
    </row>
    <row r="4586" spans="1:23">
      <c r="A4586" s="3">
        <v>4585</v>
      </c>
      <c r="B4586" s="1" t="s">
        <v>5910</v>
      </c>
      <c r="D4586" s="1" t="s">
        <v>8187</v>
      </c>
      <c r="F4586" s="1" t="s">
        <v>5588</v>
      </c>
      <c r="G4586" s="1" t="s">
        <v>5678</v>
      </c>
      <c r="H4586" s="1" t="s">
        <v>5679</v>
      </c>
      <c r="J4586" s="1" t="s">
        <v>4052</v>
      </c>
      <c r="L4586" s="1" t="s">
        <v>4056</v>
      </c>
      <c r="N4586" s="1" t="s">
        <v>4057</v>
      </c>
      <c r="P4586" s="1" t="s">
        <v>4113</v>
      </c>
      <c r="Q4586" s="3">
        <v>0</v>
      </c>
      <c r="R4586" s="22" t="s">
        <v>2722</v>
      </c>
      <c r="S4586" s="42" t="s">
        <v>6912</v>
      </c>
      <c r="T4586" s="3" t="s">
        <v>4868</v>
      </c>
      <c r="U4586" s="45">
        <v>35</v>
      </c>
      <c r="V4586" t="s">
        <v>8191</v>
      </c>
      <c r="W4586" s="1" t="str">
        <f>HYPERLINK("http://ictvonline.org/taxonomy/p/taxonomy-history?taxnode_id=201900075","ICTVonline=201900075")</f>
        <v>ICTVonline=201900075</v>
      </c>
    </row>
    <row r="4587" spans="1:23">
      <c r="A4587" s="3">
        <v>4586</v>
      </c>
      <c r="B4587" s="1" t="s">
        <v>5910</v>
      </c>
      <c r="D4587" s="1" t="s">
        <v>8187</v>
      </c>
      <c r="F4587" s="1" t="s">
        <v>5588</v>
      </c>
      <c r="G4587" s="1" t="s">
        <v>5678</v>
      </c>
      <c r="H4587" s="1" t="s">
        <v>5679</v>
      </c>
      <c r="J4587" s="1" t="s">
        <v>4052</v>
      </c>
      <c r="L4587" s="1" t="s">
        <v>4056</v>
      </c>
      <c r="N4587" s="1" t="s">
        <v>4057</v>
      </c>
      <c r="P4587" s="1" t="s">
        <v>4114</v>
      </c>
      <c r="Q4587" s="3">
        <v>0</v>
      </c>
      <c r="R4587" s="22" t="s">
        <v>2722</v>
      </c>
      <c r="S4587" s="42" t="s">
        <v>6912</v>
      </c>
      <c r="T4587" s="3" t="s">
        <v>4868</v>
      </c>
      <c r="U4587" s="45">
        <v>35</v>
      </c>
      <c r="V4587" t="s">
        <v>8191</v>
      </c>
      <c r="W4587" s="1" t="str">
        <f>HYPERLINK("http://ictvonline.org/taxonomy/p/taxonomy-history?taxnode_id=201900076","ICTVonline=201900076")</f>
        <v>ICTVonline=201900076</v>
      </c>
    </row>
    <row r="4588" spans="1:23">
      <c r="A4588" s="3">
        <v>4587</v>
      </c>
      <c r="B4588" s="1" t="s">
        <v>5910</v>
      </c>
      <c r="D4588" s="1" t="s">
        <v>8187</v>
      </c>
      <c r="F4588" s="1" t="s">
        <v>5588</v>
      </c>
      <c r="G4588" s="1" t="s">
        <v>5678</v>
      </c>
      <c r="H4588" s="1" t="s">
        <v>5679</v>
      </c>
      <c r="J4588" s="1" t="s">
        <v>4052</v>
      </c>
      <c r="L4588" s="1" t="s">
        <v>4056</v>
      </c>
      <c r="N4588" s="1" t="s">
        <v>4057</v>
      </c>
      <c r="P4588" s="1" t="s">
        <v>4115</v>
      </c>
      <c r="Q4588" s="3">
        <v>0</v>
      </c>
      <c r="R4588" s="22" t="s">
        <v>2722</v>
      </c>
      <c r="S4588" s="42" t="s">
        <v>6912</v>
      </c>
      <c r="T4588" s="3" t="s">
        <v>4868</v>
      </c>
      <c r="U4588" s="45">
        <v>35</v>
      </c>
      <c r="V4588" t="s">
        <v>8191</v>
      </c>
      <c r="W4588" s="1" t="str">
        <f>HYPERLINK("http://ictvonline.org/taxonomy/p/taxonomy-history?taxnode_id=201900077","ICTVonline=201900077")</f>
        <v>ICTVonline=201900077</v>
      </c>
    </row>
    <row r="4589" spans="1:23">
      <c r="A4589" s="3">
        <v>4588</v>
      </c>
      <c r="B4589" s="1" t="s">
        <v>5910</v>
      </c>
      <c r="D4589" s="1" t="s">
        <v>8187</v>
      </c>
      <c r="F4589" s="1" t="s">
        <v>5588</v>
      </c>
      <c r="G4589" s="1" t="s">
        <v>5678</v>
      </c>
      <c r="H4589" s="1" t="s">
        <v>5679</v>
      </c>
      <c r="J4589" s="1" t="s">
        <v>4052</v>
      </c>
      <c r="L4589" s="1" t="s">
        <v>4056</v>
      </c>
      <c r="N4589" s="1" t="s">
        <v>4057</v>
      </c>
      <c r="P4589" s="1" t="s">
        <v>4030</v>
      </c>
      <c r="Q4589" s="3">
        <v>0</v>
      </c>
      <c r="R4589" s="22" t="s">
        <v>2722</v>
      </c>
      <c r="S4589" s="42" t="s">
        <v>6912</v>
      </c>
      <c r="T4589" s="3" t="s">
        <v>4868</v>
      </c>
      <c r="U4589" s="45">
        <v>35</v>
      </c>
      <c r="V4589" t="s">
        <v>8191</v>
      </c>
      <c r="W4589" s="1" t="str">
        <f>HYPERLINK("http://ictvonline.org/taxonomy/p/taxonomy-history?taxnode_id=201900078","ICTVonline=201900078")</f>
        <v>ICTVonline=201900078</v>
      </c>
    </row>
    <row r="4590" spans="1:23">
      <c r="A4590" s="3">
        <v>4589</v>
      </c>
      <c r="B4590" s="1" t="s">
        <v>5910</v>
      </c>
      <c r="D4590" s="1" t="s">
        <v>8187</v>
      </c>
      <c r="F4590" s="1" t="s">
        <v>5588</v>
      </c>
      <c r="G4590" s="1" t="s">
        <v>5678</v>
      </c>
      <c r="H4590" s="1" t="s">
        <v>5679</v>
      </c>
      <c r="J4590" s="1" t="s">
        <v>4052</v>
      </c>
      <c r="L4590" s="1" t="s">
        <v>4056</v>
      </c>
      <c r="N4590" s="1" t="s">
        <v>4057</v>
      </c>
      <c r="P4590" s="1" t="s">
        <v>4031</v>
      </c>
      <c r="Q4590" s="3">
        <v>0</v>
      </c>
      <c r="R4590" s="22" t="s">
        <v>2722</v>
      </c>
      <c r="S4590" s="42" t="s">
        <v>6912</v>
      </c>
      <c r="T4590" s="3" t="s">
        <v>4868</v>
      </c>
      <c r="U4590" s="45">
        <v>35</v>
      </c>
      <c r="V4590" t="s">
        <v>8191</v>
      </c>
      <c r="W4590" s="1" t="str">
        <f>HYPERLINK("http://ictvonline.org/taxonomy/p/taxonomy-history?taxnode_id=201900079","ICTVonline=201900079")</f>
        <v>ICTVonline=201900079</v>
      </c>
    </row>
    <row r="4591" spans="1:23">
      <c r="A4591" s="3">
        <v>4590</v>
      </c>
      <c r="B4591" s="1" t="s">
        <v>5910</v>
      </c>
      <c r="D4591" s="1" t="s">
        <v>8187</v>
      </c>
      <c r="F4591" s="1" t="s">
        <v>5588</v>
      </c>
      <c r="G4591" s="1" t="s">
        <v>5678</v>
      </c>
      <c r="H4591" s="1" t="s">
        <v>5679</v>
      </c>
      <c r="J4591" s="1" t="s">
        <v>4052</v>
      </c>
      <c r="L4591" s="1" t="s">
        <v>4056</v>
      </c>
      <c r="N4591" s="1" t="s">
        <v>4057</v>
      </c>
      <c r="P4591" s="1" t="s">
        <v>4934</v>
      </c>
      <c r="Q4591" s="3">
        <v>0</v>
      </c>
      <c r="R4591" s="22" t="s">
        <v>2722</v>
      </c>
      <c r="S4591" s="42" t="s">
        <v>6912</v>
      </c>
      <c r="T4591" s="3" t="s">
        <v>4868</v>
      </c>
      <c r="U4591" s="45">
        <v>35</v>
      </c>
      <c r="V4591" t="s">
        <v>8191</v>
      </c>
      <c r="W4591" s="1" t="str">
        <f>HYPERLINK("http://ictvonline.org/taxonomy/p/taxonomy-history?taxnode_id=201900069","ICTVonline=201900069")</f>
        <v>ICTVonline=201900069</v>
      </c>
    </row>
    <row r="4592" spans="1:23">
      <c r="A4592" s="3">
        <v>4591</v>
      </c>
      <c r="B4592" s="1" t="s">
        <v>5910</v>
      </c>
      <c r="D4592" s="1" t="s">
        <v>8187</v>
      </c>
      <c r="F4592" s="1" t="s">
        <v>5588</v>
      </c>
      <c r="G4592" s="1" t="s">
        <v>5678</v>
      </c>
      <c r="H4592" s="1" t="s">
        <v>5679</v>
      </c>
      <c r="J4592" s="1" t="s">
        <v>4052</v>
      </c>
      <c r="L4592" s="1" t="s">
        <v>4056</v>
      </c>
      <c r="N4592" s="1" t="s">
        <v>4057</v>
      </c>
      <c r="P4592" s="1" t="s">
        <v>4032</v>
      </c>
      <c r="Q4592" s="3">
        <v>0</v>
      </c>
      <c r="R4592" s="22" t="s">
        <v>2722</v>
      </c>
      <c r="S4592" s="42" t="s">
        <v>6912</v>
      </c>
      <c r="T4592" s="3" t="s">
        <v>4868</v>
      </c>
      <c r="U4592" s="45">
        <v>35</v>
      </c>
      <c r="V4592" t="s">
        <v>8191</v>
      </c>
      <c r="W4592" s="1" t="str">
        <f>HYPERLINK("http://ictvonline.org/taxonomy/p/taxonomy-history?taxnode_id=201900080","ICTVonline=201900080")</f>
        <v>ICTVonline=201900080</v>
      </c>
    </row>
    <row r="4593" spans="1:23">
      <c r="A4593" s="3">
        <v>4592</v>
      </c>
      <c r="B4593" s="1" t="s">
        <v>5910</v>
      </c>
      <c r="D4593" s="1" t="s">
        <v>8187</v>
      </c>
      <c r="F4593" s="1" t="s">
        <v>5588</v>
      </c>
      <c r="G4593" s="1" t="s">
        <v>5678</v>
      </c>
      <c r="H4593" s="1" t="s">
        <v>5679</v>
      </c>
      <c r="J4593" s="1" t="s">
        <v>4052</v>
      </c>
      <c r="L4593" s="1" t="s">
        <v>4056</v>
      </c>
      <c r="N4593" s="1" t="s">
        <v>5695</v>
      </c>
      <c r="P4593" s="1" t="s">
        <v>5696</v>
      </c>
      <c r="Q4593" s="3">
        <v>1</v>
      </c>
      <c r="R4593" s="22" t="s">
        <v>2722</v>
      </c>
      <c r="S4593" s="42" t="s">
        <v>6912</v>
      </c>
      <c r="T4593" s="3" t="s">
        <v>4868</v>
      </c>
      <c r="U4593" s="45">
        <v>35</v>
      </c>
      <c r="V4593" t="s">
        <v>8191</v>
      </c>
      <c r="W4593" s="1" t="str">
        <f>HYPERLINK("http://ictvonline.org/taxonomy/p/taxonomy-history?taxnode_id=201906217","ICTVonline=201906217")</f>
        <v>ICTVonline=201906217</v>
      </c>
    </row>
    <row r="4594" spans="1:23">
      <c r="A4594" s="3">
        <v>4593</v>
      </c>
      <c r="B4594" s="1" t="s">
        <v>5910</v>
      </c>
      <c r="D4594" s="1" t="s">
        <v>8187</v>
      </c>
      <c r="F4594" s="1" t="s">
        <v>5588</v>
      </c>
      <c r="G4594" s="1" t="s">
        <v>5678</v>
      </c>
      <c r="H4594" s="1" t="s">
        <v>5679</v>
      </c>
      <c r="J4594" s="1" t="s">
        <v>4052</v>
      </c>
      <c r="L4594" s="1" t="s">
        <v>4056</v>
      </c>
      <c r="N4594" s="1" t="s">
        <v>5697</v>
      </c>
      <c r="P4594" s="1" t="s">
        <v>5698</v>
      </c>
      <c r="Q4594" s="3">
        <v>1</v>
      </c>
      <c r="R4594" s="22" t="s">
        <v>2722</v>
      </c>
      <c r="S4594" s="42" t="s">
        <v>6912</v>
      </c>
      <c r="T4594" s="3" t="s">
        <v>4868</v>
      </c>
      <c r="U4594" s="45">
        <v>35</v>
      </c>
      <c r="V4594" t="s">
        <v>8191</v>
      </c>
      <c r="W4594" s="1" t="str">
        <f>HYPERLINK("http://ictvonline.org/taxonomy/p/taxonomy-history?taxnode_id=201906219","ICTVonline=201906219")</f>
        <v>ICTVonline=201906219</v>
      </c>
    </row>
    <row r="4595" spans="1:23">
      <c r="A4595" s="3">
        <v>4594</v>
      </c>
      <c r="B4595" s="1" t="s">
        <v>5910</v>
      </c>
      <c r="D4595" s="1" t="s">
        <v>8187</v>
      </c>
      <c r="F4595" s="1" t="s">
        <v>5588</v>
      </c>
      <c r="G4595" s="1" t="s">
        <v>5678</v>
      </c>
      <c r="H4595" s="1" t="s">
        <v>5679</v>
      </c>
      <c r="J4595" s="1" t="s">
        <v>4052</v>
      </c>
      <c r="L4595" s="1" t="s">
        <v>4058</v>
      </c>
      <c r="N4595" s="1" t="s">
        <v>4108</v>
      </c>
      <c r="P4595" s="1" t="s">
        <v>4109</v>
      </c>
      <c r="Q4595" s="3">
        <v>1</v>
      </c>
      <c r="R4595" s="22" t="s">
        <v>2722</v>
      </c>
      <c r="S4595" s="42" t="s">
        <v>6913</v>
      </c>
      <c r="T4595" s="3" t="s">
        <v>4868</v>
      </c>
      <c r="U4595" s="45">
        <v>35</v>
      </c>
      <c r="V4595" t="s">
        <v>8191</v>
      </c>
      <c r="W4595" s="1" t="str">
        <f>HYPERLINK("http://ictvonline.org/taxonomy/p/taxonomy-history?taxnode_id=201900083","ICTVonline=201900083")</f>
        <v>ICTVonline=201900083</v>
      </c>
    </row>
    <row r="4596" spans="1:23">
      <c r="A4596" s="3">
        <v>4595</v>
      </c>
      <c r="B4596" s="1" t="s">
        <v>5910</v>
      </c>
      <c r="D4596" s="1" t="s">
        <v>8187</v>
      </c>
      <c r="F4596" s="1" t="s">
        <v>5588</v>
      </c>
      <c r="G4596" s="1" t="s">
        <v>5678</v>
      </c>
      <c r="H4596" s="1" t="s">
        <v>5679</v>
      </c>
      <c r="J4596" s="1" t="s">
        <v>4052</v>
      </c>
      <c r="L4596" s="1" t="s">
        <v>4058</v>
      </c>
      <c r="N4596" s="1" t="s">
        <v>4108</v>
      </c>
      <c r="P4596" s="1" t="s">
        <v>4110</v>
      </c>
      <c r="Q4596" s="3">
        <v>0</v>
      </c>
      <c r="R4596" s="22" t="s">
        <v>2722</v>
      </c>
      <c r="S4596" s="42" t="s">
        <v>6913</v>
      </c>
      <c r="T4596" s="3" t="s">
        <v>4868</v>
      </c>
      <c r="U4596" s="45">
        <v>35</v>
      </c>
      <c r="V4596" t="s">
        <v>8191</v>
      </c>
      <c r="W4596" s="1" t="str">
        <f>HYPERLINK("http://ictvonline.org/taxonomy/p/taxonomy-history?taxnode_id=201900084","ICTVonline=201900084")</f>
        <v>ICTVonline=201900084</v>
      </c>
    </row>
    <row r="4597" spans="1:23">
      <c r="A4597" s="3">
        <v>4596</v>
      </c>
      <c r="B4597" s="1" t="s">
        <v>5910</v>
      </c>
      <c r="D4597" s="1" t="s">
        <v>8187</v>
      </c>
      <c r="F4597" s="1" t="s">
        <v>5588</v>
      </c>
      <c r="G4597" s="1" t="s">
        <v>5678</v>
      </c>
      <c r="H4597" s="1" t="s">
        <v>5679</v>
      </c>
      <c r="J4597" s="1" t="s">
        <v>4052</v>
      </c>
      <c r="L4597" s="1" t="s">
        <v>4058</v>
      </c>
      <c r="N4597" s="1" t="s">
        <v>4108</v>
      </c>
      <c r="P4597" s="1" t="s">
        <v>4111</v>
      </c>
      <c r="Q4597" s="3">
        <v>0</v>
      </c>
      <c r="R4597" s="22" t="s">
        <v>2722</v>
      </c>
      <c r="S4597" s="42" t="s">
        <v>6913</v>
      </c>
      <c r="T4597" s="3" t="s">
        <v>4868</v>
      </c>
      <c r="U4597" s="45">
        <v>35</v>
      </c>
      <c r="V4597" t="s">
        <v>8191</v>
      </c>
      <c r="W4597" s="1" t="str">
        <f>HYPERLINK("http://ictvonline.org/taxonomy/p/taxonomy-history?taxnode_id=201900086","ICTVonline=201900086")</f>
        <v>ICTVonline=201900086</v>
      </c>
    </row>
    <row r="4598" spans="1:23">
      <c r="A4598" s="3">
        <v>4597</v>
      </c>
      <c r="B4598" s="1" t="s">
        <v>5910</v>
      </c>
      <c r="D4598" s="1" t="s">
        <v>8187</v>
      </c>
      <c r="F4598" s="1" t="s">
        <v>5588</v>
      </c>
      <c r="G4598" s="1" t="s">
        <v>5678</v>
      </c>
      <c r="H4598" s="1" t="s">
        <v>5679</v>
      </c>
      <c r="J4598" s="1" t="s">
        <v>4052</v>
      </c>
      <c r="L4598" s="1" t="s">
        <v>4058</v>
      </c>
      <c r="N4598" s="1" t="s">
        <v>1962</v>
      </c>
      <c r="P4598" s="1" t="s">
        <v>3648</v>
      </c>
      <c r="Q4598" s="3">
        <v>0</v>
      </c>
      <c r="R4598" s="22" t="s">
        <v>2722</v>
      </c>
      <c r="S4598" s="42" t="s">
        <v>6913</v>
      </c>
      <c r="T4598" s="3" t="s">
        <v>4868</v>
      </c>
      <c r="U4598" s="45">
        <v>35</v>
      </c>
      <c r="V4598" t="s">
        <v>8191</v>
      </c>
      <c r="W4598" s="1" t="str">
        <f>HYPERLINK("http://ictvonline.org/taxonomy/p/taxonomy-history?taxnode_id=201900089","ICTVonline=201900089")</f>
        <v>ICTVonline=201900089</v>
      </c>
    </row>
    <row r="4599" spans="1:23">
      <c r="A4599" s="3">
        <v>4598</v>
      </c>
      <c r="B4599" s="1" t="s">
        <v>5910</v>
      </c>
      <c r="D4599" s="1" t="s">
        <v>8187</v>
      </c>
      <c r="F4599" s="1" t="s">
        <v>5588</v>
      </c>
      <c r="G4599" s="1" t="s">
        <v>5678</v>
      </c>
      <c r="H4599" s="1" t="s">
        <v>5679</v>
      </c>
      <c r="J4599" s="1" t="s">
        <v>4052</v>
      </c>
      <c r="L4599" s="1" t="s">
        <v>4058</v>
      </c>
      <c r="N4599" s="1" t="s">
        <v>1962</v>
      </c>
      <c r="P4599" s="1" t="s">
        <v>6010</v>
      </c>
      <c r="Q4599" s="3">
        <v>0</v>
      </c>
      <c r="R4599" s="22" t="s">
        <v>2722</v>
      </c>
      <c r="S4599" s="42" t="s">
        <v>6913</v>
      </c>
      <c r="T4599" s="3" t="s">
        <v>4868</v>
      </c>
      <c r="U4599" s="45">
        <v>35</v>
      </c>
      <c r="V4599" t="s">
        <v>8191</v>
      </c>
      <c r="W4599" s="1" t="str">
        <f>HYPERLINK("http://ictvonline.org/taxonomy/p/taxonomy-history?taxnode_id=201906382","ICTVonline=201906382")</f>
        <v>ICTVonline=201906382</v>
      </c>
    </row>
    <row r="4600" spans="1:23">
      <c r="A4600" s="3">
        <v>4599</v>
      </c>
      <c r="B4600" s="1" t="s">
        <v>5910</v>
      </c>
      <c r="D4600" s="1" t="s">
        <v>8187</v>
      </c>
      <c r="F4600" s="1" t="s">
        <v>5588</v>
      </c>
      <c r="G4600" s="1" t="s">
        <v>5678</v>
      </c>
      <c r="H4600" s="1" t="s">
        <v>5679</v>
      </c>
      <c r="J4600" s="1" t="s">
        <v>4052</v>
      </c>
      <c r="L4600" s="1" t="s">
        <v>4058</v>
      </c>
      <c r="N4600" s="1" t="s">
        <v>1962</v>
      </c>
      <c r="P4600" s="1" t="s">
        <v>3649</v>
      </c>
      <c r="Q4600" s="3">
        <v>0</v>
      </c>
      <c r="R4600" s="22" t="s">
        <v>2722</v>
      </c>
      <c r="S4600" s="42" t="s">
        <v>6913</v>
      </c>
      <c r="T4600" s="3" t="s">
        <v>4868</v>
      </c>
      <c r="U4600" s="45">
        <v>35</v>
      </c>
      <c r="V4600" t="s">
        <v>8191</v>
      </c>
      <c r="W4600" s="1" t="str">
        <f>HYPERLINK("http://ictvonline.org/taxonomy/p/taxonomy-history?taxnode_id=201900090","ICTVonline=201900090")</f>
        <v>ICTVonline=201900090</v>
      </c>
    </row>
    <row r="4601" spans="1:23">
      <c r="A4601" s="3">
        <v>4600</v>
      </c>
      <c r="B4601" s="1" t="s">
        <v>5910</v>
      </c>
      <c r="D4601" s="1" t="s">
        <v>8187</v>
      </c>
      <c r="F4601" s="1" t="s">
        <v>5588</v>
      </c>
      <c r="G4601" s="1" t="s">
        <v>5678</v>
      </c>
      <c r="H4601" s="1" t="s">
        <v>5679</v>
      </c>
      <c r="J4601" s="1" t="s">
        <v>4052</v>
      </c>
      <c r="L4601" s="1" t="s">
        <v>4058</v>
      </c>
      <c r="N4601" s="1" t="s">
        <v>1962</v>
      </c>
      <c r="P4601" s="1" t="s">
        <v>3650</v>
      </c>
      <c r="Q4601" s="3">
        <v>0</v>
      </c>
      <c r="R4601" s="22" t="s">
        <v>2722</v>
      </c>
      <c r="S4601" s="42" t="s">
        <v>6913</v>
      </c>
      <c r="T4601" s="3" t="s">
        <v>4868</v>
      </c>
      <c r="U4601" s="45">
        <v>35</v>
      </c>
      <c r="V4601" t="s">
        <v>8191</v>
      </c>
      <c r="W4601" s="1" t="str">
        <f>HYPERLINK("http://ictvonline.org/taxonomy/p/taxonomy-history?taxnode_id=201900091","ICTVonline=201900091")</f>
        <v>ICTVonline=201900091</v>
      </c>
    </row>
    <row r="4602" spans="1:23">
      <c r="A4602" s="3">
        <v>4601</v>
      </c>
      <c r="B4602" s="1" t="s">
        <v>5910</v>
      </c>
      <c r="D4602" s="1" t="s">
        <v>8187</v>
      </c>
      <c r="F4602" s="1" t="s">
        <v>5588</v>
      </c>
      <c r="G4602" s="1" t="s">
        <v>5678</v>
      </c>
      <c r="H4602" s="1" t="s">
        <v>5679</v>
      </c>
      <c r="J4602" s="1" t="s">
        <v>4052</v>
      </c>
      <c r="L4602" s="1" t="s">
        <v>4058</v>
      </c>
      <c r="N4602" s="1" t="s">
        <v>1962</v>
      </c>
      <c r="P4602" s="1" t="s">
        <v>6011</v>
      </c>
      <c r="Q4602" s="3">
        <v>0</v>
      </c>
      <c r="R4602" s="22" t="s">
        <v>2722</v>
      </c>
      <c r="S4602" s="42" t="s">
        <v>6913</v>
      </c>
      <c r="T4602" s="3" t="s">
        <v>4868</v>
      </c>
      <c r="U4602" s="45">
        <v>35</v>
      </c>
      <c r="V4602" t="s">
        <v>8191</v>
      </c>
      <c r="W4602" s="1" t="str">
        <f>HYPERLINK("http://ictvonline.org/taxonomy/p/taxonomy-history?taxnode_id=201906354","ICTVonline=201906354")</f>
        <v>ICTVonline=201906354</v>
      </c>
    </row>
    <row r="4603" spans="1:23">
      <c r="A4603" s="3">
        <v>4602</v>
      </c>
      <c r="B4603" s="1" t="s">
        <v>5910</v>
      </c>
      <c r="D4603" s="1" t="s">
        <v>8187</v>
      </c>
      <c r="F4603" s="1" t="s">
        <v>5588</v>
      </c>
      <c r="G4603" s="1" t="s">
        <v>5678</v>
      </c>
      <c r="H4603" s="1" t="s">
        <v>5679</v>
      </c>
      <c r="J4603" s="1" t="s">
        <v>4052</v>
      </c>
      <c r="L4603" s="1" t="s">
        <v>4058</v>
      </c>
      <c r="N4603" s="1" t="s">
        <v>1962</v>
      </c>
      <c r="P4603" s="1" t="s">
        <v>6012</v>
      </c>
      <c r="Q4603" s="3">
        <v>0</v>
      </c>
      <c r="R4603" s="22" t="s">
        <v>2722</v>
      </c>
      <c r="S4603" s="42" t="s">
        <v>6913</v>
      </c>
      <c r="T4603" s="3" t="s">
        <v>4868</v>
      </c>
      <c r="U4603" s="45">
        <v>35</v>
      </c>
      <c r="V4603" t="s">
        <v>8191</v>
      </c>
      <c r="W4603" s="1" t="str">
        <f>HYPERLINK("http://ictvonline.org/taxonomy/p/taxonomy-history?taxnode_id=201906383","ICTVonline=201906383")</f>
        <v>ICTVonline=201906383</v>
      </c>
    </row>
    <row r="4604" spans="1:23">
      <c r="A4604" s="3">
        <v>4603</v>
      </c>
      <c r="B4604" s="1" t="s">
        <v>5910</v>
      </c>
      <c r="D4604" s="1" t="s">
        <v>8187</v>
      </c>
      <c r="F4604" s="1" t="s">
        <v>5588</v>
      </c>
      <c r="G4604" s="1" t="s">
        <v>5678</v>
      </c>
      <c r="H4604" s="1" t="s">
        <v>5679</v>
      </c>
      <c r="J4604" s="1" t="s">
        <v>4052</v>
      </c>
      <c r="L4604" s="1" t="s">
        <v>4058</v>
      </c>
      <c r="N4604" s="1" t="s">
        <v>1962</v>
      </c>
      <c r="P4604" s="1" t="s">
        <v>3651</v>
      </c>
      <c r="Q4604" s="3">
        <v>0</v>
      </c>
      <c r="R4604" s="22" t="s">
        <v>2722</v>
      </c>
      <c r="S4604" s="42" t="s">
        <v>6913</v>
      </c>
      <c r="T4604" s="3" t="s">
        <v>4868</v>
      </c>
      <c r="U4604" s="45">
        <v>35</v>
      </c>
      <c r="V4604" t="s">
        <v>8191</v>
      </c>
      <c r="W4604" s="1" t="str">
        <f>HYPERLINK("http://ictvonline.org/taxonomy/p/taxonomy-history?taxnode_id=201900092","ICTVonline=201900092")</f>
        <v>ICTVonline=201900092</v>
      </c>
    </row>
    <row r="4605" spans="1:23">
      <c r="A4605" s="3">
        <v>4604</v>
      </c>
      <c r="B4605" s="1" t="s">
        <v>5910</v>
      </c>
      <c r="D4605" s="1" t="s">
        <v>8187</v>
      </c>
      <c r="F4605" s="1" t="s">
        <v>5588</v>
      </c>
      <c r="G4605" s="1" t="s">
        <v>5678</v>
      </c>
      <c r="H4605" s="1" t="s">
        <v>5679</v>
      </c>
      <c r="J4605" s="1" t="s">
        <v>4052</v>
      </c>
      <c r="L4605" s="1" t="s">
        <v>4058</v>
      </c>
      <c r="N4605" s="1" t="s">
        <v>1962</v>
      </c>
      <c r="P4605" s="1" t="s">
        <v>3652</v>
      </c>
      <c r="Q4605" s="3">
        <v>0</v>
      </c>
      <c r="R4605" s="22" t="s">
        <v>2722</v>
      </c>
      <c r="S4605" s="42" t="s">
        <v>6913</v>
      </c>
      <c r="T4605" s="3" t="s">
        <v>4868</v>
      </c>
      <c r="U4605" s="45">
        <v>35</v>
      </c>
      <c r="V4605" t="s">
        <v>8191</v>
      </c>
      <c r="W4605" s="1" t="str">
        <f>HYPERLINK("http://ictvonline.org/taxonomy/p/taxonomy-history?taxnode_id=201900093","ICTVonline=201900093")</f>
        <v>ICTVonline=201900093</v>
      </c>
    </row>
    <row r="4606" spans="1:23">
      <c r="A4606" s="3">
        <v>4605</v>
      </c>
      <c r="B4606" s="1" t="s">
        <v>5910</v>
      </c>
      <c r="D4606" s="1" t="s">
        <v>8187</v>
      </c>
      <c r="F4606" s="1" t="s">
        <v>5588</v>
      </c>
      <c r="G4606" s="1" t="s">
        <v>5678</v>
      </c>
      <c r="H4606" s="1" t="s">
        <v>5679</v>
      </c>
      <c r="J4606" s="1" t="s">
        <v>4052</v>
      </c>
      <c r="L4606" s="1" t="s">
        <v>4058</v>
      </c>
      <c r="N4606" s="1" t="s">
        <v>1962</v>
      </c>
      <c r="P4606" s="1" t="s">
        <v>3653</v>
      </c>
      <c r="Q4606" s="3">
        <v>0</v>
      </c>
      <c r="R4606" s="22" t="s">
        <v>2722</v>
      </c>
      <c r="S4606" s="42" t="s">
        <v>6913</v>
      </c>
      <c r="T4606" s="3" t="s">
        <v>4868</v>
      </c>
      <c r="U4606" s="45">
        <v>35</v>
      </c>
      <c r="V4606" t="s">
        <v>8191</v>
      </c>
      <c r="W4606" s="1" t="str">
        <f>HYPERLINK("http://ictvonline.org/taxonomy/p/taxonomy-history?taxnode_id=201900094","ICTVonline=201900094")</f>
        <v>ICTVonline=201900094</v>
      </c>
    </row>
    <row r="4607" spans="1:23">
      <c r="A4607" s="3">
        <v>4606</v>
      </c>
      <c r="B4607" s="1" t="s">
        <v>5910</v>
      </c>
      <c r="D4607" s="1" t="s">
        <v>8187</v>
      </c>
      <c r="F4607" s="1" t="s">
        <v>5588</v>
      </c>
      <c r="G4607" s="1" t="s">
        <v>5678</v>
      </c>
      <c r="H4607" s="1" t="s">
        <v>5679</v>
      </c>
      <c r="J4607" s="1" t="s">
        <v>4052</v>
      </c>
      <c r="L4607" s="1" t="s">
        <v>4058</v>
      </c>
      <c r="N4607" s="1" t="s">
        <v>1962</v>
      </c>
      <c r="P4607" s="1" t="s">
        <v>6013</v>
      </c>
      <c r="Q4607" s="3">
        <v>0</v>
      </c>
      <c r="R4607" s="22" t="s">
        <v>2722</v>
      </c>
      <c r="S4607" s="42" t="s">
        <v>6913</v>
      </c>
      <c r="T4607" s="3" t="s">
        <v>4868</v>
      </c>
      <c r="U4607" s="45">
        <v>35</v>
      </c>
      <c r="V4607" t="s">
        <v>8191</v>
      </c>
      <c r="W4607" s="1" t="str">
        <f>HYPERLINK("http://ictvonline.org/taxonomy/p/taxonomy-history?taxnode_id=201906355","ICTVonline=201906355")</f>
        <v>ICTVonline=201906355</v>
      </c>
    </row>
    <row r="4608" spans="1:23">
      <c r="A4608" s="3">
        <v>4607</v>
      </c>
      <c r="B4608" s="1" t="s">
        <v>5910</v>
      </c>
      <c r="D4608" s="1" t="s">
        <v>8187</v>
      </c>
      <c r="F4608" s="1" t="s">
        <v>5588</v>
      </c>
      <c r="G4608" s="1" t="s">
        <v>5678</v>
      </c>
      <c r="H4608" s="1" t="s">
        <v>5679</v>
      </c>
      <c r="J4608" s="1" t="s">
        <v>4052</v>
      </c>
      <c r="L4608" s="1" t="s">
        <v>4058</v>
      </c>
      <c r="N4608" s="1" t="s">
        <v>1962</v>
      </c>
      <c r="P4608" s="1" t="s">
        <v>3654</v>
      </c>
      <c r="Q4608" s="3">
        <v>0</v>
      </c>
      <c r="R4608" s="22" t="s">
        <v>2722</v>
      </c>
      <c r="S4608" s="42" t="s">
        <v>6913</v>
      </c>
      <c r="T4608" s="3" t="s">
        <v>4868</v>
      </c>
      <c r="U4608" s="45">
        <v>35</v>
      </c>
      <c r="V4608" t="s">
        <v>8191</v>
      </c>
      <c r="W4608" s="1" t="str">
        <f>HYPERLINK("http://ictvonline.org/taxonomy/p/taxonomy-history?taxnode_id=201900095","ICTVonline=201900095")</f>
        <v>ICTVonline=201900095</v>
      </c>
    </row>
    <row r="4609" spans="1:23">
      <c r="A4609" s="3">
        <v>4608</v>
      </c>
      <c r="B4609" s="1" t="s">
        <v>5910</v>
      </c>
      <c r="D4609" s="1" t="s">
        <v>8187</v>
      </c>
      <c r="F4609" s="1" t="s">
        <v>5588</v>
      </c>
      <c r="G4609" s="1" t="s">
        <v>5678</v>
      </c>
      <c r="H4609" s="1" t="s">
        <v>5679</v>
      </c>
      <c r="J4609" s="1" t="s">
        <v>4052</v>
      </c>
      <c r="L4609" s="1" t="s">
        <v>4058</v>
      </c>
      <c r="N4609" s="1" t="s">
        <v>1962</v>
      </c>
      <c r="P4609" s="1" t="s">
        <v>6014</v>
      </c>
      <c r="Q4609" s="3">
        <v>0</v>
      </c>
      <c r="R4609" s="22" t="s">
        <v>2722</v>
      </c>
      <c r="S4609" s="42" t="s">
        <v>6913</v>
      </c>
      <c r="T4609" s="3" t="s">
        <v>4868</v>
      </c>
      <c r="U4609" s="45">
        <v>35</v>
      </c>
      <c r="V4609" t="s">
        <v>8191</v>
      </c>
      <c r="W4609" s="1" t="str">
        <f>HYPERLINK("http://ictvonline.org/taxonomy/p/taxonomy-history?taxnode_id=201906596","ICTVonline=201906596")</f>
        <v>ICTVonline=201906596</v>
      </c>
    </row>
    <row r="4610" spans="1:23">
      <c r="A4610" s="3">
        <v>4609</v>
      </c>
      <c r="B4610" s="1" t="s">
        <v>5910</v>
      </c>
      <c r="D4610" s="1" t="s">
        <v>8187</v>
      </c>
      <c r="F4610" s="1" t="s">
        <v>5588</v>
      </c>
      <c r="G4610" s="1" t="s">
        <v>5678</v>
      </c>
      <c r="H4610" s="1" t="s">
        <v>5679</v>
      </c>
      <c r="J4610" s="1" t="s">
        <v>4052</v>
      </c>
      <c r="L4610" s="1" t="s">
        <v>4058</v>
      </c>
      <c r="N4610" s="1" t="s">
        <v>1962</v>
      </c>
      <c r="P4610" s="1" t="s">
        <v>3655</v>
      </c>
      <c r="Q4610" s="3">
        <v>0</v>
      </c>
      <c r="R4610" s="22" t="s">
        <v>2722</v>
      </c>
      <c r="S4610" s="42" t="s">
        <v>6913</v>
      </c>
      <c r="T4610" s="3" t="s">
        <v>4868</v>
      </c>
      <c r="U4610" s="45">
        <v>35</v>
      </c>
      <c r="V4610" t="s">
        <v>8191</v>
      </c>
      <c r="W4610" s="1" t="str">
        <f>HYPERLINK("http://ictvonline.org/taxonomy/p/taxonomy-history?taxnode_id=201900096","ICTVonline=201900096")</f>
        <v>ICTVonline=201900096</v>
      </c>
    </row>
    <row r="4611" spans="1:23">
      <c r="A4611" s="3">
        <v>4610</v>
      </c>
      <c r="B4611" s="1" t="s">
        <v>5910</v>
      </c>
      <c r="D4611" s="1" t="s">
        <v>8187</v>
      </c>
      <c r="F4611" s="1" t="s">
        <v>5588</v>
      </c>
      <c r="G4611" s="1" t="s">
        <v>5678</v>
      </c>
      <c r="H4611" s="1" t="s">
        <v>5679</v>
      </c>
      <c r="J4611" s="1" t="s">
        <v>4052</v>
      </c>
      <c r="L4611" s="1" t="s">
        <v>4058</v>
      </c>
      <c r="N4611" s="1" t="s">
        <v>1962</v>
      </c>
      <c r="P4611" s="1" t="s">
        <v>3656</v>
      </c>
      <c r="Q4611" s="3">
        <v>0</v>
      </c>
      <c r="R4611" s="22" t="s">
        <v>2722</v>
      </c>
      <c r="S4611" s="42" t="s">
        <v>6913</v>
      </c>
      <c r="T4611" s="3" t="s">
        <v>4868</v>
      </c>
      <c r="U4611" s="45">
        <v>35</v>
      </c>
      <c r="V4611" t="s">
        <v>8191</v>
      </c>
      <c r="W4611" s="1" t="str">
        <f>HYPERLINK("http://ictvonline.org/taxonomy/p/taxonomy-history?taxnode_id=201900097","ICTVonline=201900097")</f>
        <v>ICTVonline=201900097</v>
      </c>
    </row>
    <row r="4612" spans="1:23">
      <c r="A4612" s="3">
        <v>4611</v>
      </c>
      <c r="B4612" s="1" t="s">
        <v>5910</v>
      </c>
      <c r="D4612" s="1" t="s">
        <v>8187</v>
      </c>
      <c r="F4612" s="1" t="s">
        <v>5588</v>
      </c>
      <c r="G4612" s="1" t="s">
        <v>5678</v>
      </c>
      <c r="H4612" s="1" t="s">
        <v>5679</v>
      </c>
      <c r="J4612" s="1" t="s">
        <v>4052</v>
      </c>
      <c r="L4612" s="1" t="s">
        <v>4058</v>
      </c>
      <c r="N4612" s="1" t="s">
        <v>1962</v>
      </c>
      <c r="P4612" s="1" t="s">
        <v>3657</v>
      </c>
      <c r="Q4612" s="3">
        <v>0</v>
      </c>
      <c r="R4612" s="22" t="s">
        <v>2722</v>
      </c>
      <c r="S4612" s="42" t="s">
        <v>6913</v>
      </c>
      <c r="T4612" s="3" t="s">
        <v>4868</v>
      </c>
      <c r="U4612" s="45">
        <v>35</v>
      </c>
      <c r="V4612" t="s">
        <v>8191</v>
      </c>
      <c r="W4612" s="1" t="str">
        <f>HYPERLINK("http://ictvonline.org/taxonomy/p/taxonomy-history?taxnode_id=201900098","ICTVonline=201900098")</f>
        <v>ICTVonline=201900098</v>
      </c>
    </row>
    <row r="4613" spans="1:23">
      <c r="A4613" s="3">
        <v>4612</v>
      </c>
      <c r="B4613" s="1" t="s">
        <v>5910</v>
      </c>
      <c r="D4613" s="1" t="s">
        <v>8187</v>
      </c>
      <c r="F4613" s="1" t="s">
        <v>5588</v>
      </c>
      <c r="G4613" s="1" t="s">
        <v>5678</v>
      </c>
      <c r="H4613" s="1" t="s">
        <v>5679</v>
      </c>
      <c r="J4613" s="1" t="s">
        <v>4052</v>
      </c>
      <c r="L4613" s="1" t="s">
        <v>4058</v>
      </c>
      <c r="N4613" s="1" t="s">
        <v>1962</v>
      </c>
      <c r="P4613" s="1" t="s">
        <v>6015</v>
      </c>
      <c r="Q4613" s="3">
        <v>0</v>
      </c>
      <c r="R4613" s="22" t="s">
        <v>2722</v>
      </c>
      <c r="S4613" s="42" t="s">
        <v>6913</v>
      </c>
      <c r="T4613" s="3" t="s">
        <v>4868</v>
      </c>
      <c r="U4613" s="45">
        <v>35</v>
      </c>
      <c r="V4613" t="s">
        <v>8191</v>
      </c>
      <c r="W4613" s="1" t="str">
        <f>HYPERLINK("http://ictvonline.org/taxonomy/p/taxonomy-history?taxnode_id=201906356","ICTVonline=201906356")</f>
        <v>ICTVonline=201906356</v>
      </c>
    </row>
    <row r="4614" spans="1:23">
      <c r="A4614" s="3">
        <v>4613</v>
      </c>
      <c r="B4614" s="1" t="s">
        <v>5910</v>
      </c>
      <c r="D4614" s="1" t="s">
        <v>8187</v>
      </c>
      <c r="F4614" s="1" t="s">
        <v>5588</v>
      </c>
      <c r="G4614" s="1" t="s">
        <v>5678</v>
      </c>
      <c r="H4614" s="1" t="s">
        <v>5679</v>
      </c>
      <c r="J4614" s="1" t="s">
        <v>4052</v>
      </c>
      <c r="L4614" s="1" t="s">
        <v>4058</v>
      </c>
      <c r="N4614" s="1" t="s">
        <v>1962</v>
      </c>
      <c r="P4614" s="1" t="s">
        <v>3658</v>
      </c>
      <c r="Q4614" s="3">
        <v>0</v>
      </c>
      <c r="R4614" s="22" t="s">
        <v>2722</v>
      </c>
      <c r="S4614" s="42" t="s">
        <v>6913</v>
      </c>
      <c r="T4614" s="3" t="s">
        <v>4868</v>
      </c>
      <c r="U4614" s="45">
        <v>35</v>
      </c>
      <c r="V4614" t="s">
        <v>8191</v>
      </c>
      <c r="W4614" s="1" t="str">
        <f>HYPERLINK("http://ictvonline.org/taxonomy/p/taxonomy-history?taxnode_id=201900099","ICTVonline=201900099")</f>
        <v>ICTVonline=201900099</v>
      </c>
    </row>
    <row r="4615" spans="1:23">
      <c r="A4615" s="3">
        <v>4614</v>
      </c>
      <c r="B4615" s="1" t="s">
        <v>5910</v>
      </c>
      <c r="D4615" s="1" t="s">
        <v>8187</v>
      </c>
      <c r="F4615" s="1" t="s">
        <v>5588</v>
      </c>
      <c r="G4615" s="1" t="s">
        <v>5678</v>
      </c>
      <c r="H4615" s="1" t="s">
        <v>5679</v>
      </c>
      <c r="J4615" s="1" t="s">
        <v>4052</v>
      </c>
      <c r="L4615" s="1" t="s">
        <v>4058</v>
      </c>
      <c r="N4615" s="1" t="s">
        <v>1962</v>
      </c>
      <c r="P4615" s="1" t="s">
        <v>6016</v>
      </c>
      <c r="Q4615" s="3">
        <v>0</v>
      </c>
      <c r="R4615" s="22" t="s">
        <v>2722</v>
      </c>
      <c r="S4615" s="42" t="s">
        <v>6913</v>
      </c>
      <c r="T4615" s="3" t="s">
        <v>4868</v>
      </c>
      <c r="U4615" s="45">
        <v>35</v>
      </c>
      <c r="V4615" t="s">
        <v>8191</v>
      </c>
      <c r="W4615" s="1" t="str">
        <f>HYPERLINK("http://ictvonline.org/taxonomy/p/taxonomy-history?taxnode_id=201906357","ICTVonline=201906357")</f>
        <v>ICTVonline=201906357</v>
      </c>
    </row>
    <row r="4616" spans="1:23">
      <c r="A4616" s="3">
        <v>4615</v>
      </c>
      <c r="B4616" s="1" t="s">
        <v>5910</v>
      </c>
      <c r="D4616" s="1" t="s">
        <v>8187</v>
      </c>
      <c r="F4616" s="1" t="s">
        <v>5588</v>
      </c>
      <c r="G4616" s="1" t="s">
        <v>5678</v>
      </c>
      <c r="H4616" s="1" t="s">
        <v>5679</v>
      </c>
      <c r="J4616" s="1" t="s">
        <v>4052</v>
      </c>
      <c r="L4616" s="1" t="s">
        <v>4058</v>
      </c>
      <c r="N4616" s="1" t="s">
        <v>1962</v>
      </c>
      <c r="P4616" s="1" t="s">
        <v>3659</v>
      </c>
      <c r="Q4616" s="3">
        <v>1</v>
      </c>
      <c r="R4616" s="22" t="s">
        <v>2722</v>
      </c>
      <c r="S4616" s="42" t="s">
        <v>6913</v>
      </c>
      <c r="T4616" s="3" t="s">
        <v>4868</v>
      </c>
      <c r="U4616" s="45">
        <v>35</v>
      </c>
      <c r="V4616" t="s">
        <v>8191</v>
      </c>
      <c r="W4616" s="1" t="str">
        <f>HYPERLINK("http://ictvonline.org/taxonomy/p/taxonomy-history?taxnode_id=201900100","ICTVonline=201900100")</f>
        <v>ICTVonline=201900100</v>
      </c>
    </row>
    <row r="4617" spans="1:23">
      <c r="A4617" s="3">
        <v>4616</v>
      </c>
      <c r="B4617" s="1" t="s">
        <v>5910</v>
      </c>
      <c r="D4617" s="1" t="s">
        <v>8187</v>
      </c>
      <c r="F4617" s="1" t="s">
        <v>5588</v>
      </c>
      <c r="G4617" s="1" t="s">
        <v>5678</v>
      </c>
      <c r="H4617" s="1" t="s">
        <v>5679</v>
      </c>
      <c r="J4617" s="1" t="s">
        <v>4052</v>
      </c>
      <c r="L4617" s="1" t="s">
        <v>4058</v>
      </c>
      <c r="N4617" s="1" t="s">
        <v>1962</v>
      </c>
      <c r="P4617" s="1" t="s">
        <v>3660</v>
      </c>
      <c r="Q4617" s="3">
        <v>0</v>
      </c>
      <c r="R4617" s="22" t="s">
        <v>2722</v>
      </c>
      <c r="S4617" s="42" t="s">
        <v>6913</v>
      </c>
      <c r="T4617" s="3" t="s">
        <v>4868</v>
      </c>
      <c r="U4617" s="45">
        <v>35</v>
      </c>
      <c r="V4617" t="s">
        <v>8191</v>
      </c>
      <c r="W4617" s="1" t="str">
        <f>HYPERLINK("http://ictvonline.org/taxonomy/p/taxonomy-history?taxnode_id=201900101","ICTVonline=201900101")</f>
        <v>ICTVonline=201900101</v>
      </c>
    </row>
    <row r="4618" spans="1:23">
      <c r="A4618" s="3">
        <v>4617</v>
      </c>
      <c r="B4618" s="1" t="s">
        <v>5910</v>
      </c>
      <c r="D4618" s="1" t="s">
        <v>8187</v>
      </c>
      <c r="F4618" s="1" t="s">
        <v>5588</v>
      </c>
      <c r="G4618" s="1" t="s">
        <v>5678</v>
      </c>
      <c r="H4618" s="1" t="s">
        <v>5679</v>
      </c>
      <c r="J4618" s="1" t="s">
        <v>4052</v>
      </c>
      <c r="L4618" s="1" t="s">
        <v>4058</v>
      </c>
      <c r="N4618" s="1" t="s">
        <v>1962</v>
      </c>
      <c r="P4618" s="1" t="s">
        <v>6017</v>
      </c>
      <c r="Q4618" s="3">
        <v>0</v>
      </c>
      <c r="R4618" s="22" t="s">
        <v>2722</v>
      </c>
      <c r="S4618" s="42" t="s">
        <v>6913</v>
      </c>
      <c r="T4618" s="3" t="s">
        <v>4868</v>
      </c>
      <c r="U4618" s="45">
        <v>35</v>
      </c>
      <c r="V4618" t="s">
        <v>8191</v>
      </c>
      <c r="W4618" s="1" t="str">
        <f>HYPERLINK("http://ictvonline.org/taxonomy/p/taxonomy-history?taxnode_id=201906374","ICTVonline=201906374")</f>
        <v>ICTVonline=201906374</v>
      </c>
    </row>
    <row r="4619" spans="1:23">
      <c r="A4619" s="3">
        <v>4618</v>
      </c>
      <c r="B4619" s="1" t="s">
        <v>5910</v>
      </c>
      <c r="D4619" s="1" t="s">
        <v>8187</v>
      </c>
      <c r="F4619" s="1" t="s">
        <v>5588</v>
      </c>
      <c r="G4619" s="1" t="s">
        <v>5678</v>
      </c>
      <c r="H4619" s="1" t="s">
        <v>5679</v>
      </c>
      <c r="J4619" s="1" t="s">
        <v>4052</v>
      </c>
      <c r="L4619" s="1" t="s">
        <v>4058</v>
      </c>
      <c r="N4619" s="1" t="s">
        <v>1962</v>
      </c>
      <c r="P4619" s="1" t="s">
        <v>3661</v>
      </c>
      <c r="Q4619" s="3">
        <v>0</v>
      </c>
      <c r="R4619" s="22" t="s">
        <v>2722</v>
      </c>
      <c r="S4619" s="42" t="s">
        <v>6913</v>
      </c>
      <c r="T4619" s="3" t="s">
        <v>4868</v>
      </c>
      <c r="U4619" s="45">
        <v>35</v>
      </c>
      <c r="V4619" t="s">
        <v>8191</v>
      </c>
      <c r="W4619" s="1" t="str">
        <f>HYPERLINK("http://ictvonline.org/taxonomy/p/taxonomy-history?taxnode_id=201900102","ICTVonline=201900102")</f>
        <v>ICTVonline=201900102</v>
      </c>
    </row>
    <row r="4620" spans="1:23">
      <c r="A4620" s="3">
        <v>4619</v>
      </c>
      <c r="B4620" s="1" t="s">
        <v>5910</v>
      </c>
      <c r="D4620" s="1" t="s">
        <v>8187</v>
      </c>
      <c r="F4620" s="1" t="s">
        <v>5588</v>
      </c>
      <c r="G4620" s="1" t="s">
        <v>5678</v>
      </c>
      <c r="H4620" s="1" t="s">
        <v>5679</v>
      </c>
      <c r="J4620" s="1" t="s">
        <v>4052</v>
      </c>
      <c r="L4620" s="1" t="s">
        <v>4058</v>
      </c>
      <c r="N4620" s="1" t="s">
        <v>1962</v>
      </c>
      <c r="P4620" s="1" t="s">
        <v>6018</v>
      </c>
      <c r="Q4620" s="3">
        <v>0</v>
      </c>
      <c r="R4620" s="22" t="s">
        <v>2722</v>
      </c>
      <c r="S4620" s="42" t="s">
        <v>6913</v>
      </c>
      <c r="T4620" s="3" t="s">
        <v>4868</v>
      </c>
      <c r="U4620" s="45">
        <v>35</v>
      </c>
      <c r="V4620" t="s">
        <v>8191</v>
      </c>
      <c r="W4620" s="1" t="str">
        <f>HYPERLINK("http://ictvonline.org/taxonomy/p/taxonomy-history?taxnode_id=201906358","ICTVonline=201906358")</f>
        <v>ICTVonline=201906358</v>
      </c>
    </row>
    <row r="4621" spans="1:23">
      <c r="A4621" s="3">
        <v>4620</v>
      </c>
      <c r="B4621" s="1" t="s">
        <v>5910</v>
      </c>
      <c r="D4621" s="1" t="s">
        <v>8187</v>
      </c>
      <c r="F4621" s="1" t="s">
        <v>5588</v>
      </c>
      <c r="G4621" s="1" t="s">
        <v>5678</v>
      </c>
      <c r="H4621" s="1" t="s">
        <v>5679</v>
      </c>
      <c r="J4621" s="1" t="s">
        <v>4052</v>
      </c>
      <c r="L4621" s="1" t="s">
        <v>4058</v>
      </c>
      <c r="N4621" s="1" t="s">
        <v>1962</v>
      </c>
      <c r="P4621" s="1" t="s">
        <v>6019</v>
      </c>
      <c r="Q4621" s="3">
        <v>0</v>
      </c>
      <c r="R4621" s="22" t="s">
        <v>2722</v>
      </c>
      <c r="S4621" s="42" t="s">
        <v>6913</v>
      </c>
      <c r="T4621" s="3" t="s">
        <v>4868</v>
      </c>
      <c r="U4621" s="45">
        <v>35</v>
      </c>
      <c r="V4621" t="s">
        <v>8191</v>
      </c>
      <c r="W4621" s="1" t="str">
        <f>HYPERLINK("http://ictvonline.org/taxonomy/p/taxonomy-history?taxnode_id=201906384","ICTVonline=201906384")</f>
        <v>ICTVonline=201906384</v>
      </c>
    </row>
    <row r="4622" spans="1:23">
      <c r="A4622" s="3">
        <v>4621</v>
      </c>
      <c r="B4622" s="1" t="s">
        <v>5910</v>
      </c>
      <c r="D4622" s="1" t="s">
        <v>8187</v>
      </c>
      <c r="F4622" s="1" t="s">
        <v>5588</v>
      </c>
      <c r="G4622" s="1" t="s">
        <v>5678</v>
      </c>
      <c r="H4622" s="1" t="s">
        <v>5679</v>
      </c>
      <c r="J4622" s="1" t="s">
        <v>4052</v>
      </c>
      <c r="L4622" s="1" t="s">
        <v>4058</v>
      </c>
      <c r="N4622" s="1" t="s">
        <v>1962</v>
      </c>
      <c r="P4622" s="1" t="s">
        <v>3662</v>
      </c>
      <c r="Q4622" s="3">
        <v>0</v>
      </c>
      <c r="R4622" s="22" t="s">
        <v>2722</v>
      </c>
      <c r="S4622" s="42" t="s">
        <v>6913</v>
      </c>
      <c r="T4622" s="3" t="s">
        <v>4868</v>
      </c>
      <c r="U4622" s="45">
        <v>35</v>
      </c>
      <c r="V4622" t="s">
        <v>8191</v>
      </c>
      <c r="W4622" s="1" t="str">
        <f>HYPERLINK("http://ictvonline.org/taxonomy/p/taxonomy-history?taxnode_id=201900103","ICTVonline=201900103")</f>
        <v>ICTVonline=201900103</v>
      </c>
    </row>
    <row r="4623" spans="1:23">
      <c r="A4623" s="3">
        <v>4622</v>
      </c>
      <c r="B4623" s="1" t="s">
        <v>5910</v>
      </c>
      <c r="D4623" s="1" t="s">
        <v>8187</v>
      </c>
      <c r="F4623" s="1" t="s">
        <v>5588</v>
      </c>
      <c r="G4623" s="1" t="s">
        <v>5678</v>
      </c>
      <c r="H4623" s="1" t="s">
        <v>5679</v>
      </c>
      <c r="J4623" s="1" t="s">
        <v>4052</v>
      </c>
      <c r="L4623" s="1" t="s">
        <v>4058</v>
      </c>
      <c r="N4623" s="1" t="s">
        <v>1962</v>
      </c>
      <c r="P4623" s="1" t="s">
        <v>3663</v>
      </c>
      <c r="Q4623" s="3">
        <v>0</v>
      </c>
      <c r="R4623" s="22" t="s">
        <v>2722</v>
      </c>
      <c r="S4623" s="42" t="s">
        <v>6913</v>
      </c>
      <c r="T4623" s="3" t="s">
        <v>4868</v>
      </c>
      <c r="U4623" s="45">
        <v>35</v>
      </c>
      <c r="V4623" t="s">
        <v>8191</v>
      </c>
      <c r="W4623" s="1" t="str">
        <f>HYPERLINK("http://ictvonline.org/taxonomy/p/taxonomy-history?taxnode_id=201900104","ICTVonline=201900104")</f>
        <v>ICTVonline=201900104</v>
      </c>
    </row>
    <row r="4624" spans="1:23">
      <c r="A4624" s="3">
        <v>4623</v>
      </c>
      <c r="B4624" s="1" t="s">
        <v>5910</v>
      </c>
      <c r="D4624" s="1" t="s">
        <v>8187</v>
      </c>
      <c r="F4624" s="1" t="s">
        <v>5588</v>
      </c>
      <c r="G4624" s="1" t="s">
        <v>5678</v>
      </c>
      <c r="H4624" s="1" t="s">
        <v>5679</v>
      </c>
      <c r="J4624" s="1" t="s">
        <v>4052</v>
      </c>
      <c r="L4624" s="1" t="s">
        <v>4058</v>
      </c>
      <c r="N4624" s="1" t="s">
        <v>1962</v>
      </c>
      <c r="P4624" s="1" t="s">
        <v>3664</v>
      </c>
      <c r="Q4624" s="3">
        <v>0</v>
      </c>
      <c r="R4624" s="22" t="s">
        <v>2722</v>
      </c>
      <c r="S4624" s="42" t="s">
        <v>6913</v>
      </c>
      <c r="T4624" s="3" t="s">
        <v>4868</v>
      </c>
      <c r="U4624" s="45">
        <v>35</v>
      </c>
      <c r="V4624" t="s">
        <v>8191</v>
      </c>
      <c r="W4624" s="1" t="str">
        <f>HYPERLINK("http://ictvonline.org/taxonomy/p/taxonomy-history?taxnode_id=201900105","ICTVonline=201900105")</f>
        <v>ICTVonline=201900105</v>
      </c>
    </row>
    <row r="4625" spans="1:23">
      <c r="A4625" s="3">
        <v>4624</v>
      </c>
      <c r="B4625" s="1" t="s">
        <v>5910</v>
      </c>
      <c r="D4625" s="1" t="s">
        <v>8187</v>
      </c>
      <c r="F4625" s="1" t="s">
        <v>5588</v>
      </c>
      <c r="G4625" s="1" t="s">
        <v>5678</v>
      </c>
      <c r="H4625" s="1" t="s">
        <v>5679</v>
      </c>
      <c r="J4625" s="1" t="s">
        <v>4052</v>
      </c>
      <c r="L4625" s="1" t="s">
        <v>4058</v>
      </c>
      <c r="N4625" s="1" t="s">
        <v>1962</v>
      </c>
      <c r="P4625" s="1" t="s">
        <v>6020</v>
      </c>
      <c r="Q4625" s="3">
        <v>0</v>
      </c>
      <c r="R4625" s="22" t="s">
        <v>2722</v>
      </c>
      <c r="S4625" s="42" t="s">
        <v>6913</v>
      </c>
      <c r="T4625" s="3" t="s">
        <v>4868</v>
      </c>
      <c r="U4625" s="45">
        <v>35</v>
      </c>
      <c r="V4625" t="s">
        <v>8191</v>
      </c>
      <c r="W4625" s="1" t="str">
        <f>HYPERLINK("http://ictvonline.org/taxonomy/p/taxonomy-history?taxnode_id=201906375","ICTVonline=201906375")</f>
        <v>ICTVonline=201906375</v>
      </c>
    </row>
    <row r="4626" spans="1:23">
      <c r="A4626" s="3">
        <v>4625</v>
      </c>
      <c r="B4626" s="1" t="s">
        <v>5910</v>
      </c>
      <c r="D4626" s="1" t="s">
        <v>8187</v>
      </c>
      <c r="F4626" s="1" t="s">
        <v>5588</v>
      </c>
      <c r="G4626" s="1" t="s">
        <v>5678</v>
      </c>
      <c r="H4626" s="1" t="s">
        <v>5679</v>
      </c>
      <c r="J4626" s="1" t="s">
        <v>4052</v>
      </c>
      <c r="L4626" s="1" t="s">
        <v>4058</v>
      </c>
      <c r="N4626" s="1" t="s">
        <v>1962</v>
      </c>
      <c r="P4626" s="1" t="s">
        <v>3665</v>
      </c>
      <c r="Q4626" s="3">
        <v>0</v>
      </c>
      <c r="R4626" s="22" t="s">
        <v>2722</v>
      </c>
      <c r="S4626" s="42" t="s">
        <v>6913</v>
      </c>
      <c r="T4626" s="3" t="s">
        <v>4868</v>
      </c>
      <c r="U4626" s="45">
        <v>35</v>
      </c>
      <c r="V4626" t="s">
        <v>8191</v>
      </c>
      <c r="W4626" s="1" t="str">
        <f>HYPERLINK("http://ictvonline.org/taxonomy/p/taxonomy-history?taxnode_id=201900106","ICTVonline=201900106")</f>
        <v>ICTVonline=201900106</v>
      </c>
    </row>
    <row r="4627" spans="1:23">
      <c r="A4627" s="3">
        <v>4626</v>
      </c>
      <c r="B4627" s="1" t="s">
        <v>5910</v>
      </c>
      <c r="D4627" s="1" t="s">
        <v>8187</v>
      </c>
      <c r="F4627" s="1" t="s">
        <v>5588</v>
      </c>
      <c r="G4627" s="1" t="s">
        <v>5678</v>
      </c>
      <c r="H4627" s="1" t="s">
        <v>5679</v>
      </c>
      <c r="J4627" s="1" t="s">
        <v>4052</v>
      </c>
      <c r="L4627" s="1" t="s">
        <v>4058</v>
      </c>
      <c r="N4627" s="1" t="s">
        <v>1962</v>
      </c>
      <c r="P4627" s="1" t="s">
        <v>6021</v>
      </c>
      <c r="Q4627" s="3">
        <v>0</v>
      </c>
      <c r="R4627" s="22" t="s">
        <v>2722</v>
      </c>
      <c r="S4627" s="42" t="s">
        <v>6913</v>
      </c>
      <c r="T4627" s="3" t="s">
        <v>4868</v>
      </c>
      <c r="U4627" s="45">
        <v>35</v>
      </c>
      <c r="V4627" t="s">
        <v>8191</v>
      </c>
      <c r="W4627" s="1" t="str">
        <f>HYPERLINK("http://ictvonline.org/taxonomy/p/taxonomy-history?taxnode_id=201906597","ICTVonline=201906597")</f>
        <v>ICTVonline=201906597</v>
      </c>
    </row>
    <row r="4628" spans="1:23">
      <c r="A4628" s="3">
        <v>4627</v>
      </c>
      <c r="B4628" s="1" t="s">
        <v>5910</v>
      </c>
      <c r="D4628" s="1" t="s">
        <v>8187</v>
      </c>
      <c r="F4628" s="1" t="s">
        <v>5588</v>
      </c>
      <c r="G4628" s="1" t="s">
        <v>5678</v>
      </c>
      <c r="H4628" s="1" t="s">
        <v>5679</v>
      </c>
      <c r="J4628" s="1" t="s">
        <v>4052</v>
      </c>
      <c r="L4628" s="1" t="s">
        <v>4058</v>
      </c>
      <c r="N4628" s="1" t="s">
        <v>1962</v>
      </c>
      <c r="P4628" s="1" t="s">
        <v>6022</v>
      </c>
      <c r="Q4628" s="3">
        <v>0</v>
      </c>
      <c r="R4628" s="22" t="s">
        <v>2722</v>
      </c>
      <c r="S4628" s="42" t="s">
        <v>6913</v>
      </c>
      <c r="T4628" s="3" t="s">
        <v>4868</v>
      </c>
      <c r="U4628" s="45">
        <v>35</v>
      </c>
      <c r="V4628" t="s">
        <v>8191</v>
      </c>
      <c r="W4628" s="1" t="str">
        <f>HYPERLINK("http://ictvonline.org/taxonomy/p/taxonomy-history?taxnode_id=201906378","ICTVonline=201906378")</f>
        <v>ICTVonline=201906378</v>
      </c>
    </row>
    <row r="4629" spans="1:23">
      <c r="A4629" s="3">
        <v>4628</v>
      </c>
      <c r="B4629" s="1" t="s">
        <v>5910</v>
      </c>
      <c r="D4629" s="1" t="s">
        <v>8187</v>
      </c>
      <c r="F4629" s="1" t="s">
        <v>5588</v>
      </c>
      <c r="G4629" s="1" t="s">
        <v>5678</v>
      </c>
      <c r="H4629" s="1" t="s">
        <v>5679</v>
      </c>
      <c r="J4629" s="1" t="s">
        <v>4052</v>
      </c>
      <c r="L4629" s="1" t="s">
        <v>4058</v>
      </c>
      <c r="N4629" s="1" t="s">
        <v>1962</v>
      </c>
      <c r="P4629" s="1" t="s">
        <v>6023</v>
      </c>
      <c r="Q4629" s="3">
        <v>0</v>
      </c>
      <c r="R4629" s="22" t="s">
        <v>2722</v>
      </c>
      <c r="S4629" s="42" t="s">
        <v>6913</v>
      </c>
      <c r="T4629" s="3" t="s">
        <v>4868</v>
      </c>
      <c r="U4629" s="45">
        <v>35</v>
      </c>
      <c r="V4629" t="s">
        <v>8191</v>
      </c>
      <c r="W4629" s="1" t="str">
        <f>HYPERLINK("http://ictvonline.org/taxonomy/p/taxonomy-history?taxnode_id=201906359","ICTVonline=201906359")</f>
        <v>ICTVonline=201906359</v>
      </c>
    </row>
    <row r="4630" spans="1:23">
      <c r="A4630" s="3">
        <v>4629</v>
      </c>
      <c r="B4630" s="1" t="s">
        <v>5910</v>
      </c>
      <c r="D4630" s="1" t="s">
        <v>8187</v>
      </c>
      <c r="F4630" s="1" t="s">
        <v>5588</v>
      </c>
      <c r="G4630" s="1" t="s">
        <v>5678</v>
      </c>
      <c r="H4630" s="1" t="s">
        <v>5679</v>
      </c>
      <c r="J4630" s="1" t="s">
        <v>4052</v>
      </c>
      <c r="L4630" s="1" t="s">
        <v>4058</v>
      </c>
      <c r="N4630" s="1" t="s">
        <v>1962</v>
      </c>
      <c r="P4630" s="1" t="s">
        <v>3666</v>
      </c>
      <c r="Q4630" s="3">
        <v>0</v>
      </c>
      <c r="R4630" s="22" t="s">
        <v>2722</v>
      </c>
      <c r="S4630" s="42" t="s">
        <v>6913</v>
      </c>
      <c r="T4630" s="3" t="s">
        <v>4868</v>
      </c>
      <c r="U4630" s="45">
        <v>35</v>
      </c>
      <c r="V4630" t="s">
        <v>8191</v>
      </c>
      <c r="W4630" s="1" t="str">
        <f>HYPERLINK("http://ictvonline.org/taxonomy/p/taxonomy-history?taxnode_id=201900108","ICTVonline=201900108")</f>
        <v>ICTVonline=201900108</v>
      </c>
    </row>
    <row r="4631" spans="1:23">
      <c r="A4631" s="3">
        <v>4630</v>
      </c>
      <c r="B4631" s="1" t="s">
        <v>5910</v>
      </c>
      <c r="D4631" s="1" t="s">
        <v>8187</v>
      </c>
      <c r="F4631" s="1" t="s">
        <v>5588</v>
      </c>
      <c r="G4631" s="1" t="s">
        <v>5678</v>
      </c>
      <c r="H4631" s="1" t="s">
        <v>5679</v>
      </c>
      <c r="J4631" s="1" t="s">
        <v>4052</v>
      </c>
      <c r="L4631" s="1" t="s">
        <v>4058</v>
      </c>
      <c r="N4631" s="1" t="s">
        <v>1962</v>
      </c>
      <c r="P4631" s="1" t="s">
        <v>3667</v>
      </c>
      <c r="Q4631" s="3">
        <v>0</v>
      </c>
      <c r="R4631" s="22" t="s">
        <v>2722</v>
      </c>
      <c r="S4631" s="42" t="s">
        <v>6913</v>
      </c>
      <c r="T4631" s="3" t="s">
        <v>4868</v>
      </c>
      <c r="U4631" s="45">
        <v>35</v>
      </c>
      <c r="V4631" t="s">
        <v>8191</v>
      </c>
      <c r="W4631" s="1" t="str">
        <f>HYPERLINK("http://ictvonline.org/taxonomy/p/taxonomy-history?taxnode_id=201900109","ICTVonline=201900109")</f>
        <v>ICTVonline=201900109</v>
      </c>
    </row>
    <row r="4632" spans="1:23">
      <c r="A4632" s="3">
        <v>4631</v>
      </c>
      <c r="B4632" s="1" t="s">
        <v>5910</v>
      </c>
      <c r="D4632" s="1" t="s">
        <v>8187</v>
      </c>
      <c r="F4632" s="1" t="s">
        <v>5588</v>
      </c>
      <c r="G4632" s="1" t="s">
        <v>5678</v>
      </c>
      <c r="H4632" s="1" t="s">
        <v>5679</v>
      </c>
      <c r="J4632" s="1" t="s">
        <v>4052</v>
      </c>
      <c r="L4632" s="1" t="s">
        <v>4058</v>
      </c>
      <c r="N4632" s="1" t="s">
        <v>1962</v>
      </c>
      <c r="P4632" s="1" t="s">
        <v>3668</v>
      </c>
      <c r="Q4632" s="3">
        <v>0</v>
      </c>
      <c r="R4632" s="22" t="s">
        <v>2722</v>
      </c>
      <c r="S4632" s="42" t="s">
        <v>6913</v>
      </c>
      <c r="T4632" s="3" t="s">
        <v>4868</v>
      </c>
      <c r="U4632" s="45">
        <v>35</v>
      </c>
      <c r="V4632" t="s">
        <v>8191</v>
      </c>
      <c r="W4632" s="1" t="str">
        <f>HYPERLINK("http://ictvonline.org/taxonomy/p/taxonomy-history?taxnode_id=201900110","ICTVonline=201900110")</f>
        <v>ICTVonline=201900110</v>
      </c>
    </row>
    <row r="4633" spans="1:23">
      <c r="A4633" s="3">
        <v>4632</v>
      </c>
      <c r="B4633" s="1" t="s">
        <v>5910</v>
      </c>
      <c r="D4633" s="1" t="s">
        <v>8187</v>
      </c>
      <c r="F4633" s="1" t="s">
        <v>5588</v>
      </c>
      <c r="G4633" s="1" t="s">
        <v>5678</v>
      </c>
      <c r="H4633" s="1" t="s">
        <v>5679</v>
      </c>
      <c r="J4633" s="1" t="s">
        <v>4052</v>
      </c>
      <c r="L4633" s="1" t="s">
        <v>4058</v>
      </c>
      <c r="N4633" s="1" t="s">
        <v>1962</v>
      </c>
      <c r="P4633" s="1" t="s">
        <v>3669</v>
      </c>
      <c r="Q4633" s="3">
        <v>0</v>
      </c>
      <c r="R4633" s="22" t="s">
        <v>2722</v>
      </c>
      <c r="S4633" s="42" t="s">
        <v>6913</v>
      </c>
      <c r="T4633" s="3" t="s">
        <v>4868</v>
      </c>
      <c r="U4633" s="45">
        <v>35</v>
      </c>
      <c r="V4633" t="s">
        <v>8191</v>
      </c>
      <c r="W4633" s="1" t="str">
        <f>HYPERLINK("http://ictvonline.org/taxonomy/p/taxonomy-history?taxnode_id=201900111","ICTVonline=201900111")</f>
        <v>ICTVonline=201900111</v>
      </c>
    </row>
    <row r="4634" spans="1:23">
      <c r="A4634" s="3">
        <v>4633</v>
      </c>
      <c r="B4634" s="1" t="s">
        <v>5910</v>
      </c>
      <c r="D4634" s="1" t="s">
        <v>8187</v>
      </c>
      <c r="F4634" s="1" t="s">
        <v>5588</v>
      </c>
      <c r="G4634" s="1" t="s">
        <v>5678</v>
      </c>
      <c r="H4634" s="1" t="s">
        <v>5679</v>
      </c>
      <c r="J4634" s="1" t="s">
        <v>4052</v>
      </c>
      <c r="L4634" s="1" t="s">
        <v>4058</v>
      </c>
      <c r="N4634" s="1" t="s">
        <v>1962</v>
      </c>
      <c r="P4634" s="1" t="s">
        <v>6024</v>
      </c>
      <c r="Q4634" s="3">
        <v>0</v>
      </c>
      <c r="R4634" s="22" t="s">
        <v>2722</v>
      </c>
      <c r="S4634" s="42" t="s">
        <v>6913</v>
      </c>
      <c r="T4634" s="3" t="s">
        <v>4868</v>
      </c>
      <c r="U4634" s="45">
        <v>35</v>
      </c>
      <c r="V4634" t="s">
        <v>8191</v>
      </c>
      <c r="W4634" s="1" t="str">
        <f>HYPERLINK("http://ictvonline.org/taxonomy/p/taxonomy-history?taxnode_id=201906385","ICTVonline=201906385")</f>
        <v>ICTVonline=201906385</v>
      </c>
    </row>
    <row r="4635" spans="1:23">
      <c r="A4635" s="3">
        <v>4634</v>
      </c>
      <c r="B4635" s="1" t="s">
        <v>5910</v>
      </c>
      <c r="D4635" s="1" t="s">
        <v>8187</v>
      </c>
      <c r="F4635" s="1" t="s">
        <v>5588</v>
      </c>
      <c r="G4635" s="1" t="s">
        <v>5678</v>
      </c>
      <c r="H4635" s="1" t="s">
        <v>5679</v>
      </c>
      <c r="J4635" s="1" t="s">
        <v>4052</v>
      </c>
      <c r="L4635" s="1" t="s">
        <v>4058</v>
      </c>
      <c r="N4635" s="1" t="s">
        <v>1962</v>
      </c>
      <c r="P4635" s="1" t="s">
        <v>6025</v>
      </c>
      <c r="Q4635" s="3">
        <v>0</v>
      </c>
      <c r="R4635" s="22" t="s">
        <v>2722</v>
      </c>
      <c r="S4635" s="42" t="s">
        <v>6913</v>
      </c>
      <c r="T4635" s="3" t="s">
        <v>4868</v>
      </c>
      <c r="U4635" s="45">
        <v>35</v>
      </c>
      <c r="V4635" t="s">
        <v>8191</v>
      </c>
      <c r="W4635" s="1" t="str">
        <f>HYPERLINK("http://ictvonline.org/taxonomy/p/taxonomy-history?taxnode_id=201906360","ICTVonline=201906360")</f>
        <v>ICTVonline=201906360</v>
      </c>
    </row>
    <row r="4636" spans="1:23">
      <c r="A4636" s="3">
        <v>4635</v>
      </c>
      <c r="B4636" s="1" t="s">
        <v>5910</v>
      </c>
      <c r="D4636" s="1" t="s">
        <v>8187</v>
      </c>
      <c r="F4636" s="1" t="s">
        <v>5588</v>
      </c>
      <c r="G4636" s="1" t="s">
        <v>5678</v>
      </c>
      <c r="H4636" s="1" t="s">
        <v>5679</v>
      </c>
      <c r="J4636" s="1" t="s">
        <v>4052</v>
      </c>
      <c r="L4636" s="1" t="s">
        <v>4058</v>
      </c>
      <c r="N4636" s="1" t="s">
        <v>1962</v>
      </c>
      <c r="P4636" s="1" t="s">
        <v>6026</v>
      </c>
      <c r="Q4636" s="3">
        <v>0</v>
      </c>
      <c r="R4636" s="22" t="s">
        <v>2722</v>
      </c>
      <c r="S4636" s="42" t="s">
        <v>6913</v>
      </c>
      <c r="T4636" s="3" t="s">
        <v>4868</v>
      </c>
      <c r="U4636" s="45">
        <v>35</v>
      </c>
      <c r="V4636" t="s">
        <v>8191</v>
      </c>
      <c r="W4636" s="1" t="str">
        <f>HYPERLINK("http://ictvonline.org/taxonomy/p/taxonomy-history?taxnode_id=201906376","ICTVonline=201906376")</f>
        <v>ICTVonline=201906376</v>
      </c>
    </row>
    <row r="4637" spans="1:23">
      <c r="A4637" s="3">
        <v>4636</v>
      </c>
      <c r="B4637" s="1" t="s">
        <v>5910</v>
      </c>
      <c r="D4637" s="1" t="s">
        <v>8187</v>
      </c>
      <c r="F4637" s="1" t="s">
        <v>5588</v>
      </c>
      <c r="G4637" s="1" t="s">
        <v>5678</v>
      </c>
      <c r="H4637" s="1" t="s">
        <v>5679</v>
      </c>
      <c r="J4637" s="1" t="s">
        <v>4052</v>
      </c>
      <c r="L4637" s="1" t="s">
        <v>4058</v>
      </c>
      <c r="N4637" s="1" t="s">
        <v>1962</v>
      </c>
      <c r="P4637" s="1" t="s">
        <v>6027</v>
      </c>
      <c r="Q4637" s="3">
        <v>0</v>
      </c>
      <c r="R4637" s="22" t="s">
        <v>2722</v>
      </c>
      <c r="S4637" s="42" t="s">
        <v>6913</v>
      </c>
      <c r="T4637" s="3" t="s">
        <v>4868</v>
      </c>
      <c r="U4637" s="45">
        <v>35</v>
      </c>
      <c r="V4637" t="s">
        <v>8191</v>
      </c>
      <c r="W4637" s="1" t="str">
        <f>HYPERLINK("http://ictvonline.org/taxonomy/p/taxonomy-history?taxnode_id=201906364","ICTVonline=201906364")</f>
        <v>ICTVonline=201906364</v>
      </c>
    </row>
    <row r="4638" spans="1:23">
      <c r="A4638" s="3">
        <v>4637</v>
      </c>
      <c r="B4638" s="1" t="s">
        <v>5910</v>
      </c>
      <c r="D4638" s="1" t="s">
        <v>8187</v>
      </c>
      <c r="F4638" s="1" t="s">
        <v>5588</v>
      </c>
      <c r="G4638" s="1" t="s">
        <v>5678</v>
      </c>
      <c r="H4638" s="1" t="s">
        <v>5679</v>
      </c>
      <c r="J4638" s="1" t="s">
        <v>4052</v>
      </c>
      <c r="L4638" s="1" t="s">
        <v>4058</v>
      </c>
      <c r="N4638" s="1" t="s">
        <v>1962</v>
      </c>
      <c r="P4638" s="1" t="s">
        <v>6028</v>
      </c>
      <c r="Q4638" s="3">
        <v>0</v>
      </c>
      <c r="R4638" s="22" t="s">
        <v>2722</v>
      </c>
      <c r="S4638" s="42" t="s">
        <v>6913</v>
      </c>
      <c r="T4638" s="3" t="s">
        <v>4868</v>
      </c>
      <c r="U4638" s="45">
        <v>35</v>
      </c>
      <c r="V4638" t="s">
        <v>8191</v>
      </c>
      <c r="W4638" s="1" t="str">
        <f>HYPERLINK("http://ictvonline.org/taxonomy/p/taxonomy-history?taxnode_id=201906388","ICTVonline=201906388")</f>
        <v>ICTVonline=201906388</v>
      </c>
    </row>
    <row r="4639" spans="1:23">
      <c r="A4639" s="3">
        <v>4638</v>
      </c>
      <c r="B4639" s="1" t="s">
        <v>5910</v>
      </c>
      <c r="D4639" s="1" t="s">
        <v>8187</v>
      </c>
      <c r="F4639" s="1" t="s">
        <v>5588</v>
      </c>
      <c r="G4639" s="1" t="s">
        <v>5678</v>
      </c>
      <c r="H4639" s="1" t="s">
        <v>5679</v>
      </c>
      <c r="J4639" s="1" t="s">
        <v>4052</v>
      </c>
      <c r="L4639" s="1" t="s">
        <v>4058</v>
      </c>
      <c r="N4639" s="1" t="s">
        <v>1962</v>
      </c>
      <c r="P4639" s="1" t="s">
        <v>3670</v>
      </c>
      <c r="Q4639" s="3">
        <v>0</v>
      </c>
      <c r="R4639" s="22" t="s">
        <v>2722</v>
      </c>
      <c r="S4639" s="42" t="s">
        <v>6913</v>
      </c>
      <c r="T4639" s="3" t="s">
        <v>4868</v>
      </c>
      <c r="U4639" s="45">
        <v>35</v>
      </c>
      <c r="V4639" t="s">
        <v>8191</v>
      </c>
      <c r="W4639" s="1" t="str">
        <f>HYPERLINK("http://ictvonline.org/taxonomy/p/taxonomy-history?taxnode_id=201900112","ICTVonline=201900112")</f>
        <v>ICTVonline=201900112</v>
      </c>
    </row>
    <row r="4640" spans="1:23">
      <c r="A4640" s="3">
        <v>4639</v>
      </c>
      <c r="B4640" s="1" t="s">
        <v>5910</v>
      </c>
      <c r="D4640" s="1" t="s">
        <v>8187</v>
      </c>
      <c r="F4640" s="1" t="s">
        <v>5588</v>
      </c>
      <c r="G4640" s="1" t="s">
        <v>5678</v>
      </c>
      <c r="H4640" s="1" t="s">
        <v>5679</v>
      </c>
      <c r="J4640" s="1" t="s">
        <v>4052</v>
      </c>
      <c r="L4640" s="1" t="s">
        <v>4058</v>
      </c>
      <c r="N4640" s="1" t="s">
        <v>1962</v>
      </c>
      <c r="P4640" s="1" t="s">
        <v>3671</v>
      </c>
      <c r="Q4640" s="3">
        <v>0</v>
      </c>
      <c r="R4640" s="22" t="s">
        <v>2722</v>
      </c>
      <c r="S4640" s="42" t="s">
        <v>6913</v>
      </c>
      <c r="T4640" s="3" t="s">
        <v>4868</v>
      </c>
      <c r="U4640" s="45">
        <v>35</v>
      </c>
      <c r="V4640" t="s">
        <v>8191</v>
      </c>
      <c r="W4640" s="1" t="str">
        <f>HYPERLINK("http://ictvonline.org/taxonomy/p/taxonomy-history?taxnode_id=201900113","ICTVonline=201900113")</f>
        <v>ICTVonline=201900113</v>
      </c>
    </row>
    <row r="4641" spans="1:23">
      <c r="A4641" s="3">
        <v>4640</v>
      </c>
      <c r="B4641" s="1" t="s">
        <v>5910</v>
      </c>
      <c r="D4641" s="1" t="s">
        <v>8187</v>
      </c>
      <c r="F4641" s="1" t="s">
        <v>5588</v>
      </c>
      <c r="G4641" s="1" t="s">
        <v>5678</v>
      </c>
      <c r="H4641" s="1" t="s">
        <v>5679</v>
      </c>
      <c r="J4641" s="1" t="s">
        <v>4052</v>
      </c>
      <c r="L4641" s="1" t="s">
        <v>4058</v>
      </c>
      <c r="N4641" s="1" t="s">
        <v>1962</v>
      </c>
      <c r="P4641" s="1" t="s">
        <v>6029</v>
      </c>
      <c r="Q4641" s="3">
        <v>0</v>
      </c>
      <c r="R4641" s="22" t="s">
        <v>2722</v>
      </c>
      <c r="S4641" s="42" t="s">
        <v>6913</v>
      </c>
      <c r="T4641" s="3" t="s">
        <v>4868</v>
      </c>
      <c r="U4641" s="45">
        <v>35</v>
      </c>
      <c r="V4641" t="s">
        <v>8191</v>
      </c>
      <c r="W4641" s="1" t="str">
        <f>HYPERLINK("http://ictvonline.org/taxonomy/p/taxonomy-history?taxnode_id=201906365","ICTVonline=201906365")</f>
        <v>ICTVonline=201906365</v>
      </c>
    </row>
    <row r="4642" spans="1:23">
      <c r="A4642" s="3">
        <v>4641</v>
      </c>
      <c r="B4642" s="1" t="s">
        <v>5910</v>
      </c>
      <c r="D4642" s="1" t="s">
        <v>8187</v>
      </c>
      <c r="F4642" s="1" t="s">
        <v>5588</v>
      </c>
      <c r="G4642" s="1" t="s">
        <v>5678</v>
      </c>
      <c r="H4642" s="1" t="s">
        <v>5679</v>
      </c>
      <c r="J4642" s="1" t="s">
        <v>4052</v>
      </c>
      <c r="L4642" s="1" t="s">
        <v>4058</v>
      </c>
      <c r="N4642" s="1" t="s">
        <v>1962</v>
      </c>
      <c r="P4642" s="1" t="s">
        <v>3672</v>
      </c>
      <c r="Q4642" s="3">
        <v>0</v>
      </c>
      <c r="R4642" s="22" t="s">
        <v>2722</v>
      </c>
      <c r="S4642" s="42" t="s">
        <v>6913</v>
      </c>
      <c r="T4642" s="3" t="s">
        <v>4868</v>
      </c>
      <c r="U4642" s="45">
        <v>35</v>
      </c>
      <c r="V4642" t="s">
        <v>8191</v>
      </c>
      <c r="W4642" s="1" t="str">
        <f>HYPERLINK("http://ictvonline.org/taxonomy/p/taxonomy-history?taxnode_id=201900114","ICTVonline=201900114")</f>
        <v>ICTVonline=201900114</v>
      </c>
    </row>
    <row r="4643" spans="1:23">
      <c r="A4643" s="3">
        <v>4642</v>
      </c>
      <c r="B4643" s="1" t="s">
        <v>5910</v>
      </c>
      <c r="D4643" s="1" t="s">
        <v>8187</v>
      </c>
      <c r="F4643" s="1" t="s">
        <v>5588</v>
      </c>
      <c r="G4643" s="1" t="s">
        <v>5678</v>
      </c>
      <c r="H4643" s="1" t="s">
        <v>5679</v>
      </c>
      <c r="J4643" s="1" t="s">
        <v>4052</v>
      </c>
      <c r="L4643" s="1" t="s">
        <v>4058</v>
      </c>
      <c r="N4643" s="1" t="s">
        <v>1962</v>
      </c>
      <c r="P4643" s="1" t="s">
        <v>6030</v>
      </c>
      <c r="Q4643" s="3">
        <v>0</v>
      </c>
      <c r="R4643" s="22" t="s">
        <v>2722</v>
      </c>
      <c r="S4643" s="42" t="s">
        <v>6913</v>
      </c>
      <c r="T4643" s="3" t="s">
        <v>4868</v>
      </c>
      <c r="U4643" s="45">
        <v>35</v>
      </c>
      <c r="V4643" t="s">
        <v>8191</v>
      </c>
      <c r="W4643" s="1" t="str">
        <f>HYPERLINK("http://ictvonline.org/taxonomy/p/taxonomy-history?taxnode_id=201906366","ICTVonline=201906366")</f>
        <v>ICTVonline=201906366</v>
      </c>
    </row>
    <row r="4644" spans="1:23">
      <c r="A4644" s="3">
        <v>4643</v>
      </c>
      <c r="B4644" s="1" t="s">
        <v>5910</v>
      </c>
      <c r="D4644" s="1" t="s">
        <v>8187</v>
      </c>
      <c r="F4644" s="1" t="s">
        <v>5588</v>
      </c>
      <c r="G4644" s="1" t="s">
        <v>5678</v>
      </c>
      <c r="H4644" s="1" t="s">
        <v>5679</v>
      </c>
      <c r="J4644" s="1" t="s">
        <v>4052</v>
      </c>
      <c r="L4644" s="1" t="s">
        <v>4058</v>
      </c>
      <c r="N4644" s="1" t="s">
        <v>1962</v>
      </c>
      <c r="P4644" s="1" t="s">
        <v>6031</v>
      </c>
      <c r="Q4644" s="3">
        <v>0</v>
      </c>
      <c r="R4644" s="22" t="s">
        <v>2722</v>
      </c>
      <c r="S4644" s="42" t="s">
        <v>6913</v>
      </c>
      <c r="T4644" s="3" t="s">
        <v>4868</v>
      </c>
      <c r="U4644" s="45">
        <v>35</v>
      </c>
      <c r="V4644" t="s">
        <v>8191</v>
      </c>
      <c r="W4644" s="1" t="str">
        <f>HYPERLINK("http://ictvonline.org/taxonomy/p/taxonomy-history?taxnode_id=201906389","ICTVonline=201906389")</f>
        <v>ICTVonline=201906389</v>
      </c>
    </row>
    <row r="4645" spans="1:23">
      <c r="A4645" s="3">
        <v>4644</v>
      </c>
      <c r="B4645" s="1" t="s">
        <v>5910</v>
      </c>
      <c r="D4645" s="1" t="s">
        <v>8187</v>
      </c>
      <c r="F4645" s="1" t="s">
        <v>5588</v>
      </c>
      <c r="G4645" s="1" t="s">
        <v>5678</v>
      </c>
      <c r="H4645" s="1" t="s">
        <v>5679</v>
      </c>
      <c r="J4645" s="1" t="s">
        <v>4052</v>
      </c>
      <c r="L4645" s="1" t="s">
        <v>4058</v>
      </c>
      <c r="N4645" s="1" t="s">
        <v>1962</v>
      </c>
      <c r="P4645" s="1" t="s">
        <v>6032</v>
      </c>
      <c r="Q4645" s="3">
        <v>0</v>
      </c>
      <c r="R4645" s="22" t="s">
        <v>2722</v>
      </c>
      <c r="S4645" s="42" t="s">
        <v>6913</v>
      </c>
      <c r="T4645" s="3" t="s">
        <v>4868</v>
      </c>
      <c r="U4645" s="45">
        <v>35</v>
      </c>
      <c r="V4645" t="s">
        <v>8191</v>
      </c>
      <c r="W4645" s="1" t="str">
        <f>HYPERLINK("http://ictvonline.org/taxonomy/p/taxonomy-history?taxnode_id=201906367","ICTVonline=201906367")</f>
        <v>ICTVonline=201906367</v>
      </c>
    </row>
    <row r="4646" spans="1:23">
      <c r="A4646" s="3">
        <v>4645</v>
      </c>
      <c r="B4646" s="1" t="s">
        <v>5910</v>
      </c>
      <c r="D4646" s="1" t="s">
        <v>8187</v>
      </c>
      <c r="F4646" s="1" t="s">
        <v>5588</v>
      </c>
      <c r="G4646" s="1" t="s">
        <v>5678</v>
      </c>
      <c r="H4646" s="1" t="s">
        <v>5679</v>
      </c>
      <c r="J4646" s="1" t="s">
        <v>4052</v>
      </c>
      <c r="L4646" s="1" t="s">
        <v>4058</v>
      </c>
      <c r="N4646" s="1" t="s">
        <v>1962</v>
      </c>
      <c r="P4646" s="1" t="s">
        <v>6033</v>
      </c>
      <c r="Q4646" s="3">
        <v>0</v>
      </c>
      <c r="R4646" s="22" t="s">
        <v>2722</v>
      </c>
      <c r="S4646" s="42" t="s">
        <v>6913</v>
      </c>
      <c r="T4646" s="3" t="s">
        <v>4868</v>
      </c>
      <c r="U4646" s="45">
        <v>35</v>
      </c>
      <c r="V4646" t="s">
        <v>8191</v>
      </c>
      <c r="W4646" s="1" t="str">
        <f>HYPERLINK("http://ictvonline.org/taxonomy/p/taxonomy-history?taxnode_id=201906386","ICTVonline=201906386")</f>
        <v>ICTVonline=201906386</v>
      </c>
    </row>
    <row r="4647" spans="1:23">
      <c r="A4647" s="3">
        <v>4646</v>
      </c>
      <c r="B4647" s="1" t="s">
        <v>5910</v>
      </c>
      <c r="D4647" s="1" t="s">
        <v>8187</v>
      </c>
      <c r="F4647" s="1" t="s">
        <v>5588</v>
      </c>
      <c r="G4647" s="1" t="s">
        <v>5678</v>
      </c>
      <c r="H4647" s="1" t="s">
        <v>5679</v>
      </c>
      <c r="J4647" s="1" t="s">
        <v>4052</v>
      </c>
      <c r="L4647" s="1" t="s">
        <v>4058</v>
      </c>
      <c r="N4647" s="1" t="s">
        <v>1962</v>
      </c>
      <c r="P4647" s="1" t="s">
        <v>3673</v>
      </c>
      <c r="Q4647" s="3">
        <v>0</v>
      </c>
      <c r="R4647" s="22" t="s">
        <v>2722</v>
      </c>
      <c r="S4647" s="42" t="s">
        <v>6913</v>
      </c>
      <c r="T4647" s="3" t="s">
        <v>4868</v>
      </c>
      <c r="U4647" s="45">
        <v>35</v>
      </c>
      <c r="V4647" t="s">
        <v>8191</v>
      </c>
      <c r="W4647" s="1" t="str">
        <f>HYPERLINK("http://ictvonline.org/taxonomy/p/taxonomy-history?taxnode_id=201900115","ICTVonline=201900115")</f>
        <v>ICTVonline=201900115</v>
      </c>
    </row>
    <row r="4648" spans="1:23">
      <c r="A4648" s="3">
        <v>4647</v>
      </c>
      <c r="B4648" s="1" t="s">
        <v>5910</v>
      </c>
      <c r="D4648" s="1" t="s">
        <v>8187</v>
      </c>
      <c r="F4648" s="1" t="s">
        <v>5588</v>
      </c>
      <c r="G4648" s="1" t="s">
        <v>5678</v>
      </c>
      <c r="H4648" s="1" t="s">
        <v>5679</v>
      </c>
      <c r="J4648" s="1" t="s">
        <v>4052</v>
      </c>
      <c r="L4648" s="1" t="s">
        <v>4058</v>
      </c>
      <c r="N4648" s="1" t="s">
        <v>1962</v>
      </c>
      <c r="P4648" s="1" t="s">
        <v>6034</v>
      </c>
      <c r="Q4648" s="3">
        <v>0</v>
      </c>
      <c r="R4648" s="22" t="s">
        <v>2722</v>
      </c>
      <c r="S4648" s="42" t="s">
        <v>6913</v>
      </c>
      <c r="T4648" s="3" t="s">
        <v>4868</v>
      </c>
      <c r="U4648" s="45">
        <v>35</v>
      </c>
      <c r="V4648" t="s">
        <v>8191</v>
      </c>
      <c r="W4648" s="1" t="str">
        <f>HYPERLINK("http://ictvonline.org/taxonomy/p/taxonomy-history?taxnode_id=201906361","ICTVonline=201906361")</f>
        <v>ICTVonline=201906361</v>
      </c>
    </row>
    <row r="4649" spans="1:23">
      <c r="A4649" s="3">
        <v>4648</v>
      </c>
      <c r="B4649" s="1" t="s">
        <v>5910</v>
      </c>
      <c r="D4649" s="1" t="s">
        <v>8187</v>
      </c>
      <c r="F4649" s="1" t="s">
        <v>5588</v>
      </c>
      <c r="G4649" s="1" t="s">
        <v>5678</v>
      </c>
      <c r="H4649" s="1" t="s">
        <v>5679</v>
      </c>
      <c r="J4649" s="1" t="s">
        <v>4052</v>
      </c>
      <c r="L4649" s="1" t="s">
        <v>4058</v>
      </c>
      <c r="N4649" s="1" t="s">
        <v>1962</v>
      </c>
      <c r="P4649" s="1" t="s">
        <v>3674</v>
      </c>
      <c r="Q4649" s="3">
        <v>0</v>
      </c>
      <c r="R4649" s="22" t="s">
        <v>2722</v>
      </c>
      <c r="S4649" s="42" t="s">
        <v>6913</v>
      </c>
      <c r="T4649" s="3" t="s">
        <v>4868</v>
      </c>
      <c r="U4649" s="45">
        <v>35</v>
      </c>
      <c r="V4649" t="s">
        <v>8191</v>
      </c>
      <c r="W4649" s="1" t="str">
        <f>HYPERLINK("http://ictvonline.org/taxonomy/p/taxonomy-history?taxnode_id=201900116","ICTVonline=201900116")</f>
        <v>ICTVonline=201900116</v>
      </c>
    </row>
    <row r="4650" spans="1:23">
      <c r="A4650" s="3">
        <v>4649</v>
      </c>
      <c r="B4650" s="1" t="s">
        <v>5910</v>
      </c>
      <c r="D4650" s="1" t="s">
        <v>8187</v>
      </c>
      <c r="F4650" s="1" t="s">
        <v>5588</v>
      </c>
      <c r="G4650" s="1" t="s">
        <v>5678</v>
      </c>
      <c r="H4650" s="1" t="s">
        <v>5679</v>
      </c>
      <c r="J4650" s="1" t="s">
        <v>4052</v>
      </c>
      <c r="L4650" s="1" t="s">
        <v>4058</v>
      </c>
      <c r="N4650" s="1" t="s">
        <v>1962</v>
      </c>
      <c r="P4650" s="1" t="s">
        <v>3675</v>
      </c>
      <c r="Q4650" s="3">
        <v>0</v>
      </c>
      <c r="R4650" s="22" t="s">
        <v>2722</v>
      </c>
      <c r="S4650" s="42" t="s">
        <v>6913</v>
      </c>
      <c r="T4650" s="3" t="s">
        <v>4868</v>
      </c>
      <c r="U4650" s="45">
        <v>35</v>
      </c>
      <c r="V4650" t="s">
        <v>8191</v>
      </c>
      <c r="W4650" s="1" t="str">
        <f>HYPERLINK("http://ictvonline.org/taxonomy/p/taxonomy-history?taxnode_id=201900117","ICTVonline=201900117")</f>
        <v>ICTVonline=201900117</v>
      </c>
    </row>
    <row r="4651" spans="1:23">
      <c r="A4651" s="3">
        <v>4650</v>
      </c>
      <c r="B4651" s="1" t="s">
        <v>5910</v>
      </c>
      <c r="D4651" s="1" t="s">
        <v>8187</v>
      </c>
      <c r="F4651" s="1" t="s">
        <v>5588</v>
      </c>
      <c r="G4651" s="1" t="s">
        <v>5678</v>
      </c>
      <c r="H4651" s="1" t="s">
        <v>5679</v>
      </c>
      <c r="J4651" s="1" t="s">
        <v>4052</v>
      </c>
      <c r="L4651" s="1" t="s">
        <v>4058</v>
      </c>
      <c r="N4651" s="1" t="s">
        <v>1962</v>
      </c>
      <c r="P4651" s="1" t="s">
        <v>3676</v>
      </c>
      <c r="Q4651" s="3">
        <v>0</v>
      </c>
      <c r="R4651" s="22" t="s">
        <v>2722</v>
      </c>
      <c r="S4651" s="42" t="s">
        <v>6913</v>
      </c>
      <c r="T4651" s="3" t="s">
        <v>4868</v>
      </c>
      <c r="U4651" s="45">
        <v>35</v>
      </c>
      <c r="V4651" t="s">
        <v>8191</v>
      </c>
      <c r="W4651" s="1" t="str">
        <f>HYPERLINK("http://ictvonline.org/taxonomy/p/taxonomy-history?taxnode_id=201900118","ICTVonline=201900118")</f>
        <v>ICTVonline=201900118</v>
      </c>
    </row>
    <row r="4652" spans="1:23">
      <c r="A4652" s="3">
        <v>4651</v>
      </c>
      <c r="B4652" s="1" t="s">
        <v>5910</v>
      </c>
      <c r="D4652" s="1" t="s">
        <v>8187</v>
      </c>
      <c r="F4652" s="1" t="s">
        <v>5588</v>
      </c>
      <c r="G4652" s="1" t="s">
        <v>5678</v>
      </c>
      <c r="H4652" s="1" t="s">
        <v>5679</v>
      </c>
      <c r="J4652" s="1" t="s">
        <v>4052</v>
      </c>
      <c r="L4652" s="1" t="s">
        <v>4058</v>
      </c>
      <c r="N4652" s="1" t="s">
        <v>1962</v>
      </c>
      <c r="P4652" s="1" t="s">
        <v>6035</v>
      </c>
      <c r="Q4652" s="3">
        <v>0</v>
      </c>
      <c r="R4652" s="22" t="s">
        <v>2722</v>
      </c>
      <c r="S4652" s="42" t="s">
        <v>6913</v>
      </c>
      <c r="T4652" s="3" t="s">
        <v>4868</v>
      </c>
      <c r="U4652" s="45">
        <v>35</v>
      </c>
      <c r="V4652" t="s">
        <v>8191</v>
      </c>
      <c r="W4652" s="1" t="str">
        <f>HYPERLINK("http://ictvonline.org/taxonomy/p/taxonomy-history?taxnode_id=201906368","ICTVonline=201906368")</f>
        <v>ICTVonline=201906368</v>
      </c>
    </row>
    <row r="4653" spans="1:23">
      <c r="A4653" s="3">
        <v>4652</v>
      </c>
      <c r="B4653" s="1" t="s">
        <v>5910</v>
      </c>
      <c r="D4653" s="1" t="s">
        <v>8187</v>
      </c>
      <c r="F4653" s="1" t="s">
        <v>5588</v>
      </c>
      <c r="G4653" s="1" t="s">
        <v>5678</v>
      </c>
      <c r="H4653" s="1" t="s">
        <v>5679</v>
      </c>
      <c r="J4653" s="1" t="s">
        <v>4052</v>
      </c>
      <c r="L4653" s="1" t="s">
        <v>4058</v>
      </c>
      <c r="N4653" s="1" t="s">
        <v>1962</v>
      </c>
      <c r="P4653" s="1" t="s">
        <v>6036</v>
      </c>
      <c r="Q4653" s="3">
        <v>0</v>
      </c>
      <c r="R4653" s="22" t="s">
        <v>2722</v>
      </c>
      <c r="S4653" s="42" t="s">
        <v>6913</v>
      </c>
      <c r="T4653" s="3" t="s">
        <v>4868</v>
      </c>
      <c r="U4653" s="45">
        <v>35</v>
      </c>
      <c r="V4653" t="s">
        <v>8191</v>
      </c>
      <c r="W4653" s="1" t="str">
        <f>HYPERLINK("http://ictvonline.org/taxonomy/p/taxonomy-history?taxnode_id=201906377","ICTVonline=201906377")</f>
        <v>ICTVonline=201906377</v>
      </c>
    </row>
    <row r="4654" spans="1:23">
      <c r="A4654" s="3">
        <v>4653</v>
      </c>
      <c r="B4654" s="1" t="s">
        <v>5910</v>
      </c>
      <c r="D4654" s="1" t="s">
        <v>8187</v>
      </c>
      <c r="F4654" s="1" t="s">
        <v>5588</v>
      </c>
      <c r="G4654" s="1" t="s">
        <v>5678</v>
      </c>
      <c r="H4654" s="1" t="s">
        <v>5679</v>
      </c>
      <c r="J4654" s="1" t="s">
        <v>4052</v>
      </c>
      <c r="L4654" s="1" t="s">
        <v>4058</v>
      </c>
      <c r="N4654" s="1" t="s">
        <v>1962</v>
      </c>
      <c r="P4654" s="1" t="s">
        <v>3677</v>
      </c>
      <c r="Q4654" s="3">
        <v>0</v>
      </c>
      <c r="R4654" s="22" t="s">
        <v>2722</v>
      </c>
      <c r="S4654" s="42" t="s">
        <v>6913</v>
      </c>
      <c r="T4654" s="3" t="s">
        <v>4868</v>
      </c>
      <c r="U4654" s="45">
        <v>35</v>
      </c>
      <c r="V4654" t="s">
        <v>8191</v>
      </c>
      <c r="W4654" s="1" t="str">
        <f>HYPERLINK("http://ictvonline.org/taxonomy/p/taxonomy-history?taxnode_id=201900119","ICTVonline=201900119")</f>
        <v>ICTVonline=201900119</v>
      </c>
    </row>
    <row r="4655" spans="1:23">
      <c r="A4655" s="3">
        <v>4654</v>
      </c>
      <c r="B4655" s="1" t="s">
        <v>5910</v>
      </c>
      <c r="D4655" s="1" t="s">
        <v>8187</v>
      </c>
      <c r="F4655" s="1" t="s">
        <v>5588</v>
      </c>
      <c r="G4655" s="1" t="s">
        <v>5678</v>
      </c>
      <c r="H4655" s="1" t="s">
        <v>5679</v>
      </c>
      <c r="J4655" s="1" t="s">
        <v>4052</v>
      </c>
      <c r="L4655" s="1" t="s">
        <v>4058</v>
      </c>
      <c r="N4655" s="1" t="s">
        <v>1962</v>
      </c>
      <c r="P4655" s="1" t="s">
        <v>3678</v>
      </c>
      <c r="Q4655" s="3">
        <v>0</v>
      </c>
      <c r="R4655" s="22" t="s">
        <v>2722</v>
      </c>
      <c r="S4655" s="42" t="s">
        <v>6913</v>
      </c>
      <c r="T4655" s="3" t="s">
        <v>4868</v>
      </c>
      <c r="U4655" s="45">
        <v>35</v>
      </c>
      <c r="V4655" t="s">
        <v>8191</v>
      </c>
      <c r="W4655" s="1" t="str">
        <f>HYPERLINK("http://ictvonline.org/taxonomy/p/taxonomy-history?taxnode_id=201900120","ICTVonline=201900120")</f>
        <v>ICTVonline=201900120</v>
      </c>
    </row>
    <row r="4656" spans="1:23">
      <c r="A4656" s="3">
        <v>4655</v>
      </c>
      <c r="B4656" s="1" t="s">
        <v>5910</v>
      </c>
      <c r="D4656" s="1" t="s">
        <v>8187</v>
      </c>
      <c r="F4656" s="1" t="s">
        <v>5588</v>
      </c>
      <c r="G4656" s="1" t="s">
        <v>5678</v>
      </c>
      <c r="H4656" s="1" t="s">
        <v>5679</v>
      </c>
      <c r="J4656" s="1" t="s">
        <v>4052</v>
      </c>
      <c r="L4656" s="1" t="s">
        <v>4058</v>
      </c>
      <c r="N4656" s="1" t="s">
        <v>1962</v>
      </c>
      <c r="P4656" s="1" t="s">
        <v>3679</v>
      </c>
      <c r="Q4656" s="3">
        <v>0</v>
      </c>
      <c r="R4656" s="22" t="s">
        <v>2722</v>
      </c>
      <c r="S4656" s="42" t="s">
        <v>6913</v>
      </c>
      <c r="T4656" s="3" t="s">
        <v>4868</v>
      </c>
      <c r="U4656" s="45">
        <v>35</v>
      </c>
      <c r="V4656" t="s">
        <v>8191</v>
      </c>
      <c r="W4656" s="1" t="str">
        <f>HYPERLINK("http://ictvonline.org/taxonomy/p/taxonomy-history?taxnode_id=201900121","ICTVonline=201900121")</f>
        <v>ICTVonline=201900121</v>
      </c>
    </row>
    <row r="4657" spans="1:23">
      <c r="A4657" s="3">
        <v>4656</v>
      </c>
      <c r="B4657" s="1" t="s">
        <v>5910</v>
      </c>
      <c r="D4657" s="1" t="s">
        <v>8187</v>
      </c>
      <c r="F4657" s="1" t="s">
        <v>5588</v>
      </c>
      <c r="G4657" s="1" t="s">
        <v>5678</v>
      </c>
      <c r="H4657" s="1" t="s">
        <v>5679</v>
      </c>
      <c r="J4657" s="1" t="s">
        <v>4052</v>
      </c>
      <c r="L4657" s="1" t="s">
        <v>4058</v>
      </c>
      <c r="N4657" s="1" t="s">
        <v>1962</v>
      </c>
      <c r="P4657" s="1" t="s">
        <v>3680</v>
      </c>
      <c r="Q4657" s="3">
        <v>0</v>
      </c>
      <c r="R4657" s="22" t="s">
        <v>2722</v>
      </c>
      <c r="S4657" s="42" t="s">
        <v>6913</v>
      </c>
      <c r="T4657" s="3" t="s">
        <v>4868</v>
      </c>
      <c r="U4657" s="45">
        <v>35</v>
      </c>
      <c r="V4657" t="s">
        <v>8191</v>
      </c>
      <c r="W4657" s="1" t="str">
        <f>HYPERLINK("http://ictvonline.org/taxonomy/p/taxonomy-history?taxnode_id=201900122","ICTVonline=201900122")</f>
        <v>ICTVonline=201900122</v>
      </c>
    </row>
    <row r="4658" spans="1:23">
      <c r="A4658" s="3">
        <v>4657</v>
      </c>
      <c r="B4658" s="1" t="s">
        <v>5910</v>
      </c>
      <c r="D4658" s="1" t="s">
        <v>8187</v>
      </c>
      <c r="F4658" s="1" t="s">
        <v>5588</v>
      </c>
      <c r="G4658" s="1" t="s">
        <v>5678</v>
      </c>
      <c r="H4658" s="1" t="s">
        <v>5679</v>
      </c>
      <c r="J4658" s="1" t="s">
        <v>4052</v>
      </c>
      <c r="L4658" s="1" t="s">
        <v>4058</v>
      </c>
      <c r="N4658" s="1" t="s">
        <v>1962</v>
      </c>
      <c r="P4658" s="1" t="s">
        <v>3681</v>
      </c>
      <c r="Q4658" s="3">
        <v>0</v>
      </c>
      <c r="R4658" s="22" t="s">
        <v>2722</v>
      </c>
      <c r="S4658" s="42" t="s">
        <v>6913</v>
      </c>
      <c r="T4658" s="3" t="s">
        <v>4868</v>
      </c>
      <c r="U4658" s="45">
        <v>35</v>
      </c>
      <c r="V4658" t="s">
        <v>8191</v>
      </c>
      <c r="W4658" s="1" t="str">
        <f>HYPERLINK("http://ictvonline.org/taxonomy/p/taxonomy-history?taxnode_id=201900123","ICTVonline=201900123")</f>
        <v>ICTVonline=201900123</v>
      </c>
    </row>
    <row r="4659" spans="1:23">
      <c r="A4659" s="3">
        <v>4658</v>
      </c>
      <c r="B4659" s="1" t="s">
        <v>5910</v>
      </c>
      <c r="D4659" s="1" t="s">
        <v>8187</v>
      </c>
      <c r="F4659" s="1" t="s">
        <v>5588</v>
      </c>
      <c r="G4659" s="1" t="s">
        <v>5678</v>
      </c>
      <c r="H4659" s="1" t="s">
        <v>5679</v>
      </c>
      <c r="J4659" s="1" t="s">
        <v>4052</v>
      </c>
      <c r="L4659" s="1" t="s">
        <v>4058</v>
      </c>
      <c r="N4659" s="1" t="s">
        <v>1962</v>
      </c>
      <c r="P4659" s="1" t="s">
        <v>3682</v>
      </c>
      <c r="Q4659" s="3">
        <v>0</v>
      </c>
      <c r="R4659" s="22" t="s">
        <v>2722</v>
      </c>
      <c r="S4659" s="42" t="s">
        <v>6913</v>
      </c>
      <c r="T4659" s="3" t="s">
        <v>4868</v>
      </c>
      <c r="U4659" s="45">
        <v>35</v>
      </c>
      <c r="V4659" t="s">
        <v>8191</v>
      </c>
      <c r="W4659" s="1" t="str">
        <f>HYPERLINK("http://ictvonline.org/taxonomy/p/taxonomy-history?taxnode_id=201900124","ICTVonline=201900124")</f>
        <v>ICTVonline=201900124</v>
      </c>
    </row>
    <row r="4660" spans="1:23">
      <c r="A4660" s="3">
        <v>4659</v>
      </c>
      <c r="B4660" s="1" t="s">
        <v>5910</v>
      </c>
      <c r="D4660" s="1" t="s">
        <v>8187</v>
      </c>
      <c r="F4660" s="1" t="s">
        <v>5588</v>
      </c>
      <c r="G4660" s="1" t="s">
        <v>5678</v>
      </c>
      <c r="H4660" s="1" t="s">
        <v>5679</v>
      </c>
      <c r="J4660" s="1" t="s">
        <v>4052</v>
      </c>
      <c r="L4660" s="1" t="s">
        <v>4058</v>
      </c>
      <c r="N4660" s="1" t="s">
        <v>1962</v>
      </c>
      <c r="P4660" s="1" t="s">
        <v>3683</v>
      </c>
      <c r="Q4660" s="3">
        <v>0</v>
      </c>
      <c r="R4660" s="22" t="s">
        <v>2722</v>
      </c>
      <c r="S4660" s="42" t="s">
        <v>6913</v>
      </c>
      <c r="T4660" s="3" t="s">
        <v>4868</v>
      </c>
      <c r="U4660" s="45">
        <v>35</v>
      </c>
      <c r="V4660" t="s">
        <v>8191</v>
      </c>
      <c r="W4660" s="1" t="str">
        <f>HYPERLINK("http://ictvonline.org/taxonomy/p/taxonomy-history?taxnode_id=201900125","ICTVonline=201900125")</f>
        <v>ICTVonline=201900125</v>
      </c>
    </row>
    <row r="4661" spans="1:23">
      <c r="A4661" s="3">
        <v>4660</v>
      </c>
      <c r="B4661" s="1" t="s">
        <v>5910</v>
      </c>
      <c r="D4661" s="1" t="s">
        <v>8187</v>
      </c>
      <c r="F4661" s="1" t="s">
        <v>5588</v>
      </c>
      <c r="G4661" s="1" t="s">
        <v>5678</v>
      </c>
      <c r="H4661" s="1" t="s">
        <v>5679</v>
      </c>
      <c r="J4661" s="1" t="s">
        <v>4052</v>
      </c>
      <c r="L4661" s="1" t="s">
        <v>4058</v>
      </c>
      <c r="N4661" s="1" t="s">
        <v>1962</v>
      </c>
      <c r="P4661" s="1" t="s">
        <v>6037</v>
      </c>
      <c r="Q4661" s="3">
        <v>0</v>
      </c>
      <c r="R4661" s="22" t="s">
        <v>2722</v>
      </c>
      <c r="S4661" s="42" t="s">
        <v>6913</v>
      </c>
      <c r="T4661" s="3" t="s">
        <v>4868</v>
      </c>
      <c r="U4661" s="45">
        <v>35</v>
      </c>
      <c r="V4661" t="s">
        <v>8191</v>
      </c>
      <c r="W4661" s="1" t="str">
        <f>HYPERLINK("http://ictvonline.org/taxonomy/p/taxonomy-history?taxnode_id=201906380","ICTVonline=201906380")</f>
        <v>ICTVonline=201906380</v>
      </c>
    </row>
    <row r="4662" spans="1:23">
      <c r="A4662" s="3">
        <v>4661</v>
      </c>
      <c r="B4662" s="1" t="s">
        <v>5910</v>
      </c>
      <c r="D4662" s="1" t="s">
        <v>8187</v>
      </c>
      <c r="F4662" s="1" t="s">
        <v>5588</v>
      </c>
      <c r="G4662" s="1" t="s">
        <v>5678</v>
      </c>
      <c r="H4662" s="1" t="s">
        <v>5679</v>
      </c>
      <c r="J4662" s="1" t="s">
        <v>4052</v>
      </c>
      <c r="L4662" s="1" t="s">
        <v>4058</v>
      </c>
      <c r="N4662" s="1" t="s">
        <v>1962</v>
      </c>
      <c r="P4662" s="1" t="s">
        <v>6038</v>
      </c>
      <c r="Q4662" s="3">
        <v>0</v>
      </c>
      <c r="R4662" s="22" t="s">
        <v>2722</v>
      </c>
      <c r="S4662" s="42" t="s">
        <v>6913</v>
      </c>
      <c r="T4662" s="3" t="s">
        <v>4868</v>
      </c>
      <c r="U4662" s="45">
        <v>35</v>
      </c>
      <c r="V4662" t="s">
        <v>8191</v>
      </c>
      <c r="W4662" s="1" t="str">
        <f>HYPERLINK("http://ictvonline.org/taxonomy/p/taxonomy-history?taxnode_id=201906362","ICTVonline=201906362")</f>
        <v>ICTVonline=201906362</v>
      </c>
    </row>
    <row r="4663" spans="1:23">
      <c r="A4663" s="3">
        <v>4662</v>
      </c>
      <c r="B4663" s="1" t="s">
        <v>5910</v>
      </c>
      <c r="D4663" s="1" t="s">
        <v>8187</v>
      </c>
      <c r="F4663" s="1" t="s">
        <v>5588</v>
      </c>
      <c r="G4663" s="1" t="s">
        <v>5678</v>
      </c>
      <c r="H4663" s="1" t="s">
        <v>5679</v>
      </c>
      <c r="J4663" s="1" t="s">
        <v>4052</v>
      </c>
      <c r="L4663" s="1" t="s">
        <v>4058</v>
      </c>
      <c r="N4663" s="1" t="s">
        <v>1962</v>
      </c>
      <c r="P4663" s="1" t="s">
        <v>6039</v>
      </c>
      <c r="Q4663" s="3">
        <v>0</v>
      </c>
      <c r="R4663" s="22" t="s">
        <v>2722</v>
      </c>
      <c r="S4663" s="42" t="s">
        <v>6913</v>
      </c>
      <c r="T4663" s="3" t="s">
        <v>4868</v>
      </c>
      <c r="U4663" s="45">
        <v>35</v>
      </c>
      <c r="V4663" t="s">
        <v>8191</v>
      </c>
      <c r="W4663" s="1" t="str">
        <f>HYPERLINK("http://ictvonline.org/taxonomy/p/taxonomy-history?taxnode_id=201906353","ICTVonline=201906353")</f>
        <v>ICTVonline=201906353</v>
      </c>
    </row>
    <row r="4664" spans="1:23">
      <c r="A4664" s="3">
        <v>4663</v>
      </c>
      <c r="B4664" s="1" t="s">
        <v>5910</v>
      </c>
      <c r="D4664" s="1" t="s">
        <v>8187</v>
      </c>
      <c r="F4664" s="1" t="s">
        <v>5588</v>
      </c>
      <c r="G4664" s="1" t="s">
        <v>5678</v>
      </c>
      <c r="H4664" s="1" t="s">
        <v>5679</v>
      </c>
      <c r="J4664" s="1" t="s">
        <v>4052</v>
      </c>
      <c r="L4664" s="1" t="s">
        <v>4058</v>
      </c>
      <c r="N4664" s="1" t="s">
        <v>1962</v>
      </c>
      <c r="P4664" s="1" t="s">
        <v>6040</v>
      </c>
      <c r="Q4664" s="3">
        <v>0</v>
      </c>
      <c r="R4664" s="22" t="s">
        <v>2722</v>
      </c>
      <c r="S4664" s="42" t="s">
        <v>6913</v>
      </c>
      <c r="T4664" s="3" t="s">
        <v>4868</v>
      </c>
      <c r="U4664" s="45">
        <v>35</v>
      </c>
      <c r="V4664" t="s">
        <v>8191</v>
      </c>
      <c r="W4664" s="1" t="str">
        <f>HYPERLINK("http://ictvonline.org/taxonomy/p/taxonomy-history?taxnode_id=201906369","ICTVonline=201906369")</f>
        <v>ICTVonline=201906369</v>
      </c>
    </row>
    <row r="4665" spans="1:23">
      <c r="A4665" s="3">
        <v>4664</v>
      </c>
      <c r="B4665" s="1" t="s">
        <v>5910</v>
      </c>
      <c r="D4665" s="1" t="s">
        <v>8187</v>
      </c>
      <c r="F4665" s="1" t="s">
        <v>5588</v>
      </c>
      <c r="G4665" s="1" t="s">
        <v>5678</v>
      </c>
      <c r="H4665" s="1" t="s">
        <v>5679</v>
      </c>
      <c r="J4665" s="1" t="s">
        <v>4052</v>
      </c>
      <c r="L4665" s="1" t="s">
        <v>4058</v>
      </c>
      <c r="N4665" s="1" t="s">
        <v>1962</v>
      </c>
      <c r="P4665" s="1" t="s">
        <v>6041</v>
      </c>
      <c r="Q4665" s="3">
        <v>0</v>
      </c>
      <c r="R4665" s="22" t="s">
        <v>2722</v>
      </c>
      <c r="S4665" s="42" t="s">
        <v>6913</v>
      </c>
      <c r="T4665" s="3" t="s">
        <v>4868</v>
      </c>
      <c r="U4665" s="45">
        <v>35</v>
      </c>
      <c r="V4665" t="s">
        <v>8191</v>
      </c>
      <c r="W4665" s="1" t="str">
        <f>HYPERLINK("http://ictvonline.org/taxonomy/p/taxonomy-history?taxnode_id=201906381","ICTVonline=201906381")</f>
        <v>ICTVonline=201906381</v>
      </c>
    </row>
    <row r="4666" spans="1:23">
      <c r="A4666" s="3">
        <v>4665</v>
      </c>
      <c r="B4666" s="1" t="s">
        <v>5910</v>
      </c>
      <c r="D4666" s="1" t="s">
        <v>8187</v>
      </c>
      <c r="F4666" s="1" t="s">
        <v>5588</v>
      </c>
      <c r="G4666" s="1" t="s">
        <v>5678</v>
      </c>
      <c r="H4666" s="1" t="s">
        <v>5679</v>
      </c>
      <c r="J4666" s="1" t="s">
        <v>4052</v>
      </c>
      <c r="L4666" s="1" t="s">
        <v>4058</v>
      </c>
      <c r="N4666" s="1" t="s">
        <v>1962</v>
      </c>
      <c r="P4666" s="1" t="s">
        <v>6042</v>
      </c>
      <c r="Q4666" s="3">
        <v>0</v>
      </c>
      <c r="R4666" s="22" t="s">
        <v>2722</v>
      </c>
      <c r="S4666" s="42" t="s">
        <v>6913</v>
      </c>
      <c r="T4666" s="3" t="s">
        <v>4868</v>
      </c>
      <c r="U4666" s="45">
        <v>35</v>
      </c>
      <c r="V4666" t="s">
        <v>8191</v>
      </c>
      <c r="W4666" s="1" t="str">
        <f>HYPERLINK("http://ictvonline.org/taxonomy/p/taxonomy-history?taxnode_id=201900126","ICTVonline=201900126")</f>
        <v>ICTVonline=201900126</v>
      </c>
    </row>
    <row r="4667" spans="1:23">
      <c r="A4667" s="3">
        <v>4666</v>
      </c>
      <c r="B4667" s="1" t="s">
        <v>5910</v>
      </c>
      <c r="D4667" s="1" t="s">
        <v>8187</v>
      </c>
      <c r="F4667" s="1" t="s">
        <v>5588</v>
      </c>
      <c r="G4667" s="1" t="s">
        <v>5678</v>
      </c>
      <c r="H4667" s="1" t="s">
        <v>5679</v>
      </c>
      <c r="J4667" s="1" t="s">
        <v>4052</v>
      </c>
      <c r="L4667" s="1" t="s">
        <v>4058</v>
      </c>
      <c r="N4667" s="1" t="s">
        <v>1962</v>
      </c>
      <c r="P4667" s="1" t="s">
        <v>6043</v>
      </c>
      <c r="Q4667" s="3">
        <v>0</v>
      </c>
      <c r="R4667" s="22" t="s">
        <v>2722</v>
      </c>
      <c r="S4667" s="42" t="s">
        <v>6913</v>
      </c>
      <c r="T4667" s="3" t="s">
        <v>4868</v>
      </c>
      <c r="U4667" s="45">
        <v>35</v>
      </c>
      <c r="V4667" t="s">
        <v>8191</v>
      </c>
      <c r="W4667" s="1" t="str">
        <f>HYPERLINK("http://ictvonline.org/taxonomy/p/taxonomy-history?taxnode_id=201906370","ICTVonline=201906370")</f>
        <v>ICTVonline=201906370</v>
      </c>
    </row>
    <row r="4668" spans="1:23">
      <c r="A4668" s="3">
        <v>4667</v>
      </c>
      <c r="B4668" s="1" t="s">
        <v>5910</v>
      </c>
      <c r="D4668" s="1" t="s">
        <v>8187</v>
      </c>
      <c r="F4668" s="1" t="s">
        <v>5588</v>
      </c>
      <c r="G4668" s="1" t="s">
        <v>5678</v>
      </c>
      <c r="H4668" s="1" t="s">
        <v>5679</v>
      </c>
      <c r="J4668" s="1" t="s">
        <v>4052</v>
      </c>
      <c r="L4668" s="1" t="s">
        <v>4058</v>
      </c>
      <c r="N4668" s="1" t="s">
        <v>1962</v>
      </c>
      <c r="P4668" s="1" t="s">
        <v>3684</v>
      </c>
      <c r="Q4668" s="3">
        <v>0</v>
      </c>
      <c r="R4668" s="22" t="s">
        <v>2722</v>
      </c>
      <c r="S4668" s="42" t="s">
        <v>6913</v>
      </c>
      <c r="T4668" s="3" t="s">
        <v>4868</v>
      </c>
      <c r="U4668" s="45">
        <v>35</v>
      </c>
      <c r="V4668" t="s">
        <v>8191</v>
      </c>
      <c r="W4668" s="1" t="str">
        <f>HYPERLINK("http://ictvonline.org/taxonomy/p/taxonomy-history?taxnode_id=201900128","ICTVonline=201900128")</f>
        <v>ICTVonline=201900128</v>
      </c>
    </row>
    <row r="4669" spans="1:23">
      <c r="A4669" s="3">
        <v>4668</v>
      </c>
      <c r="B4669" s="1" t="s">
        <v>5910</v>
      </c>
      <c r="D4669" s="1" t="s">
        <v>8187</v>
      </c>
      <c r="F4669" s="1" t="s">
        <v>5588</v>
      </c>
      <c r="G4669" s="1" t="s">
        <v>5678</v>
      </c>
      <c r="H4669" s="1" t="s">
        <v>5679</v>
      </c>
      <c r="J4669" s="1" t="s">
        <v>4052</v>
      </c>
      <c r="L4669" s="1" t="s">
        <v>4058</v>
      </c>
      <c r="N4669" s="1" t="s">
        <v>1962</v>
      </c>
      <c r="P4669" s="1" t="s">
        <v>3685</v>
      </c>
      <c r="Q4669" s="3">
        <v>0</v>
      </c>
      <c r="R4669" s="22" t="s">
        <v>2722</v>
      </c>
      <c r="S4669" s="42" t="s">
        <v>6913</v>
      </c>
      <c r="T4669" s="3" t="s">
        <v>4868</v>
      </c>
      <c r="U4669" s="45">
        <v>35</v>
      </c>
      <c r="V4669" t="s">
        <v>8191</v>
      </c>
      <c r="W4669" s="1" t="str">
        <f>HYPERLINK("http://ictvonline.org/taxonomy/p/taxonomy-history?taxnode_id=201900129","ICTVonline=201900129")</f>
        <v>ICTVonline=201900129</v>
      </c>
    </row>
    <row r="4670" spans="1:23">
      <c r="A4670" s="3">
        <v>4669</v>
      </c>
      <c r="B4670" s="1" t="s">
        <v>5910</v>
      </c>
      <c r="D4670" s="1" t="s">
        <v>8187</v>
      </c>
      <c r="F4670" s="1" t="s">
        <v>5588</v>
      </c>
      <c r="G4670" s="1" t="s">
        <v>5678</v>
      </c>
      <c r="H4670" s="1" t="s">
        <v>5679</v>
      </c>
      <c r="J4670" s="1" t="s">
        <v>4052</v>
      </c>
      <c r="L4670" s="1" t="s">
        <v>4058</v>
      </c>
      <c r="N4670" s="1" t="s">
        <v>1962</v>
      </c>
      <c r="P4670" s="1" t="s">
        <v>6044</v>
      </c>
      <c r="Q4670" s="3">
        <v>0</v>
      </c>
      <c r="R4670" s="22" t="s">
        <v>2722</v>
      </c>
      <c r="S4670" s="42" t="s">
        <v>6913</v>
      </c>
      <c r="T4670" s="3" t="s">
        <v>4868</v>
      </c>
      <c r="U4670" s="45">
        <v>35</v>
      </c>
      <c r="V4670" t="s">
        <v>8191</v>
      </c>
      <c r="W4670" s="1" t="str">
        <f>HYPERLINK("http://ictvonline.org/taxonomy/p/taxonomy-history?taxnode_id=201906371","ICTVonline=201906371")</f>
        <v>ICTVonline=201906371</v>
      </c>
    </row>
    <row r="4671" spans="1:23">
      <c r="A4671" s="3">
        <v>4670</v>
      </c>
      <c r="B4671" s="1" t="s">
        <v>5910</v>
      </c>
      <c r="D4671" s="1" t="s">
        <v>8187</v>
      </c>
      <c r="F4671" s="1" t="s">
        <v>5588</v>
      </c>
      <c r="G4671" s="1" t="s">
        <v>5678</v>
      </c>
      <c r="H4671" s="1" t="s">
        <v>5679</v>
      </c>
      <c r="J4671" s="1" t="s">
        <v>4052</v>
      </c>
      <c r="L4671" s="1" t="s">
        <v>4058</v>
      </c>
      <c r="N4671" s="1" t="s">
        <v>1962</v>
      </c>
      <c r="P4671" s="1" t="s">
        <v>6045</v>
      </c>
      <c r="Q4671" s="3">
        <v>0</v>
      </c>
      <c r="R4671" s="22" t="s">
        <v>2722</v>
      </c>
      <c r="S4671" s="42" t="s">
        <v>6913</v>
      </c>
      <c r="T4671" s="3" t="s">
        <v>4868</v>
      </c>
      <c r="U4671" s="45">
        <v>35</v>
      </c>
      <c r="V4671" t="s">
        <v>8191</v>
      </c>
      <c r="W4671" s="1" t="str">
        <f>HYPERLINK("http://ictvonline.org/taxonomy/p/taxonomy-history?taxnode_id=201906387","ICTVonline=201906387")</f>
        <v>ICTVonline=201906387</v>
      </c>
    </row>
    <row r="4672" spans="1:23">
      <c r="A4672" s="3">
        <v>4671</v>
      </c>
      <c r="B4672" s="1" t="s">
        <v>5910</v>
      </c>
      <c r="D4672" s="1" t="s">
        <v>8187</v>
      </c>
      <c r="F4672" s="1" t="s">
        <v>5588</v>
      </c>
      <c r="G4672" s="1" t="s">
        <v>5678</v>
      </c>
      <c r="H4672" s="1" t="s">
        <v>5679</v>
      </c>
      <c r="J4672" s="1" t="s">
        <v>4052</v>
      </c>
      <c r="L4672" s="1" t="s">
        <v>4058</v>
      </c>
      <c r="N4672" s="1" t="s">
        <v>1962</v>
      </c>
      <c r="P4672" s="1" t="s">
        <v>3686</v>
      </c>
      <c r="Q4672" s="3">
        <v>0</v>
      </c>
      <c r="R4672" s="22" t="s">
        <v>2722</v>
      </c>
      <c r="S4672" s="42" t="s">
        <v>6913</v>
      </c>
      <c r="T4672" s="3" t="s">
        <v>4868</v>
      </c>
      <c r="U4672" s="45">
        <v>35</v>
      </c>
      <c r="V4672" t="s">
        <v>8191</v>
      </c>
      <c r="W4672" s="1" t="str">
        <f>HYPERLINK("http://ictvonline.org/taxonomy/p/taxonomy-history?taxnode_id=201900130","ICTVonline=201900130")</f>
        <v>ICTVonline=201900130</v>
      </c>
    </row>
    <row r="4673" spans="1:23">
      <c r="A4673" s="3">
        <v>4672</v>
      </c>
      <c r="B4673" s="1" t="s">
        <v>5910</v>
      </c>
      <c r="D4673" s="1" t="s">
        <v>8187</v>
      </c>
      <c r="F4673" s="1" t="s">
        <v>5588</v>
      </c>
      <c r="G4673" s="1" t="s">
        <v>5678</v>
      </c>
      <c r="H4673" s="1" t="s">
        <v>5679</v>
      </c>
      <c r="J4673" s="1" t="s">
        <v>4052</v>
      </c>
      <c r="L4673" s="1" t="s">
        <v>4058</v>
      </c>
      <c r="N4673" s="1" t="s">
        <v>1962</v>
      </c>
      <c r="P4673" s="1" t="s">
        <v>6046</v>
      </c>
      <c r="Q4673" s="3">
        <v>0</v>
      </c>
      <c r="R4673" s="22" t="s">
        <v>2722</v>
      </c>
      <c r="S4673" s="42" t="s">
        <v>6913</v>
      </c>
      <c r="T4673" s="3" t="s">
        <v>4868</v>
      </c>
      <c r="U4673" s="45">
        <v>35</v>
      </c>
      <c r="V4673" t="s">
        <v>8191</v>
      </c>
      <c r="W4673" s="1" t="str">
        <f>HYPERLINK("http://ictvonline.org/taxonomy/p/taxonomy-history?taxnode_id=201906372","ICTVonline=201906372")</f>
        <v>ICTVonline=201906372</v>
      </c>
    </row>
    <row r="4674" spans="1:23">
      <c r="A4674" s="3">
        <v>4673</v>
      </c>
      <c r="B4674" s="1" t="s">
        <v>5910</v>
      </c>
      <c r="D4674" s="1" t="s">
        <v>8187</v>
      </c>
      <c r="F4674" s="1" t="s">
        <v>5588</v>
      </c>
      <c r="G4674" s="1" t="s">
        <v>5678</v>
      </c>
      <c r="H4674" s="1" t="s">
        <v>5679</v>
      </c>
      <c r="J4674" s="1" t="s">
        <v>4052</v>
      </c>
      <c r="L4674" s="1" t="s">
        <v>4058</v>
      </c>
      <c r="N4674" s="1" t="s">
        <v>1962</v>
      </c>
      <c r="P4674" s="1" t="s">
        <v>6047</v>
      </c>
      <c r="Q4674" s="3">
        <v>0</v>
      </c>
      <c r="R4674" s="22" t="s">
        <v>2722</v>
      </c>
      <c r="S4674" s="42" t="s">
        <v>6913</v>
      </c>
      <c r="T4674" s="3" t="s">
        <v>4868</v>
      </c>
      <c r="U4674" s="45">
        <v>35</v>
      </c>
      <c r="V4674" t="s">
        <v>8191</v>
      </c>
      <c r="W4674" s="1" t="str">
        <f>HYPERLINK("http://ictvonline.org/taxonomy/p/taxonomy-history?taxnode_id=201906598","ICTVonline=201906598")</f>
        <v>ICTVonline=201906598</v>
      </c>
    </row>
    <row r="4675" spans="1:23">
      <c r="A4675" s="3">
        <v>4674</v>
      </c>
      <c r="B4675" s="1" t="s">
        <v>5910</v>
      </c>
      <c r="D4675" s="1" t="s">
        <v>8187</v>
      </c>
      <c r="F4675" s="1" t="s">
        <v>5588</v>
      </c>
      <c r="G4675" s="1" t="s">
        <v>5678</v>
      </c>
      <c r="H4675" s="1" t="s">
        <v>5679</v>
      </c>
      <c r="J4675" s="1" t="s">
        <v>4052</v>
      </c>
      <c r="L4675" s="1" t="s">
        <v>4058</v>
      </c>
      <c r="N4675" s="1" t="s">
        <v>1962</v>
      </c>
      <c r="P4675" s="1" t="s">
        <v>6048</v>
      </c>
      <c r="Q4675" s="3">
        <v>0</v>
      </c>
      <c r="R4675" s="22" t="s">
        <v>2722</v>
      </c>
      <c r="S4675" s="42" t="s">
        <v>6913</v>
      </c>
      <c r="T4675" s="3" t="s">
        <v>4868</v>
      </c>
      <c r="U4675" s="45">
        <v>35</v>
      </c>
      <c r="V4675" t="s">
        <v>8191</v>
      </c>
      <c r="W4675" s="1" t="str">
        <f>HYPERLINK("http://ictvonline.org/taxonomy/p/taxonomy-history?taxnode_id=201906363","ICTVonline=201906363")</f>
        <v>ICTVonline=201906363</v>
      </c>
    </row>
    <row r="4676" spans="1:23">
      <c r="A4676" s="3">
        <v>4675</v>
      </c>
      <c r="B4676" s="1" t="s">
        <v>5910</v>
      </c>
      <c r="D4676" s="1" t="s">
        <v>8187</v>
      </c>
      <c r="F4676" s="1" t="s">
        <v>5588</v>
      </c>
      <c r="G4676" s="1" t="s">
        <v>5678</v>
      </c>
      <c r="H4676" s="1" t="s">
        <v>5679</v>
      </c>
      <c r="J4676" s="1" t="s">
        <v>4052</v>
      </c>
      <c r="L4676" s="1" t="s">
        <v>4058</v>
      </c>
      <c r="N4676" s="1" t="s">
        <v>1962</v>
      </c>
      <c r="P4676" s="1" t="s">
        <v>3687</v>
      </c>
      <c r="Q4676" s="3">
        <v>0</v>
      </c>
      <c r="R4676" s="22" t="s">
        <v>2722</v>
      </c>
      <c r="S4676" s="42" t="s">
        <v>6913</v>
      </c>
      <c r="T4676" s="3" t="s">
        <v>4868</v>
      </c>
      <c r="U4676" s="45">
        <v>35</v>
      </c>
      <c r="V4676" t="s">
        <v>8191</v>
      </c>
      <c r="W4676" s="1" t="str">
        <f>HYPERLINK("http://ictvonline.org/taxonomy/p/taxonomy-history?taxnode_id=201900131","ICTVonline=201900131")</f>
        <v>ICTVonline=201900131</v>
      </c>
    </row>
    <row r="4677" spans="1:23">
      <c r="A4677" s="3">
        <v>4676</v>
      </c>
      <c r="B4677" s="1" t="s">
        <v>5910</v>
      </c>
      <c r="D4677" s="1" t="s">
        <v>8187</v>
      </c>
      <c r="F4677" s="1" t="s">
        <v>5588</v>
      </c>
      <c r="G4677" s="1" t="s">
        <v>5678</v>
      </c>
      <c r="H4677" s="1" t="s">
        <v>5679</v>
      </c>
      <c r="J4677" s="1" t="s">
        <v>4052</v>
      </c>
      <c r="L4677" s="1" t="s">
        <v>4058</v>
      </c>
      <c r="N4677" s="1" t="s">
        <v>1962</v>
      </c>
      <c r="P4677" s="1" t="s">
        <v>3688</v>
      </c>
      <c r="Q4677" s="3">
        <v>0</v>
      </c>
      <c r="R4677" s="22" t="s">
        <v>2722</v>
      </c>
      <c r="S4677" s="42" t="s">
        <v>6913</v>
      </c>
      <c r="T4677" s="3" t="s">
        <v>4868</v>
      </c>
      <c r="U4677" s="45">
        <v>35</v>
      </c>
      <c r="V4677" t="s">
        <v>8191</v>
      </c>
      <c r="W4677" s="1" t="str">
        <f>HYPERLINK("http://ictvonline.org/taxonomy/p/taxonomy-history?taxnode_id=201900132","ICTVonline=201900132")</f>
        <v>ICTVonline=201900132</v>
      </c>
    </row>
    <row r="4678" spans="1:23">
      <c r="A4678" s="3">
        <v>4677</v>
      </c>
      <c r="B4678" s="1" t="s">
        <v>5910</v>
      </c>
      <c r="D4678" s="1" t="s">
        <v>8187</v>
      </c>
      <c r="F4678" s="1" t="s">
        <v>5588</v>
      </c>
      <c r="G4678" s="1" t="s">
        <v>5678</v>
      </c>
      <c r="H4678" s="1" t="s">
        <v>5679</v>
      </c>
      <c r="J4678" s="1" t="s">
        <v>4052</v>
      </c>
      <c r="L4678" s="1" t="s">
        <v>4058</v>
      </c>
      <c r="N4678" s="1" t="s">
        <v>1962</v>
      </c>
      <c r="P4678" s="1" t="s">
        <v>3689</v>
      </c>
      <c r="Q4678" s="3">
        <v>0</v>
      </c>
      <c r="R4678" s="22" t="s">
        <v>2722</v>
      </c>
      <c r="S4678" s="42" t="s">
        <v>6913</v>
      </c>
      <c r="T4678" s="3" t="s">
        <v>4868</v>
      </c>
      <c r="U4678" s="45">
        <v>35</v>
      </c>
      <c r="V4678" t="s">
        <v>8191</v>
      </c>
      <c r="W4678" s="1" t="str">
        <f>HYPERLINK("http://ictvonline.org/taxonomy/p/taxonomy-history?taxnode_id=201900133","ICTVonline=201900133")</f>
        <v>ICTVonline=201900133</v>
      </c>
    </row>
    <row r="4679" spans="1:23">
      <c r="A4679" s="3">
        <v>4678</v>
      </c>
      <c r="B4679" s="1" t="s">
        <v>5910</v>
      </c>
      <c r="D4679" s="1" t="s">
        <v>8187</v>
      </c>
      <c r="F4679" s="1" t="s">
        <v>5588</v>
      </c>
      <c r="G4679" s="1" t="s">
        <v>5678</v>
      </c>
      <c r="H4679" s="1" t="s">
        <v>5679</v>
      </c>
      <c r="J4679" s="1" t="s">
        <v>4052</v>
      </c>
      <c r="L4679" s="1" t="s">
        <v>4058</v>
      </c>
      <c r="N4679" s="1" t="s">
        <v>1962</v>
      </c>
      <c r="P4679" s="1" t="s">
        <v>6049</v>
      </c>
      <c r="Q4679" s="3">
        <v>0</v>
      </c>
      <c r="R4679" s="22" t="s">
        <v>2722</v>
      </c>
      <c r="S4679" s="42" t="s">
        <v>6913</v>
      </c>
      <c r="T4679" s="3" t="s">
        <v>4868</v>
      </c>
      <c r="U4679" s="45">
        <v>35</v>
      </c>
      <c r="V4679" t="s">
        <v>8191</v>
      </c>
      <c r="W4679" s="1" t="str">
        <f>HYPERLINK("http://ictvonline.org/taxonomy/p/taxonomy-history?taxnode_id=201906373","ICTVonline=201906373")</f>
        <v>ICTVonline=201906373</v>
      </c>
    </row>
    <row r="4680" spans="1:23">
      <c r="A4680" s="3">
        <v>4679</v>
      </c>
      <c r="B4680" s="1" t="s">
        <v>5910</v>
      </c>
      <c r="D4680" s="1" t="s">
        <v>8187</v>
      </c>
      <c r="F4680" s="1" t="s">
        <v>5588</v>
      </c>
      <c r="G4680" s="1" t="s">
        <v>5678</v>
      </c>
      <c r="H4680" s="1" t="s">
        <v>5679</v>
      </c>
      <c r="J4680" s="1" t="s">
        <v>4052</v>
      </c>
      <c r="L4680" s="1" t="s">
        <v>4058</v>
      </c>
      <c r="N4680" s="1" t="s">
        <v>1962</v>
      </c>
      <c r="P4680" s="1" t="s">
        <v>3690</v>
      </c>
      <c r="Q4680" s="3">
        <v>0</v>
      </c>
      <c r="R4680" s="22" t="s">
        <v>2722</v>
      </c>
      <c r="S4680" s="42" t="s">
        <v>6913</v>
      </c>
      <c r="T4680" s="3" t="s">
        <v>4868</v>
      </c>
      <c r="U4680" s="45">
        <v>35</v>
      </c>
      <c r="V4680" t="s">
        <v>8191</v>
      </c>
      <c r="W4680" s="1" t="str">
        <f>HYPERLINK("http://ictvonline.org/taxonomy/p/taxonomy-history?taxnode_id=201900134","ICTVonline=201900134")</f>
        <v>ICTVonline=201900134</v>
      </c>
    </row>
    <row r="4681" spans="1:23">
      <c r="A4681" s="3">
        <v>4680</v>
      </c>
      <c r="B4681" s="1" t="s">
        <v>5910</v>
      </c>
      <c r="D4681" s="1" t="s">
        <v>8187</v>
      </c>
      <c r="F4681" s="1" t="s">
        <v>5588</v>
      </c>
      <c r="G4681" s="1" t="s">
        <v>5678</v>
      </c>
      <c r="H4681" s="1" t="s">
        <v>5679</v>
      </c>
      <c r="J4681" s="1" t="s">
        <v>4052</v>
      </c>
      <c r="L4681" s="1" t="s">
        <v>4058</v>
      </c>
      <c r="N4681" s="1" t="s">
        <v>1962</v>
      </c>
      <c r="P4681" s="1" t="s">
        <v>6050</v>
      </c>
      <c r="Q4681" s="3">
        <v>0</v>
      </c>
      <c r="R4681" s="22" t="s">
        <v>2722</v>
      </c>
      <c r="S4681" s="42" t="s">
        <v>6913</v>
      </c>
      <c r="T4681" s="3" t="s">
        <v>4868</v>
      </c>
      <c r="U4681" s="45">
        <v>35</v>
      </c>
      <c r="V4681" t="s">
        <v>8191</v>
      </c>
      <c r="W4681" s="1" t="str">
        <f>HYPERLINK("http://ictvonline.org/taxonomy/p/taxonomy-history?taxnode_id=201906379","ICTVonline=201906379")</f>
        <v>ICTVonline=201906379</v>
      </c>
    </row>
    <row r="4682" spans="1:23">
      <c r="A4682" s="3">
        <v>4681</v>
      </c>
      <c r="B4682" s="1" t="s">
        <v>5910</v>
      </c>
      <c r="D4682" s="1" t="s">
        <v>8187</v>
      </c>
      <c r="F4682" s="1" t="s">
        <v>5588</v>
      </c>
      <c r="G4682" s="1" t="s">
        <v>5678</v>
      </c>
      <c r="H4682" s="1" t="s">
        <v>5679</v>
      </c>
      <c r="J4682" s="1" t="s">
        <v>4052</v>
      </c>
      <c r="L4682" s="1" t="s">
        <v>4058</v>
      </c>
      <c r="N4682" s="1" t="s">
        <v>1962</v>
      </c>
      <c r="P4682" s="1" t="s">
        <v>6051</v>
      </c>
      <c r="Q4682" s="3">
        <v>0</v>
      </c>
      <c r="R4682" s="22" t="s">
        <v>2722</v>
      </c>
      <c r="S4682" s="42" t="s">
        <v>6913</v>
      </c>
      <c r="T4682" s="3" t="s">
        <v>4868</v>
      </c>
      <c r="U4682" s="45">
        <v>35</v>
      </c>
      <c r="V4682" t="s">
        <v>8191</v>
      </c>
      <c r="W4682" s="1" t="str">
        <f>HYPERLINK("http://ictvonline.org/taxonomy/p/taxonomy-history?taxnode_id=201906599","ICTVonline=201906599")</f>
        <v>ICTVonline=201906599</v>
      </c>
    </row>
    <row r="4683" spans="1:23">
      <c r="A4683" s="3">
        <v>4682</v>
      </c>
      <c r="B4683" s="1" t="s">
        <v>5910</v>
      </c>
      <c r="D4683" s="1" t="s">
        <v>8187</v>
      </c>
      <c r="F4683" s="1" t="s">
        <v>5588</v>
      </c>
      <c r="G4683" s="1" t="s">
        <v>5678</v>
      </c>
      <c r="H4683" s="1" t="s">
        <v>5679</v>
      </c>
      <c r="J4683" s="1" t="s">
        <v>4052</v>
      </c>
      <c r="L4683" s="1" t="s">
        <v>4058</v>
      </c>
      <c r="N4683" s="1" t="s">
        <v>1962</v>
      </c>
      <c r="P4683" s="1" t="s">
        <v>4935</v>
      </c>
      <c r="Q4683" s="3">
        <v>0</v>
      </c>
      <c r="R4683" s="22" t="s">
        <v>2722</v>
      </c>
      <c r="S4683" s="42" t="s">
        <v>6913</v>
      </c>
      <c r="T4683" s="3" t="s">
        <v>4868</v>
      </c>
      <c r="U4683" s="45">
        <v>35</v>
      </c>
      <c r="V4683" t="s">
        <v>8191</v>
      </c>
      <c r="W4683" s="1" t="str">
        <f>HYPERLINK("http://ictvonline.org/taxonomy/p/taxonomy-history?taxnode_id=201905464","ICTVonline=201905464")</f>
        <v>ICTVonline=201905464</v>
      </c>
    </row>
    <row r="4684" spans="1:23">
      <c r="A4684" s="3">
        <v>4683</v>
      </c>
      <c r="B4684" s="1" t="s">
        <v>5910</v>
      </c>
      <c r="D4684" s="1" t="s">
        <v>8187</v>
      </c>
      <c r="F4684" s="1" t="s">
        <v>5588</v>
      </c>
      <c r="G4684" s="1" t="s">
        <v>5678</v>
      </c>
      <c r="H4684" s="1" t="s">
        <v>5679</v>
      </c>
      <c r="J4684" s="1" t="s">
        <v>4052</v>
      </c>
      <c r="L4684" s="1" t="s">
        <v>4058</v>
      </c>
      <c r="N4684" s="1" t="s">
        <v>1962</v>
      </c>
      <c r="P4684" s="1" t="s">
        <v>3691</v>
      </c>
      <c r="Q4684" s="3">
        <v>0</v>
      </c>
      <c r="R4684" s="22" t="s">
        <v>2722</v>
      </c>
      <c r="S4684" s="42" t="s">
        <v>6913</v>
      </c>
      <c r="T4684" s="3" t="s">
        <v>4868</v>
      </c>
      <c r="U4684" s="45">
        <v>35</v>
      </c>
      <c r="V4684" t="s">
        <v>8191</v>
      </c>
      <c r="W4684" s="1" t="str">
        <f>HYPERLINK("http://ictvonline.org/taxonomy/p/taxonomy-history?taxnode_id=201900135","ICTVonline=201900135")</f>
        <v>ICTVonline=201900135</v>
      </c>
    </row>
    <row r="4685" spans="1:23">
      <c r="A4685" s="3">
        <v>4684</v>
      </c>
      <c r="B4685" s="1" t="s">
        <v>5910</v>
      </c>
      <c r="D4685" s="1" t="s">
        <v>8187</v>
      </c>
      <c r="F4685" s="1" t="s">
        <v>5588</v>
      </c>
      <c r="G4685" s="1" t="s">
        <v>5678</v>
      </c>
      <c r="H4685" s="1" t="s">
        <v>5679</v>
      </c>
      <c r="J4685" s="1" t="s">
        <v>4052</v>
      </c>
      <c r="L4685" s="1" t="s">
        <v>4058</v>
      </c>
      <c r="N4685" s="1" t="s">
        <v>1962</v>
      </c>
      <c r="P4685" s="1" t="s">
        <v>3692</v>
      </c>
      <c r="Q4685" s="3">
        <v>0</v>
      </c>
      <c r="R4685" s="22" t="s">
        <v>2722</v>
      </c>
      <c r="S4685" s="42" t="s">
        <v>6913</v>
      </c>
      <c r="T4685" s="3" t="s">
        <v>4868</v>
      </c>
      <c r="U4685" s="45">
        <v>35</v>
      </c>
      <c r="V4685" t="s">
        <v>8191</v>
      </c>
      <c r="W4685" s="1" t="str">
        <f>HYPERLINK("http://ictvonline.org/taxonomy/p/taxonomy-history?taxnode_id=201900136","ICTVonline=201900136")</f>
        <v>ICTVonline=201900136</v>
      </c>
    </row>
    <row r="4686" spans="1:23">
      <c r="A4686" s="3">
        <v>4685</v>
      </c>
      <c r="B4686" s="1" t="s">
        <v>5910</v>
      </c>
      <c r="D4686" s="1" t="s">
        <v>8187</v>
      </c>
      <c r="F4686" s="1" t="s">
        <v>5588</v>
      </c>
      <c r="G4686" s="1" t="s">
        <v>5678</v>
      </c>
      <c r="H4686" s="1" t="s">
        <v>5679</v>
      </c>
      <c r="J4686" s="1" t="s">
        <v>4052</v>
      </c>
      <c r="L4686" s="1" t="s">
        <v>4058</v>
      </c>
      <c r="N4686" s="1" t="s">
        <v>6052</v>
      </c>
      <c r="P4686" s="1" t="s">
        <v>8382</v>
      </c>
      <c r="Q4686" s="3">
        <v>0</v>
      </c>
      <c r="R4686" s="22" t="s">
        <v>2722</v>
      </c>
      <c r="S4686" s="42" t="s">
        <v>6913</v>
      </c>
      <c r="T4686" s="3" t="s">
        <v>4866</v>
      </c>
      <c r="U4686" s="45">
        <v>35</v>
      </c>
      <c r="V4686" t="s">
        <v>8383</v>
      </c>
      <c r="W4686" s="1" t="str">
        <f>HYPERLINK("http://ictvonline.org/taxonomy/p/taxonomy-history?taxnode_id=201907517","ICTVonline=201907517")</f>
        <v>ICTVonline=201907517</v>
      </c>
    </row>
    <row r="4687" spans="1:23">
      <c r="A4687" s="3">
        <v>4686</v>
      </c>
      <c r="B4687" s="1" t="s">
        <v>5910</v>
      </c>
      <c r="D4687" s="1" t="s">
        <v>8187</v>
      </c>
      <c r="F4687" s="1" t="s">
        <v>5588</v>
      </c>
      <c r="G4687" s="1" t="s">
        <v>5678</v>
      </c>
      <c r="H4687" s="1" t="s">
        <v>5679</v>
      </c>
      <c r="J4687" s="1" t="s">
        <v>4052</v>
      </c>
      <c r="L4687" s="1" t="s">
        <v>4058</v>
      </c>
      <c r="N4687" s="1" t="s">
        <v>6052</v>
      </c>
      <c r="P4687" s="1" t="s">
        <v>8384</v>
      </c>
      <c r="Q4687" s="3">
        <v>0</v>
      </c>
      <c r="R4687" s="22" t="s">
        <v>2722</v>
      </c>
      <c r="S4687" s="42" t="s">
        <v>6913</v>
      </c>
      <c r="T4687" s="3" t="s">
        <v>4867</v>
      </c>
      <c r="U4687" s="45">
        <v>35</v>
      </c>
      <c r="V4687" t="s">
        <v>8385</v>
      </c>
      <c r="W4687" s="1" t="str">
        <f>HYPERLINK("http://ictvonline.org/taxonomy/p/taxonomy-history?taxnode_id=201900160","ICTVonline=201900160")</f>
        <v>ICTVonline=201900160</v>
      </c>
    </row>
    <row r="4688" spans="1:23">
      <c r="A4688" s="3">
        <v>4687</v>
      </c>
      <c r="B4688" s="1" t="s">
        <v>5910</v>
      </c>
      <c r="D4688" s="1" t="s">
        <v>8187</v>
      </c>
      <c r="F4688" s="1" t="s">
        <v>5588</v>
      </c>
      <c r="G4688" s="1" t="s">
        <v>5678</v>
      </c>
      <c r="H4688" s="1" t="s">
        <v>5679</v>
      </c>
      <c r="J4688" s="1" t="s">
        <v>4052</v>
      </c>
      <c r="L4688" s="1" t="s">
        <v>4058</v>
      </c>
      <c r="N4688" s="1" t="s">
        <v>6052</v>
      </c>
      <c r="P4688" s="1" t="s">
        <v>6053</v>
      </c>
      <c r="Q4688" s="3">
        <v>1</v>
      </c>
      <c r="R4688" s="22" t="s">
        <v>2722</v>
      </c>
      <c r="S4688" s="42" t="s">
        <v>6913</v>
      </c>
      <c r="T4688" s="3" t="s">
        <v>4868</v>
      </c>
      <c r="U4688" s="45">
        <v>35</v>
      </c>
      <c r="V4688" t="s">
        <v>8191</v>
      </c>
      <c r="W4688" s="1" t="str">
        <f>HYPERLINK("http://ictvonline.org/taxonomy/p/taxonomy-history?taxnode_id=201906601","ICTVonline=201906601")</f>
        <v>ICTVonline=201906601</v>
      </c>
    </row>
    <row r="4689" spans="1:23">
      <c r="A4689" s="3">
        <v>4688</v>
      </c>
      <c r="B4689" s="1" t="s">
        <v>5910</v>
      </c>
      <c r="D4689" s="1" t="s">
        <v>8187</v>
      </c>
      <c r="F4689" s="1" t="s">
        <v>5588</v>
      </c>
      <c r="G4689" s="1" t="s">
        <v>5678</v>
      </c>
      <c r="H4689" s="1" t="s">
        <v>5679</v>
      </c>
      <c r="J4689" s="1" t="s">
        <v>4052</v>
      </c>
      <c r="L4689" s="1" t="s">
        <v>4058</v>
      </c>
      <c r="N4689" s="1" t="s">
        <v>6052</v>
      </c>
      <c r="P4689" s="1" t="s">
        <v>6054</v>
      </c>
      <c r="Q4689" s="3">
        <v>0</v>
      </c>
      <c r="R4689" s="22" t="s">
        <v>2722</v>
      </c>
      <c r="S4689" s="42" t="s">
        <v>6913</v>
      </c>
      <c r="T4689" s="3" t="s">
        <v>4868</v>
      </c>
      <c r="U4689" s="45">
        <v>35</v>
      </c>
      <c r="V4689" t="s">
        <v>8191</v>
      </c>
      <c r="W4689" s="1" t="str">
        <f>HYPERLINK("http://ictvonline.org/taxonomy/p/taxonomy-history?taxnode_id=201906602","ICTVonline=201906602")</f>
        <v>ICTVonline=201906602</v>
      </c>
    </row>
    <row r="4690" spans="1:23">
      <c r="A4690" s="3">
        <v>4689</v>
      </c>
      <c r="B4690" s="1" t="s">
        <v>5910</v>
      </c>
      <c r="D4690" s="1" t="s">
        <v>8187</v>
      </c>
      <c r="F4690" s="1" t="s">
        <v>5588</v>
      </c>
      <c r="G4690" s="1" t="s">
        <v>5678</v>
      </c>
      <c r="H4690" s="1" t="s">
        <v>5679</v>
      </c>
      <c r="J4690" s="1" t="s">
        <v>4052</v>
      </c>
      <c r="L4690" s="1" t="s">
        <v>4058</v>
      </c>
      <c r="N4690" s="1" t="s">
        <v>6052</v>
      </c>
      <c r="P4690" s="1" t="s">
        <v>6055</v>
      </c>
      <c r="Q4690" s="3">
        <v>0</v>
      </c>
      <c r="R4690" s="22" t="s">
        <v>2722</v>
      </c>
      <c r="S4690" s="42" t="s">
        <v>6913</v>
      </c>
      <c r="T4690" s="3" t="s">
        <v>4868</v>
      </c>
      <c r="U4690" s="45">
        <v>35</v>
      </c>
      <c r="V4690" t="s">
        <v>8191</v>
      </c>
      <c r="W4690" s="1" t="str">
        <f>HYPERLINK("http://ictvonline.org/taxonomy/p/taxonomy-history?taxnode_id=201906603","ICTVonline=201906603")</f>
        <v>ICTVonline=201906603</v>
      </c>
    </row>
    <row r="4691" spans="1:23">
      <c r="A4691" s="3">
        <v>4690</v>
      </c>
      <c r="B4691" s="1" t="s">
        <v>5910</v>
      </c>
      <c r="D4691" s="1" t="s">
        <v>8187</v>
      </c>
      <c r="F4691" s="1" t="s">
        <v>5588</v>
      </c>
      <c r="G4691" s="1" t="s">
        <v>5678</v>
      </c>
      <c r="H4691" s="1" t="s">
        <v>5679</v>
      </c>
      <c r="J4691" s="1" t="s">
        <v>4052</v>
      </c>
      <c r="L4691" s="1" t="s">
        <v>4058</v>
      </c>
      <c r="N4691" s="1" t="s">
        <v>5699</v>
      </c>
      <c r="P4691" s="1" t="s">
        <v>5700</v>
      </c>
      <c r="Q4691" s="3">
        <v>1</v>
      </c>
      <c r="R4691" s="22" t="s">
        <v>2722</v>
      </c>
      <c r="S4691" s="42" t="s">
        <v>6913</v>
      </c>
      <c r="T4691" s="3" t="s">
        <v>4868</v>
      </c>
      <c r="U4691" s="45">
        <v>35</v>
      </c>
      <c r="V4691" t="s">
        <v>8191</v>
      </c>
      <c r="W4691" s="1" t="str">
        <f>HYPERLINK("http://ictvonline.org/taxonomy/p/taxonomy-history?taxnode_id=201900085","ICTVonline=201900085")</f>
        <v>ICTVonline=201900085</v>
      </c>
    </row>
    <row r="4692" spans="1:23">
      <c r="A4692" s="3">
        <v>4691</v>
      </c>
      <c r="B4692" s="1" t="s">
        <v>5910</v>
      </c>
      <c r="D4692" s="1" t="s">
        <v>8187</v>
      </c>
      <c r="F4692" s="1" t="s">
        <v>5588</v>
      </c>
      <c r="G4692" s="1" t="s">
        <v>5678</v>
      </c>
      <c r="H4692" s="1" t="s">
        <v>5679</v>
      </c>
      <c r="J4692" s="1" t="s">
        <v>4052</v>
      </c>
      <c r="L4692" s="1" t="s">
        <v>4116</v>
      </c>
      <c r="N4692" s="1" t="s">
        <v>5701</v>
      </c>
      <c r="P4692" s="1" t="s">
        <v>5702</v>
      </c>
      <c r="Q4692" s="3">
        <v>1</v>
      </c>
      <c r="R4692" s="22" t="s">
        <v>2722</v>
      </c>
      <c r="S4692" s="42" t="s">
        <v>6912</v>
      </c>
      <c r="T4692" s="3" t="s">
        <v>4868</v>
      </c>
      <c r="U4692" s="45">
        <v>35</v>
      </c>
      <c r="V4692" t="s">
        <v>8191</v>
      </c>
      <c r="W4692" s="1" t="str">
        <f>HYPERLINK("http://ictvonline.org/taxonomy/p/taxonomy-history?taxnode_id=201900005","ICTVonline=201900005")</f>
        <v>ICTVonline=201900005</v>
      </c>
    </row>
    <row r="4693" spans="1:23">
      <c r="A4693" s="3">
        <v>4692</v>
      </c>
      <c r="B4693" s="1" t="s">
        <v>5910</v>
      </c>
      <c r="D4693" s="1" t="s">
        <v>8187</v>
      </c>
      <c r="F4693" s="1" t="s">
        <v>5588</v>
      </c>
      <c r="G4693" s="1" t="s">
        <v>5678</v>
      </c>
      <c r="H4693" s="1" t="s">
        <v>5679</v>
      </c>
      <c r="J4693" s="1" t="s">
        <v>4052</v>
      </c>
      <c r="L4693" s="1" t="s">
        <v>4116</v>
      </c>
      <c r="N4693" s="1" t="s">
        <v>5703</v>
      </c>
      <c r="P4693" s="1" t="s">
        <v>5704</v>
      </c>
      <c r="Q4693" s="3">
        <v>1</v>
      </c>
      <c r="R4693" s="22" t="s">
        <v>2722</v>
      </c>
      <c r="S4693" s="42" t="s">
        <v>6912</v>
      </c>
      <c r="T4693" s="3" t="s">
        <v>4868</v>
      </c>
      <c r="U4693" s="45">
        <v>35</v>
      </c>
      <c r="V4693" t="s">
        <v>8191</v>
      </c>
      <c r="W4693" s="1" t="str">
        <f>HYPERLINK("http://ictvonline.org/taxonomy/p/taxonomy-history?taxnode_id=201900065","ICTVonline=201900065")</f>
        <v>ICTVonline=201900065</v>
      </c>
    </row>
    <row r="4694" spans="1:23">
      <c r="A4694" s="3">
        <v>4693</v>
      </c>
      <c r="B4694" s="1" t="s">
        <v>5910</v>
      </c>
      <c r="D4694" s="1" t="s">
        <v>8187</v>
      </c>
      <c r="F4694" s="1" t="s">
        <v>5588</v>
      </c>
      <c r="G4694" s="1" t="s">
        <v>5678</v>
      </c>
      <c r="H4694" s="1" t="s">
        <v>5679</v>
      </c>
      <c r="J4694" s="1" t="s">
        <v>4052</v>
      </c>
      <c r="L4694" s="1" t="s">
        <v>4116</v>
      </c>
      <c r="N4694" s="1" t="s">
        <v>4117</v>
      </c>
      <c r="P4694" s="1" t="s">
        <v>8386</v>
      </c>
      <c r="Q4694" s="3">
        <v>0</v>
      </c>
      <c r="R4694" s="22" t="s">
        <v>2722</v>
      </c>
      <c r="S4694" s="42" t="s">
        <v>6912</v>
      </c>
      <c r="T4694" s="3" t="s">
        <v>4866</v>
      </c>
      <c r="U4694" s="45">
        <v>35</v>
      </c>
      <c r="V4694" t="s">
        <v>8387</v>
      </c>
      <c r="W4694" s="1" t="str">
        <f>HYPERLINK("http://ictvonline.org/taxonomy/p/taxonomy-history?taxnode_id=201907659","ICTVonline=201907659")</f>
        <v>ICTVonline=201907659</v>
      </c>
    </row>
    <row r="4695" spans="1:23">
      <c r="A4695" s="3">
        <v>4694</v>
      </c>
      <c r="B4695" s="1" t="s">
        <v>5910</v>
      </c>
      <c r="D4695" s="1" t="s">
        <v>8187</v>
      </c>
      <c r="F4695" s="1" t="s">
        <v>5588</v>
      </c>
      <c r="G4695" s="1" t="s">
        <v>5678</v>
      </c>
      <c r="H4695" s="1" t="s">
        <v>5679</v>
      </c>
      <c r="J4695" s="1" t="s">
        <v>4052</v>
      </c>
      <c r="L4695" s="1" t="s">
        <v>4116</v>
      </c>
      <c r="N4695" s="1" t="s">
        <v>4117</v>
      </c>
      <c r="P4695" s="1" t="s">
        <v>6056</v>
      </c>
      <c r="Q4695" s="3">
        <v>0</v>
      </c>
      <c r="R4695" s="22" t="s">
        <v>2722</v>
      </c>
      <c r="S4695" s="42" t="s">
        <v>6912</v>
      </c>
      <c r="T4695" s="3" t="s">
        <v>4868</v>
      </c>
      <c r="U4695" s="45">
        <v>35</v>
      </c>
      <c r="V4695" t="s">
        <v>8191</v>
      </c>
      <c r="W4695" s="1" t="str">
        <f>HYPERLINK("http://ictvonline.org/taxonomy/p/taxonomy-history?taxnode_id=201906413","ICTVonline=201906413")</f>
        <v>ICTVonline=201906413</v>
      </c>
    </row>
    <row r="4696" spans="1:23">
      <c r="A4696" s="3">
        <v>4695</v>
      </c>
      <c r="B4696" s="1" t="s">
        <v>5910</v>
      </c>
      <c r="D4696" s="1" t="s">
        <v>8187</v>
      </c>
      <c r="F4696" s="1" t="s">
        <v>5588</v>
      </c>
      <c r="G4696" s="1" t="s">
        <v>5678</v>
      </c>
      <c r="H4696" s="1" t="s">
        <v>5679</v>
      </c>
      <c r="J4696" s="1" t="s">
        <v>4052</v>
      </c>
      <c r="L4696" s="1" t="s">
        <v>4116</v>
      </c>
      <c r="N4696" s="1" t="s">
        <v>4117</v>
      </c>
      <c r="P4696" s="1" t="s">
        <v>6057</v>
      </c>
      <c r="Q4696" s="3">
        <v>0</v>
      </c>
      <c r="R4696" s="22" t="s">
        <v>2722</v>
      </c>
      <c r="S4696" s="42" t="s">
        <v>6912</v>
      </c>
      <c r="T4696" s="3" t="s">
        <v>4868</v>
      </c>
      <c r="U4696" s="45">
        <v>35</v>
      </c>
      <c r="V4696" t="s">
        <v>8191</v>
      </c>
      <c r="W4696" s="1" t="str">
        <f>HYPERLINK("http://ictvonline.org/taxonomy/p/taxonomy-history?taxnode_id=201906416","ICTVonline=201906416")</f>
        <v>ICTVonline=201906416</v>
      </c>
    </row>
    <row r="4697" spans="1:23">
      <c r="A4697" s="3">
        <v>4696</v>
      </c>
      <c r="B4697" s="1" t="s">
        <v>5910</v>
      </c>
      <c r="D4697" s="1" t="s">
        <v>8187</v>
      </c>
      <c r="F4697" s="1" t="s">
        <v>5588</v>
      </c>
      <c r="G4697" s="1" t="s">
        <v>5678</v>
      </c>
      <c r="H4697" s="1" t="s">
        <v>5679</v>
      </c>
      <c r="J4697" s="1" t="s">
        <v>4052</v>
      </c>
      <c r="L4697" s="1" t="s">
        <v>4116</v>
      </c>
      <c r="N4697" s="1" t="s">
        <v>4117</v>
      </c>
      <c r="P4697" s="1" t="s">
        <v>4118</v>
      </c>
      <c r="Q4697" s="3">
        <v>1</v>
      </c>
      <c r="R4697" s="22" t="s">
        <v>2722</v>
      </c>
      <c r="S4697" s="42" t="s">
        <v>6912</v>
      </c>
      <c r="T4697" s="3" t="s">
        <v>4868</v>
      </c>
      <c r="U4697" s="45">
        <v>35</v>
      </c>
      <c r="V4697" t="s">
        <v>8191</v>
      </c>
      <c r="W4697" s="1" t="str">
        <f>HYPERLINK("http://ictvonline.org/taxonomy/p/taxonomy-history?taxnode_id=201900140","ICTVonline=201900140")</f>
        <v>ICTVonline=201900140</v>
      </c>
    </row>
    <row r="4698" spans="1:23">
      <c r="A4698" s="3">
        <v>4697</v>
      </c>
      <c r="B4698" s="1" t="s">
        <v>5910</v>
      </c>
      <c r="D4698" s="1" t="s">
        <v>8187</v>
      </c>
      <c r="F4698" s="1" t="s">
        <v>5588</v>
      </c>
      <c r="G4698" s="1" t="s">
        <v>5678</v>
      </c>
      <c r="H4698" s="1" t="s">
        <v>5679</v>
      </c>
      <c r="J4698" s="1" t="s">
        <v>4052</v>
      </c>
      <c r="L4698" s="1" t="s">
        <v>4116</v>
      </c>
      <c r="N4698" s="1" t="s">
        <v>4117</v>
      </c>
      <c r="P4698" s="1" t="s">
        <v>6058</v>
      </c>
      <c r="Q4698" s="3">
        <v>0</v>
      </c>
      <c r="R4698" s="22" t="s">
        <v>2722</v>
      </c>
      <c r="S4698" s="42" t="s">
        <v>6912</v>
      </c>
      <c r="T4698" s="3" t="s">
        <v>4868</v>
      </c>
      <c r="U4698" s="45">
        <v>35</v>
      </c>
      <c r="V4698" t="s">
        <v>8191</v>
      </c>
      <c r="W4698" s="1" t="str">
        <f>HYPERLINK("http://ictvonline.org/taxonomy/p/taxonomy-history?taxnode_id=201906414","ICTVonline=201906414")</f>
        <v>ICTVonline=201906414</v>
      </c>
    </row>
    <row r="4699" spans="1:23">
      <c r="A4699" s="3">
        <v>4698</v>
      </c>
      <c r="B4699" s="1" t="s">
        <v>5910</v>
      </c>
      <c r="D4699" s="1" t="s">
        <v>8187</v>
      </c>
      <c r="F4699" s="1" t="s">
        <v>5588</v>
      </c>
      <c r="G4699" s="1" t="s">
        <v>5678</v>
      </c>
      <c r="H4699" s="1" t="s">
        <v>5679</v>
      </c>
      <c r="J4699" s="1" t="s">
        <v>4052</v>
      </c>
      <c r="L4699" s="1" t="s">
        <v>4116</v>
      </c>
      <c r="N4699" s="1" t="s">
        <v>4117</v>
      </c>
      <c r="P4699" s="1" t="s">
        <v>6059</v>
      </c>
      <c r="Q4699" s="3">
        <v>0</v>
      </c>
      <c r="R4699" s="22" t="s">
        <v>2722</v>
      </c>
      <c r="S4699" s="42" t="s">
        <v>6912</v>
      </c>
      <c r="T4699" s="3" t="s">
        <v>4868</v>
      </c>
      <c r="U4699" s="45">
        <v>35</v>
      </c>
      <c r="V4699" t="s">
        <v>8191</v>
      </c>
      <c r="W4699" s="1" t="str">
        <f>HYPERLINK("http://ictvonline.org/taxonomy/p/taxonomy-history?taxnode_id=201906415","ICTVonline=201906415")</f>
        <v>ICTVonline=201906415</v>
      </c>
    </row>
    <row r="4700" spans="1:23">
      <c r="A4700" s="3">
        <v>4699</v>
      </c>
      <c r="B4700" s="1" t="s">
        <v>5910</v>
      </c>
      <c r="D4700" s="1" t="s">
        <v>8187</v>
      </c>
      <c r="F4700" s="1" t="s">
        <v>5588</v>
      </c>
      <c r="G4700" s="1" t="s">
        <v>5678</v>
      </c>
      <c r="H4700" s="1" t="s">
        <v>5679</v>
      </c>
      <c r="J4700" s="1" t="s">
        <v>4052</v>
      </c>
      <c r="L4700" s="1" t="s">
        <v>4116</v>
      </c>
      <c r="N4700" s="1" t="s">
        <v>4117</v>
      </c>
      <c r="P4700" s="1" t="s">
        <v>4119</v>
      </c>
      <c r="Q4700" s="3">
        <v>0</v>
      </c>
      <c r="R4700" s="22" t="s">
        <v>2722</v>
      </c>
      <c r="S4700" s="42" t="s">
        <v>6912</v>
      </c>
      <c r="T4700" s="3" t="s">
        <v>4868</v>
      </c>
      <c r="U4700" s="45">
        <v>35</v>
      </c>
      <c r="V4700" t="s">
        <v>8191</v>
      </c>
      <c r="W4700" s="1" t="str">
        <f>HYPERLINK("http://ictvonline.org/taxonomy/p/taxonomy-history?taxnode_id=201900143","ICTVonline=201900143")</f>
        <v>ICTVonline=201900143</v>
      </c>
    </row>
    <row r="4701" spans="1:23">
      <c r="A4701" s="3">
        <v>4700</v>
      </c>
      <c r="B4701" s="1" t="s">
        <v>5910</v>
      </c>
      <c r="D4701" s="1" t="s">
        <v>8187</v>
      </c>
      <c r="F4701" s="1" t="s">
        <v>5588</v>
      </c>
      <c r="G4701" s="1" t="s">
        <v>5678</v>
      </c>
      <c r="H4701" s="1" t="s">
        <v>5679</v>
      </c>
      <c r="J4701" s="1" t="s">
        <v>4052</v>
      </c>
      <c r="L4701" s="1" t="s">
        <v>4116</v>
      </c>
      <c r="N4701" s="1" t="s">
        <v>4117</v>
      </c>
      <c r="P4701" s="1" t="s">
        <v>4120</v>
      </c>
      <c r="Q4701" s="3">
        <v>0</v>
      </c>
      <c r="R4701" s="22" t="s">
        <v>2722</v>
      </c>
      <c r="S4701" s="42" t="s">
        <v>6912</v>
      </c>
      <c r="T4701" s="3" t="s">
        <v>4868</v>
      </c>
      <c r="U4701" s="45">
        <v>35</v>
      </c>
      <c r="V4701" t="s">
        <v>8191</v>
      </c>
      <c r="W4701" s="1" t="str">
        <f>HYPERLINK("http://ictvonline.org/taxonomy/p/taxonomy-history?taxnode_id=201900144","ICTVonline=201900144")</f>
        <v>ICTVonline=201900144</v>
      </c>
    </row>
    <row r="4702" spans="1:23">
      <c r="A4702" s="3">
        <v>4701</v>
      </c>
      <c r="B4702" s="1" t="s">
        <v>5910</v>
      </c>
      <c r="D4702" s="1" t="s">
        <v>8187</v>
      </c>
      <c r="F4702" s="1" t="s">
        <v>5588</v>
      </c>
      <c r="G4702" s="1" t="s">
        <v>5678</v>
      </c>
      <c r="H4702" s="1" t="s">
        <v>5679</v>
      </c>
      <c r="J4702" s="1" t="s">
        <v>4052</v>
      </c>
      <c r="L4702" s="1" t="s">
        <v>4116</v>
      </c>
      <c r="N4702" s="1" t="s">
        <v>4117</v>
      </c>
      <c r="P4702" s="1" t="s">
        <v>4121</v>
      </c>
      <c r="Q4702" s="3">
        <v>0</v>
      </c>
      <c r="R4702" s="22" t="s">
        <v>2722</v>
      </c>
      <c r="S4702" s="42" t="s">
        <v>6912</v>
      </c>
      <c r="T4702" s="3" t="s">
        <v>4868</v>
      </c>
      <c r="U4702" s="45">
        <v>35</v>
      </c>
      <c r="V4702" t="s">
        <v>8191</v>
      </c>
      <c r="W4702" s="1" t="str">
        <f>HYPERLINK("http://ictvonline.org/taxonomy/p/taxonomy-history?taxnode_id=201900145","ICTVonline=201900145")</f>
        <v>ICTVonline=201900145</v>
      </c>
    </row>
    <row r="4703" spans="1:23">
      <c r="A4703" s="3">
        <v>4702</v>
      </c>
      <c r="B4703" s="1" t="s">
        <v>5910</v>
      </c>
      <c r="D4703" s="1" t="s">
        <v>8187</v>
      </c>
      <c r="F4703" s="1" t="s">
        <v>5588</v>
      </c>
      <c r="G4703" s="1" t="s">
        <v>5678</v>
      </c>
      <c r="H4703" s="1" t="s">
        <v>5679</v>
      </c>
      <c r="J4703" s="1" t="s">
        <v>4052</v>
      </c>
      <c r="L4703" s="1" t="s">
        <v>4116</v>
      </c>
      <c r="N4703" s="1" t="s">
        <v>6060</v>
      </c>
      <c r="P4703" s="1" t="s">
        <v>6061</v>
      </c>
      <c r="Q4703" s="3">
        <v>1</v>
      </c>
      <c r="R4703" s="22" t="s">
        <v>2722</v>
      </c>
      <c r="S4703" s="42" t="s">
        <v>6912</v>
      </c>
      <c r="T4703" s="3" t="s">
        <v>4868</v>
      </c>
      <c r="U4703" s="45">
        <v>35</v>
      </c>
      <c r="V4703" t="s">
        <v>8191</v>
      </c>
      <c r="W4703" s="1" t="str">
        <f>HYPERLINK("http://ictvonline.org/taxonomy/p/taxonomy-history?taxnode_id=201906606","ICTVonline=201906606")</f>
        <v>ICTVonline=201906606</v>
      </c>
    </row>
    <row r="4704" spans="1:23">
      <c r="A4704" s="3">
        <v>4703</v>
      </c>
      <c r="B4704" s="1" t="s">
        <v>5910</v>
      </c>
      <c r="D4704" s="1" t="s">
        <v>8187</v>
      </c>
      <c r="F4704" s="1" t="s">
        <v>5588</v>
      </c>
      <c r="G4704" s="1" t="s">
        <v>5678</v>
      </c>
      <c r="H4704" s="1" t="s">
        <v>5679</v>
      </c>
      <c r="J4704" s="1" t="s">
        <v>4052</v>
      </c>
      <c r="L4704" s="1" t="s">
        <v>4116</v>
      </c>
      <c r="N4704" s="1" t="s">
        <v>5705</v>
      </c>
      <c r="P4704" s="1" t="s">
        <v>5706</v>
      </c>
      <c r="Q4704" s="3">
        <v>1</v>
      </c>
      <c r="R4704" s="22" t="s">
        <v>2722</v>
      </c>
      <c r="S4704" s="42" t="s">
        <v>6912</v>
      </c>
      <c r="T4704" s="3" t="s">
        <v>4868</v>
      </c>
      <c r="U4704" s="45">
        <v>35</v>
      </c>
      <c r="V4704" t="s">
        <v>8191</v>
      </c>
      <c r="W4704" s="1" t="str">
        <f>HYPERLINK("http://ictvonline.org/taxonomy/p/taxonomy-history?taxnode_id=201906223","ICTVonline=201906223")</f>
        <v>ICTVonline=201906223</v>
      </c>
    </row>
    <row r="4705" spans="1:23">
      <c r="A4705" s="3">
        <v>4704</v>
      </c>
      <c r="B4705" s="1" t="s">
        <v>5910</v>
      </c>
      <c r="D4705" s="1" t="s">
        <v>8187</v>
      </c>
      <c r="F4705" s="1" t="s">
        <v>5588</v>
      </c>
      <c r="G4705" s="1" t="s">
        <v>5678</v>
      </c>
      <c r="H4705" s="1" t="s">
        <v>5679</v>
      </c>
      <c r="J4705" s="1" t="s">
        <v>4052</v>
      </c>
      <c r="L4705" s="1" t="s">
        <v>4059</v>
      </c>
      <c r="N4705" s="1" t="s">
        <v>8388</v>
      </c>
      <c r="P4705" s="1" t="s">
        <v>8389</v>
      </c>
      <c r="Q4705" s="3">
        <v>0</v>
      </c>
      <c r="R4705" s="22" t="s">
        <v>3635</v>
      </c>
      <c r="S4705" s="42" t="s">
        <v>6913</v>
      </c>
      <c r="T4705" s="3" t="s">
        <v>4866</v>
      </c>
      <c r="U4705" s="45">
        <v>35</v>
      </c>
      <c r="V4705" t="s">
        <v>8390</v>
      </c>
      <c r="W4705" s="1" t="str">
        <f>HYPERLINK("http://ictvonline.org/taxonomy/p/taxonomy-history?taxnode_id=201907635","ICTVonline=201907635")</f>
        <v>ICTVonline=201907635</v>
      </c>
    </row>
    <row r="4706" spans="1:23">
      <c r="A4706" s="3">
        <v>4705</v>
      </c>
      <c r="B4706" s="1" t="s">
        <v>5910</v>
      </c>
      <c r="D4706" s="1" t="s">
        <v>8187</v>
      </c>
      <c r="F4706" s="1" t="s">
        <v>5588</v>
      </c>
      <c r="G4706" s="1" t="s">
        <v>5678</v>
      </c>
      <c r="H4706" s="1" t="s">
        <v>5679</v>
      </c>
      <c r="J4706" s="1" t="s">
        <v>4052</v>
      </c>
      <c r="L4706" s="1" t="s">
        <v>4059</v>
      </c>
      <c r="N4706" s="1" t="s">
        <v>8388</v>
      </c>
      <c r="P4706" s="1" t="s">
        <v>8391</v>
      </c>
      <c r="Q4706" s="3">
        <v>1</v>
      </c>
      <c r="R4706" s="22" t="s">
        <v>2722</v>
      </c>
      <c r="S4706" s="42" t="s">
        <v>6914</v>
      </c>
      <c r="T4706" s="3" t="s">
        <v>4867</v>
      </c>
      <c r="U4706" s="45">
        <v>35</v>
      </c>
      <c r="V4706" t="s">
        <v>8392</v>
      </c>
      <c r="W4706" s="1" t="str">
        <f>HYPERLINK("http://ictvonline.org/taxonomy/p/taxonomy-history?taxnode_id=201900166","ICTVonline=201900166")</f>
        <v>ICTVonline=201900166</v>
      </c>
    </row>
    <row r="4707" spans="1:23">
      <c r="A4707" s="3">
        <v>4706</v>
      </c>
      <c r="B4707" s="1" t="s">
        <v>5910</v>
      </c>
      <c r="D4707" s="1" t="s">
        <v>8187</v>
      </c>
      <c r="F4707" s="1" t="s">
        <v>5588</v>
      </c>
      <c r="G4707" s="1" t="s">
        <v>5678</v>
      </c>
      <c r="H4707" s="1" t="s">
        <v>5679</v>
      </c>
      <c r="J4707" s="1" t="s">
        <v>4052</v>
      </c>
      <c r="L4707" s="1" t="s">
        <v>4059</v>
      </c>
      <c r="N4707" s="1" t="s">
        <v>8388</v>
      </c>
      <c r="P4707" s="1" t="s">
        <v>8393</v>
      </c>
      <c r="Q4707" s="3">
        <v>0</v>
      </c>
      <c r="R4707" s="22" t="s">
        <v>2722</v>
      </c>
      <c r="S4707" s="42" t="s">
        <v>6914</v>
      </c>
      <c r="T4707" s="3" t="s">
        <v>4867</v>
      </c>
      <c r="U4707" s="45">
        <v>35</v>
      </c>
      <c r="V4707" t="s">
        <v>8392</v>
      </c>
      <c r="W4707" s="1" t="str">
        <f>HYPERLINK("http://ictvonline.org/taxonomy/p/taxonomy-history?taxnode_id=201906486","ICTVonline=201906486")</f>
        <v>ICTVonline=201906486</v>
      </c>
    </row>
    <row r="4708" spans="1:23">
      <c r="A4708" s="3">
        <v>4707</v>
      </c>
      <c r="B4708" s="1" t="s">
        <v>5910</v>
      </c>
      <c r="D4708" s="1" t="s">
        <v>8187</v>
      </c>
      <c r="F4708" s="1" t="s">
        <v>5588</v>
      </c>
      <c r="G4708" s="1" t="s">
        <v>5678</v>
      </c>
      <c r="H4708" s="1" t="s">
        <v>5679</v>
      </c>
      <c r="J4708" s="1" t="s">
        <v>4052</v>
      </c>
      <c r="L4708" s="1" t="s">
        <v>4059</v>
      </c>
      <c r="N4708" s="1" t="s">
        <v>8388</v>
      </c>
      <c r="P4708" s="1" t="s">
        <v>8394</v>
      </c>
      <c r="Q4708" s="3">
        <v>0</v>
      </c>
      <c r="R4708" s="22" t="s">
        <v>2722</v>
      </c>
      <c r="S4708" s="42" t="s">
        <v>6914</v>
      </c>
      <c r="T4708" s="3" t="s">
        <v>4867</v>
      </c>
      <c r="U4708" s="45">
        <v>35</v>
      </c>
      <c r="V4708" t="s">
        <v>8392</v>
      </c>
      <c r="W4708" s="1" t="str">
        <f>HYPERLINK("http://ictvonline.org/taxonomy/p/taxonomy-history?taxnode_id=201906607","ICTVonline=201906607")</f>
        <v>ICTVonline=201906607</v>
      </c>
    </row>
    <row r="4709" spans="1:23">
      <c r="A4709" s="3">
        <v>4708</v>
      </c>
      <c r="B4709" s="1" t="s">
        <v>5910</v>
      </c>
      <c r="D4709" s="1" t="s">
        <v>8187</v>
      </c>
      <c r="F4709" s="1" t="s">
        <v>5588</v>
      </c>
      <c r="G4709" s="1" t="s">
        <v>5678</v>
      </c>
      <c r="H4709" s="1" t="s">
        <v>5679</v>
      </c>
      <c r="J4709" s="1" t="s">
        <v>4052</v>
      </c>
      <c r="L4709" s="1" t="s">
        <v>4059</v>
      </c>
      <c r="N4709" s="1" t="s">
        <v>8388</v>
      </c>
      <c r="P4709" s="1" t="s">
        <v>8395</v>
      </c>
      <c r="Q4709" s="3">
        <v>0</v>
      </c>
      <c r="R4709" s="22" t="s">
        <v>3635</v>
      </c>
      <c r="S4709" s="42" t="s">
        <v>6913</v>
      </c>
      <c r="T4709" s="3" t="s">
        <v>4866</v>
      </c>
      <c r="U4709" s="45">
        <v>35</v>
      </c>
      <c r="V4709" t="s">
        <v>8390</v>
      </c>
      <c r="W4709" s="1" t="str">
        <f>HYPERLINK("http://ictvonline.org/taxonomy/p/taxonomy-history?taxnode_id=201907636","ICTVonline=201907636")</f>
        <v>ICTVonline=201907636</v>
      </c>
    </row>
    <row r="4710" spans="1:23">
      <c r="A4710" s="3">
        <v>4709</v>
      </c>
      <c r="B4710" s="1" t="s">
        <v>5910</v>
      </c>
      <c r="D4710" s="1" t="s">
        <v>8187</v>
      </c>
      <c r="F4710" s="1" t="s">
        <v>5588</v>
      </c>
      <c r="G4710" s="1" t="s">
        <v>5678</v>
      </c>
      <c r="H4710" s="1" t="s">
        <v>5679</v>
      </c>
      <c r="J4710" s="1" t="s">
        <v>4052</v>
      </c>
      <c r="L4710" s="1" t="s">
        <v>4059</v>
      </c>
      <c r="N4710" s="1" t="s">
        <v>8388</v>
      </c>
      <c r="P4710" s="1" t="s">
        <v>8396</v>
      </c>
      <c r="Q4710" s="3">
        <v>0</v>
      </c>
      <c r="R4710" s="22" t="s">
        <v>3635</v>
      </c>
      <c r="S4710" s="42" t="s">
        <v>6913</v>
      </c>
      <c r="T4710" s="3" t="s">
        <v>4866</v>
      </c>
      <c r="U4710" s="45">
        <v>35</v>
      </c>
      <c r="V4710" t="s">
        <v>8390</v>
      </c>
      <c r="W4710" s="1" t="str">
        <f>HYPERLINK("http://ictvonline.org/taxonomy/p/taxonomy-history?taxnode_id=201907637","ICTVonline=201907637")</f>
        <v>ICTVonline=201907637</v>
      </c>
    </row>
    <row r="4711" spans="1:23">
      <c r="A4711" s="3">
        <v>4710</v>
      </c>
      <c r="B4711" s="1" t="s">
        <v>5910</v>
      </c>
      <c r="D4711" s="1" t="s">
        <v>8187</v>
      </c>
      <c r="F4711" s="1" t="s">
        <v>5588</v>
      </c>
      <c r="G4711" s="1" t="s">
        <v>5678</v>
      </c>
      <c r="H4711" s="1" t="s">
        <v>5679</v>
      </c>
      <c r="J4711" s="1" t="s">
        <v>4052</v>
      </c>
      <c r="L4711" s="1" t="s">
        <v>4059</v>
      </c>
      <c r="N4711" s="1" t="s">
        <v>8388</v>
      </c>
      <c r="P4711" s="1" t="s">
        <v>8397</v>
      </c>
      <c r="Q4711" s="3">
        <v>0</v>
      </c>
      <c r="R4711" s="22" t="s">
        <v>3635</v>
      </c>
      <c r="S4711" s="42" t="s">
        <v>6913</v>
      </c>
      <c r="T4711" s="3" t="s">
        <v>4866</v>
      </c>
      <c r="U4711" s="45">
        <v>35</v>
      </c>
      <c r="V4711" t="s">
        <v>8390</v>
      </c>
      <c r="W4711" s="1" t="str">
        <f>HYPERLINK("http://ictvonline.org/taxonomy/p/taxonomy-history?taxnode_id=201907638","ICTVonline=201907638")</f>
        <v>ICTVonline=201907638</v>
      </c>
    </row>
    <row r="4712" spans="1:23">
      <c r="A4712" s="3">
        <v>4711</v>
      </c>
      <c r="B4712" s="1" t="s">
        <v>5910</v>
      </c>
      <c r="D4712" s="1" t="s">
        <v>8187</v>
      </c>
      <c r="F4712" s="1" t="s">
        <v>5588</v>
      </c>
      <c r="G4712" s="1" t="s">
        <v>5678</v>
      </c>
      <c r="H4712" s="1" t="s">
        <v>5679</v>
      </c>
      <c r="J4712" s="1" t="s">
        <v>4052</v>
      </c>
      <c r="L4712" s="1" t="s">
        <v>4059</v>
      </c>
      <c r="N4712" s="1" t="s">
        <v>5707</v>
      </c>
      <c r="P4712" s="1" t="s">
        <v>5708</v>
      </c>
      <c r="Q4712" s="3">
        <v>1</v>
      </c>
      <c r="R4712" s="22" t="s">
        <v>2722</v>
      </c>
      <c r="S4712" s="42" t="s">
        <v>6913</v>
      </c>
      <c r="T4712" s="3" t="s">
        <v>4868</v>
      </c>
      <c r="U4712" s="45">
        <v>35</v>
      </c>
      <c r="V4712" t="s">
        <v>8191</v>
      </c>
      <c r="W4712" s="1" t="str">
        <f>HYPERLINK("http://ictvonline.org/taxonomy/p/taxonomy-history?taxnode_id=201906226","ICTVonline=201906226")</f>
        <v>ICTVonline=201906226</v>
      </c>
    </row>
    <row r="4713" spans="1:23">
      <c r="A4713" s="3">
        <v>4712</v>
      </c>
      <c r="B4713" s="1" t="s">
        <v>5910</v>
      </c>
      <c r="D4713" s="1" t="s">
        <v>8187</v>
      </c>
      <c r="F4713" s="1" t="s">
        <v>5588</v>
      </c>
      <c r="G4713" s="1" t="s">
        <v>5678</v>
      </c>
      <c r="H4713" s="1" t="s">
        <v>5679</v>
      </c>
      <c r="J4713" s="1" t="s">
        <v>4052</v>
      </c>
      <c r="L4713" s="1" t="s">
        <v>4059</v>
      </c>
      <c r="N4713" s="1" t="s">
        <v>6076</v>
      </c>
      <c r="P4713" s="1" t="s">
        <v>6077</v>
      </c>
      <c r="Q4713" s="3">
        <v>1</v>
      </c>
      <c r="R4713" s="22" t="s">
        <v>2722</v>
      </c>
      <c r="T4713" s="3" t="s">
        <v>4868</v>
      </c>
      <c r="U4713" s="45">
        <v>35</v>
      </c>
      <c r="V4713" t="s">
        <v>8390</v>
      </c>
      <c r="W4713" s="1" t="str">
        <f>HYPERLINK("http://ictvonline.org/taxonomy/p/taxonomy-history?taxnode_id=201906630","ICTVonline=201906630")</f>
        <v>ICTVonline=201906630</v>
      </c>
    </row>
    <row r="4714" spans="1:23">
      <c r="A4714" s="3">
        <v>4713</v>
      </c>
      <c r="B4714" s="1" t="s">
        <v>5910</v>
      </c>
      <c r="D4714" s="1" t="s">
        <v>8187</v>
      </c>
      <c r="F4714" s="1" t="s">
        <v>5588</v>
      </c>
      <c r="G4714" s="1" t="s">
        <v>5678</v>
      </c>
      <c r="H4714" s="1" t="s">
        <v>5679</v>
      </c>
      <c r="J4714" s="1" t="s">
        <v>4052</v>
      </c>
      <c r="L4714" s="1" t="s">
        <v>4059</v>
      </c>
      <c r="N4714" s="1" t="s">
        <v>6076</v>
      </c>
      <c r="P4714" s="1" t="s">
        <v>8398</v>
      </c>
      <c r="Q4714" s="3">
        <v>0</v>
      </c>
      <c r="R4714" s="22" t="s">
        <v>2722</v>
      </c>
      <c r="T4714" s="3" t="s">
        <v>4866</v>
      </c>
      <c r="U4714" s="45">
        <v>35</v>
      </c>
      <c r="V4714" t="s">
        <v>8399</v>
      </c>
      <c r="W4714" s="1" t="str">
        <f>HYPERLINK("http://ictvonline.org/taxonomy/p/taxonomy-history?taxnode_id=201907130","ICTVonline=201907130")</f>
        <v>ICTVonline=201907130</v>
      </c>
    </row>
    <row r="4715" spans="1:23">
      <c r="A4715" s="3">
        <v>4714</v>
      </c>
      <c r="B4715" s="1" t="s">
        <v>5910</v>
      </c>
      <c r="D4715" s="1" t="s">
        <v>8187</v>
      </c>
      <c r="F4715" s="1" t="s">
        <v>5588</v>
      </c>
      <c r="G4715" s="1" t="s">
        <v>5678</v>
      </c>
      <c r="H4715" s="1" t="s">
        <v>5679</v>
      </c>
      <c r="J4715" s="1" t="s">
        <v>4052</v>
      </c>
      <c r="L4715" s="1" t="s">
        <v>4059</v>
      </c>
      <c r="N4715" s="1" t="s">
        <v>8400</v>
      </c>
      <c r="P4715" s="1" t="s">
        <v>8401</v>
      </c>
      <c r="Q4715" s="3">
        <v>1</v>
      </c>
      <c r="R4715" s="22" t="s">
        <v>3635</v>
      </c>
      <c r="S4715" s="42" t="s">
        <v>6914</v>
      </c>
      <c r="T4715" s="3" t="s">
        <v>4866</v>
      </c>
      <c r="U4715" s="45">
        <v>35</v>
      </c>
      <c r="V4715" t="s">
        <v>8390</v>
      </c>
      <c r="W4715" s="1" t="str">
        <f>HYPERLINK("http://ictvonline.org/taxonomy/p/taxonomy-history?taxnode_id=201907644","ICTVonline=201907644")</f>
        <v>ICTVonline=201907644</v>
      </c>
    </row>
    <row r="4716" spans="1:23">
      <c r="A4716" s="3">
        <v>4715</v>
      </c>
      <c r="B4716" s="1" t="s">
        <v>5910</v>
      </c>
      <c r="D4716" s="1" t="s">
        <v>8187</v>
      </c>
      <c r="F4716" s="1" t="s">
        <v>5588</v>
      </c>
      <c r="G4716" s="1" t="s">
        <v>5678</v>
      </c>
      <c r="H4716" s="1" t="s">
        <v>5679</v>
      </c>
      <c r="J4716" s="1" t="s">
        <v>4052</v>
      </c>
      <c r="L4716" s="1" t="s">
        <v>4059</v>
      </c>
      <c r="N4716" s="1" t="s">
        <v>4122</v>
      </c>
      <c r="P4716" s="1" t="s">
        <v>4123</v>
      </c>
      <c r="Q4716" s="3">
        <v>0</v>
      </c>
      <c r="R4716" s="22" t="s">
        <v>2722</v>
      </c>
      <c r="S4716" s="42" t="s">
        <v>6913</v>
      </c>
      <c r="T4716" s="3" t="s">
        <v>4868</v>
      </c>
      <c r="U4716" s="45">
        <v>35</v>
      </c>
      <c r="V4716" t="s">
        <v>8191</v>
      </c>
      <c r="W4716" s="1" t="str">
        <f>HYPERLINK("http://ictvonline.org/taxonomy/p/taxonomy-history?taxnode_id=201900149","ICTVonline=201900149")</f>
        <v>ICTVonline=201900149</v>
      </c>
    </row>
    <row r="4717" spans="1:23">
      <c r="A4717" s="3">
        <v>4716</v>
      </c>
      <c r="B4717" s="1" t="s">
        <v>5910</v>
      </c>
      <c r="D4717" s="1" t="s">
        <v>8187</v>
      </c>
      <c r="F4717" s="1" t="s">
        <v>5588</v>
      </c>
      <c r="G4717" s="1" t="s">
        <v>5678</v>
      </c>
      <c r="H4717" s="1" t="s">
        <v>5679</v>
      </c>
      <c r="J4717" s="1" t="s">
        <v>4052</v>
      </c>
      <c r="L4717" s="1" t="s">
        <v>4059</v>
      </c>
      <c r="N4717" s="1" t="s">
        <v>4122</v>
      </c>
      <c r="P4717" s="1" t="s">
        <v>4124</v>
      </c>
      <c r="Q4717" s="3">
        <v>1</v>
      </c>
      <c r="R4717" s="22" t="s">
        <v>2722</v>
      </c>
      <c r="S4717" s="42" t="s">
        <v>6913</v>
      </c>
      <c r="T4717" s="3" t="s">
        <v>4868</v>
      </c>
      <c r="U4717" s="45">
        <v>35</v>
      </c>
      <c r="V4717" t="s">
        <v>8191</v>
      </c>
      <c r="W4717" s="1" t="str">
        <f>HYPERLINK("http://ictvonline.org/taxonomy/p/taxonomy-history?taxnode_id=201900150","ICTVonline=201900150")</f>
        <v>ICTVonline=201900150</v>
      </c>
    </row>
    <row r="4718" spans="1:23">
      <c r="A4718" s="3">
        <v>4717</v>
      </c>
      <c r="B4718" s="1" t="s">
        <v>5910</v>
      </c>
      <c r="D4718" s="1" t="s">
        <v>8187</v>
      </c>
      <c r="F4718" s="1" t="s">
        <v>5588</v>
      </c>
      <c r="G4718" s="1" t="s">
        <v>5678</v>
      </c>
      <c r="H4718" s="1" t="s">
        <v>5679</v>
      </c>
      <c r="J4718" s="1" t="s">
        <v>4052</v>
      </c>
      <c r="L4718" s="1" t="s">
        <v>4059</v>
      </c>
      <c r="N4718" s="1" t="s">
        <v>4122</v>
      </c>
      <c r="P4718" s="1" t="s">
        <v>4125</v>
      </c>
      <c r="Q4718" s="3">
        <v>0</v>
      </c>
      <c r="R4718" s="22" t="s">
        <v>2722</v>
      </c>
      <c r="S4718" s="42" t="s">
        <v>6913</v>
      </c>
      <c r="T4718" s="3" t="s">
        <v>4868</v>
      </c>
      <c r="U4718" s="45">
        <v>35</v>
      </c>
      <c r="V4718" t="s">
        <v>8191</v>
      </c>
      <c r="W4718" s="1" t="str">
        <f>HYPERLINK("http://ictvonline.org/taxonomy/p/taxonomy-history?taxnode_id=201900151","ICTVonline=201900151")</f>
        <v>ICTVonline=201900151</v>
      </c>
    </row>
    <row r="4719" spans="1:23">
      <c r="A4719" s="3">
        <v>4718</v>
      </c>
      <c r="B4719" s="1" t="s">
        <v>5910</v>
      </c>
      <c r="D4719" s="1" t="s">
        <v>8187</v>
      </c>
      <c r="F4719" s="1" t="s">
        <v>5588</v>
      </c>
      <c r="G4719" s="1" t="s">
        <v>5678</v>
      </c>
      <c r="H4719" s="1" t="s">
        <v>5679</v>
      </c>
      <c r="J4719" s="1" t="s">
        <v>4052</v>
      </c>
      <c r="L4719" s="1" t="s">
        <v>4059</v>
      </c>
      <c r="N4719" s="1" t="s">
        <v>5709</v>
      </c>
      <c r="P4719" s="1" t="s">
        <v>5710</v>
      </c>
      <c r="Q4719" s="3">
        <v>1</v>
      </c>
      <c r="R4719" s="22" t="s">
        <v>2722</v>
      </c>
      <c r="S4719" s="42" t="s">
        <v>6913</v>
      </c>
      <c r="T4719" s="3" t="s">
        <v>4868</v>
      </c>
      <c r="U4719" s="45">
        <v>35</v>
      </c>
      <c r="V4719" t="s">
        <v>8191</v>
      </c>
      <c r="W4719" s="1" t="str">
        <f>HYPERLINK("http://ictvonline.org/taxonomy/p/taxonomy-history?taxnode_id=201906228","ICTVonline=201906228")</f>
        <v>ICTVonline=201906228</v>
      </c>
    </row>
    <row r="4720" spans="1:23">
      <c r="A4720" s="3">
        <v>4719</v>
      </c>
      <c r="B4720" s="1" t="s">
        <v>5910</v>
      </c>
      <c r="D4720" s="1" t="s">
        <v>8187</v>
      </c>
      <c r="F4720" s="1" t="s">
        <v>5588</v>
      </c>
      <c r="G4720" s="1" t="s">
        <v>5678</v>
      </c>
      <c r="H4720" s="1" t="s">
        <v>5679</v>
      </c>
      <c r="J4720" s="1" t="s">
        <v>4052</v>
      </c>
      <c r="L4720" s="1" t="s">
        <v>4059</v>
      </c>
      <c r="N4720" s="1" t="s">
        <v>5711</v>
      </c>
      <c r="P4720" s="1" t="s">
        <v>5712</v>
      </c>
      <c r="Q4720" s="3">
        <v>1</v>
      </c>
      <c r="R4720" s="22" t="s">
        <v>2722</v>
      </c>
      <c r="S4720" s="42" t="s">
        <v>6913</v>
      </c>
      <c r="T4720" s="3" t="s">
        <v>4868</v>
      </c>
      <c r="U4720" s="45">
        <v>35</v>
      </c>
      <c r="V4720" t="s">
        <v>8191</v>
      </c>
      <c r="W4720" s="1" t="str">
        <f>HYPERLINK("http://ictvonline.org/taxonomy/p/taxonomy-history?taxnode_id=201906230","ICTVonline=201906230")</f>
        <v>ICTVonline=201906230</v>
      </c>
    </row>
    <row r="4721" spans="1:23">
      <c r="A4721" s="3">
        <v>4720</v>
      </c>
      <c r="B4721" s="1" t="s">
        <v>5910</v>
      </c>
      <c r="D4721" s="1" t="s">
        <v>8187</v>
      </c>
      <c r="F4721" s="1" t="s">
        <v>5588</v>
      </c>
      <c r="G4721" s="1" t="s">
        <v>5678</v>
      </c>
      <c r="H4721" s="1" t="s">
        <v>5679</v>
      </c>
      <c r="J4721" s="1" t="s">
        <v>4052</v>
      </c>
      <c r="L4721" s="1" t="s">
        <v>4059</v>
      </c>
      <c r="N4721" s="1" t="s">
        <v>5713</v>
      </c>
      <c r="P4721" s="1" t="s">
        <v>5714</v>
      </c>
      <c r="Q4721" s="3">
        <v>1</v>
      </c>
      <c r="R4721" s="22" t="s">
        <v>2722</v>
      </c>
      <c r="S4721" s="42" t="s">
        <v>6913</v>
      </c>
      <c r="T4721" s="3" t="s">
        <v>4868</v>
      </c>
      <c r="U4721" s="45">
        <v>35</v>
      </c>
      <c r="V4721" t="s">
        <v>8191</v>
      </c>
      <c r="W4721" s="1" t="str">
        <f>HYPERLINK("http://ictvonline.org/taxonomy/p/taxonomy-history?taxnode_id=201906232","ICTVonline=201906232")</f>
        <v>ICTVonline=201906232</v>
      </c>
    </row>
    <row r="4722" spans="1:23">
      <c r="A4722" s="3">
        <v>4721</v>
      </c>
      <c r="B4722" s="1" t="s">
        <v>5910</v>
      </c>
      <c r="D4722" s="1" t="s">
        <v>8187</v>
      </c>
      <c r="F4722" s="1" t="s">
        <v>5588</v>
      </c>
      <c r="G4722" s="1" t="s">
        <v>5678</v>
      </c>
      <c r="H4722" s="1" t="s">
        <v>5679</v>
      </c>
      <c r="J4722" s="1" t="s">
        <v>4052</v>
      </c>
      <c r="L4722" s="1" t="s">
        <v>4059</v>
      </c>
      <c r="N4722" s="1" t="s">
        <v>8402</v>
      </c>
      <c r="P4722" s="1" t="s">
        <v>8403</v>
      </c>
      <c r="Q4722" s="3">
        <v>1</v>
      </c>
      <c r="R4722" s="22" t="s">
        <v>2722</v>
      </c>
      <c r="S4722" s="42" t="s">
        <v>6914</v>
      </c>
      <c r="T4722" s="3" t="s">
        <v>4866</v>
      </c>
      <c r="U4722" s="45">
        <v>35</v>
      </c>
      <c r="V4722" t="s">
        <v>8390</v>
      </c>
      <c r="W4722" s="1" t="str">
        <f>HYPERLINK("http://ictvonline.org/taxonomy/p/taxonomy-history?taxnode_id=201907640","ICTVonline=201907640")</f>
        <v>ICTVonline=201907640</v>
      </c>
    </row>
    <row r="4723" spans="1:23">
      <c r="A4723" s="3">
        <v>4722</v>
      </c>
      <c r="B4723" s="1" t="s">
        <v>5910</v>
      </c>
      <c r="D4723" s="1" t="s">
        <v>8187</v>
      </c>
      <c r="F4723" s="1" t="s">
        <v>5588</v>
      </c>
      <c r="G4723" s="1" t="s">
        <v>5678</v>
      </c>
      <c r="H4723" s="1" t="s">
        <v>5679</v>
      </c>
      <c r="J4723" s="1" t="s">
        <v>4052</v>
      </c>
      <c r="L4723" s="1" t="s">
        <v>4059</v>
      </c>
      <c r="N4723" s="1" t="s">
        <v>8402</v>
      </c>
      <c r="P4723" s="1" t="s">
        <v>8404</v>
      </c>
      <c r="Q4723" s="3">
        <v>0</v>
      </c>
      <c r="R4723" s="22" t="s">
        <v>2722</v>
      </c>
      <c r="S4723" s="42" t="s">
        <v>6914</v>
      </c>
      <c r="T4723" s="3" t="s">
        <v>4866</v>
      </c>
      <c r="U4723" s="45">
        <v>35</v>
      </c>
      <c r="V4723" t="s">
        <v>8390</v>
      </c>
      <c r="W4723" s="1" t="str">
        <f>HYPERLINK("http://ictvonline.org/taxonomy/p/taxonomy-history?taxnode_id=201907641","ICTVonline=201907641")</f>
        <v>ICTVonline=201907641</v>
      </c>
    </row>
    <row r="4724" spans="1:23">
      <c r="A4724" s="3">
        <v>4723</v>
      </c>
      <c r="B4724" s="1" t="s">
        <v>5910</v>
      </c>
      <c r="D4724" s="1" t="s">
        <v>8187</v>
      </c>
      <c r="F4724" s="1" t="s">
        <v>5588</v>
      </c>
      <c r="G4724" s="1" t="s">
        <v>5678</v>
      </c>
      <c r="H4724" s="1" t="s">
        <v>5679</v>
      </c>
      <c r="J4724" s="1" t="s">
        <v>4052</v>
      </c>
      <c r="L4724" s="1" t="s">
        <v>4059</v>
      </c>
      <c r="N4724" s="1" t="s">
        <v>8402</v>
      </c>
      <c r="P4724" s="1" t="s">
        <v>8405</v>
      </c>
      <c r="Q4724" s="3">
        <v>0</v>
      </c>
      <c r="R4724" s="22" t="s">
        <v>2722</v>
      </c>
      <c r="S4724" s="42" t="s">
        <v>6914</v>
      </c>
      <c r="T4724" s="3" t="s">
        <v>4866</v>
      </c>
      <c r="U4724" s="45">
        <v>35</v>
      </c>
      <c r="V4724" t="s">
        <v>8390</v>
      </c>
      <c r="W4724" s="1" t="str">
        <f>HYPERLINK("http://ictvonline.org/taxonomy/p/taxonomy-history?taxnode_id=201907642","ICTVonline=201907642")</f>
        <v>ICTVonline=201907642</v>
      </c>
    </row>
    <row r="4725" spans="1:23">
      <c r="A4725" s="3">
        <v>4724</v>
      </c>
      <c r="B4725" s="1" t="s">
        <v>5910</v>
      </c>
      <c r="D4725" s="1" t="s">
        <v>8187</v>
      </c>
      <c r="F4725" s="1" t="s">
        <v>5588</v>
      </c>
      <c r="G4725" s="1" t="s">
        <v>5678</v>
      </c>
      <c r="H4725" s="1" t="s">
        <v>5679</v>
      </c>
      <c r="J4725" s="1" t="s">
        <v>4052</v>
      </c>
      <c r="L4725" s="1" t="s">
        <v>4059</v>
      </c>
      <c r="N4725" s="1" t="s">
        <v>6062</v>
      </c>
      <c r="P4725" s="1" t="s">
        <v>6063</v>
      </c>
      <c r="Q4725" s="3">
        <v>1</v>
      </c>
      <c r="R4725" s="22" t="s">
        <v>2722</v>
      </c>
      <c r="S4725" s="42" t="s">
        <v>6913</v>
      </c>
      <c r="T4725" s="3" t="s">
        <v>4868</v>
      </c>
      <c r="U4725" s="45">
        <v>35</v>
      </c>
      <c r="V4725" t="s">
        <v>8191</v>
      </c>
      <c r="W4725" s="1" t="str">
        <f>HYPERLINK("http://ictvonline.org/taxonomy/p/taxonomy-history?taxnode_id=201906609","ICTVonline=201906609")</f>
        <v>ICTVonline=201906609</v>
      </c>
    </row>
    <row r="4726" spans="1:23">
      <c r="A4726" s="3">
        <v>4725</v>
      </c>
      <c r="B4726" s="1" t="s">
        <v>5910</v>
      </c>
      <c r="D4726" s="1" t="s">
        <v>8187</v>
      </c>
      <c r="F4726" s="1" t="s">
        <v>5588</v>
      </c>
      <c r="G4726" s="1" t="s">
        <v>5678</v>
      </c>
      <c r="H4726" s="1" t="s">
        <v>5679</v>
      </c>
      <c r="J4726" s="1" t="s">
        <v>4052</v>
      </c>
      <c r="L4726" s="1" t="s">
        <v>4059</v>
      </c>
      <c r="N4726" s="1" t="s">
        <v>8406</v>
      </c>
      <c r="P4726" s="1" t="s">
        <v>8407</v>
      </c>
      <c r="Q4726" s="3">
        <v>1</v>
      </c>
      <c r="R4726" s="22" t="s">
        <v>3635</v>
      </c>
      <c r="S4726" s="42" t="s">
        <v>6914</v>
      </c>
      <c r="T4726" s="3" t="s">
        <v>4866</v>
      </c>
      <c r="U4726" s="45">
        <v>35</v>
      </c>
      <c r="V4726" t="s">
        <v>8390</v>
      </c>
      <c r="W4726" s="1" t="str">
        <f>HYPERLINK("http://ictvonline.org/taxonomy/p/taxonomy-history?taxnode_id=201907646","ICTVonline=201907646")</f>
        <v>ICTVonline=201907646</v>
      </c>
    </row>
    <row r="4727" spans="1:23">
      <c r="A4727" s="3">
        <v>4726</v>
      </c>
      <c r="B4727" s="1" t="s">
        <v>5910</v>
      </c>
      <c r="D4727" s="1" t="s">
        <v>8187</v>
      </c>
      <c r="F4727" s="1" t="s">
        <v>5588</v>
      </c>
      <c r="G4727" s="1" t="s">
        <v>5678</v>
      </c>
      <c r="H4727" s="1" t="s">
        <v>5679</v>
      </c>
      <c r="J4727" s="1" t="s">
        <v>4052</v>
      </c>
      <c r="L4727" s="1" t="s">
        <v>4059</v>
      </c>
      <c r="N4727" s="1" t="s">
        <v>5715</v>
      </c>
      <c r="P4727" s="1" t="s">
        <v>5716</v>
      </c>
      <c r="Q4727" s="3">
        <v>1</v>
      </c>
      <c r="R4727" s="22" t="s">
        <v>2722</v>
      </c>
      <c r="S4727" s="42" t="s">
        <v>6913</v>
      </c>
      <c r="T4727" s="3" t="s">
        <v>4868</v>
      </c>
      <c r="U4727" s="45">
        <v>35</v>
      </c>
      <c r="V4727" t="s">
        <v>8191</v>
      </c>
      <c r="W4727" s="1" t="str">
        <f>HYPERLINK("http://ictvonline.org/taxonomy/p/taxonomy-history?taxnode_id=201906234","ICTVonline=201906234")</f>
        <v>ICTVonline=201906234</v>
      </c>
    </row>
    <row r="4728" spans="1:23">
      <c r="A4728" s="3">
        <v>4727</v>
      </c>
      <c r="B4728" s="1" t="s">
        <v>5910</v>
      </c>
      <c r="D4728" s="1" t="s">
        <v>8187</v>
      </c>
      <c r="F4728" s="1" t="s">
        <v>5588</v>
      </c>
      <c r="G4728" s="1" t="s">
        <v>5678</v>
      </c>
      <c r="H4728" s="1" t="s">
        <v>5679</v>
      </c>
      <c r="J4728" s="1" t="s">
        <v>4052</v>
      </c>
      <c r="L4728" s="1" t="s">
        <v>4059</v>
      </c>
      <c r="N4728" s="1" t="s">
        <v>4126</v>
      </c>
      <c r="P4728" s="1" t="s">
        <v>4127</v>
      </c>
      <c r="Q4728" s="3">
        <v>1</v>
      </c>
      <c r="R4728" s="22" t="s">
        <v>2722</v>
      </c>
      <c r="S4728" s="42" t="s">
        <v>6913</v>
      </c>
      <c r="T4728" s="3" t="s">
        <v>4868</v>
      </c>
      <c r="U4728" s="45">
        <v>35</v>
      </c>
      <c r="V4728" t="s">
        <v>8191</v>
      </c>
      <c r="W4728" s="1" t="str">
        <f>HYPERLINK("http://ictvonline.org/taxonomy/p/taxonomy-history?taxnode_id=201900153","ICTVonline=201900153")</f>
        <v>ICTVonline=201900153</v>
      </c>
    </row>
    <row r="4729" spans="1:23">
      <c r="A4729" s="3">
        <v>4728</v>
      </c>
      <c r="B4729" s="1" t="s">
        <v>5910</v>
      </c>
      <c r="D4729" s="1" t="s">
        <v>8187</v>
      </c>
      <c r="F4729" s="1" t="s">
        <v>5588</v>
      </c>
      <c r="G4729" s="1" t="s">
        <v>5678</v>
      </c>
      <c r="H4729" s="1" t="s">
        <v>5679</v>
      </c>
      <c r="J4729" s="1" t="s">
        <v>4052</v>
      </c>
      <c r="L4729" s="1" t="s">
        <v>4059</v>
      </c>
      <c r="N4729" s="1" t="s">
        <v>4126</v>
      </c>
      <c r="P4729" s="1" t="s">
        <v>8408</v>
      </c>
      <c r="Q4729" s="3">
        <v>0</v>
      </c>
      <c r="R4729" s="22" t="s">
        <v>2722</v>
      </c>
      <c r="S4729" s="42" t="s">
        <v>6914</v>
      </c>
      <c r="T4729" s="3" t="s">
        <v>8409</v>
      </c>
      <c r="U4729" s="45">
        <v>35</v>
      </c>
      <c r="V4729" t="s">
        <v>8390</v>
      </c>
      <c r="W4729" s="1" t="str">
        <f>HYPERLINK("http://ictvonline.org/taxonomy/p/taxonomy-history?taxnode_id=201906238","ICTVonline=201906238")</f>
        <v>ICTVonline=201906238</v>
      </c>
    </row>
    <row r="4730" spans="1:23">
      <c r="A4730" s="3">
        <v>4729</v>
      </c>
      <c r="B4730" s="1" t="s">
        <v>5910</v>
      </c>
      <c r="D4730" s="1" t="s">
        <v>8187</v>
      </c>
      <c r="F4730" s="1" t="s">
        <v>5588</v>
      </c>
      <c r="G4730" s="1" t="s">
        <v>5678</v>
      </c>
      <c r="H4730" s="1" t="s">
        <v>5679</v>
      </c>
      <c r="J4730" s="1" t="s">
        <v>4052</v>
      </c>
      <c r="L4730" s="1" t="s">
        <v>4059</v>
      </c>
      <c r="N4730" s="1" t="s">
        <v>4126</v>
      </c>
      <c r="P4730" s="1" t="s">
        <v>8410</v>
      </c>
      <c r="Q4730" s="3">
        <v>0</v>
      </c>
      <c r="R4730" s="22" t="s">
        <v>2722</v>
      </c>
      <c r="S4730" s="42" t="s">
        <v>6914</v>
      </c>
      <c r="T4730" s="3" t="s">
        <v>4867</v>
      </c>
      <c r="U4730" s="45">
        <v>35</v>
      </c>
      <c r="V4730" t="s">
        <v>8390</v>
      </c>
      <c r="W4730" s="1" t="str">
        <f>HYPERLINK("http://ictvonline.org/taxonomy/p/taxonomy-history?taxnode_id=201906239","ICTVonline=201906239")</f>
        <v>ICTVonline=201906239</v>
      </c>
    </row>
    <row r="4731" spans="1:23">
      <c r="A4731" s="3">
        <v>4730</v>
      </c>
      <c r="B4731" s="1" t="s">
        <v>5910</v>
      </c>
      <c r="D4731" s="1" t="s">
        <v>8187</v>
      </c>
      <c r="F4731" s="1" t="s">
        <v>5588</v>
      </c>
      <c r="G4731" s="1" t="s">
        <v>5678</v>
      </c>
      <c r="H4731" s="1" t="s">
        <v>5679</v>
      </c>
      <c r="J4731" s="1" t="s">
        <v>4052</v>
      </c>
      <c r="L4731" s="1" t="s">
        <v>4059</v>
      </c>
      <c r="N4731" s="1" t="s">
        <v>4126</v>
      </c>
      <c r="P4731" s="1" t="s">
        <v>4128</v>
      </c>
      <c r="Q4731" s="3">
        <v>0</v>
      </c>
      <c r="R4731" s="22" t="s">
        <v>2722</v>
      </c>
      <c r="S4731" s="42" t="s">
        <v>6913</v>
      </c>
      <c r="T4731" s="3" t="s">
        <v>4868</v>
      </c>
      <c r="U4731" s="45">
        <v>35</v>
      </c>
      <c r="V4731" t="s">
        <v>8191</v>
      </c>
      <c r="W4731" s="1" t="str">
        <f>HYPERLINK("http://ictvonline.org/taxonomy/p/taxonomy-history?taxnode_id=201900154","ICTVonline=201900154")</f>
        <v>ICTVonline=201900154</v>
      </c>
    </row>
    <row r="4732" spans="1:23">
      <c r="A4732" s="3">
        <v>4731</v>
      </c>
      <c r="B4732" s="1" t="s">
        <v>5910</v>
      </c>
      <c r="D4732" s="1" t="s">
        <v>8187</v>
      </c>
      <c r="F4732" s="1" t="s">
        <v>5588</v>
      </c>
      <c r="G4732" s="1" t="s">
        <v>5678</v>
      </c>
      <c r="H4732" s="1" t="s">
        <v>5679</v>
      </c>
      <c r="J4732" s="1" t="s">
        <v>4052</v>
      </c>
      <c r="L4732" s="1" t="s">
        <v>4059</v>
      </c>
      <c r="N4732" s="1" t="s">
        <v>4126</v>
      </c>
      <c r="P4732" s="1" t="s">
        <v>4129</v>
      </c>
      <c r="Q4732" s="3">
        <v>0</v>
      </c>
      <c r="R4732" s="22" t="s">
        <v>2722</v>
      </c>
      <c r="S4732" s="42" t="s">
        <v>6913</v>
      </c>
      <c r="T4732" s="3" t="s">
        <v>4868</v>
      </c>
      <c r="U4732" s="45">
        <v>35</v>
      </c>
      <c r="V4732" t="s">
        <v>8191</v>
      </c>
      <c r="W4732" s="1" t="str">
        <f>HYPERLINK("http://ictvonline.org/taxonomy/p/taxonomy-history?taxnode_id=201900156","ICTVonline=201900156")</f>
        <v>ICTVonline=201900156</v>
      </c>
    </row>
    <row r="4733" spans="1:23">
      <c r="A4733" s="3">
        <v>4732</v>
      </c>
      <c r="B4733" s="1" t="s">
        <v>5910</v>
      </c>
      <c r="D4733" s="1" t="s">
        <v>8187</v>
      </c>
      <c r="F4733" s="1" t="s">
        <v>5588</v>
      </c>
      <c r="G4733" s="1" t="s">
        <v>5678</v>
      </c>
      <c r="H4733" s="1" t="s">
        <v>5679</v>
      </c>
      <c r="J4733" s="1" t="s">
        <v>4052</v>
      </c>
      <c r="L4733" s="1" t="s">
        <v>4059</v>
      </c>
      <c r="N4733" s="1" t="s">
        <v>699</v>
      </c>
      <c r="P4733" s="1" t="s">
        <v>8411</v>
      </c>
      <c r="Q4733" s="3">
        <v>0</v>
      </c>
      <c r="R4733" s="22" t="s">
        <v>3635</v>
      </c>
      <c r="S4733" s="42" t="s">
        <v>6913</v>
      </c>
      <c r="T4733" s="3" t="s">
        <v>4866</v>
      </c>
      <c r="U4733" s="45">
        <v>35</v>
      </c>
      <c r="V4733" t="s">
        <v>8390</v>
      </c>
      <c r="W4733" s="1" t="str">
        <f>HYPERLINK("http://ictvonline.org/taxonomy/p/taxonomy-history?taxnode_id=201907619","ICTVonline=201907619")</f>
        <v>ICTVonline=201907619</v>
      </c>
    </row>
    <row r="4734" spans="1:23">
      <c r="A4734" s="3">
        <v>4733</v>
      </c>
      <c r="B4734" s="1" t="s">
        <v>5910</v>
      </c>
      <c r="D4734" s="1" t="s">
        <v>8187</v>
      </c>
      <c r="F4734" s="1" t="s">
        <v>5588</v>
      </c>
      <c r="G4734" s="1" t="s">
        <v>5678</v>
      </c>
      <c r="H4734" s="1" t="s">
        <v>5679</v>
      </c>
      <c r="J4734" s="1" t="s">
        <v>4052</v>
      </c>
      <c r="L4734" s="1" t="s">
        <v>4059</v>
      </c>
      <c r="N4734" s="1" t="s">
        <v>699</v>
      </c>
      <c r="P4734" s="1" t="s">
        <v>8412</v>
      </c>
      <c r="Q4734" s="3">
        <v>0</v>
      </c>
      <c r="R4734" s="22" t="s">
        <v>3635</v>
      </c>
      <c r="S4734" s="42" t="s">
        <v>6913</v>
      </c>
      <c r="T4734" s="3" t="s">
        <v>4866</v>
      </c>
      <c r="U4734" s="45">
        <v>35</v>
      </c>
      <c r="V4734" t="s">
        <v>8390</v>
      </c>
      <c r="W4734" s="1" t="str">
        <f>HYPERLINK("http://ictvonline.org/taxonomy/p/taxonomy-history?taxnode_id=201907584","ICTVonline=201907584")</f>
        <v>ICTVonline=201907584</v>
      </c>
    </row>
    <row r="4735" spans="1:23">
      <c r="A4735" s="3">
        <v>4734</v>
      </c>
      <c r="B4735" s="1" t="s">
        <v>5910</v>
      </c>
      <c r="D4735" s="1" t="s">
        <v>8187</v>
      </c>
      <c r="F4735" s="1" t="s">
        <v>5588</v>
      </c>
      <c r="G4735" s="1" t="s">
        <v>5678</v>
      </c>
      <c r="H4735" s="1" t="s">
        <v>5679</v>
      </c>
      <c r="J4735" s="1" t="s">
        <v>4052</v>
      </c>
      <c r="L4735" s="1" t="s">
        <v>4059</v>
      </c>
      <c r="N4735" s="1" t="s">
        <v>699</v>
      </c>
      <c r="P4735" s="1" t="s">
        <v>8413</v>
      </c>
      <c r="Q4735" s="3">
        <v>0</v>
      </c>
      <c r="R4735" s="22" t="s">
        <v>3635</v>
      </c>
      <c r="S4735" s="42" t="s">
        <v>6913</v>
      </c>
      <c r="T4735" s="3" t="s">
        <v>4866</v>
      </c>
      <c r="U4735" s="45">
        <v>35</v>
      </c>
      <c r="V4735" t="s">
        <v>8390</v>
      </c>
      <c r="W4735" s="1" t="str">
        <f>HYPERLINK("http://ictvonline.org/taxonomy/p/taxonomy-history?taxnode_id=201907620","ICTVonline=201907620")</f>
        <v>ICTVonline=201907620</v>
      </c>
    </row>
    <row r="4736" spans="1:23">
      <c r="A4736" s="3">
        <v>4735</v>
      </c>
      <c r="B4736" s="1" t="s">
        <v>5910</v>
      </c>
      <c r="D4736" s="1" t="s">
        <v>8187</v>
      </c>
      <c r="F4736" s="1" t="s">
        <v>5588</v>
      </c>
      <c r="G4736" s="1" t="s">
        <v>5678</v>
      </c>
      <c r="H4736" s="1" t="s">
        <v>5679</v>
      </c>
      <c r="J4736" s="1" t="s">
        <v>4052</v>
      </c>
      <c r="L4736" s="1" t="s">
        <v>4059</v>
      </c>
      <c r="N4736" s="1" t="s">
        <v>699</v>
      </c>
      <c r="P4736" s="1" t="s">
        <v>8414</v>
      </c>
      <c r="Q4736" s="3">
        <v>0</v>
      </c>
      <c r="R4736" s="22" t="s">
        <v>3635</v>
      </c>
      <c r="S4736" s="42" t="s">
        <v>6913</v>
      </c>
      <c r="T4736" s="3" t="s">
        <v>4866</v>
      </c>
      <c r="U4736" s="45">
        <v>35</v>
      </c>
      <c r="V4736" t="s">
        <v>8390</v>
      </c>
      <c r="W4736" s="1" t="str">
        <f>HYPERLINK("http://ictvonline.org/taxonomy/p/taxonomy-history?taxnode_id=201907609","ICTVonline=201907609")</f>
        <v>ICTVonline=201907609</v>
      </c>
    </row>
    <row r="4737" spans="1:23">
      <c r="A4737" s="3">
        <v>4736</v>
      </c>
      <c r="B4737" s="1" t="s">
        <v>5910</v>
      </c>
      <c r="D4737" s="1" t="s">
        <v>8187</v>
      </c>
      <c r="F4737" s="1" t="s">
        <v>5588</v>
      </c>
      <c r="G4737" s="1" t="s">
        <v>5678</v>
      </c>
      <c r="H4737" s="1" t="s">
        <v>5679</v>
      </c>
      <c r="J4737" s="1" t="s">
        <v>4052</v>
      </c>
      <c r="L4737" s="1" t="s">
        <v>4059</v>
      </c>
      <c r="N4737" s="1" t="s">
        <v>699</v>
      </c>
      <c r="P4737" s="1" t="s">
        <v>8415</v>
      </c>
      <c r="Q4737" s="3">
        <v>0</v>
      </c>
      <c r="R4737" s="22" t="s">
        <v>3635</v>
      </c>
      <c r="S4737" s="42" t="s">
        <v>6913</v>
      </c>
      <c r="T4737" s="3" t="s">
        <v>4866</v>
      </c>
      <c r="U4737" s="45">
        <v>35</v>
      </c>
      <c r="V4737" t="s">
        <v>8390</v>
      </c>
      <c r="W4737" s="1" t="str">
        <f>HYPERLINK("http://ictvonline.org/taxonomy/p/taxonomy-history?taxnode_id=201907587","ICTVonline=201907587")</f>
        <v>ICTVonline=201907587</v>
      </c>
    </row>
    <row r="4738" spans="1:23">
      <c r="A4738" s="3">
        <v>4737</v>
      </c>
      <c r="B4738" s="1" t="s">
        <v>5910</v>
      </c>
      <c r="D4738" s="1" t="s">
        <v>8187</v>
      </c>
      <c r="F4738" s="1" t="s">
        <v>5588</v>
      </c>
      <c r="G4738" s="1" t="s">
        <v>5678</v>
      </c>
      <c r="H4738" s="1" t="s">
        <v>5679</v>
      </c>
      <c r="J4738" s="1" t="s">
        <v>4052</v>
      </c>
      <c r="L4738" s="1" t="s">
        <v>4059</v>
      </c>
      <c r="N4738" s="1" t="s">
        <v>699</v>
      </c>
      <c r="P4738" s="1" t="s">
        <v>8416</v>
      </c>
      <c r="Q4738" s="3">
        <v>0</v>
      </c>
      <c r="R4738" s="22" t="s">
        <v>3635</v>
      </c>
      <c r="S4738" s="42" t="s">
        <v>6913</v>
      </c>
      <c r="T4738" s="3" t="s">
        <v>4866</v>
      </c>
      <c r="U4738" s="45">
        <v>35</v>
      </c>
      <c r="V4738" t="s">
        <v>8390</v>
      </c>
      <c r="W4738" s="1" t="str">
        <f>HYPERLINK("http://ictvonline.org/taxonomy/p/taxonomy-history?taxnode_id=201907599","ICTVonline=201907599")</f>
        <v>ICTVonline=201907599</v>
      </c>
    </row>
    <row r="4739" spans="1:23">
      <c r="A4739" s="3">
        <v>4738</v>
      </c>
      <c r="B4739" s="1" t="s">
        <v>5910</v>
      </c>
      <c r="D4739" s="1" t="s">
        <v>8187</v>
      </c>
      <c r="F4739" s="1" t="s">
        <v>5588</v>
      </c>
      <c r="G4739" s="1" t="s">
        <v>5678</v>
      </c>
      <c r="H4739" s="1" t="s">
        <v>5679</v>
      </c>
      <c r="J4739" s="1" t="s">
        <v>4052</v>
      </c>
      <c r="L4739" s="1" t="s">
        <v>4059</v>
      </c>
      <c r="N4739" s="1" t="s">
        <v>699</v>
      </c>
      <c r="P4739" s="1" t="s">
        <v>8417</v>
      </c>
      <c r="Q4739" s="3">
        <v>0</v>
      </c>
      <c r="R4739" s="22" t="s">
        <v>3635</v>
      </c>
      <c r="S4739" s="42" t="s">
        <v>6913</v>
      </c>
      <c r="T4739" s="3" t="s">
        <v>4866</v>
      </c>
      <c r="U4739" s="45">
        <v>35</v>
      </c>
      <c r="V4739" t="s">
        <v>8390</v>
      </c>
      <c r="W4739" s="1" t="str">
        <f>HYPERLINK("http://ictvonline.org/taxonomy/p/taxonomy-history?taxnode_id=201907622","ICTVonline=201907622")</f>
        <v>ICTVonline=201907622</v>
      </c>
    </row>
    <row r="4740" spans="1:23">
      <c r="A4740" s="3">
        <v>4739</v>
      </c>
      <c r="B4740" s="1" t="s">
        <v>5910</v>
      </c>
      <c r="D4740" s="1" t="s">
        <v>8187</v>
      </c>
      <c r="F4740" s="1" t="s">
        <v>5588</v>
      </c>
      <c r="G4740" s="1" t="s">
        <v>5678</v>
      </c>
      <c r="H4740" s="1" t="s">
        <v>5679</v>
      </c>
      <c r="J4740" s="1" t="s">
        <v>4052</v>
      </c>
      <c r="L4740" s="1" t="s">
        <v>4059</v>
      </c>
      <c r="N4740" s="1" t="s">
        <v>699</v>
      </c>
      <c r="P4740" s="1" t="s">
        <v>8418</v>
      </c>
      <c r="Q4740" s="3">
        <v>0</v>
      </c>
      <c r="R4740" s="22" t="s">
        <v>3635</v>
      </c>
      <c r="S4740" s="42" t="s">
        <v>6913</v>
      </c>
      <c r="T4740" s="3" t="s">
        <v>4866</v>
      </c>
      <c r="U4740" s="45">
        <v>35</v>
      </c>
      <c r="V4740" t="s">
        <v>8390</v>
      </c>
      <c r="W4740" s="1" t="str">
        <f>HYPERLINK("http://ictvonline.org/taxonomy/p/taxonomy-history?taxnode_id=201907592","ICTVonline=201907592")</f>
        <v>ICTVonline=201907592</v>
      </c>
    </row>
    <row r="4741" spans="1:23">
      <c r="A4741" s="3">
        <v>4740</v>
      </c>
      <c r="B4741" s="1" t="s">
        <v>5910</v>
      </c>
      <c r="D4741" s="1" t="s">
        <v>8187</v>
      </c>
      <c r="F4741" s="1" t="s">
        <v>5588</v>
      </c>
      <c r="G4741" s="1" t="s">
        <v>5678</v>
      </c>
      <c r="H4741" s="1" t="s">
        <v>5679</v>
      </c>
      <c r="J4741" s="1" t="s">
        <v>4052</v>
      </c>
      <c r="L4741" s="1" t="s">
        <v>4059</v>
      </c>
      <c r="N4741" s="1" t="s">
        <v>699</v>
      </c>
      <c r="P4741" s="1" t="s">
        <v>3693</v>
      </c>
      <c r="Q4741" s="3">
        <v>0</v>
      </c>
      <c r="R4741" s="22" t="s">
        <v>3635</v>
      </c>
      <c r="S4741" s="42" t="s">
        <v>6913</v>
      </c>
      <c r="T4741" s="3" t="s">
        <v>4868</v>
      </c>
      <c r="U4741" s="45">
        <v>35</v>
      </c>
      <c r="V4741" t="s">
        <v>8191</v>
      </c>
      <c r="W4741" s="1" t="str">
        <f>HYPERLINK("http://ictvonline.org/taxonomy/p/taxonomy-history?taxnode_id=201900158","ICTVonline=201900158")</f>
        <v>ICTVonline=201900158</v>
      </c>
    </row>
    <row r="4742" spans="1:23">
      <c r="A4742" s="3">
        <v>4741</v>
      </c>
      <c r="B4742" s="1" t="s">
        <v>5910</v>
      </c>
      <c r="D4742" s="1" t="s">
        <v>8187</v>
      </c>
      <c r="F4742" s="1" t="s">
        <v>5588</v>
      </c>
      <c r="G4742" s="1" t="s">
        <v>5678</v>
      </c>
      <c r="H4742" s="1" t="s">
        <v>5679</v>
      </c>
      <c r="J4742" s="1" t="s">
        <v>4052</v>
      </c>
      <c r="L4742" s="1" t="s">
        <v>4059</v>
      </c>
      <c r="N4742" s="1" t="s">
        <v>699</v>
      </c>
      <c r="P4742" s="1" t="s">
        <v>8419</v>
      </c>
      <c r="Q4742" s="3">
        <v>0</v>
      </c>
      <c r="R4742" s="22" t="s">
        <v>3635</v>
      </c>
      <c r="S4742" s="42" t="s">
        <v>6913</v>
      </c>
      <c r="T4742" s="3" t="s">
        <v>4866</v>
      </c>
      <c r="U4742" s="45">
        <v>35</v>
      </c>
      <c r="V4742" t="s">
        <v>8390</v>
      </c>
      <c r="W4742" s="1" t="str">
        <f>HYPERLINK("http://ictvonline.org/taxonomy/p/taxonomy-history?taxnode_id=201907634","ICTVonline=201907634")</f>
        <v>ICTVonline=201907634</v>
      </c>
    </row>
    <row r="4743" spans="1:23">
      <c r="A4743" s="3">
        <v>4742</v>
      </c>
      <c r="B4743" s="1" t="s">
        <v>5910</v>
      </c>
      <c r="D4743" s="1" t="s">
        <v>8187</v>
      </c>
      <c r="F4743" s="1" t="s">
        <v>5588</v>
      </c>
      <c r="G4743" s="1" t="s">
        <v>5678</v>
      </c>
      <c r="H4743" s="1" t="s">
        <v>5679</v>
      </c>
      <c r="J4743" s="1" t="s">
        <v>4052</v>
      </c>
      <c r="L4743" s="1" t="s">
        <v>4059</v>
      </c>
      <c r="N4743" s="1" t="s">
        <v>699</v>
      </c>
      <c r="P4743" s="1" t="s">
        <v>8420</v>
      </c>
      <c r="Q4743" s="3">
        <v>0</v>
      </c>
      <c r="R4743" s="22" t="s">
        <v>3635</v>
      </c>
      <c r="S4743" s="42" t="s">
        <v>6913</v>
      </c>
      <c r="T4743" s="3" t="s">
        <v>4866</v>
      </c>
      <c r="U4743" s="45">
        <v>35</v>
      </c>
      <c r="V4743" t="s">
        <v>8390</v>
      </c>
      <c r="W4743" s="1" t="str">
        <f>HYPERLINK("http://ictvonline.org/taxonomy/p/taxonomy-history?taxnode_id=201907629","ICTVonline=201907629")</f>
        <v>ICTVonline=201907629</v>
      </c>
    </row>
    <row r="4744" spans="1:23">
      <c r="A4744" s="3">
        <v>4743</v>
      </c>
      <c r="B4744" s="1" t="s">
        <v>5910</v>
      </c>
      <c r="D4744" s="1" t="s">
        <v>8187</v>
      </c>
      <c r="F4744" s="1" t="s">
        <v>5588</v>
      </c>
      <c r="G4744" s="1" t="s">
        <v>5678</v>
      </c>
      <c r="H4744" s="1" t="s">
        <v>5679</v>
      </c>
      <c r="J4744" s="1" t="s">
        <v>4052</v>
      </c>
      <c r="L4744" s="1" t="s">
        <v>4059</v>
      </c>
      <c r="N4744" s="1" t="s">
        <v>699</v>
      </c>
      <c r="P4744" s="1" t="s">
        <v>3694</v>
      </c>
      <c r="Q4744" s="3">
        <v>0</v>
      </c>
      <c r="R4744" s="22" t="s">
        <v>3635</v>
      </c>
      <c r="S4744" s="42" t="s">
        <v>6913</v>
      </c>
      <c r="T4744" s="3" t="s">
        <v>4868</v>
      </c>
      <c r="U4744" s="45">
        <v>35</v>
      </c>
      <c r="V4744" t="s">
        <v>8191</v>
      </c>
      <c r="W4744" s="1" t="str">
        <f>HYPERLINK("http://ictvonline.org/taxonomy/p/taxonomy-history?taxnode_id=201900159","ICTVonline=201900159")</f>
        <v>ICTVonline=201900159</v>
      </c>
    </row>
    <row r="4745" spans="1:23">
      <c r="A4745" s="3">
        <v>4744</v>
      </c>
      <c r="B4745" s="1" t="s">
        <v>5910</v>
      </c>
      <c r="D4745" s="1" t="s">
        <v>8187</v>
      </c>
      <c r="F4745" s="1" t="s">
        <v>5588</v>
      </c>
      <c r="G4745" s="1" t="s">
        <v>5678</v>
      </c>
      <c r="H4745" s="1" t="s">
        <v>5679</v>
      </c>
      <c r="J4745" s="1" t="s">
        <v>4052</v>
      </c>
      <c r="L4745" s="1" t="s">
        <v>4059</v>
      </c>
      <c r="N4745" s="1" t="s">
        <v>699</v>
      </c>
      <c r="P4745" s="1" t="s">
        <v>8421</v>
      </c>
      <c r="Q4745" s="3">
        <v>0</v>
      </c>
      <c r="R4745" s="22" t="s">
        <v>3635</v>
      </c>
      <c r="S4745" s="42" t="s">
        <v>6913</v>
      </c>
      <c r="T4745" s="3" t="s">
        <v>4866</v>
      </c>
      <c r="U4745" s="45">
        <v>35</v>
      </c>
      <c r="V4745" t="s">
        <v>8390</v>
      </c>
      <c r="W4745" s="1" t="str">
        <f>HYPERLINK("http://ictvonline.org/taxonomy/p/taxonomy-history?taxnode_id=201907600","ICTVonline=201907600")</f>
        <v>ICTVonline=201907600</v>
      </c>
    </row>
    <row r="4746" spans="1:23">
      <c r="A4746" s="3">
        <v>4745</v>
      </c>
      <c r="B4746" s="1" t="s">
        <v>5910</v>
      </c>
      <c r="D4746" s="1" t="s">
        <v>8187</v>
      </c>
      <c r="F4746" s="1" t="s">
        <v>5588</v>
      </c>
      <c r="G4746" s="1" t="s">
        <v>5678</v>
      </c>
      <c r="H4746" s="1" t="s">
        <v>5679</v>
      </c>
      <c r="J4746" s="1" t="s">
        <v>4052</v>
      </c>
      <c r="L4746" s="1" t="s">
        <v>4059</v>
      </c>
      <c r="N4746" s="1" t="s">
        <v>699</v>
      </c>
      <c r="P4746" s="1" t="s">
        <v>8422</v>
      </c>
      <c r="Q4746" s="3">
        <v>0</v>
      </c>
      <c r="R4746" s="22" t="s">
        <v>3635</v>
      </c>
      <c r="S4746" s="42" t="s">
        <v>6913</v>
      </c>
      <c r="T4746" s="3" t="s">
        <v>4866</v>
      </c>
      <c r="U4746" s="45">
        <v>35</v>
      </c>
      <c r="V4746" t="s">
        <v>8390</v>
      </c>
      <c r="W4746" s="1" t="str">
        <f>HYPERLINK("http://ictvonline.org/taxonomy/p/taxonomy-history?taxnode_id=201907630","ICTVonline=201907630")</f>
        <v>ICTVonline=201907630</v>
      </c>
    </row>
    <row r="4747" spans="1:23">
      <c r="A4747" s="3">
        <v>4746</v>
      </c>
      <c r="B4747" s="1" t="s">
        <v>5910</v>
      </c>
      <c r="D4747" s="1" t="s">
        <v>8187</v>
      </c>
      <c r="F4747" s="1" t="s">
        <v>5588</v>
      </c>
      <c r="G4747" s="1" t="s">
        <v>5678</v>
      </c>
      <c r="H4747" s="1" t="s">
        <v>5679</v>
      </c>
      <c r="J4747" s="1" t="s">
        <v>4052</v>
      </c>
      <c r="L4747" s="1" t="s">
        <v>4059</v>
      </c>
      <c r="N4747" s="1" t="s">
        <v>699</v>
      </c>
      <c r="P4747" s="1" t="s">
        <v>8423</v>
      </c>
      <c r="Q4747" s="3">
        <v>0</v>
      </c>
      <c r="R4747" s="22" t="s">
        <v>3635</v>
      </c>
      <c r="S4747" s="42" t="s">
        <v>6913</v>
      </c>
      <c r="T4747" s="3" t="s">
        <v>4866</v>
      </c>
      <c r="U4747" s="45">
        <v>35</v>
      </c>
      <c r="V4747" t="s">
        <v>8390</v>
      </c>
      <c r="W4747" s="1" t="str">
        <f>HYPERLINK("http://ictvonline.org/taxonomy/p/taxonomy-history?taxnode_id=201907611","ICTVonline=201907611")</f>
        <v>ICTVonline=201907611</v>
      </c>
    </row>
    <row r="4748" spans="1:23">
      <c r="A4748" s="3">
        <v>4747</v>
      </c>
      <c r="B4748" s="1" t="s">
        <v>5910</v>
      </c>
      <c r="D4748" s="1" t="s">
        <v>8187</v>
      </c>
      <c r="F4748" s="1" t="s">
        <v>5588</v>
      </c>
      <c r="G4748" s="1" t="s">
        <v>5678</v>
      </c>
      <c r="H4748" s="1" t="s">
        <v>5679</v>
      </c>
      <c r="J4748" s="1" t="s">
        <v>4052</v>
      </c>
      <c r="L4748" s="1" t="s">
        <v>4059</v>
      </c>
      <c r="N4748" s="1" t="s">
        <v>699</v>
      </c>
      <c r="P4748" s="1" t="s">
        <v>8424</v>
      </c>
      <c r="Q4748" s="3">
        <v>0</v>
      </c>
      <c r="R4748" s="22" t="s">
        <v>3635</v>
      </c>
      <c r="S4748" s="42" t="s">
        <v>6913</v>
      </c>
      <c r="T4748" s="3" t="s">
        <v>4866</v>
      </c>
      <c r="U4748" s="45">
        <v>35</v>
      </c>
      <c r="V4748" t="s">
        <v>8390</v>
      </c>
      <c r="W4748" s="1" t="str">
        <f>HYPERLINK("http://ictvonline.org/taxonomy/p/taxonomy-history?taxnode_id=201907586","ICTVonline=201907586")</f>
        <v>ICTVonline=201907586</v>
      </c>
    </row>
    <row r="4749" spans="1:23">
      <c r="A4749" s="3">
        <v>4748</v>
      </c>
      <c r="B4749" s="1" t="s">
        <v>5910</v>
      </c>
      <c r="D4749" s="1" t="s">
        <v>8187</v>
      </c>
      <c r="F4749" s="1" t="s">
        <v>5588</v>
      </c>
      <c r="G4749" s="1" t="s">
        <v>5678</v>
      </c>
      <c r="H4749" s="1" t="s">
        <v>5679</v>
      </c>
      <c r="J4749" s="1" t="s">
        <v>4052</v>
      </c>
      <c r="L4749" s="1" t="s">
        <v>4059</v>
      </c>
      <c r="N4749" s="1" t="s">
        <v>699</v>
      </c>
      <c r="P4749" s="1" t="s">
        <v>8425</v>
      </c>
      <c r="Q4749" s="3">
        <v>0</v>
      </c>
      <c r="R4749" s="22" t="s">
        <v>3635</v>
      </c>
      <c r="S4749" s="42" t="s">
        <v>6913</v>
      </c>
      <c r="T4749" s="3" t="s">
        <v>4866</v>
      </c>
      <c r="U4749" s="45">
        <v>35</v>
      </c>
      <c r="V4749" t="s">
        <v>8390</v>
      </c>
      <c r="W4749" s="1" t="str">
        <f>HYPERLINK("http://ictvonline.org/taxonomy/p/taxonomy-history?taxnode_id=201907591","ICTVonline=201907591")</f>
        <v>ICTVonline=201907591</v>
      </c>
    </row>
    <row r="4750" spans="1:23">
      <c r="A4750" s="3">
        <v>4749</v>
      </c>
      <c r="B4750" s="1" t="s">
        <v>5910</v>
      </c>
      <c r="D4750" s="1" t="s">
        <v>8187</v>
      </c>
      <c r="F4750" s="1" t="s">
        <v>5588</v>
      </c>
      <c r="G4750" s="1" t="s">
        <v>5678</v>
      </c>
      <c r="H4750" s="1" t="s">
        <v>5679</v>
      </c>
      <c r="J4750" s="1" t="s">
        <v>4052</v>
      </c>
      <c r="L4750" s="1" t="s">
        <v>4059</v>
      </c>
      <c r="N4750" s="1" t="s">
        <v>699</v>
      </c>
      <c r="P4750" s="1" t="s">
        <v>3695</v>
      </c>
      <c r="Q4750" s="3">
        <v>0</v>
      </c>
      <c r="R4750" s="22" t="s">
        <v>3635</v>
      </c>
      <c r="S4750" s="42" t="s">
        <v>6913</v>
      </c>
      <c r="T4750" s="3" t="s">
        <v>4868</v>
      </c>
      <c r="U4750" s="45">
        <v>35</v>
      </c>
      <c r="V4750" t="s">
        <v>8191</v>
      </c>
      <c r="W4750" s="1" t="str">
        <f>HYPERLINK("http://ictvonline.org/taxonomy/p/taxonomy-history?taxnode_id=201900161","ICTVonline=201900161")</f>
        <v>ICTVonline=201900161</v>
      </c>
    </row>
    <row r="4751" spans="1:23">
      <c r="A4751" s="3">
        <v>4750</v>
      </c>
      <c r="B4751" s="1" t="s">
        <v>5910</v>
      </c>
      <c r="D4751" s="1" t="s">
        <v>8187</v>
      </c>
      <c r="F4751" s="1" t="s">
        <v>5588</v>
      </c>
      <c r="G4751" s="1" t="s">
        <v>5678</v>
      </c>
      <c r="H4751" s="1" t="s">
        <v>5679</v>
      </c>
      <c r="J4751" s="1" t="s">
        <v>4052</v>
      </c>
      <c r="L4751" s="1" t="s">
        <v>4059</v>
      </c>
      <c r="N4751" s="1" t="s">
        <v>699</v>
      </c>
      <c r="P4751" s="1" t="s">
        <v>8426</v>
      </c>
      <c r="Q4751" s="3">
        <v>0</v>
      </c>
      <c r="R4751" s="22" t="s">
        <v>3635</v>
      </c>
      <c r="S4751" s="42" t="s">
        <v>6913</v>
      </c>
      <c r="T4751" s="3" t="s">
        <v>4866</v>
      </c>
      <c r="U4751" s="45">
        <v>35</v>
      </c>
      <c r="V4751" t="s">
        <v>8390</v>
      </c>
      <c r="W4751" s="1" t="str">
        <f>HYPERLINK("http://ictvonline.org/taxonomy/p/taxonomy-history?taxnode_id=201907605","ICTVonline=201907605")</f>
        <v>ICTVonline=201907605</v>
      </c>
    </row>
    <row r="4752" spans="1:23">
      <c r="A4752" s="3">
        <v>4751</v>
      </c>
      <c r="B4752" s="1" t="s">
        <v>5910</v>
      </c>
      <c r="D4752" s="1" t="s">
        <v>8187</v>
      </c>
      <c r="F4752" s="1" t="s">
        <v>5588</v>
      </c>
      <c r="G4752" s="1" t="s">
        <v>5678</v>
      </c>
      <c r="H4752" s="1" t="s">
        <v>5679</v>
      </c>
      <c r="J4752" s="1" t="s">
        <v>4052</v>
      </c>
      <c r="L4752" s="1" t="s">
        <v>4059</v>
      </c>
      <c r="N4752" s="1" t="s">
        <v>699</v>
      </c>
      <c r="P4752" s="1" t="s">
        <v>8427</v>
      </c>
      <c r="Q4752" s="3">
        <v>0</v>
      </c>
      <c r="R4752" s="22" t="s">
        <v>3635</v>
      </c>
      <c r="S4752" s="42" t="s">
        <v>6913</v>
      </c>
      <c r="T4752" s="3" t="s">
        <v>4866</v>
      </c>
      <c r="U4752" s="45">
        <v>35</v>
      </c>
      <c r="V4752" t="s">
        <v>8390</v>
      </c>
      <c r="W4752" s="1" t="str">
        <f>HYPERLINK("http://ictvonline.org/taxonomy/p/taxonomy-history?taxnode_id=201907631","ICTVonline=201907631")</f>
        <v>ICTVonline=201907631</v>
      </c>
    </row>
    <row r="4753" spans="1:23">
      <c r="A4753" s="3">
        <v>4752</v>
      </c>
      <c r="B4753" s="1" t="s">
        <v>5910</v>
      </c>
      <c r="D4753" s="1" t="s">
        <v>8187</v>
      </c>
      <c r="F4753" s="1" t="s">
        <v>5588</v>
      </c>
      <c r="G4753" s="1" t="s">
        <v>5678</v>
      </c>
      <c r="H4753" s="1" t="s">
        <v>5679</v>
      </c>
      <c r="J4753" s="1" t="s">
        <v>4052</v>
      </c>
      <c r="L4753" s="1" t="s">
        <v>4059</v>
      </c>
      <c r="N4753" s="1" t="s">
        <v>699</v>
      </c>
      <c r="P4753" s="1" t="s">
        <v>8428</v>
      </c>
      <c r="Q4753" s="3">
        <v>0</v>
      </c>
      <c r="R4753" s="22" t="s">
        <v>3635</v>
      </c>
      <c r="S4753" s="42" t="s">
        <v>6913</v>
      </c>
      <c r="T4753" s="3" t="s">
        <v>4866</v>
      </c>
      <c r="U4753" s="45">
        <v>35</v>
      </c>
      <c r="V4753" t="s">
        <v>8390</v>
      </c>
      <c r="W4753" s="1" t="str">
        <f>HYPERLINK("http://ictvonline.org/taxonomy/p/taxonomy-history?taxnode_id=201907593","ICTVonline=201907593")</f>
        <v>ICTVonline=201907593</v>
      </c>
    </row>
    <row r="4754" spans="1:23">
      <c r="A4754" s="3">
        <v>4753</v>
      </c>
      <c r="B4754" s="1" t="s">
        <v>5910</v>
      </c>
      <c r="D4754" s="1" t="s">
        <v>8187</v>
      </c>
      <c r="F4754" s="1" t="s">
        <v>5588</v>
      </c>
      <c r="G4754" s="1" t="s">
        <v>5678</v>
      </c>
      <c r="H4754" s="1" t="s">
        <v>5679</v>
      </c>
      <c r="J4754" s="1" t="s">
        <v>4052</v>
      </c>
      <c r="L4754" s="1" t="s">
        <v>4059</v>
      </c>
      <c r="N4754" s="1" t="s">
        <v>699</v>
      </c>
      <c r="P4754" s="1" t="s">
        <v>8429</v>
      </c>
      <c r="Q4754" s="3">
        <v>0</v>
      </c>
      <c r="R4754" s="22" t="s">
        <v>3635</v>
      </c>
      <c r="S4754" s="42" t="s">
        <v>6913</v>
      </c>
      <c r="T4754" s="3" t="s">
        <v>4866</v>
      </c>
      <c r="U4754" s="45">
        <v>35</v>
      </c>
      <c r="V4754" t="s">
        <v>8390</v>
      </c>
      <c r="W4754" s="1" t="str">
        <f>HYPERLINK("http://ictvonline.org/taxonomy/p/taxonomy-history?taxnode_id=201907626","ICTVonline=201907626")</f>
        <v>ICTVonline=201907626</v>
      </c>
    </row>
    <row r="4755" spans="1:23">
      <c r="A4755" s="3">
        <v>4754</v>
      </c>
      <c r="B4755" s="1" t="s">
        <v>5910</v>
      </c>
      <c r="D4755" s="1" t="s">
        <v>8187</v>
      </c>
      <c r="F4755" s="1" t="s">
        <v>5588</v>
      </c>
      <c r="G4755" s="1" t="s">
        <v>5678</v>
      </c>
      <c r="H4755" s="1" t="s">
        <v>5679</v>
      </c>
      <c r="J4755" s="1" t="s">
        <v>4052</v>
      </c>
      <c r="L4755" s="1" t="s">
        <v>4059</v>
      </c>
      <c r="N4755" s="1" t="s">
        <v>699</v>
      </c>
      <c r="P4755" s="1" t="s">
        <v>8430</v>
      </c>
      <c r="Q4755" s="3">
        <v>0</v>
      </c>
      <c r="R4755" s="22" t="s">
        <v>3635</v>
      </c>
      <c r="S4755" s="42" t="s">
        <v>6913</v>
      </c>
      <c r="T4755" s="3" t="s">
        <v>4866</v>
      </c>
      <c r="U4755" s="45">
        <v>35</v>
      </c>
      <c r="V4755" t="s">
        <v>8390</v>
      </c>
      <c r="W4755" s="1" t="str">
        <f>HYPERLINK("http://ictvonline.org/taxonomy/p/taxonomy-history?taxnode_id=201907613","ICTVonline=201907613")</f>
        <v>ICTVonline=201907613</v>
      </c>
    </row>
    <row r="4756" spans="1:23">
      <c r="A4756" s="3">
        <v>4755</v>
      </c>
      <c r="B4756" s="1" t="s">
        <v>5910</v>
      </c>
      <c r="D4756" s="1" t="s">
        <v>8187</v>
      </c>
      <c r="F4756" s="1" t="s">
        <v>5588</v>
      </c>
      <c r="G4756" s="1" t="s">
        <v>5678</v>
      </c>
      <c r="H4756" s="1" t="s">
        <v>5679</v>
      </c>
      <c r="J4756" s="1" t="s">
        <v>4052</v>
      </c>
      <c r="L4756" s="1" t="s">
        <v>4059</v>
      </c>
      <c r="N4756" s="1" t="s">
        <v>699</v>
      </c>
      <c r="P4756" s="1" t="s">
        <v>8431</v>
      </c>
      <c r="Q4756" s="3">
        <v>0</v>
      </c>
      <c r="R4756" s="22" t="s">
        <v>3635</v>
      </c>
      <c r="S4756" s="42" t="s">
        <v>6913</v>
      </c>
      <c r="T4756" s="3" t="s">
        <v>4866</v>
      </c>
      <c r="U4756" s="45">
        <v>35</v>
      </c>
      <c r="V4756" t="s">
        <v>8390</v>
      </c>
      <c r="W4756" s="1" t="str">
        <f>HYPERLINK("http://ictvonline.org/taxonomy/p/taxonomy-history?taxnode_id=201907585","ICTVonline=201907585")</f>
        <v>ICTVonline=201907585</v>
      </c>
    </row>
    <row r="4757" spans="1:23">
      <c r="A4757" s="3">
        <v>4756</v>
      </c>
      <c r="B4757" s="1" t="s">
        <v>5910</v>
      </c>
      <c r="D4757" s="1" t="s">
        <v>8187</v>
      </c>
      <c r="F4757" s="1" t="s">
        <v>5588</v>
      </c>
      <c r="G4757" s="1" t="s">
        <v>5678</v>
      </c>
      <c r="H4757" s="1" t="s">
        <v>5679</v>
      </c>
      <c r="J4757" s="1" t="s">
        <v>4052</v>
      </c>
      <c r="L4757" s="1" t="s">
        <v>4059</v>
      </c>
      <c r="N4757" s="1" t="s">
        <v>699</v>
      </c>
      <c r="P4757" s="1" t="s">
        <v>8432</v>
      </c>
      <c r="Q4757" s="3">
        <v>0</v>
      </c>
      <c r="R4757" s="22" t="s">
        <v>3635</v>
      </c>
      <c r="S4757" s="42" t="s">
        <v>6913</v>
      </c>
      <c r="T4757" s="3" t="s">
        <v>4866</v>
      </c>
      <c r="U4757" s="45">
        <v>35</v>
      </c>
      <c r="V4757" t="s">
        <v>8390</v>
      </c>
      <c r="W4757" s="1" t="str">
        <f>HYPERLINK("http://ictvonline.org/taxonomy/p/taxonomy-history?taxnode_id=201907607","ICTVonline=201907607")</f>
        <v>ICTVonline=201907607</v>
      </c>
    </row>
    <row r="4758" spans="1:23">
      <c r="A4758" s="3">
        <v>4757</v>
      </c>
      <c r="B4758" s="1" t="s">
        <v>5910</v>
      </c>
      <c r="D4758" s="1" t="s">
        <v>8187</v>
      </c>
      <c r="F4758" s="1" t="s">
        <v>5588</v>
      </c>
      <c r="G4758" s="1" t="s">
        <v>5678</v>
      </c>
      <c r="H4758" s="1" t="s">
        <v>5679</v>
      </c>
      <c r="J4758" s="1" t="s">
        <v>4052</v>
      </c>
      <c r="L4758" s="1" t="s">
        <v>4059</v>
      </c>
      <c r="N4758" s="1" t="s">
        <v>699</v>
      </c>
      <c r="P4758" s="1" t="s">
        <v>8433</v>
      </c>
      <c r="Q4758" s="3">
        <v>0</v>
      </c>
      <c r="R4758" s="22" t="s">
        <v>3635</v>
      </c>
      <c r="S4758" s="42" t="s">
        <v>6913</v>
      </c>
      <c r="T4758" s="3" t="s">
        <v>4866</v>
      </c>
      <c r="U4758" s="45">
        <v>35</v>
      </c>
      <c r="V4758" t="s">
        <v>8390</v>
      </c>
      <c r="W4758" s="1" t="str">
        <f>HYPERLINK("http://ictvonline.org/taxonomy/p/taxonomy-history?taxnode_id=201907597","ICTVonline=201907597")</f>
        <v>ICTVonline=201907597</v>
      </c>
    </row>
    <row r="4759" spans="1:23">
      <c r="A4759" s="3">
        <v>4758</v>
      </c>
      <c r="B4759" s="1" t="s">
        <v>5910</v>
      </c>
      <c r="D4759" s="1" t="s">
        <v>8187</v>
      </c>
      <c r="F4759" s="1" t="s">
        <v>5588</v>
      </c>
      <c r="G4759" s="1" t="s">
        <v>5678</v>
      </c>
      <c r="H4759" s="1" t="s">
        <v>5679</v>
      </c>
      <c r="J4759" s="1" t="s">
        <v>4052</v>
      </c>
      <c r="L4759" s="1" t="s">
        <v>4059</v>
      </c>
      <c r="N4759" s="1" t="s">
        <v>699</v>
      </c>
      <c r="P4759" s="1" t="s">
        <v>8434</v>
      </c>
      <c r="Q4759" s="3">
        <v>0</v>
      </c>
      <c r="R4759" s="22" t="s">
        <v>3635</v>
      </c>
      <c r="S4759" s="42" t="s">
        <v>6913</v>
      </c>
      <c r="T4759" s="3" t="s">
        <v>4866</v>
      </c>
      <c r="U4759" s="45">
        <v>35</v>
      </c>
      <c r="V4759" t="s">
        <v>8390</v>
      </c>
      <c r="W4759" s="1" t="str">
        <f>HYPERLINK("http://ictvonline.org/taxonomy/p/taxonomy-history?taxnode_id=201907602","ICTVonline=201907602")</f>
        <v>ICTVonline=201907602</v>
      </c>
    </row>
    <row r="4760" spans="1:23">
      <c r="A4760" s="3">
        <v>4759</v>
      </c>
      <c r="B4760" s="1" t="s">
        <v>5910</v>
      </c>
      <c r="D4760" s="1" t="s">
        <v>8187</v>
      </c>
      <c r="F4760" s="1" t="s">
        <v>5588</v>
      </c>
      <c r="G4760" s="1" t="s">
        <v>5678</v>
      </c>
      <c r="H4760" s="1" t="s">
        <v>5679</v>
      </c>
      <c r="J4760" s="1" t="s">
        <v>4052</v>
      </c>
      <c r="L4760" s="1" t="s">
        <v>4059</v>
      </c>
      <c r="N4760" s="1" t="s">
        <v>699</v>
      </c>
      <c r="P4760" s="1" t="s">
        <v>8435</v>
      </c>
      <c r="Q4760" s="3">
        <v>0</v>
      </c>
      <c r="R4760" s="22" t="s">
        <v>3635</v>
      </c>
      <c r="S4760" s="42" t="s">
        <v>6913</v>
      </c>
      <c r="T4760" s="3" t="s">
        <v>4866</v>
      </c>
      <c r="U4760" s="45">
        <v>35</v>
      </c>
      <c r="V4760" t="s">
        <v>8390</v>
      </c>
      <c r="W4760" s="1" t="str">
        <f>HYPERLINK("http://ictvonline.org/taxonomy/p/taxonomy-history?taxnode_id=201907594","ICTVonline=201907594")</f>
        <v>ICTVonline=201907594</v>
      </c>
    </row>
    <row r="4761" spans="1:23">
      <c r="A4761" s="3">
        <v>4760</v>
      </c>
      <c r="B4761" s="1" t="s">
        <v>5910</v>
      </c>
      <c r="D4761" s="1" t="s">
        <v>8187</v>
      </c>
      <c r="F4761" s="1" t="s">
        <v>5588</v>
      </c>
      <c r="G4761" s="1" t="s">
        <v>5678</v>
      </c>
      <c r="H4761" s="1" t="s">
        <v>5679</v>
      </c>
      <c r="J4761" s="1" t="s">
        <v>4052</v>
      </c>
      <c r="L4761" s="1" t="s">
        <v>4059</v>
      </c>
      <c r="N4761" s="1" t="s">
        <v>699</v>
      </c>
      <c r="P4761" s="1" t="s">
        <v>8436</v>
      </c>
      <c r="Q4761" s="3">
        <v>0</v>
      </c>
      <c r="R4761" s="22" t="s">
        <v>3635</v>
      </c>
      <c r="S4761" s="42" t="s">
        <v>6913</v>
      </c>
      <c r="T4761" s="3" t="s">
        <v>4866</v>
      </c>
      <c r="U4761" s="45">
        <v>35</v>
      </c>
      <c r="V4761" t="s">
        <v>8390</v>
      </c>
      <c r="W4761" s="1" t="str">
        <f>HYPERLINK("http://ictvonline.org/taxonomy/p/taxonomy-history?taxnode_id=201907625","ICTVonline=201907625")</f>
        <v>ICTVonline=201907625</v>
      </c>
    </row>
    <row r="4762" spans="1:23">
      <c r="A4762" s="3">
        <v>4761</v>
      </c>
      <c r="B4762" s="1" t="s">
        <v>5910</v>
      </c>
      <c r="D4762" s="1" t="s">
        <v>8187</v>
      </c>
      <c r="F4762" s="1" t="s">
        <v>5588</v>
      </c>
      <c r="G4762" s="1" t="s">
        <v>5678</v>
      </c>
      <c r="H4762" s="1" t="s">
        <v>5679</v>
      </c>
      <c r="J4762" s="1" t="s">
        <v>4052</v>
      </c>
      <c r="L4762" s="1" t="s">
        <v>4059</v>
      </c>
      <c r="N4762" s="1" t="s">
        <v>699</v>
      </c>
      <c r="P4762" s="1" t="s">
        <v>8437</v>
      </c>
      <c r="Q4762" s="3">
        <v>0</v>
      </c>
      <c r="R4762" s="22" t="s">
        <v>3635</v>
      </c>
      <c r="S4762" s="42" t="s">
        <v>6913</v>
      </c>
      <c r="T4762" s="3" t="s">
        <v>4866</v>
      </c>
      <c r="U4762" s="45">
        <v>35</v>
      </c>
      <c r="V4762" t="s">
        <v>8390</v>
      </c>
      <c r="W4762" s="1" t="str">
        <f>HYPERLINK("http://ictvonline.org/taxonomy/p/taxonomy-history?taxnode_id=201907614","ICTVonline=201907614")</f>
        <v>ICTVonline=201907614</v>
      </c>
    </row>
    <row r="4763" spans="1:23">
      <c r="A4763" s="3">
        <v>4762</v>
      </c>
      <c r="B4763" s="1" t="s">
        <v>5910</v>
      </c>
      <c r="D4763" s="1" t="s">
        <v>8187</v>
      </c>
      <c r="F4763" s="1" t="s">
        <v>5588</v>
      </c>
      <c r="G4763" s="1" t="s">
        <v>5678</v>
      </c>
      <c r="H4763" s="1" t="s">
        <v>5679</v>
      </c>
      <c r="J4763" s="1" t="s">
        <v>4052</v>
      </c>
      <c r="L4763" s="1" t="s">
        <v>4059</v>
      </c>
      <c r="N4763" s="1" t="s">
        <v>699</v>
      </c>
      <c r="P4763" s="1" t="s">
        <v>8438</v>
      </c>
      <c r="Q4763" s="3">
        <v>0</v>
      </c>
      <c r="R4763" s="22" t="s">
        <v>3635</v>
      </c>
      <c r="S4763" s="42" t="s">
        <v>6913</v>
      </c>
      <c r="T4763" s="3" t="s">
        <v>4866</v>
      </c>
      <c r="U4763" s="45">
        <v>35</v>
      </c>
      <c r="V4763" t="s">
        <v>8390</v>
      </c>
      <c r="W4763" s="1" t="str">
        <f>HYPERLINK("http://ictvonline.org/taxonomy/p/taxonomy-history?taxnode_id=201907621","ICTVonline=201907621")</f>
        <v>ICTVonline=201907621</v>
      </c>
    </row>
    <row r="4764" spans="1:23">
      <c r="A4764" s="3">
        <v>4763</v>
      </c>
      <c r="B4764" s="1" t="s">
        <v>5910</v>
      </c>
      <c r="D4764" s="1" t="s">
        <v>8187</v>
      </c>
      <c r="F4764" s="1" t="s">
        <v>5588</v>
      </c>
      <c r="G4764" s="1" t="s">
        <v>5678</v>
      </c>
      <c r="H4764" s="1" t="s">
        <v>5679</v>
      </c>
      <c r="J4764" s="1" t="s">
        <v>4052</v>
      </c>
      <c r="L4764" s="1" t="s">
        <v>4059</v>
      </c>
      <c r="N4764" s="1" t="s">
        <v>699</v>
      </c>
      <c r="P4764" s="1" t="s">
        <v>8439</v>
      </c>
      <c r="Q4764" s="3">
        <v>0</v>
      </c>
      <c r="R4764" s="22" t="s">
        <v>3635</v>
      </c>
      <c r="S4764" s="42" t="s">
        <v>6913</v>
      </c>
      <c r="T4764" s="3" t="s">
        <v>4866</v>
      </c>
      <c r="U4764" s="45">
        <v>35</v>
      </c>
      <c r="V4764" t="s">
        <v>8390</v>
      </c>
      <c r="W4764" s="1" t="str">
        <f>HYPERLINK("http://ictvonline.org/taxonomy/p/taxonomy-history?taxnode_id=201907588","ICTVonline=201907588")</f>
        <v>ICTVonline=201907588</v>
      </c>
    </row>
    <row r="4765" spans="1:23">
      <c r="A4765" s="3">
        <v>4764</v>
      </c>
      <c r="B4765" s="1" t="s">
        <v>5910</v>
      </c>
      <c r="D4765" s="1" t="s">
        <v>8187</v>
      </c>
      <c r="F4765" s="1" t="s">
        <v>5588</v>
      </c>
      <c r="G4765" s="1" t="s">
        <v>5678</v>
      </c>
      <c r="H4765" s="1" t="s">
        <v>5679</v>
      </c>
      <c r="J4765" s="1" t="s">
        <v>4052</v>
      </c>
      <c r="L4765" s="1" t="s">
        <v>4059</v>
      </c>
      <c r="N4765" s="1" t="s">
        <v>699</v>
      </c>
      <c r="P4765" s="1" t="s">
        <v>6064</v>
      </c>
      <c r="Q4765" s="3">
        <v>0</v>
      </c>
      <c r="R4765" s="22" t="s">
        <v>3635</v>
      </c>
      <c r="S4765" s="42" t="s">
        <v>6913</v>
      </c>
      <c r="T4765" s="3" t="s">
        <v>4868</v>
      </c>
      <c r="U4765" s="45">
        <v>35</v>
      </c>
      <c r="V4765" t="s">
        <v>8191</v>
      </c>
      <c r="W4765" s="1" t="str">
        <f>HYPERLINK("http://ictvonline.org/taxonomy/p/taxonomy-history?taxnode_id=201906492","ICTVonline=201906492")</f>
        <v>ICTVonline=201906492</v>
      </c>
    </row>
    <row r="4766" spans="1:23">
      <c r="A4766" s="3">
        <v>4765</v>
      </c>
      <c r="B4766" s="1" t="s">
        <v>5910</v>
      </c>
      <c r="D4766" s="1" t="s">
        <v>8187</v>
      </c>
      <c r="F4766" s="1" t="s">
        <v>5588</v>
      </c>
      <c r="G4766" s="1" t="s">
        <v>5678</v>
      </c>
      <c r="H4766" s="1" t="s">
        <v>5679</v>
      </c>
      <c r="J4766" s="1" t="s">
        <v>4052</v>
      </c>
      <c r="L4766" s="1" t="s">
        <v>4059</v>
      </c>
      <c r="N4766" s="1" t="s">
        <v>699</v>
      </c>
      <c r="P4766" s="1" t="s">
        <v>8440</v>
      </c>
      <c r="Q4766" s="3">
        <v>0</v>
      </c>
      <c r="R4766" s="22" t="s">
        <v>3635</v>
      </c>
      <c r="S4766" s="42" t="s">
        <v>6913</v>
      </c>
      <c r="T4766" s="3" t="s">
        <v>4866</v>
      </c>
      <c r="U4766" s="45">
        <v>35</v>
      </c>
      <c r="V4766" t="s">
        <v>8390</v>
      </c>
      <c r="W4766" s="1" t="str">
        <f>HYPERLINK("http://ictvonline.org/taxonomy/p/taxonomy-history?taxnode_id=201907595","ICTVonline=201907595")</f>
        <v>ICTVonline=201907595</v>
      </c>
    </row>
    <row r="4767" spans="1:23">
      <c r="A4767" s="3">
        <v>4766</v>
      </c>
      <c r="B4767" s="1" t="s">
        <v>5910</v>
      </c>
      <c r="D4767" s="1" t="s">
        <v>8187</v>
      </c>
      <c r="F4767" s="1" t="s">
        <v>5588</v>
      </c>
      <c r="G4767" s="1" t="s">
        <v>5678</v>
      </c>
      <c r="H4767" s="1" t="s">
        <v>5679</v>
      </c>
      <c r="J4767" s="1" t="s">
        <v>4052</v>
      </c>
      <c r="L4767" s="1" t="s">
        <v>4059</v>
      </c>
      <c r="N4767" s="1" t="s">
        <v>699</v>
      </c>
      <c r="P4767" s="1" t="s">
        <v>8441</v>
      </c>
      <c r="Q4767" s="3">
        <v>0</v>
      </c>
      <c r="R4767" s="22" t="s">
        <v>3635</v>
      </c>
      <c r="S4767" s="42" t="s">
        <v>6913</v>
      </c>
      <c r="T4767" s="3" t="s">
        <v>4867</v>
      </c>
      <c r="U4767" s="45">
        <v>35</v>
      </c>
      <c r="V4767" t="s">
        <v>8390</v>
      </c>
      <c r="W4767" s="1" t="str">
        <f>HYPERLINK("http://ictvonline.org/taxonomy/p/taxonomy-history?taxnode_id=201900165","ICTVonline=201900165")</f>
        <v>ICTVonline=201900165</v>
      </c>
    </row>
    <row r="4768" spans="1:23">
      <c r="A4768" s="3">
        <v>4767</v>
      </c>
      <c r="B4768" s="1" t="s">
        <v>5910</v>
      </c>
      <c r="D4768" s="1" t="s">
        <v>8187</v>
      </c>
      <c r="F4768" s="1" t="s">
        <v>5588</v>
      </c>
      <c r="G4768" s="1" t="s">
        <v>5678</v>
      </c>
      <c r="H4768" s="1" t="s">
        <v>5679</v>
      </c>
      <c r="J4768" s="1" t="s">
        <v>4052</v>
      </c>
      <c r="L4768" s="1" t="s">
        <v>4059</v>
      </c>
      <c r="N4768" s="1" t="s">
        <v>699</v>
      </c>
      <c r="P4768" s="1" t="s">
        <v>8442</v>
      </c>
      <c r="Q4768" s="3">
        <v>0</v>
      </c>
      <c r="R4768" s="22" t="s">
        <v>3635</v>
      </c>
      <c r="S4768" s="42" t="s">
        <v>6913</v>
      </c>
      <c r="T4768" s="3" t="s">
        <v>4866</v>
      </c>
      <c r="U4768" s="45">
        <v>35</v>
      </c>
      <c r="V4768" t="s">
        <v>8390</v>
      </c>
      <c r="W4768" s="1" t="str">
        <f>HYPERLINK("http://ictvonline.org/taxonomy/p/taxonomy-history?taxnode_id=201907624","ICTVonline=201907624")</f>
        <v>ICTVonline=201907624</v>
      </c>
    </row>
    <row r="4769" spans="1:23">
      <c r="A4769" s="3">
        <v>4768</v>
      </c>
      <c r="B4769" s="1" t="s">
        <v>5910</v>
      </c>
      <c r="D4769" s="1" t="s">
        <v>8187</v>
      </c>
      <c r="F4769" s="1" t="s">
        <v>5588</v>
      </c>
      <c r="G4769" s="1" t="s">
        <v>5678</v>
      </c>
      <c r="H4769" s="1" t="s">
        <v>5679</v>
      </c>
      <c r="J4769" s="1" t="s">
        <v>4052</v>
      </c>
      <c r="L4769" s="1" t="s">
        <v>4059</v>
      </c>
      <c r="N4769" s="1" t="s">
        <v>699</v>
      </c>
      <c r="P4769" s="1" t="s">
        <v>8443</v>
      </c>
      <c r="Q4769" s="3">
        <v>0</v>
      </c>
      <c r="R4769" s="22" t="s">
        <v>3635</v>
      </c>
      <c r="S4769" s="42" t="s">
        <v>6913</v>
      </c>
      <c r="T4769" s="3" t="s">
        <v>4866</v>
      </c>
      <c r="U4769" s="45">
        <v>35</v>
      </c>
      <c r="V4769" t="s">
        <v>8390</v>
      </c>
      <c r="W4769" s="1" t="str">
        <f>HYPERLINK("http://ictvonline.org/taxonomy/p/taxonomy-history?taxnode_id=201907606","ICTVonline=201907606")</f>
        <v>ICTVonline=201907606</v>
      </c>
    </row>
    <row r="4770" spans="1:23">
      <c r="A4770" s="3">
        <v>4769</v>
      </c>
      <c r="B4770" s="1" t="s">
        <v>5910</v>
      </c>
      <c r="D4770" s="1" t="s">
        <v>8187</v>
      </c>
      <c r="F4770" s="1" t="s">
        <v>5588</v>
      </c>
      <c r="G4770" s="1" t="s">
        <v>5678</v>
      </c>
      <c r="H4770" s="1" t="s">
        <v>5679</v>
      </c>
      <c r="J4770" s="1" t="s">
        <v>4052</v>
      </c>
      <c r="L4770" s="1" t="s">
        <v>4059</v>
      </c>
      <c r="N4770" s="1" t="s">
        <v>699</v>
      </c>
      <c r="P4770" s="1" t="s">
        <v>8444</v>
      </c>
      <c r="Q4770" s="3">
        <v>0</v>
      </c>
      <c r="R4770" s="22" t="s">
        <v>3635</v>
      </c>
      <c r="S4770" s="42" t="s">
        <v>6913</v>
      </c>
      <c r="T4770" s="3" t="s">
        <v>4866</v>
      </c>
      <c r="U4770" s="45">
        <v>35</v>
      </c>
      <c r="V4770" t="s">
        <v>8390</v>
      </c>
      <c r="W4770" s="1" t="str">
        <f>HYPERLINK("http://ictvonline.org/taxonomy/p/taxonomy-history?taxnode_id=201907623","ICTVonline=201907623")</f>
        <v>ICTVonline=201907623</v>
      </c>
    </row>
    <row r="4771" spans="1:23">
      <c r="A4771" s="3">
        <v>4770</v>
      </c>
      <c r="B4771" s="1" t="s">
        <v>5910</v>
      </c>
      <c r="D4771" s="1" t="s">
        <v>8187</v>
      </c>
      <c r="F4771" s="1" t="s">
        <v>5588</v>
      </c>
      <c r="G4771" s="1" t="s">
        <v>5678</v>
      </c>
      <c r="H4771" s="1" t="s">
        <v>5679</v>
      </c>
      <c r="J4771" s="1" t="s">
        <v>4052</v>
      </c>
      <c r="L4771" s="1" t="s">
        <v>4059</v>
      </c>
      <c r="N4771" s="1" t="s">
        <v>699</v>
      </c>
      <c r="P4771" s="1" t="s">
        <v>8445</v>
      </c>
      <c r="Q4771" s="3">
        <v>0</v>
      </c>
      <c r="R4771" s="22" t="s">
        <v>3635</v>
      </c>
      <c r="S4771" s="42" t="s">
        <v>6913</v>
      </c>
      <c r="T4771" s="3" t="s">
        <v>4866</v>
      </c>
      <c r="U4771" s="45">
        <v>35</v>
      </c>
      <c r="V4771" t="s">
        <v>8390</v>
      </c>
      <c r="W4771" s="1" t="str">
        <f>HYPERLINK("http://ictvonline.org/taxonomy/p/taxonomy-history?taxnode_id=201907627","ICTVonline=201907627")</f>
        <v>ICTVonline=201907627</v>
      </c>
    </row>
    <row r="4772" spans="1:23">
      <c r="A4772" s="3">
        <v>4771</v>
      </c>
      <c r="B4772" s="1" t="s">
        <v>5910</v>
      </c>
      <c r="D4772" s="1" t="s">
        <v>8187</v>
      </c>
      <c r="F4772" s="1" t="s">
        <v>5588</v>
      </c>
      <c r="G4772" s="1" t="s">
        <v>5678</v>
      </c>
      <c r="H4772" s="1" t="s">
        <v>5679</v>
      </c>
      <c r="J4772" s="1" t="s">
        <v>4052</v>
      </c>
      <c r="L4772" s="1" t="s">
        <v>4059</v>
      </c>
      <c r="N4772" s="1" t="s">
        <v>699</v>
      </c>
      <c r="P4772" s="1" t="s">
        <v>8446</v>
      </c>
      <c r="Q4772" s="3">
        <v>0</v>
      </c>
      <c r="R4772" s="22" t="s">
        <v>3635</v>
      </c>
      <c r="S4772" s="42" t="s">
        <v>6913</v>
      </c>
      <c r="T4772" s="3" t="s">
        <v>4866</v>
      </c>
      <c r="U4772" s="45">
        <v>35</v>
      </c>
      <c r="V4772" t="s">
        <v>8390</v>
      </c>
      <c r="W4772" s="1" t="str">
        <f>HYPERLINK("http://ictvonline.org/taxonomy/p/taxonomy-history?taxnode_id=201907596","ICTVonline=201907596")</f>
        <v>ICTVonline=201907596</v>
      </c>
    </row>
    <row r="4773" spans="1:23">
      <c r="A4773" s="3">
        <v>4772</v>
      </c>
      <c r="B4773" s="1" t="s">
        <v>5910</v>
      </c>
      <c r="D4773" s="1" t="s">
        <v>8187</v>
      </c>
      <c r="F4773" s="1" t="s">
        <v>5588</v>
      </c>
      <c r="G4773" s="1" t="s">
        <v>5678</v>
      </c>
      <c r="H4773" s="1" t="s">
        <v>5679</v>
      </c>
      <c r="J4773" s="1" t="s">
        <v>4052</v>
      </c>
      <c r="L4773" s="1" t="s">
        <v>4059</v>
      </c>
      <c r="N4773" s="1" t="s">
        <v>699</v>
      </c>
      <c r="P4773" s="1" t="s">
        <v>8447</v>
      </c>
      <c r="Q4773" s="3">
        <v>0</v>
      </c>
      <c r="R4773" s="22" t="s">
        <v>3635</v>
      </c>
      <c r="S4773" s="42" t="s">
        <v>6913</v>
      </c>
      <c r="T4773" s="3" t="s">
        <v>4866</v>
      </c>
      <c r="U4773" s="45">
        <v>35</v>
      </c>
      <c r="V4773" t="s">
        <v>8390</v>
      </c>
      <c r="W4773" s="1" t="str">
        <f>HYPERLINK("http://ictvonline.org/taxonomy/p/taxonomy-history?taxnode_id=201907615","ICTVonline=201907615")</f>
        <v>ICTVonline=201907615</v>
      </c>
    </row>
    <row r="4774" spans="1:23">
      <c r="A4774" s="3">
        <v>4773</v>
      </c>
      <c r="B4774" s="1" t="s">
        <v>5910</v>
      </c>
      <c r="D4774" s="1" t="s">
        <v>8187</v>
      </c>
      <c r="F4774" s="1" t="s">
        <v>5588</v>
      </c>
      <c r="G4774" s="1" t="s">
        <v>5678</v>
      </c>
      <c r="H4774" s="1" t="s">
        <v>5679</v>
      </c>
      <c r="J4774" s="1" t="s">
        <v>4052</v>
      </c>
      <c r="L4774" s="1" t="s">
        <v>4059</v>
      </c>
      <c r="N4774" s="1" t="s">
        <v>699</v>
      </c>
      <c r="P4774" s="1" t="s">
        <v>3696</v>
      </c>
      <c r="Q4774" s="3">
        <v>0</v>
      </c>
      <c r="R4774" s="22" t="s">
        <v>3635</v>
      </c>
      <c r="S4774" s="42" t="s">
        <v>6913</v>
      </c>
      <c r="T4774" s="3" t="s">
        <v>4868</v>
      </c>
      <c r="U4774" s="45">
        <v>35</v>
      </c>
      <c r="V4774" t="s">
        <v>8191</v>
      </c>
      <c r="W4774" s="1" t="str">
        <f>HYPERLINK("http://ictvonline.org/taxonomy/p/taxonomy-history?taxnode_id=201900162","ICTVonline=201900162")</f>
        <v>ICTVonline=201900162</v>
      </c>
    </row>
    <row r="4775" spans="1:23">
      <c r="A4775" s="3">
        <v>4774</v>
      </c>
      <c r="B4775" s="1" t="s">
        <v>5910</v>
      </c>
      <c r="D4775" s="1" t="s">
        <v>8187</v>
      </c>
      <c r="F4775" s="1" t="s">
        <v>5588</v>
      </c>
      <c r="G4775" s="1" t="s">
        <v>5678</v>
      </c>
      <c r="H4775" s="1" t="s">
        <v>5679</v>
      </c>
      <c r="J4775" s="1" t="s">
        <v>4052</v>
      </c>
      <c r="L4775" s="1" t="s">
        <v>4059</v>
      </c>
      <c r="N4775" s="1" t="s">
        <v>699</v>
      </c>
      <c r="P4775" s="1" t="s">
        <v>3697</v>
      </c>
      <c r="Q4775" s="3">
        <v>1</v>
      </c>
      <c r="R4775" s="22" t="s">
        <v>3635</v>
      </c>
      <c r="S4775" s="42" t="s">
        <v>6913</v>
      </c>
      <c r="T4775" s="3" t="s">
        <v>4868</v>
      </c>
      <c r="U4775" s="45">
        <v>35</v>
      </c>
      <c r="V4775" t="s">
        <v>8191</v>
      </c>
      <c r="W4775" s="1" t="str">
        <f>HYPERLINK("http://ictvonline.org/taxonomy/p/taxonomy-history?taxnode_id=201900163","ICTVonline=201900163")</f>
        <v>ICTVonline=201900163</v>
      </c>
    </row>
    <row r="4776" spans="1:23">
      <c r="A4776" s="3">
        <v>4775</v>
      </c>
      <c r="B4776" s="1" t="s">
        <v>5910</v>
      </c>
      <c r="D4776" s="1" t="s">
        <v>8187</v>
      </c>
      <c r="F4776" s="1" t="s">
        <v>5588</v>
      </c>
      <c r="G4776" s="1" t="s">
        <v>5678</v>
      </c>
      <c r="H4776" s="1" t="s">
        <v>5679</v>
      </c>
      <c r="J4776" s="1" t="s">
        <v>4052</v>
      </c>
      <c r="L4776" s="1" t="s">
        <v>4059</v>
      </c>
      <c r="N4776" s="1" t="s">
        <v>699</v>
      </c>
      <c r="P4776" s="1" t="s">
        <v>8448</v>
      </c>
      <c r="Q4776" s="3">
        <v>0</v>
      </c>
      <c r="R4776" s="22" t="s">
        <v>3635</v>
      </c>
      <c r="S4776" s="42" t="s">
        <v>6913</v>
      </c>
      <c r="T4776" s="3" t="s">
        <v>4866</v>
      </c>
      <c r="U4776" s="45">
        <v>35</v>
      </c>
      <c r="V4776" t="s">
        <v>8390</v>
      </c>
      <c r="W4776" s="1" t="str">
        <f>HYPERLINK("http://ictvonline.org/taxonomy/p/taxonomy-history?taxnode_id=201907633","ICTVonline=201907633")</f>
        <v>ICTVonline=201907633</v>
      </c>
    </row>
    <row r="4777" spans="1:23">
      <c r="A4777" s="3">
        <v>4776</v>
      </c>
      <c r="B4777" s="1" t="s">
        <v>5910</v>
      </c>
      <c r="D4777" s="1" t="s">
        <v>8187</v>
      </c>
      <c r="F4777" s="1" t="s">
        <v>5588</v>
      </c>
      <c r="G4777" s="1" t="s">
        <v>5678</v>
      </c>
      <c r="H4777" s="1" t="s">
        <v>5679</v>
      </c>
      <c r="J4777" s="1" t="s">
        <v>4052</v>
      </c>
      <c r="L4777" s="1" t="s">
        <v>4059</v>
      </c>
      <c r="N4777" s="1" t="s">
        <v>699</v>
      </c>
      <c r="P4777" s="1" t="s">
        <v>8449</v>
      </c>
      <c r="Q4777" s="3">
        <v>0</v>
      </c>
      <c r="R4777" s="22" t="s">
        <v>3635</v>
      </c>
      <c r="S4777" s="42" t="s">
        <v>6913</v>
      </c>
      <c r="T4777" s="3" t="s">
        <v>4866</v>
      </c>
      <c r="U4777" s="45">
        <v>35</v>
      </c>
      <c r="V4777" t="s">
        <v>8390</v>
      </c>
      <c r="W4777" s="1" t="str">
        <f>HYPERLINK("http://ictvonline.org/taxonomy/p/taxonomy-history?taxnode_id=201907632","ICTVonline=201907632")</f>
        <v>ICTVonline=201907632</v>
      </c>
    </row>
    <row r="4778" spans="1:23">
      <c r="A4778" s="3">
        <v>4777</v>
      </c>
      <c r="B4778" s="1" t="s">
        <v>5910</v>
      </c>
      <c r="D4778" s="1" t="s">
        <v>8187</v>
      </c>
      <c r="F4778" s="1" t="s">
        <v>5588</v>
      </c>
      <c r="G4778" s="1" t="s">
        <v>5678</v>
      </c>
      <c r="H4778" s="1" t="s">
        <v>5679</v>
      </c>
      <c r="J4778" s="1" t="s">
        <v>4052</v>
      </c>
      <c r="L4778" s="1" t="s">
        <v>4059</v>
      </c>
      <c r="N4778" s="1" t="s">
        <v>699</v>
      </c>
      <c r="P4778" s="1" t="s">
        <v>8450</v>
      </c>
      <c r="Q4778" s="3">
        <v>0</v>
      </c>
      <c r="R4778" s="22" t="s">
        <v>3635</v>
      </c>
      <c r="S4778" s="42" t="s">
        <v>6913</v>
      </c>
      <c r="T4778" s="3" t="s">
        <v>4866</v>
      </c>
      <c r="U4778" s="45">
        <v>35</v>
      </c>
      <c r="V4778" t="s">
        <v>8390</v>
      </c>
      <c r="W4778" s="1" t="str">
        <f>HYPERLINK("http://ictvonline.org/taxonomy/p/taxonomy-history?taxnode_id=201907583","ICTVonline=201907583")</f>
        <v>ICTVonline=201907583</v>
      </c>
    </row>
    <row r="4779" spans="1:23">
      <c r="A4779" s="3">
        <v>4778</v>
      </c>
      <c r="B4779" s="1" t="s">
        <v>5910</v>
      </c>
      <c r="D4779" s="1" t="s">
        <v>8187</v>
      </c>
      <c r="F4779" s="1" t="s">
        <v>5588</v>
      </c>
      <c r="G4779" s="1" t="s">
        <v>5678</v>
      </c>
      <c r="H4779" s="1" t="s">
        <v>5679</v>
      </c>
      <c r="J4779" s="1" t="s">
        <v>4052</v>
      </c>
      <c r="L4779" s="1" t="s">
        <v>4059</v>
      </c>
      <c r="N4779" s="1" t="s">
        <v>699</v>
      </c>
      <c r="P4779" s="1" t="s">
        <v>3698</v>
      </c>
      <c r="Q4779" s="3">
        <v>0</v>
      </c>
      <c r="R4779" s="22" t="s">
        <v>3635</v>
      </c>
      <c r="S4779" s="42" t="s">
        <v>6913</v>
      </c>
      <c r="T4779" s="3" t="s">
        <v>4868</v>
      </c>
      <c r="U4779" s="45">
        <v>35</v>
      </c>
      <c r="V4779" t="s">
        <v>8191</v>
      </c>
      <c r="W4779" s="1" t="str">
        <f>HYPERLINK("http://ictvonline.org/taxonomy/p/taxonomy-history?taxnode_id=201900164","ICTVonline=201900164")</f>
        <v>ICTVonline=201900164</v>
      </c>
    </row>
    <row r="4780" spans="1:23">
      <c r="A4780" s="3">
        <v>4779</v>
      </c>
      <c r="B4780" s="1" t="s">
        <v>5910</v>
      </c>
      <c r="D4780" s="1" t="s">
        <v>8187</v>
      </c>
      <c r="F4780" s="1" t="s">
        <v>5588</v>
      </c>
      <c r="G4780" s="1" t="s">
        <v>5678</v>
      </c>
      <c r="H4780" s="1" t="s">
        <v>5679</v>
      </c>
      <c r="J4780" s="1" t="s">
        <v>4052</v>
      </c>
      <c r="L4780" s="1" t="s">
        <v>4059</v>
      </c>
      <c r="N4780" s="1" t="s">
        <v>699</v>
      </c>
      <c r="P4780" s="1" t="s">
        <v>8451</v>
      </c>
      <c r="Q4780" s="3">
        <v>0</v>
      </c>
      <c r="R4780" s="22" t="s">
        <v>3635</v>
      </c>
      <c r="S4780" s="42" t="s">
        <v>6913</v>
      </c>
      <c r="T4780" s="3" t="s">
        <v>4866</v>
      </c>
      <c r="U4780" s="45">
        <v>35</v>
      </c>
      <c r="V4780" t="s">
        <v>8390</v>
      </c>
      <c r="W4780" s="1" t="str">
        <f>HYPERLINK("http://ictvonline.org/taxonomy/p/taxonomy-history?taxnode_id=201907589","ICTVonline=201907589")</f>
        <v>ICTVonline=201907589</v>
      </c>
    </row>
    <row r="4781" spans="1:23">
      <c r="A4781" s="3">
        <v>4780</v>
      </c>
      <c r="B4781" s="1" t="s">
        <v>5910</v>
      </c>
      <c r="D4781" s="1" t="s">
        <v>8187</v>
      </c>
      <c r="F4781" s="1" t="s">
        <v>5588</v>
      </c>
      <c r="G4781" s="1" t="s">
        <v>5678</v>
      </c>
      <c r="H4781" s="1" t="s">
        <v>5679</v>
      </c>
      <c r="J4781" s="1" t="s">
        <v>4052</v>
      </c>
      <c r="L4781" s="1" t="s">
        <v>4059</v>
      </c>
      <c r="N4781" s="1" t="s">
        <v>699</v>
      </c>
      <c r="P4781" s="1" t="s">
        <v>8452</v>
      </c>
      <c r="Q4781" s="3">
        <v>0</v>
      </c>
      <c r="R4781" s="22" t="s">
        <v>3635</v>
      </c>
      <c r="S4781" s="42" t="s">
        <v>6913</v>
      </c>
      <c r="T4781" s="3" t="s">
        <v>4866</v>
      </c>
      <c r="U4781" s="45">
        <v>35</v>
      </c>
      <c r="V4781" t="s">
        <v>8390</v>
      </c>
      <c r="W4781" s="1" t="str">
        <f>HYPERLINK("http://ictvonline.org/taxonomy/p/taxonomy-history?taxnode_id=201907612","ICTVonline=201907612")</f>
        <v>ICTVonline=201907612</v>
      </c>
    </row>
    <row r="4782" spans="1:23">
      <c r="A4782" s="3">
        <v>4781</v>
      </c>
      <c r="B4782" s="1" t="s">
        <v>5910</v>
      </c>
      <c r="D4782" s="1" t="s">
        <v>8187</v>
      </c>
      <c r="F4782" s="1" t="s">
        <v>5588</v>
      </c>
      <c r="G4782" s="1" t="s">
        <v>5678</v>
      </c>
      <c r="H4782" s="1" t="s">
        <v>5679</v>
      </c>
      <c r="J4782" s="1" t="s">
        <v>4052</v>
      </c>
      <c r="L4782" s="1" t="s">
        <v>4059</v>
      </c>
      <c r="N4782" s="1" t="s">
        <v>699</v>
      </c>
      <c r="P4782" s="1" t="s">
        <v>8453</v>
      </c>
      <c r="Q4782" s="3">
        <v>0</v>
      </c>
      <c r="R4782" s="22" t="s">
        <v>3635</v>
      </c>
      <c r="S4782" s="42" t="s">
        <v>6913</v>
      </c>
      <c r="T4782" s="3" t="s">
        <v>4866</v>
      </c>
      <c r="U4782" s="45">
        <v>35</v>
      </c>
      <c r="V4782" t="s">
        <v>8390</v>
      </c>
      <c r="W4782" s="1" t="str">
        <f>HYPERLINK("http://ictvonline.org/taxonomy/p/taxonomy-history?taxnode_id=201907608","ICTVonline=201907608")</f>
        <v>ICTVonline=201907608</v>
      </c>
    </row>
    <row r="4783" spans="1:23">
      <c r="A4783" s="3">
        <v>4782</v>
      </c>
      <c r="B4783" s="1" t="s">
        <v>5910</v>
      </c>
      <c r="D4783" s="1" t="s">
        <v>8187</v>
      </c>
      <c r="F4783" s="1" t="s">
        <v>5588</v>
      </c>
      <c r="G4783" s="1" t="s">
        <v>5678</v>
      </c>
      <c r="H4783" s="1" t="s">
        <v>5679</v>
      </c>
      <c r="J4783" s="1" t="s">
        <v>4052</v>
      </c>
      <c r="L4783" s="1" t="s">
        <v>4059</v>
      </c>
      <c r="N4783" s="1" t="s">
        <v>699</v>
      </c>
      <c r="P4783" s="1" t="s">
        <v>8454</v>
      </c>
      <c r="Q4783" s="3">
        <v>0</v>
      </c>
      <c r="R4783" s="22" t="s">
        <v>3635</v>
      </c>
      <c r="S4783" s="42" t="s">
        <v>6913</v>
      </c>
      <c r="T4783" s="3" t="s">
        <v>4866</v>
      </c>
      <c r="U4783" s="45">
        <v>35</v>
      </c>
      <c r="V4783" t="s">
        <v>8390</v>
      </c>
      <c r="W4783" s="1" t="str">
        <f>HYPERLINK("http://ictvonline.org/taxonomy/p/taxonomy-history?taxnode_id=201907616","ICTVonline=201907616")</f>
        <v>ICTVonline=201907616</v>
      </c>
    </row>
    <row r="4784" spans="1:23">
      <c r="A4784" s="3">
        <v>4783</v>
      </c>
      <c r="B4784" s="1" t="s">
        <v>5910</v>
      </c>
      <c r="D4784" s="1" t="s">
        <v>8187</v>
      </c>
      <c r="F4784" s="1" t="s">
        <v>5588</v>
      </c>
      <c r="G4784" s="1" t="s">
        <v>5678</v>
      </c>
      <c r="H4784" s="1" t="s">
        <v>5679</v>
      </c>
      <c r="J4784" s="1" t="s">
        <v>4052</v>
      </c>
      <c r="L4784" s="1" t="s">
        <v>4059</v>
      </c>
      <c r="N4784" s="1" t="s">
        <v>699</v>
      </c>
      <c r="P4784" s="1" t="s">
        <v>8455</v>
      </c>
      <c r="Q4784" s="3">
        <v>0</v>
      </c>
      <c r="R4784" s="22" t="s">
        <v>3635</v>
      </c>
      <c r="S4784" s="42" t="s">
        <v>6913</v>
      </c>
      <c r="T4784" s="3" t="s">
        <v>4866</v>
      </c>
      <c r="U4784" s="45">
        <v>35</v>
      </c>
      <c r="V4784" t="s">
        <v>8390</v>
      </c>
      <c r="W4784" s="1" t="str">
        <f>HYPERLINK("http://ictvonline.org/taxonomy/p/taxonomy-history?taxnode_id=201907598","ICTVonline=201907598")</f>
        <v>ICTVonline=201907598</v>
      </c>
    </row>
    <row r="4785" spans="1:23">
      <c r="A4785" s="3">
        <v>4784</v>
      </c>
      <c r="B4785" s="1" t="s">
        <v>5910</v>
      </c>
      <c r="D4785" s="1" t="s">
        <v>8187</v>
      </c>
      <c r="F4785" s="1" t="s">
        <v>5588</v>
      </c>
      <c r="G4785" s="1" t="s">
        <v>5678</v>
      </c>
      <c r="H4785" s="1" t="s">
        <v>5679</v>
      </c>
      <c r="J4785" s="1" t="s">
        <v>4052</v>
      </c>
      <c r="L4785" s="1" t="s">
        <v>4059</v>
      </c>
      <c r="N4785" s="1" t="s">
        <v>699</v>
      </c>
      <c r="P4785" s="1" t="s">
        <v>8456</v>
      </c>
      <c r="Q4785" s="3">
        <v>0</v>
      </c>
      <c r="R4785" s="22" t="s">
        <v>3635</v>
      </c>
      <c r="S4785" s="42" t="s">
        <v>6913</v>
      </c>
      <c r="T4785" s="3" t="s">
        <v>4866</v>
      </c>
      <c r="U4785" s="45">
        <v>35</v>
      </c>
      <c r="V4785" t="s">
        <v>8390</v>
      </c>
      <c r="W4785" s="1" t="str">
        <f>HYPERLINK("http://ictvonline.org/taxonomy/p/taxonomy-history?taxnode_id=201907610","ICTVonline=201907610")</f>
        <v>ICTVonline=201907610</v>
      </c>
    </row>
    <row r="4786" spans="1:23">
      <c r="A4786" s="3">
        <v>4785</v>
      </c>
      <c r="B4786" s="1" t="s">
        <v>5910</v>
      </c>
      <c r="D4786" s="1" t="s">
        <v>8187</v>
      </c>
      <c r="F4786" s="1" t="s">
        <v>5588</v>
      </c>
      <c r="G4786" s="1" t="s">
        <v>5678</v>
      </c>
      <c r="H4786" s="1" t="s">
        <v>5679</v>
      </c>
      <c r="J4786" s="1" t="s">
        <v>4052</v>
      </c>
      <c r="L4786" s="1" t="s">
        <v>4059</v>
      </c>
      <c r="N4786" s="1" t="s">
        <v>699</v>
      </c>
      <c r="P4786" s="1" t="s">
        <v>8457</v>
      </c>
      <c r="Q4786" s="3">
        <v>0</v>
      </c>
      <c r="R4786" s="22" t="s">
        <v>3635</v>
      </c>
      <c r="S4786" s="42" t="s">
        <v>6913</v>
      </c>
      <c r="T4786" s="3" t="s">
        <v>4866</v>
      </c>
      <c r="U4786" s="45">
        <v>35</v>
      </c>
      <c r="V4786" t="s">
        <v>8390</v>
      </c>
      <c r="W4786" s="1" t="str">
        <f>HYPERLINK("http://ictvonline.org/taxonomy/p/taxonomy-history?taxnode_id=201907618","ICTVonline=201907618")</f>
        <v>ICTVonline=201907618</v>
      </c>
    </row>
    <row r="4787" spans="1:23">
      <c r="A4787" s="3">
        <v>4786</v>
      </c>
      <c r="B4787" s="1" t="s">
        <v>5910</v>
      </c>
      <c r="D4787" s="1" t="s">
        <v>8187</v>
      </c>
      <c r="F4787" s="1" t="s">
        <v>5588</v>
      </c>
      <c r="G4787" s="1" t="s">
        <v>5678</v>
      </c>
      <c r="H4787" s="1" t="s">
        <v>5679</v>
      </c>
      <c r="J4787" s="1" t="s">
        <v>4052</v>
      </c>
      <c r="L4787" s="1" t="s">
        <v>4059</v>
      </c>
      <c r="N4787" s="1" t="s">
        <v>699</v>
      </c>
      <c r="P4787" s="1" t="s">
        <v>8458</v>
      </c>
      <c r="Q4787" s="3">
        <v>0</v>
      </c>
      <c r="R4787" s="22" t="s">
        <v>3635</v>
      </c>
      <c r="S4787" s="42" t="s">
        <v>6913</v>
      </c>
      <c r="T4787" s="3" t="s">
        <v>4866</v>
      </c>
      <c r="U4787" s="45">
        <v>35</v>
      </c>
      <c r="V4787" t="s">
        <v>8390</v>
      </c>
      <c r="W4787" s="1" t="str">
        <f>HYPERLINK("http://ictvonline.org/taxonomy/p/taxonomy-history?taxnode_id=201907590","ICTVonline=201907590")</f>
        <v>ICTVonline=201907590</v>
      </c>
    </row>
    <row r="4788" spans="1:23">
      <c r="A4788" s="3">
        <v>4787</v>
      </c>
      <c r="B4788" s="1" t="s">
        <v>5910</v>
      </c>
      <c r="D4788" s="1" t="s">
        <v>8187</v>
      </c>
      <c r="F4788" s="1" t="s">
        <v>5588</v>
      </c>
      <c r="G4788" s="1" t="s">
        <v>5678</v>
      </c>
      <c r="H4788" s="1" t="s">
        <v>5679</v>
      </c>
      <c r="J4788" s="1" t="s">
        <v>4052</v>
      </c>
      <c r="L4788" s="1" t="s">
        <v>4059</v>
      </c>
      <c r="N4788" s="1" t="s">
        <v>699</v>
      </c>
      <c r="P4788" s="1" t="s">
        <v>8459</v>
      </c>
      <c r="Q4788" s="3">
        <v>0</v>
      </c>
      <c r="R4788" s="22" t="s">
        <v>3635</v>
      </c>
      <c r="S4788" s="42" t="s">
        <v>6913</v>
      </c>
      <c r="T4788" s="3" t="s">
        <v>4866</v>
      </c>
      <c r="U4788" s="45">
        <v>35</v>
      </c>
      <c r="V4788" t="s">
        <v>8390</v>
      </c>
      <c r="W4788" s="1" t="str">
        <f>HYPERLINK("http://ictvonline.org/taxonomy/p/taxonomy-history?taxnode_id=201907628","ICTVonline=201907628")</f>
        <v>ICTVonline=201907628</v>
      </c>
    </row>
    <row r="4789" spans="1:23">
      <c r="A4789" s="3">
        <v>4788</v>
      </c>
      <c r="B4789" s="1" t="s">
        <v>5910</v>
      </c>
      <c r="D4789" s="1" t="s">
        <v>8187</v>
      </c>
      <c r="F4789" s="1" t="s">
        <v>5588</v>
      </c>
      <c r="G4789" s="1" t="s">
        <v>5678</v>
      </c>
      <c r="H4789" s="1" t="s">
        <v>5679</v>
      </c>
      <c r="J4789" s="1" t="s">
        <v>4052</v>
      </c>
      <c r="L4789" s="1" t="s">
        <v>4059</v>
      </c>
      <c r="N4789" s="1" t="s">
        <v>699</v>
      </c>
      <c r="P4789" s="1" t="s">
        <v>8460</v>
      </c>
      <c r="Q4789" s="3">
        <v>0</v>
      </c>
      <c r="R4789" s="22" t="s">
        <v>3635</v>
      </c>
      <c r="S4789" s="42" t="s">
        <v>6913</v>
      </c>
      <c r="T4789" s="3" t="s">
        <v>4866</v>
      </c>
      <c r="U4789" s="45">
        <v>35</v>
      </c>
      <c r="V4789" t="s">
        <v>8390</v>
      </c>
      <c r="W4789" s="1" t="str">
        <f>HYPERLINK("http://ictvonline.org/taxonomy/p/taxonomy-history?taxnode_id=201907601","ICTVonline=201907601")</f>
        <v>ICTVonline=201907601</v>
      </c>
    </row>
    <row r="4790" spans="1:23">
      <c r="A4790" s="3">
        <v>4789</v>
      </c>
      <c r="B4790" s="1" t="s">
        <v>5910</v>
      </c>
      <c r="D4790" s="1" t="s">
        <v>8187</v>
      </c>
      <c r="F4790" s="1" t="s">
        <v>5588</v>
      </c>
      <c r="G4790" s="1" t="s">
        <v>5678</v>
      </c>
      <c r="H4790" s="1" t="s">
        <v>5679</v>
      </c>
      <c r="J4790" s="1" t="s">
        <v>4052</v>
      </c>
      <c r="L4790" s="1" t="s">
        <v>4059</v>
      </c>
      <c r="N4790" s="1" t="s">
        <v>699</v>
      </c>
      <c r="P4790" s="1" t="s">
        <v>8461</v>
      </c>
      <c r="Q4790" s="3">
        <v>0</v>
      </c>
      <c r="R4790" s="22" t="s">
        <v>3635</v>
      </c>
      <c r="S4790" s="42" t="s">
        <v>6913</v>
      </c>
      <c r="T4790" s="3" t="s">
        <v>4866</v>
      </c>
      <c r="U4790" s="45">
        <v>35</v>
      </c>
      <c r="V4790" t="s">
        <v>8390</v>
      </c>
      <c r="W4790" s="1" t="str">
        <f>HYPERLINK("http://ictvonline.org/taxonomy/p/taxonomy-history?taxnode_id=201907603","ICTVonline=201907603")</f>
        <v>ICTVonline=201907603</v>
      </c>
    </row>
    <row r="4791" spans="1:23">
      <c r="A4791" s="3">
        <v>4790</v>
      </c>
      <c r="B4791" s="1" t="s">
        <v>5910</v>
      </c>
      <c r="D4791" s="1" t="s">
        <v>8187</v>
      </c>
      <c r="F4791" s="1" t="s">
        <v>5588</v>
      </c>
      <c r="G4791" s="1" t="s">
        <v>5678</v>
      </c>
      <c r="H4791" s="1" t="s">
        <v>5679</v>
      </c>
      <c r="J4791" s="1" t="s">
        <v>4052</v>
      </c>
      <c r="L4791" s="1" t="s">
        <v>4059</v>
      </c>
      <c r="N4791" s="1" t="s">
        <v>699</v>
      </c>
      <c r="P4791" s="1" t="s">
        <v>8462</v>
      </c>
      <c r="Q4791" s="3">
        <v>0</v>
      </c>
      <c r="R4791" s="22" t="s">
        <v>3635</v>
      </c>
      <c r="S4791" s="42" t="s">
        <v>6913</v>
      </c>
      <c r="T4791" s="3" t="s">
        <v>4866</v>
      </c>
      <c r="U4791" s="45">
        <v>35</v>
      </c>
      <c r="V4791" t="s">
        <v>8390</v>
      </c>
      <c r="W4791" s="1" t="str">
        <f>HYPERLINK("http://ictvonline.org/taxonomy/p/taxonomy-history?taxnode_id=201907604","ICTVonline=201907604")</f>
        <v>ICTVonline=201907604</v>
      </c>
    </row>
    <row r="4792" spans="1:23">
      <c r="A4792" s="3">
        <v>4791</v>
      </c>
      <c r="B4792" s="1" t="s">
        <v>5910</v>
      </c>
      <c r="D4792" s="1" t="s">
        <v>8187</v>
      </c>
      <c r="F4792" s="1" t="s">
        <v>5588</v>
      </c>
      <c r="G4792" s="1" t="s">
        <v>5678</v>
      </c>
      <c r="H4792" s="1" t="s">
        <v>5679</v>
      </c>
      <c r="J4792" s="1" t="s">
        <v>4052</v>
      </c>
      <c r="L4792" s="1" t="s">
        <v>4059</v>
      </c>
      <c r="N4792" s="1" t="s">
        <v>699</v>
      </c>
      <c r="P4792" s="1" t="s">
        <v>8463</v>
      </c>
      <c r="Q4792" s="3">
        <v>0</v>
      </c>
      <c r="R4792" s="22" t="s">
        <v>3635</v>
      </c>
      <c r="S4792" s="42" t="s">
        <v>6913</v>
      </c>
      <c r="T4792" s="3" t="s">
        <v>4866</v>
      </c>
      <c r="U4792" s="45">
        <v>35</v>
      </c>
      <c r="V4792" t="s">
        <v>8390</v>
      </c>
      <c r="W4792" s="1" t="str">
        <f>HYPERLINK("http://ictvonline.org/taxonomy/p/taxonomy-history?taxnode_id=201907617","ICTVonline=201907617")</f>
        <v>ICTVonline=201907617</v>
      </c>
    </row>
    <row r="4793" spans="1:23">
      <c r="A4793" s="3">
        <v>4792</v>
      </c>
      <c r="B4793" s="1" t="s">
        <v>5910</v>
      </c>
      <c r="D4793" s="1" t="s">
        <v>8187</v>
      </c>
      <c r="F4793" s="1" t="s">
        <v>5588</v>
      </c>
      <c r="G4793" s="1" t="s">
        <v>5678</v>
      </c>
      <c r="H4793" s="1" t="s">
        <v>5679</v>
      </c>
      <c r="J4793" s="1" t="s">
        <v>4052</v>
      </c>
      <c r="L4793" s="1" t="s">
        <v>4059</v>
      </c>
      <c r="N4793" s="1" t="s">
        <v>5717</v>
      </c>
      <c r="P4793" s="1" t="s">
        <v>5718</v>
      </c>
      <c r="Q4793" s="3">
        <v>1</v>
      </c>
      <c r="R4793" s="22" t="s">
        <v>2722</v>
      </c>
      <c r="S4793" s="42" t="s">
        <v>6913</v>
      </c>
      <c r="T4793" s="3" t="s">
        <v>4868</v>
      </c>
      <c r="U4793" s="45">
        <v>35</v>
      </c>
      <c r="V4793" t="s">
        <v>8191</v>
      </c>
      <c r="W4793" s="1" t="str">
        <f>HYPERLINK("http://ictvonline.org/taxonomy/p/taxonomy-history?taxnode_id=201906236","ICTVonline=201906236")</f>
        <v>ICTVonline=201906236</v>
      </c>
    </row>
    <row r="4794" spans="1:23">
      <c r="A4794" s="3">
        <v>4793</v>
      </c>
      <c r="B4794" s="1" t="s">
        <v>5910</v>
      </c>
      <c r="D4794" s="1" t="s">
        <v>8187</v>
      </c>
      <c r="F4794" s="1" t="s">
        <v>5588</v>
      </c>
      <c r="G4794" s="1" t="s">
        <v>5678</v>
      </c>
      <c r="H4794" s="1" t="s">
        <v>5679</v>
      </c>
      <c r="J4794" s="1" t="s">
        <v>4052</v>
      </c>
      <c r="L4794" s="1" t="s">
        <v>4059</v>
      </c>
      <c r="N4794" s="1" t="s">
        <v>8464</v>
      </c>
      <c r="P4794" s="1" t="s">
        <v>8465</v>
      </c>
      <c r="Q4794" s="3">
        <v>1</v>
      </c>
      <c r="R4794" s="22" t="s">
        <v>3635</v>
      </c>
      <c r="S4794" s="42" t="s">
        <v>6914</v>
      </c>
      <c r="T4794" s="3" t="s">
        <v>4866</v>
      </c>
      <c r="U4794" s="45">
        <v>35</v>
      </c>
      <c r="V4794" t="s">
        <v>8390</v>
      </c>
      <c r="W4794" s="1" t="str">
        <f>HYPERLINK("http://ictvonline.org/taxonomy/p/taxonomy-history?taxnode_id=201907648","ICTVonline=201907648")</f>
        <v>ICTVonline=201907648</v>
      </c>
    </row>
    <row r="4795" spans="1:23">
      <c r="A4795" s="3">
        <v>4794</v>
      </c>
      <c r="B4795" s="1" t="s">
        <v>5910</v>
      </c>
      <c r="D4795" s="1" t="s">
        <v>8187</v>
      </c>
      <c r="F4795" s="1" t="s">
        <v>5588</v>
      </c>
      <c r="G4795" s="1" t="s">
        <v>5678</v>
      </c>
      <c r="H4795" s="1" t="s">
        <v>5679</v>
      </c>
      <c r="J4795" s="1" t="s">
        <v>4052</v>
      </c>
      <c r="L4795" s="1" t="s">
        <v>4059</v>
      </c>
      <c r="N4795" s="1" t="s">
        <v>8464</v>
      </c>
      <c r="P4795" s="1" t="s">
        <v>8466</v>
      </c>
      <c r="Q4795" s="3">
        <v>0</v>
      </c>
      <c r="R4795" s="22" t="s">
        <v>3635</v>
      </c>
      <c r="S4795" s="42" t="s">
        <v>6914</v>
      </c>
      <c r="T4795" s="3" t="s">
        <v>4866</v>
      </c>
      <c r="U4795" s="45">
        <v>35</v>
      </c>
      <c r="V4795" t="s">
        <v>8390</v>
      </c>
      <c r="W4795" s="1" t="str">
        <f>HYPERLINK("http://ictvonline.org/taxonomy/p/taxonomy-history?taxnode_id=201907649","ICTVonline=201907649")</f>
        <v>ICTVonline=201907649</v>
      </c>
    </row>
    <row r="4796" spans="1:23">
      <c r="A4796" s="3">
        <v>4795</v>
      </c>
      <c r="B4796" s="1" t="s">
        <v>5910</v>
      </c>
      <c r="D4796" s="1" t="s">
        <v>8187</v>
      </c>
      <c r="F4796" s="1" t="s">
        <v>5588</v>
      </c>
      <c r="G4796" s="1" t="s">
        <v>5678</v>
      </c>
      <c r="H4796" s="1" t="s">
        <v>5679</v>
      </c>
      <c r="J4796" s="1" t="s">
        <v>4052</v>
      </c>
      <c r="L4796" s="1" t="s">
        <v>4059</v>
      </c>
      <c r="N4796" s="1" t="s">
        <v>1078</v>
      </c>
      <c r="P4796" s="1" t="s">
        <v>4033</v>
      </c>
      <c r="Q4796" s="3">
        <v>0</v>
      </c>
      <c r="R4796" s="22" t="s">
        <v>2722</v>
      </c>
      <c r="S4796" s="42" t="s">
        <v>6913</v>
      </c>
      <c r="T4796" s="3" t="s">
        <v>4868</v>
      </c>
      <c r="U4796" s="45">
        <v>35</v>
      </c>
      <c r="V4796" t="s">
        <v>8191</v>
      </c>
      <c r="W4796" s="1" t="str">
        <f>HYPERLINK("http://ictvonline.org/taxonomy/p/taxonomy-history?taxnode_id=201900169","ICTVonline=201900169")</f>
        <v>ICTVonline=201900169</v>
      </c>
    </row>
    <row r="4797" spans="1:23">
      <c r="A4797" s="3">
        <v>4796</v>
      </c>
      <c r="B4797" s="1" t="s">
        <v>5910</v>
      </c>
      <c r="D4797" s="1" t="s">
        <v>8187</v>
      </c>
      <c r="F4797" s="1" t="s">
        <v>5588</v>
      </c>
      <c r="G4797" s="1" t="s">
        <v>5678</v>
      </c>
      <c r="H4797" s="1" t="s">
        <v>5679</v>
      </c>
      <c r="J4797" s="1" t="s">
        <v>4052</v>
      </c>
      <c r="L4797" s="1" t="s">
        <v>4059</v>
      </c>
      <c r="N4797" s="1" t="s">
        <v>1078</v>
      </c>
      <c r="P4797" s="1" t="s">
        <v>4034</v>
      </c>
      <c r="Q4797" s="3">
        <v>0</v>
      </c>
      <c r="R4797" s="22" t="s">
        <v>2722</v>
      </c>
      <c r="S4797" s="42" t="s">
        <v>6913</v>
      </c>
      <c r="T4797" s="3" t="s">
        <v>4868</v>
      </c>
      <c r="U4797" s="45">
        <v>35</v>
      </c>
      <c r="V4797" t="s">
        <v>8191</v>
      </c>
      <c r="W4797" s="1" t="str">
        <f>HYPERLINK("http://ictvonline.org/taxonomy/p/taxonomy-history?taxnode_id=201900170","ICTVonline=201900170")</f>
        <v>ICTVonline=201900170</v>
      </c>
    </row>
    <row r="4798" spans="1:23">
      <c r="A4798" s="3">
        <v>4797</v>
      </c>
      <c r="B4798" s="1" t="s">
        <v>5910</v>
      </c>
      <c r="D4798" s="1" t="s">
        <v>8187</v>
      </c>
      <c r="F4798" s="1" t="s">
        <v>5588</v>
      </c>
      <c r="G4798" s="1" t="s">
        <v>5678</v>
      </c>
      <c r="H4798" s="1" t="s">
        <v>5679</v>
      </c>
      <c r="J4798" s="1" t="s">
        <v>4052</v>
      </c>
      <c r="L4798" s="1" t="s">
        <v>4059</v>
      </c>
      <c r="N4798" s="1" t="s">
        <v>1078</v>
      </c>
      <c r="P4798" s="1" t="s">
        <v>4035</v>
      </c>
      <c r="Q4798" s="3">
        <v>0</v>
      </c>
      <c r="R4798" s="22" t="s">
        <v>2722</v>
      </c>
      <c r="S4798" s="42" t="s">
        <v>6913</v>
      </c>
      <c r="T4798" s="3" t="s">
        <v>4868</v>
      </c>
      <c r="U4798" s="45">
        <v>35</v>
      </c>
      <c r="V4798" t="s">
        <v>8191</v>
      </c>
      <c r="W4798" s="1" t="str">
        <f>HYPERLINK("http://ictvonline.org/taxonomy/p/taxonomy-history?taxnode_id=201900171","ICTVonline=201900171")</f>
        <v>ICTVonline=201900171</v>
      </c>
    </row>
    <row r="4799" spans="1:23">
      <c r="A4799" s="3">
        <v>4798</v>
      </c>
      <c r="B4799" s="1" t="s">
        <v>5910</v>
      </c>
      <c r="D4799" s="1" t="s">
        <v>8187</v>
      </c>
      <c r="F4799" s="1" t="s">
        <v>5588</v>
      </c>
      <c r="G4799" s="1" t="s">
        <v>5678</v>
      </c>
      <c r="H4799" s="1" t="s">
        <v>5679</v>
      </c>
      <c r="J4799" s="1" t="s">
        <v>4052</v>
      </c>
      <c r="L4799" s="1" t="s">
        <v>4059</v>
      </c>
      <c r="N4799" s="1" t="s">
        <v>1078</v>
      </c>
      <c r="P4799" s="1" t="s">
        <v>8467</v>
      </c>
      <c r="Q4799" s="3">
        <v>0</v>
      </c>
      <c r="R4799" s="22" t="s">
        <v>2722</v>
      </c>
      <c r="S4799" s="42" t="s">
        <v>6914</v>
      </c>
      <c r="T4799" s="3" t="s">
        <v>4866</v>
      </c>
      <c r="U4799" s="45">
        <v>35</v>
      </c>
      <c r="V4799" t="s">
        <v>8390</v>
      </c>
      <c r="W4799" s="1" t="str">
        <f>HYPERLINK("http://ictvonline.org/taxonomy/p/taxonomy-history?taxnode_id=201907650","ICTVonline=201907650")</f>
        <v>ICTVonline=201907650</v>
      </c>
    </row>
    <row r="4800" spans="1:23">
      <c r="A4800" s="3">
        <v>4799</v>
      </c>
      <c r="B4800" s="1" t="s">
        <v>5910</v>
      </c>
      <c r="D4800" s="1" t="s">
        <v>8187</v>
      </c>
      <c r="F4800" s="1" t="s">
        <v>5588</v>
      </c>
      <c r="G4800" s="1" t="s">
        <v>5678</v>
      </c>
      <c r="H4800" s="1" t="s">
        <v>5679</v>
      </c>
      <c r="J4800" s="1" t="s">
        <v>4052</v>
      </c>
      <c r="L4800" s="1" t="s">
        <v>4059</v>
      </c>
      <c r="N4800" s="1" t="s">
        <v>1078</v>
      </c>
      <c r="P4800" s="1" t="s">
        <v>4036</v>
      </c>
      <c r="Q4800" s="3">
        <v>0</v>
      </c>
      <c r="R4800" s="22" t="s">
        <v>2722</v>
      </c>
      <c r="S4800" s="42" t="s">
        <v>6913</v>
      </c>
      <c r="T4800" s="3" t="s">
        <v>4868</v>
      </c>
      <c r="U4800" s="45">
        <v>35</v>
      </c>
      <c r="V4800" t="s">
        <v>8191</v>
      </c>
      <c r="W4800" s="1" t="str">
        <f>HYPERLINK("http://ictvonline.org/taxonomy/p/taxonomy-history?taxnode_id=201900172","ICTVonline=201900172")</f>
        <v>ICTVonline=201900172</v>
      </c>
    </row>
    <row r="4801" spans="1:23">
      <c r="A4801" s="3">
        <v>4800</v>
      </c>
      <c r="B4801" s="1" t="s">
        <v>5910</v>
      </c>
      <c r="D4801" s="1" t="s">
        <v>8187</v>
      </c>
      <c r="F4801" s="1" t="s">
        <v>5588</v>
      </c>
      <c r="G4801" s="1" t="s">
        <v>5678</v>
      </c>
      <c r="H4801" s="1" t="s">
        <v>5679</v>
      </c>
      <c r="J4801" s="1" t="s">
        <v>4052</v>
      </c>
      <c r="L4801" s="1" t="s">
        <v>4059</v>
      </c>
      <c r="N4801" s="1" t="s">
        <v>1078</v>
      </c>
      <c r="P4801" s="1" t="s">
        <v>4037</v>
      </c>
      <c r="Q4801" s="3">
        <v>0</v>
      </c>
      <c r="R4801" s="22" t="s">
        <v>2722</v>
      </c>
      <c r="S4801" s="42" t="s">
        <v>6913</v>
      </c>
      <c r="T4801" s="3" t="s">
        <v>4868</v>
      </c>
      <c r="U4801" s="45">
        <v>35</v>
      </c>
      <c r="V4801" t="s">
        <v>8191</v>
      </c>
      <c r="W4801" s="1" t="str">
        <f>HYPERLINK("http://ictvonline.org/taxonomy/p/taxonomy-history?taxnode_id=201900173","ICTVonline=201900173")</f>
        <v>ICTVonline=201900173</v>
      </c>
    </row>
    <row r="4802" spans="1:23">
      <c r="A4802" s="3">
        <v>4801</v>
      </c>
      <c r="B4802" s="1" t="s">
        <v>5910</v>
      </c>
      <c r="D4802" s="1" t="s">
        <v>8187</v>
      </c>
      <c r="F4802" s="1" t="s">
        <v>5588</v>
      </c>
      <c r="G4802" s="1" t="s">
        <v>5678</v>
      </c>
      <c r="H4802" s="1" t="s">
        <v>5679</v>
      </c>
      <c r="J4802" s="1" t="s">
        <v>4052</v>
      </c>
      <c r="L4802" s="1" t="s">
        <v>4059</v>
      </c>
      <c r="N4802" s="1" t="s">
        <v>1078</v>
      </c>
      <c r="P4802" s="1" t="s">
        <v>4038</v>
      </c>
      <c r="Q4802" s="3">
        <v>1</v>
      </c>
      <c r="R4802" s="22" t="s">
        <v>2722</v>
      </c>
      <c r="S4802" s="42" t="s">
        <v>6913</v>
      </c>
      <c r="T4802" s="3" t="s">
        <v>4868</v>
      </c>
      <c r="U4802" s="45">
        <v>35</v>
      </c>
      <c r="V4802" t="s">
        <v>8191</v>
      </c>
      <c r="W4802" s="1" t="str">
        <f>HYPERLINK("http://ictvonline.org/taxonomy/p/taxonomy-history?taxnode_id=201900174","ICTVonline=201900174")</f>
        <v>ICTVonline=201900174</v>
      </c>
    </row>
    <row r="4803" spans="1:23">
      <c r="A4803" s="3">
        <v>4802</v>
      </c>
      <c r="B4803" s="1" t="s">
        <v>5910</v>
      </c>
      <c r="D4803" s="1" t="s">
        <v>8187</v>
      </c>
      <c r="F4803" s="1" t="s">
        <v>5588</v>
      </c>
      <c r="G4803" s="1" t="s">
        <v>5678</v>
      </c>
      <c r="H4803" s="1" t="s">
        <v>5679</v>
      </c>
      <c r="J4803" s="1" t="s">
        <v>4052</v>
      </c>
      <c r="L4803" s="1" t="s">
        <v>4059</v>
      </c>
      <c r="N4803" s="1" t="s">
        <v>1078</v>
      </c>
      <c r="P4803" s="1" t="s">
        <v>4039</v>
      </c>
      <c r="Q4803" s="3">
        <v>0</v>
      </c>
      <c r="R4803" s="22" t="s">
        <v>2722</v>
      </c>
      <c r="S4803" s="42" t="s">
        <v>6913</v>
      </c>
      <c r="T4803" s="3" t="s">
        <v>4868</v>
      </c>
      <c r="U4803" s="45">
        <v>35</v>
      </c>
      <c r="V4803" t="s">
        <v>8191</v>
      </c>
      <c r="W4803" s="1" t="str">
        <f>HYPERLINK("http://ictvonline.org/taxonomy/p/taxonomy-history?taxnode_id=201900175","ICTVonline=201900175")</f>
        <v>ICTVonline=201900175</v>
      </c>
    </row>
    <row r="4804" spans="1:23">
      <c r="A4804" s="3">
        <v>4803</v>
      </c>
      <c r="B4804" s="1" t="s">
        <v>5910</v>
      </c>
      <c r="D4804" s="1" t="s">
        <v>8187</v>
      </c>
      <c r="F4804" s="1" t="s">
        <v>5588</v>
      </c>
      <c r="G4804" s="1" t="s">
        <v>5678</v>
      </c>
      <c r="H4804" s="1" t="s">
        <v>5679</v>
      </c>
      <c r="J4804" s="1" t="s">
        <v>4052</v>
      </c>
      <c r="L4804" s="1" t="s">
        <v>4059</v>
      </c>
      <c r="N4804" s="1" t="s">
        <v>8468</v>
      </c>
      <c r="P4804" s="1" t="s">
        <v>8469</v>
      </c>
      <c r="Q4804" s="3">
        <v>0</v>
      </c>
      <c r="R4804" s="22" t="s">
        <v>3635</v>
      </c>
      <c r="S4804" s="42" t="s">
        <v>6914</v>
      </c>
      <c r="T4804" s="3" t="s">
        <v>4866</v>
      </c>
      <c r="U4804" s="45">
        <v>35</v>
      </c>
      <c r="V4804" t="s">
        <v>8390</v>
      </c>
      <c r="W4804" s="1" t="str">
        <f>HYPERLINK("http://ictvonline.org/taxonomy/p/taxonomy-history?taxnode_id=201907569","ICTVonline=201907569")</f>
        <v>ICTVonline=201907569</v>
      </c>
    </row>
    <row r="4805" spans="1:23">
      <c r="A4805" s="3">
        <v>4804</v>
      </c>
      <c r="B4805" s="1" t="s">
        <v>5910</v>
      </c>
      <c r="D4805" s="1" t="s">
        <v>8187</v>
      </c>
      <c r="F4805" s="1" t="s">
        <v>5588</v>
      </c>
      <c r="G4805" s="1" t="s">
        <v>5678</v>
      </c>
      <c r="H4805" s="1" t="s">
        <v>5679</v>
      </c>
      <c r="J4805" s="1" t="s">
        <v>4052</v>
      </c>
      <c r="L4805" s="1" t="s">
        <v>4059</v>
      </c>
      <c r="N4805" s="1" t="s">
        <v>8468</v>
      </c>
      <c r="P4805" s="1" t="s">
        <v>8470</v>
      </c>
      <c r="Q4805" s="3">
        <v>0</v>
      </c>
      <c r="R4805" s="22" t="s">
        <v>3635</v>
      </c>
      <c r="S4805" s="42" t="s">
        <v>6914</v>
      </c>
      <c r="T4805" s="3" t="s">
        <v>4866</v>
      </c>
      <c r="U4805" s="45">
        <v>35</v>
      </c>
      <c r="V4805" t="s">
        <v>8390</v>
      </c>
      <c r="W4805" s="1" t="str">
        <f>HYPERLINK("http://ictvonline.org/taxonomy/p/taxonomy-history?taxnode_id=201907581","ICTVonline=201907581")</f>
        <v>ICTVonline=201907581</v>
      </c>
    </row>
    <row r="4806" spans="1:23">
      <c r="A4806" s="3">
        <v>4805</v>
      </c>
      <c r="B4806" s="1" t="s">
        <v>5910</v>
      </c>
      <c r="D4806" s="1" t="s">
        <v>8187</v>
      </c>
      <c r="F4806" s="1" t="s">
        <v>5588</v>
      </c>
      <c r="G4806" s="1" t="s">
        <v>5678</v>
      </c>
      <c r="H4806" s="1" t="s">
        <v>5679</v>
      </c>
      <c r="J4806" s="1" t="s">
        <v>4052</v>
      </c>
      <c r="L4806" s="1" t="s">
        <v>4059</v>
      </c>
      <c r="N4806" s="1" t="s">
        <v>8468</v>
      </c>
      <c r="P4806" s="1" t="s">
        <v>8471</v>
      </c>
      <c r="Q4806" s="3">
        <v>0</v>
      </c>
      <c r="R4806" s="22" t="s">
        <v>3635</v>
      </c>
      <c r="S4806" s="42" t="s">
        <v>6914</v>
      </c>
      <c r="T4806" s="3" t="s">
        <v>4866</v>
      </c>
      <c r="U4806" s="45">
        <v>35</v>
      </c>
      <c r="V4806" t="s">
        <v>8390</v>
      </c>
      <c r="W4806" s="1" t="str">
        <f>HYPERLINK("http://ictvonline.org/taxonomy/p/taxonomy-history?taxnode_id=201907575","ICTVonline=201907575")</f>
        <v>ICTVonline=201907575</v>
      </c>
    </row>
    <row r="4807" spans="1:23">
      <c r="A4807" s="3">
        <v>4806</v>
      </c>
      <c r="B4807" s="1" t="s">
        <v>5910</v>
      </c>
      <c r="D4807" s="1" t="s">
        <v>8187</v>
      </c>
      <c r="F4807" s="1" t="s">
        <v>5588</v>
      </c>
      <c r="G4807" s="1" t="s">
        <v>5678</v>
      </c>
      <c r="H4807" s="1" t="s">
        <v>5679</v>
      </c>
      <c r="J4807" s="1" t="s">
        <v>4052</v>
      </c>
      <c r="L4807" s="1" t="s">
        <v>4059</v>
      </c>
      <c r="N4807" s="1" t="s">
        <v>8468</v>
      </c>
      <c r="P4807" s="1" t="s">
        <v>8472</v>
      </c>
      <c r="Q4807" s="3">
        <v>0</v>
      </c>
      <c r="R4807" s="22" t="s">
        <v>3635</v>
      </c>
      <c r="S4807" s="42" t="s">
        <v>6913</v>
      </c>
      <c r="T4807" s="3" t="s">
        <v>8409</v>
      </c>
      <c r="U4807" s="45">
        <v>35</v>
      </c>
      <c r="V4807" t="s">
        <v>8390</v>
      </c>
      <c r="W4807" s="1" t="str">
        <f>HYPERLINK("http://ictvonline.org/taxonomy/p/taxonomy-history?taxnode_id=201906613","ICTVonline=201906613")</f>
        <v>ICTVonline=201906613</v>
      </c>
    </row>
    <row r="4808" spans="1:23">
      <c r="A4808" s="3">
        <v>4807</v>
      </c>
      <c r="B4808" s="1" t="s">
        <v>5910</v>
      </c>
      <c r="D4808" s="1" t="s">
        <v>8187</v>
      </c>
      <c r="F4808" s="1" t="s">
        <v>5588</v>
      </c>
      <c r="G4808" s="1" t="s">
        <v>5678</v>
      </c>
      <c r="H4808" s="1" t="s">
        <v>5679</v>
      </c>
      <c r="J4808" s="1" t="s">
        <v>4052</v>
      </c>
      <c r="L4808" s="1" t="s">
        <v>4059</v>
      </c>
      <c r="N4808" s="1" t="s">
        <v>8468</v>
      </c>
      <c r="P4808" s="1" t="s">
        <v>8473</v>
      </c>
      <c r="Q4808" s="3">
        <v>0</v>
      </c>
      <c r="R4808" s="22" t="s">
        <v>3635</v>
      </c>
      <c r="S4808" s="42" t="s">
        <v>6913</v>
      </c>
      <c r="T4808" s="3" t="s">
        <v>4867</v>
      </c>
      <c r="U4808" s="45">
        <v>35</v>
      </c>
      <c r="V4808" t="s">
        <v>8390</v>
      </c>
      <c r="W4808" s="1" t="str">
        <f>HYPERLINK("http://ictvonline.org/taxonomy/p/taxonomy-history?taxnode_id=201906614","ICTVonline=201906614")</f>
        <v>ICTVonline=201906614</v>
      </c>
    </row>
    <row r="4809" spans="1:23">
      <c r="A4809" s="3">
        <v>4808</v>
      </c>
      <c r="B4809" s="1" t="s">
        <v>5910</v>
      </c>
      <c r="D4809" s="1" t="s">
        <v>8187</v>
      </c>
      <c r="F4809" s="1" t="s">
        <v>5588</v>
      </c>
      <c r="G4809" s="1" t="s">
        <v>5678</v>
      </c>
      <c r="H4809" s="1" t="s">
        <v>5679</v>
      </c>
      <c r="J4809" s="1" t="s">
        <v>4052</v>
      </c>
      <c r="L4809" s="1" t="s">
        <v>4059</v>
      </c>
      <c r="N4809" s="1" t="s">
        <v>8468</v>
      </c>
      <c r="P4809" s="1" t="s">
        <v>8474</v>
      </c>
      <c r="Q4809" s="3">
        <v>0</v>
      </c>
      <c r="R4809" s="22" t="s">
        <v>3635</v>
      </c>
      <c r="S4809" s="42" t="s">
        <v>6914</v>
      </c>
      <c r="T4809" s="3" t="s">
        <v>4866</v>
      </c>
      <c r="U4809" s="45">
        <v>35</v>
      </c>
      <c r="V4809" t="s">
        <v>8390</v>
      </c>
      <c r="W4809" s="1" t="str">
        <f>HYPERLINK("http://ictvonline.org/taxonomy/p/taxonomy-history?taxnode_id=201907579","ICTVonline=201907579")</f>
        <v>ICTVonline=201907579</v>
      </c>
    </row>
    <row r="4810" spans="1:23">
      <c r="A4810" s="3">
        <v>4809</v>
      </c>
      <c r="B4810" s="1" t="s">
        <v>5910</v>
      </c>
      <c r="D4810" s="1" t="s">
        <v>8187</v>
      </c>
      <c r="F4810" s="1" t="s">
        <v>5588</v>
      </c>
      <c r="G4810" s="1" t="s">
        <v>5678</v>
      </c>
      <c r="H4810" s="1" t="s">
        <v>5679</v>
      </c>
      <c r="J4810" s="1" t="s">
        <v>4052</v>
      </c>
      <c r="L4810" s="1" t="s">
        <v>4059</v>
      </c>
      <c r="N4810" s="1" t="s">
        <v>8468</v>
      </c>
      <c r="P4810" s="1" t="s">
        <v>8475</v>
      </c>
      <c r="Q4810" s="3">
        <v>0</v>
      </c>
      <c r="R4810" s="22" t="s">
        <v>3635</v>
      </c>
      <c r="S4810" s="42" t="s">
        <v>6914</v>
      </c>
      <c r="T4810" s="3" t="s">
        <v>4866</v>
      </c>
      <c r="U4810" s="45">
        <v>35</v>
      </c>
      <c r="V4810" t="s">
        <v>8390</v>
      </c>
      <c r="W4810" s="1" t="str">
        <f>HYPERLINK("http://ictvonline.org/taxonomy/p/taxonomy-history?taxnode_id=201907572","ICTVonline=201907572")</f>
        <v>ICTVonline=201907572</v>
      </c>
    </row>
    <row r="4811" spans="1:23">
      <c r="A4811" s="3">
        <v>4810</v>
      </c>
      <c r="B4811" s="1" t="s">
        <v>5910</v>
      </c>
      <c r="D4811" s="1" t="s">
        <v>8187</v>
      </c>
      <c r="F4811" s="1" t="s">
        <v>5588</v>
      </c>
      <c r="G4811" s="1" t="s">
        <v>5678</v>
      </c>
      <c r="H4811" s="1" t="s">
        <v>5679</v>
      </c>
      <c r="J4811" s="1" t="s">
        <v>4052</v>
      </c>
      <c r="L4811" s="1" t="s">
        <v>4059</v>
      </c>
      <c r="N4811" s="1" t="s">
        <v>8468</v>
      </c>
      <c r="P4811" s="1" t="s">
        <v>8476</v>
      </c>
      <c r="Q4811" s="3">
        <v>0</v>
      </c>
      <c r="R4811" s="22" t="s">
        <v>3635</v>
      </c>
      <c r="S4811" s="42" t="s">
        <v>6914</v>
      </c>
      <c r="T4811" s="3" t="s">
        <v>4866</v>
      </c>
      <c r="U4811" s="45">
        <v>35</v>
      </c>
      <c r="V4811" t="s">
        <v>8390</v>
      </c>
      <c r="W4811" s="1" t="str">
        <f>HYPERLINK("http://ictvonline.org/taxonomy/p/taxonomy-history?taxnode_id=201907576","ICTVonline=201907576")</f>
        <v>ICTVonline=201907576</v>
      </c>
    </row>
    <row r="4812" spans="1:23">
      <c r="A4812" s="3">
        <v>4811</v>
      </c>
      <c r="B4812" s="1" t="s">
        <v>5910</v>
      </c>
      <c r="D4812" s="1" t="s">
        <v>8187</v>
      </c>
      <c r="F4812" s="1" t="s">
        <v>5588</v>
      </c>
      <c r="G4812" s="1" t="s">
        <v>5678</v>
      </c>
      <c r="H4812" s="1" t="s">
        <v>5679</v>
      </c>
      <c r="J4812" s="1" t="s">
        <v>4052</v>
      </c>
      <c r="L4812" s="1" t="s">
        <v>4059</v>
      </c>
      <c r="N4812" s="1" t="s">
        <v>8468</v>
      </c>
      <c r="P4812" s="1" t="s">
        <v>8477</v>
      </c>
      <c r="Q4812" s="3">
        <v>0</v>
      </c>
      <c r="R4812" s="22" t="s">
        <v>3635</v>
      </c>
      <c r="S4812" s="42" t="s">
        <v>6914</v>
      </c>
      <c r="T4812" s="3" t="s">
        <v>4866</v>
      </c>
      <c r="U4812" s="45">
        <v>35</v>
      </c>
      <c r="V4812" t="s">
        <v>8390</v>
      </c>
      <c r="W4812" s="1" t="str">
        <f>HYPERLINK("http://ictvonline.org/taxonomy/p/taxonomy-history?taxnode_id=201907570","ICTVonline=201907570")</f>
        <v>ICTVonline=201907570</v>
      </c>
    </row>
    <row r="4813" spans="1:23">
      <c r="A4813" s="3">
        <v>4812</v>
      </c>
      <c r="B4813" s="1" t="s">
        <v>5910</v>
      </c>
      <c r="D4813" s="1" t="s">
        <v>8187</v>
      </c>
      <c r="F4813" s="1" t="s">
        <v>5588</v>
      </c>
      <c r="G4813" s="1" t="s">
        <v>5678</v>
      </c>
      <c r="H4813" s="1" t="s">
        <v>5679</v>
      </c>
      <c r="J4813" s="1" t="s">
        <v>4052</v>
      </c>
      <c r="L4813" s="1" t="s">
        <v>4059</v>
      </c>
      <c r="N4813" s="1" t="s">
        <v>8468</v>
      </c>
      <c r="P4813" s="1" t="s">
        <v>8478</v>
      </c>
      <c r="Q4813" s="3">
        <v>0</v>
      </c>
      <c r="R4813" s="22" t="s">
        <v>3635</v>
      </c>
      <c r="S4813" s="42" t="s">
        <v>6914</v>
      </c>
      <c r="T4813" s="3" t="s">
        <v>4866</v>
      </c>
      <c r="U4813" s="45">
        <v>35</v>
      </c>
      <c r="V4813" t="s">
        <v>8390</v>
      </c>
      <c r="W4813" s="1" t="str">
        <f>HYPERLINK("http://ictvonline.org/taxonomy/p/taxonomy-history?taxnode_id=201907577","ICTVonline=201907577")</f>
        <v>ICTVonline=201907577</v>
      </c>
    </row>
    <row r="4814" spans="1:23">
      <c r="A4814" s="3">
        <v>4813</v>
      </c>
      <c r="B4814" s="1" t="s">
        <v>5910</v>
      </c>
      <c r="D4814" s="1" t="s">
        <v>8187</v>
      </c>
      <c r="F4814" s="1" t="s">
        <v>5588</v>
      </c>
      <c r="G4814" s="1" t="s">
        <v>5678</v>
      </c>
      <c r="H4814" s="1" t="s">
        <v>5679</v>
      </c>
      <c r="J4814" s="1" t="s">
        <v>4052</v>
      </c>
      <c r="L4814" s="1" t="s">
        <v>4059</v>
      </c>
      <c r="N4814" s="1" t="s">
        <v>8468</v>
      </c>
      <c r="P4814" s="1" t="s">
        <v>8479</v>
      </c>
      <c r="Q4814" s="3">
        <v>0</v>
      </c>
      <c r="R4814" s="22" t="s">
        <v>3635</v>
      </c>
      <c r="S4814" s="42" t="s">
        <v>6914</v>
      </c>
      <c r="T4814" s="3" t="s">
        <v>4866</v>
      </c>
      <c r="U4814" s="45">
        <v>35</v>
      </c>
      <c r="V4814" t="s">
        <v>8390</v>
      </c>
      <c r="W4814" s="1" t="str">
        <f>HYPERLINK("http://ictvonline.org/taxonomy/p/taxonomy-history?taxnode_id=201907578","ICTVonline=201907578")</f>
        <v>ICTVonline=201907578</v>
      </c>
    </row>
    <row r="4815" spans="1:23">
      <c r="A4815" s="3">
        <v>4814</v>
      </c>
      <c r="B4815" s="1" t="s">
        <v>5910</v>
      </c>
      <c r="D4815" s="1" t="s">
        <v>8187</v>
      </c>
      <c r="F4815" s="1" t="s">
        <v>5588</v>
      </c>
      <c r="G4815" s="1" t="s">
        <v>5678</v>
      </c>
      <c r="H4815" s="1" t="s">
        <v>5679</v>
      </c>
      <c r="J4815" s="1" t="s">
        <v>4052</v>
      </c>
      <c r="L4815" s="1" t="s">
        <v>4059</v>
      </c>
      <c r="N4815" s="1" t="s">
        <v>8468</v>
      </c>
      <c r="P4815" s="1" t="s">
        <v>8480</v>
      </c>
      <c r="Q4815" s="3">
        <v>0</v>
      </c>
      <c r="R4815" s="22" t="s">
        <v>3635</v>
      </c>
      <c r="S4815" s="42" t="s">
        <v>6914</v>
      </c>
      <c r="T4815" s="3" t="s">
        <v>4866</v>
      </c>
      <c r="U4815" s="45">
        <v>35</v>
      </c>
      <c r="V4815" t="s">
        <v>8390</v>
      </c>
      <c r="W4815" s="1" t="str">
        <f>HYPERLINK("http://ictvonline.org/taxonomy/p/taxonomy-history?taxnode_id=201907573","ICTVonline=201907573")</f>
        <v>ICTVonline=201907573</v>
      </c>
    </row>
    <row r="4816" spans="1:23">
      <c r="A4816" s="3">
        <v>4815</v>
      </c>
      <c r="B4816" s="1" t="s">
        <v>5910</v>
      </c>
      <c r="D4816" s="1" t="s">
        <v>8187</v>
      </c>
      <c r="F4816" s="1" t="s">
        <v>5588</v>
      </c>
      <c r="G4816" s="1" t="s">
        <v>5678</v>
      </c>
      <c r="H4816" s="1" t="s">
        <v>5679</v>
      </c>
      <c r="J4816" s="1" t="s">
        <v>4052</v>
      </c>
      <c r="L4816" s="1" t="s">
        <v>4059</v>
      </c>
      <c r="N4816" s="1" t="s">
        <v>8468</v>
      </c>
      <c r="P4816" s="1" t="s">
        <v>8481</v>
      </c>
      <c r="Q4816" s="3">
        <v>0</v>
      </c>
      <c r="R4816" s="22" t="s">
        <v>3635</v>
      </c>
      <c r="S4816" s="42" t="s">
        <v>6914</v>
      </c>
      <c r="T4816" s="3" t="s">
        <v>4866</v>
      </c>
      <c r="U4816" s="45">
        <v>35</v>
      </c>
      <c r="V4816" t="s">
        <v>8390</v>
      </c>
      <c r="W4816" s="1" t="str">
        <f>HYPERLINK("http://ictvonline.org/taxonomy/p/taxonomy-history?taxnode_id=201907580","ICTVonline=201907580")</f>
        <v>ICTVonline=201907580</v>
      </c>
    </row>
    <row r="4817" spans="1:23">
      <c r="A4817" s="3">
        <v>4816</v>
      </c>
      <c r="B4817" s="1" t="s">
        <v>5910</v>
      </c>
      <c r="D4817" s="1" t="s">
        <v>8187</v>
      </c>
      <c r="F4817" s="1" t="s">
        <v>5588</v>
      </c>
      <c r="G4817" s="1" t="s">
        <v>5678</v>
      </c>
      <c r="H4817" s="1" t="s">
        <v>5679</v>
      </c>
      <c r="J4817" s="1" t="s">
        <v>4052</v>
      </c>
      <c r="L4817" s="1" t="s">
        <v>4059</v>
      </c>
      <c r="N4817" s="1" t="s">
        <v>8468</v>
      </c>
      <c r="P4817" s="1" t="s">
        <v>8482</v>
      </c>
      <c r="Q4817" s="3">
        <v>0</v>
      </c>
      <c r="R4817" s="22" t="s">
        <v>3635</v>
      </c>
      <c r="S4817" s="42" t="s">
        <v>6914</v>
      </c>
      <c r="T4817" s="3" t="s">
        <v>4866</v>
      </c>
      <c r="U4817" s="45">
        <v>35</v>
      </c>
      <c r="V4817" t="s">
        <v>8390</v>
      </c>
      <c r="W4817" s="1" t="str">
        <f>HYPERLINK("http://ictvonline.org/taxonomy/p/taxonomy-history?taxnode_id=201907571","ICTVonline=201907571")</f>
        <v>ICTVonline=201907571</v>
      </c>
    </row>
    <row r="4818" spans="1:23">
      <c r="A4818" s="3">
        <v>4817</v>
      </c>
      <c r="B4818" s="1" t="s">
        <v>5910</v>
      </c>
      <c r="D4818" s="1" t="s">
        <v>8187</v>
      </c>
      <c r="F4818" s="1" t="s">
        <v>5588</v>
      </c>
      <c r="G4818" s="1" t="s">
        <v>5678</v>
      </c>
      <c r="H4818" s="1" t="s">
        <v>5679</v>
      </c>
      <c r="J4818" s="1" t="s">
        <v>4052</v>
      </c>
      <c r="L4818" s="1" t="s">
        <v>4059</v>
      </c>
      <c r="N4818" s="1" t="s">
        <v>8468</v>
      </c>
      <c r="P4818" s="1" t="s">
        <v>8483</v>
      </c>
      <c r="Q4818" s="3">
        <v>1</v>
      </c>
      <c r="R4818" s="22" t="s">
        <v>3635</v>
      </c>
      <c r="S4818" s="42" t="s">
        <v>6913</v>
      </c>
      <c r="T4818" s="3" t="s">
        <v>4872</v>
      </c>
      <c r="U4818" s="45">
        <v>35</v>
      </c>
      <c r="V4818" t="s">
        <v>8390</v>
      </c>
      <c r="W4818" s="1" t="str">
        <f>HYPERLINK("http://ictvonline.org/taxonomy/p/taxonomy-history?taxnode_id=201900167","ICTVonline=201900167")</f>
        <v>ICTVonline=201900167</v>
      </c>
    </row>
    <row r="4819" spans="1:23">
      <c r="A4819" s="3">
        <v>4818</v>
      </c>
      <c r="B4819" s="1" t="s">
        <v>5910</v>
      </c>
      <c r="D4819" s="1" t="s">
        <v>8187</v>
      </c>
      <c r="F4819" s="1" t="s">
        <v>5588</v>
      </c>
      <c r="G4819" s="1" t="s">
        <v>5678</v>
      </c>
      <c r="H4819" s="1" t="s">
        <v>5679</v>
      </c>
      <c r="J4819" s="1" t="s">
        <v>4052</v>
      </c>
      <c r="L4819" s="1" t="s">
        <v>4059</v>
      </c>
      <c r="N4819" s="1" t="s">
        <v>8468</v>
      </c>
      <c r="P4819" s="1" t="s">
        <v>8484</v>
      </c>
      <c r="Q4819" s="3">
        <v>0</v>
      </c>
      <c r="R4819" s="22" t="s">
        <v>3635</v>
      </c>
      <c r="S4819" s="42" t="s">
        <v>6914</v>
      </c>
      <c r="T4819" s="3" t="s">
        <v>4866</v>
      </c>
      <c r="U4819" s="45">
        <v>35</v>
      </c>
      <c r="V4819" t="s">
        <v>8390</v>
      </c>
      <c r="W4819" s="1" t="str">
        <f>HYPERLINK("http://ictvonline.org/taxonomy/p/taxonomy-history?taxnode_id=201907582","ICTVonline=201907582")</f>
        <v>ICTVonline=201907582</v>
      </c>
    </row>
    <row r="4820" spans="1:23">
      <c r="A4820" s="3">
        <v>4819</v>
      </c>
      <c r="B4820" s="1" t="s">
        <v>5910</v>
      </c>
      <c r="D4820" s="1" t="s">
        <v>8187</v>
      </c>
      <c r="F4820" s="1" t="s">
        <v>5588</v>
      </c>
      <c r="G4820" s="1" t="s">
        <v>5678</v>
      </c>
      <c r="H4820" s="1" t="s">
        <v>5679</v>
      </c>
      <c r="J4820" s="1" t="s">
        <v>4052</v>
      </c>
      <c r="L4820" s="1" t="s">
        <v>4059</v>
      </c>
      <c r="N4820" s="1" t="s">
        <v>8468</v>
      </c>
      <c r="P4820" s="1" t="s">
        <v>8485</v>
      </c>
      <c r="Q4820" s="3">
        <v>0</v>
      </c>
      <c r="R4820" s="22" t="s">
        <v>3635</v>
      </c>
      <c r="S4820" s="42" t="s">
        <v>6914</v>
      </c>
      <c r="T4820" s="3" t="s">
        <v>4866</v>
      </c>
      <c r="U4820" s="45">
        <v>35</v>
      </c>
      <c r="V4820" t="s">
        <v>8390</v>
      </c>
      <c r="W4820" s="1" t="str">
        <f>HYPERLINK("http://ictvonline.org/taxonomy/p/taxonomy-history?taxnode_id=201907574","ICTVonline=201907574")</f>
        <v>ICTVonline=201907574</v>
      </c>
    </row>
    <row r="4821" spans="1:23">
      <c r="A4821" s="3">
        <v>4820</v>
      </c>
      <c r="B4821" s="1" t="s">
        <v>5910</v>
      </c>
      <c r="D4821" s="1" t="s">
        <v>8187</v>
      </c>
      <c r="F4821" s="1" t="s">
        <v>5588</v>
      </c>
      <c r="G4821" s="1" t="s">
        <v>5678</v>
      </c>
      <c r="H4821" s="1" t="s">
        <v>5679</v>
      </c>
      <c r="J4821" s="1" t="s">
        <v>4052</v>
      </c>
      <c r="L4821" s="1" t="s">
        <v>4059</v>
      </c>
      <c r="N4821" s="1" t="s">
        <v>6065</v>
      </c>
      <c r="P4821" s="1" t="s">
        <v>6066</v>
      </c>
      <c r="Q4821" s="3">
        <v>1</v>
      </c>
      <c r="R4821" s="22" t="s">
        <v>2722</v>
      </c>
      <c r="S4821" s="42" t="s">
        <v>6913</v>
      </c>
      <c r="T4821" s="3" t="s">
        <v>4868</v>
      </c>
      <c r="U4821" s="45">
        <v>35</v>
      </c>
      <c r="V4821" t="s">
        <v>8191</v>
      </c>
      <c r="W4821" s="1" t="str">
        <f>HYPERLINK("http://ictvonline.org/taxonomy/p/taxonomy-history?taxnode_id=201906611","ICTVonline=201906611")</f>
        <v>ICTVonline=201906611</v>
      </c>
    </row>
    <row r="4822" spans="1:23">
      <c r="A4822" s="3">
        <v>4821</v>
      </c>
      <c r="B4822" s="1" t="s">
        <v>5910</v>
      </c>
      <c r="D4822" s="1" t="s">
        <v>8187</v>
      </c>
      <c r="F4822" s="1" t="s">
        <v>5588</v>
      </c>
      <c r="G4822" s="1" t="s">
        <v>5678</v>
      </c>
      <c r="H4822" s="1" t="s">
        <v>5679</v>
      </c>
      <c r="J4822" s="1" t="s">
        <v>4052</v>
      </c>
      <c r="L4822" s="1" t="s">
        <v>6067</v>
      </c>
      <c r="N4822" s="1" t="s">
        <v>6068</v>
      </c>
      <c r="P4822" s="1" t="s">
        <v>8486</v>
      </c>
      <c r="Q4822" s="3">
        <v>0</v>
      </c>
      <c r="R4822" s="22" t="s">
        <v>3635</v>
      </c>
      <c r="S4822" s="42" t="s">
        <v>6912</v>
      </c>
      <c r="T4822" s="3" t="s">
        <v>4866</v>
      </c>
      <c r="U4822" s="45">
        <v>35</v>
      </c>
      <c r="V4822" t="s">
        <v>8487</v>
      </c>
      <c r="W4822" s="1" t="str">
        <f>HYPERLINK("http://ictvonline.org/taxonomy/p/taxonomy-history?taxnode_id=201907245","ICTVonline=201907245")</f>
        <v>ICTVonline=201907245</v>
      </c>
    </row>
    <row r="4823" spans="1:23">
      <c r="A4823" s="3">
        <v>4822</v>
      </c>
      <c r="B4823" s="1" t="s">
        <v>5910</v>
      </c>
      <c r="D4823" s="1" t="s">
        <v>8187</v>
      </c>
      <c r="F4823" s="1" t="s">
        <v>5588</v>
      </c>
      <c r="G4823" s="1" t="s">
        <v>5678</v>
      </c>
      <c r="H4823" s="1" t="s">
        <v>5679</v>
      </c>
      <c r="J4823" s="1" t="s">
        <v>4052</v>
      </c>
      <c r="L4823" s="1" t="s">
        <v>6067</v>
      </c>
      <c r="N4823" s="1" t="s">
        <v>6068</v>
      </c>
      <c r="P4823" s="1" t="s">
        <v>8488</v>
      </c>
      <c r="Q4823" s="3">
        <v>0</v>
      </c>
      <c r="R4823" s="22" t="s">
        <v>3635</v>
      </c>
      <c r="S4823" s="42" t="s">
        <v>6912</v>
      </c>
      <c r="T4823" s="3" t="s">
        <v>4866</v>
      </c>
      <c r="U4823" s="45">
        <v>35</v>
      </c>
      <c r="V4823" t="s">
        <v>8487</v>
      </c>
      <c r="W4823" s="1" t="str">
        <f>HYPERLINK("http://ictvonline.org/taxonomy/p/taxonomy-history?taxnode_id=201907246","ICTVonline=201907246")</f>
        <v>ICTVonline=201907246</v>
      </c>
    </row>
    <row r="4824" spans="1:23">
      <c r="A4824" s="3">
        <v>4823</v>
      </c>
      <c r="B4824" s="1" t="s">
        <v>5910</v>
      </c>
      <c r="D4824" s="1" t="s">
        <v>8187</v>
      </c>
      <c r="F4824" s="1" t="s">
        <v>5588</v>
      </c>
      <c r="G4824" s="1" t="s">
        <v>5678</v>
      </c>
      <c r="H4824" s="1" t="s">
        <v>5679</v>
      </c>
      <c r="J4824" s="1" t="s">
        <v>4052</v>
      </c>
      <c r="L4824" s="1" t="s">
        <v>6067</v>
      </c>
      <c r="N4824" s="1" t="s">
        <v>6068</v>
      </c>
      <c r="P4824" s="1" t="s">
        <v>6069</v>
      </c>
      <c r="Q4824" s="3">
        <v>0</v>
      </c>
      <c r="R4824" s="22" t="s">
        <v>3635</v>
      </c>
      <c r="S4824" s="42" t="s">
        <v>6912</v>
      </c>
      <c r="T4824" s="3" t="s">
        <v>4868</v>
      </c>
      <c r="U4824" s="45">
        <v>35</v>
      </c>
      <c r="V4824" t="s">
        <v>8191</v>
      </c>
      <c r="W4824" s="1" t="str">
        <f>HYPERLINK("http://ictvonline.org/taxonomy/p/taxonomy-history?taxnode_id=201906661","ICTVonline=201906661")</f>
        <v>ICTVonline=201906661</v>
      </c>
    </row>
    <row r="4825" spans="1:23">
      <c r="A4825" s="3">
        <v>4824</v>
      </c>
      <c r="B4825" s="1" t="s">
        <v>5910</v>
      </c>
      <c r="D4825" s="1" t="s">
        <v>8187</v>
      </c>
      <c r="F4825" s="1" t="s">
        <v>5588</v>
      </c>
      <c r="G4825" s="1" t="s">
        <v>5678</v>
      </c>
      <c r="H4825" s="1" t="s">
        <v>5679</v>
      </c>
      <c r="J4825" s="1" t="s">
        <v>4052</v>
      </c>
      <c r="L4825" s="1" t="s">
        <v>6067</v>
      </c>
      <c r="N4825" s="1" t="s">
        <v>6068</v>
      </c>
      <c r="P4825" s="1" t="s">
        <v>6070</v>
      </c>
      <c r="Q4825" s="3">
        <v>0</v>
      </c>
      <c r="R4825" s="22" t="s">
        <v>3635</v>
      </c>
      <c r="S4825" s="42" t="s">
        <v>6912</v>
      </c>
      <c r="T4825" s="3" t="s">
        <v>4868</v>
      </c>
      <c r="U4825" s="45">
        <v>35</v>
      </c>
      <c r="V4825" t="s">
        <v>8191</v>
      </c>
      <c r="W4825" s="1" t="str">
        <f>HYPERLINK("http://ictvonline.org/taxonomy/p/taxonomy-history?taxnode_id=201906662","ICTVonline=201906662")</f>
        <v>ICTVonline=201906662</v>
      </c>
    </row>
    <row r="4826" spans="1:23">
      <c r="A4826" s="3">
        <v>4825</v>
      </c>
      <c r="B4826" s="1" t="s">
        <v>5910</v>
      </c>
      <c r="D4826" s="1" t="s">
        <v>8187</v>
      </c>
      <c r="F4826" s="1" t="s">
        <v>5588</v>
      </c>
      <c r="G4826" s="1" t="s">
        <v>5678</v>
      </c>
      <c r="H4826" s="1" t="s">
        <v>5679</v>
      </c>
      <c r="J4826" s="1" t="s">
        <v>4052</v>
      </c>
      <c r="L4826" s="1" t="s">
        <v>6067</v>
      </c>
      <c r="N4826" s="1" t="s">
        <v>6068</v>
      </c>
      <c r="P4826" s="1" t="s">
        <v>6071</v>
      </c>
      <c r="Q4826" s="3">
        <v>0</v>
      </c>
      <c r="R4826" s="22" t="s">
        <v>3635</v>
      </c>
      <c r="S4826" s="42" t="s">
        <v>6912</v>
      </c>
      <c r="T4826" s="3" t="s">
        <v>4868</v>
      </c>
      <c r="U4826" s="45">
        <v>35</v>
      </c>
      <c r="V4826" t="s">
        <v>8191</v>
      </c>
      <c r="W4826" s="1" t="str">
        <f>HYPERLINK("http://ictvonline.org/taxonomy/p/taxonomy-history?taxnode_id=201906663","ICTVonline=201906663")</f>
        <v>ICTVonline=201906663</v>
      </c>
    </row>
    <row r="4827" spans="1:23">
      <c r="A4827" s="3">
        <v>4826</v>
      </c>
      <c r="B4827" s="1" t="s">
        <v>5910</v>
      </c>
      <c r="D4827" s="1" t="s">
        <v>8187</v>
      </c>
      <c r="F4827" s="1" t="s">
        <v>5588</v>
      </c>
      <c r="G4827" s="1" t="s">
        <v>5678</v>
      </c>
      <c r="H4827" s="1" t="s">
        <v>5679</v>
      </c>
      <c r="J4827" s="1" t="s">
        <v>4052</v>
      </c>
      <c r="L4827" s="1" t="s">
        <v>6067</v>
      </c>
      <c r="N4827" s="1" t="s">
        <v>6068</v>
      </c>
      <c r="P4827" s="1" t="s">
        <v>6072</v>
      </c>
      <c r="Q4827" s="3">
        <v>0</v>
      </c>
      <c r="R4827" s="22" t="s">
        <v>3635</v>
      </c>
      <c r="S4827" s="42" t="s">
        <v>6912</v>
      </c>
      <c r="T4827" s="3" t="s">
        <v>4868</v>
      </c>
      <c r="U4827" s="45">
        <v>35</v>
      </c>
      <c r="V4827" t="s">
        <v>8191</v>
      </c>
      <c r="W4827" s="1" t="str">
        <f>HYPERLINK("http://ictvonline.org/taxonomy/p/taxonomy-history?taxnode_id=201906664","ICTVonline=201906664")</f>
        <v>ICTVonline=201906664</v>
      </c>
    </row>
    <row r="4828" spans="1:23">
      <c r="A4828" s="3">
        <v>4827</v>
      </c>
      <c r="B4828" s="1" t="s">
        <v>5910</v>
      </c>
      <c r="D4828" s="1" t="s">
        <v>8187</v>
      </c>
      <c r="F4828" s="1" t="s">
        <v>5588</v>
      </c>
      <c r="G4828" s="1" t="s">
        <v>5678</v>
      </c>
      <c r="H4828" s="1" t="s">
        <v>5679</v>
      </c>
      <c r="J4828" s="1" t="s">
        <v>4052</v>
      </c>
      <c r="L4828" s="1" t="s">
        <v>6067</v>
      </c>
      <c r="N4828" s="1" t="s">
        <v>6068</v>
      </c>
      <c r="P4828" s="1" t="s">
        <v>8489</v>
      </c>
      <c r="Q4828" s="3">
        <v>0</v>
      </c>
      <c r="R4828" s="22" t="s">
        <v>3635</v>
      </c>
      <c r="S4828" s="42" t="s">
        <v>6912</v>
      </c>
      <c r="T4828" s="3" t="s">
        <v>4867</v>
      </c>
      <c r="U4828" s="45">
        <v>35</v>
      </c>
      <c r="V4828" t="s">
        <v>8282</v>
      </c>
      <c r="W4828" s="1" t="str">
        <f>HYPERLINK("http://ictvonline.org/taxonomy/p/taxonomy-history?taxnode_id=201900179","ICTVonline=201900179")</f>
        <v>ICTVonline=201900179</v>
      </c>
    </row>
    <row r="4829" spans="1:23">
      <c r="A4829" s="3">
        <v>4828</v>
      </c>
      <c r="B4829" s="1" t="s">
        <v>5910</v>
      </c>
      <c r="D4829" s="1" t="s">
        <v>8187</v>
      </c>
      <c r="F4829" s="1" t="s">
        <v>5588</v>
      </c>
      <c r="G4829" s="1" t="s">
        <v>5678</v>
      </c>
      <c r="H4829" s="1" t="s">
        <v>5679</v>
      </c>
      <c r="J4829" s="1" t="s">
        <v>4052</v>
      </c>
      <c r="L4829" s="1" t="s">
        <v>6067</v>
      </c>
      <c r="N4829" s="1" t="s">
        <v>6068</v>
      </c>
      <c r="P4829" s="1" t="s">
        <v>8490</v>
      </c>
      <c r="Q4829" s="3">
        <v>0</v>
      </c>
      <c r="R4829" s="22" t="s">
        <v>3635</v>
      </c>
      <c r="S4829" s="42" t="s">
        <v>6912</v>
      </c>
      <c r="T4829" s="3" t="s">
        <v>4866</v>
      </c>
      <c r="U4829" s="45">
        <v>35</v>
      </c>
      <c r="V4829" t="s">
        <v>8487</v>
      </c>
      <c r="W4829" s="1" t="str">
        <f>HYPERLINK("http://ictvonline.org/taxonomy/p/taxonomy-history?taxnode_id=201907247","ICTVonline=201907247")</f>
        <v>ICTVonline=201907247</v>
      </c>
    </row>
    <row r="4830" spans="1:23">
      <c r="A4830" s="3">
        <v>4829</v>
      </c>
      <c r="B4830" s="1" t="s">
        <v>5910</v>
      </c>
      <c r="D4830" s="1" t="s">
        <v>8187</v>
      </c>
      <c r="F4830" s="1" t="s">
        <v>5588</v>
      </c>
      <c r="G4830" s="1" t="s">
        <v>5678</v>
      </c>
      <c r="H4830" s="1" t="s">
        <v>5679</v>
      </c>
      <c r="J4830" s="1" t="s">
        <v>4052</v>
      </c>
      <c r="L4830" s="1" t="s">
        <v>6067</v>
      </c>
      <c r="N4830" s="1" t="s">
        <v>6068</v>
      </c>
      <c r="P4830" s="1" t="s">
        <v>8491</v>
      </c>
      <c r="Q4830" s="3">
        <v>0</v>
      </c>
      <c r="R4830" s="22" t="s">
        <v>3635</v>
      </c>
      <c r="S4830" s="42" t="s">
        <v>6912</v>
      </c>
      <c r="T4830" s="3" t="s">
        <v>4867</v>
      </c>
      <c r="U4830" s="45">
        <v>35</v>
      </c>
      <c r="V4830" t="s">
        <v>8282</v>
      </c>
      <c r="W4830" s="1" t="str">
        <f>HYPERLINK("http://ictvonline.org/taxonomy/p/taxonomy-history?taxnode_id=201900180","ICTVonline=201900180")</f>
        <v>ICTVonline=201900180</v>
      </c>
    </row>
    <row r="4831" spans="1:23">
      <c r="A4831" s="3">
        <v>4830</v>
      </c>
      <c r="B4831" s="1" t="s">
        <v>5910</v>
      </c>
      <c r="D4831" s="1" t="s">
        <v>8187</v>
      </c>
      <c r="F4831" s="1" t="s">
        <v>5588</v>
      </c>
      <c r="G4831" s="1" t="s">
        <v>5678</v>
      </c>
      <c r="H4831" s="1" t="s">
        <v>5679</v>
      </c>
      <c r="J4831" s="1" t="s">
        <v>4052</v>
      </c>
      <c r="L4831" s="1" t="s">
        <v>6067</v>
      </c>
      <c r="N4831" s="1" t="s">
        <v>6068</v>
      </c>
      <c r="P4831" s="1" t="s">
        <v>8492</v>
      </c>
      <c r="Q4831" s="3">
        <v>0</v>
      </c>
      <c r="R4831" s="22" t="s">
        <v>3635</v>
      </c>
      <c r="S4831" s="42" t="s">
        <v>6912</v>
      </c>
      <c r="T4831" s="3" t="s">
        <v>4867</v>
      </c>
      <c r="U4831" s="45">
        <v>35</v>
      </c>
      <c r="V4831" t="s">
        <v>8282</v>
      </c>
      <c r="W4831" s="1" t="str">
        <f>HYPERLINK("http://ictvonline.org/taxonomy/p/taxonomy-history?taxnode_id=201900181","ICTVonline=201900181")</f>
        <v>ICTVonline=201900181</v>
      </c>
    </row>
    <row r="4832" spans="1:23">
      <c r="A4832" s="3">
        <v>4831</v>
      </c>
      <c r="B4832" s="1" t="s">
        <v>5910</v>
      </c>
      <c r="D4832" s="1" t="s">
        <v>8187</v>
      </c>
      <c r="F4832" s="1" t="s">
        <v>5588</v>
      </c>
      <c r="G4832" s="1" t="s">
        <v>5678</v>
      </c>
      <c r="H4832" s="1" t="s">
        <v>5679</v>
      </c>
      <c r="J4832" s="1" t="s">
        <v>4052</v>
      </c>
      <c r="L4832" s="1" t="s">
        <v>6067</v>
      </c>
      <c r="N4832" s="1" t="s">
        <v>6068</v>
      </c>
      <c r="P4832" s="1" t="s">
        <v>8493</v>
      </c>
      <c r="Q4832" s="3">
        <v>0</v>
      </c>
      <c r="R4832" s="22" t="s">
        <v>3635</v>
      </c>
      <c r="S4832" s="42" t="s">
        <v>6912</v>
      </c>
      <c r="T4832" s="3" t="s">
        <v>4866</v>
      </c>
      <c r="U4832" s="45">
        <v>35</v>
      </c>
      <c r="V4832" t="s">
        <v>8487</v>
      </c>
      <c r="W4832" s="1" t="str">
        <f>HYPERLINK("http://ictvonline.org/taxonomy/p/taxonomy-history?taxnode_id=201907248","ICTVonline=201907248")</f>
        <v>ICTVonline=201907248</v>
      </c>
    </row>
    <row r="4833" spans="1:23">
      <c r="A4833" s="3">
        <v>4832</v>
      </c>
      <c r="B4833" s="1" t="s">
        <v>5910</v>
      </c>
      <c r="D4833" s="1" t="s">
        <v>8187</v>
      </c>
      <c r="F4833" s="1" t="s">
        <v>5588</v>
      </c>
      <c r="G4833" s="1" t="s">
        <v>5678</v>
      </c>
      <c r="H4833" s="1" t="s">
        <v>5679</v>
      </c>
      <c r="J4833" s="1" t="s">
        <v>4052</v>
      </c>
      <c r="L4833" s="1" t="s">
        <v>6067</v>
      </c>
      <c r="N4833" s="1" t="s">
        <v>6068</v>
      </c>
      <c r="P4833" s="1" t="s">
        <v>8494</v>
      </c>
      <c r="Q4833" s="3">
        <v>0</v>
      </c>
      <c r="R4833" s="22" t="s">
        <v>3635</v>
      </c>
      <c r="S4833" s="42" t="s">
        <v>6912</v>
      </c>
      <c r="T4833" s="3" t="s">
        <v>4867</v>
      </c>
      <c r="U4833" s="45">
        <v>35</v>
      </c>
      <c r="V4833" t="s">
        <v>8282</v>
      </c>
      <c r="W4833" s="1" t="str">
        <f>HYPERLINK("http://ictvonline.org/taxonomy/p/taxonomy-history?taxnode_id=201900182","ICTVonline=201900182")</f>
        <v>ICTVonline=201900182</v>
      </c>
    </row>
    <row r="4834" spans="1:23">
      <c r="A4834" s="3">
        <v>4833</v>
      </c>
      <c r="B4834" s="1" t="s">
        <v>5910</v>
      </c>
      <c r="D4834" s="1" t="s">
        <v>8187</v>
      </c>
      <c r="F4834" s="1" t="s">
        <v>5588</v>
      </c>
      <c r="G4834" s="1" t="s">
        <v>5678</v>
      </c>
      <c r="H4834" s="1" t="s">
        <v>5679</v>
      </c>
      <c r="J4834" s="1" t="s">
        <v>4052</v>
      </c>
      <c r="L4834" s="1" t="s">
        <v>6067</v>
      </c>
      <c r="N4834" s="1" t="s">
        <v>6068</v>
      </c>
      <c r="P4834" s="1" t="s">
        <v>8495</v>
      </c>
      <c r="Q4834" s="3">
        <v>0</v>
      </c>
      <c r="R4834" s="22" t="s">
        <v>3635</v>
      </c>
      <c r="S4834" s="42" t="s">
        <v>6912</v>
      </c>
      <c r="T4834" s="3" t="s">
        <v>4867</v>
      </c>
      <c r="U4834" s="45">
        <v>35</v>
      </c>
      <c r="V4834" t="s">
        <v>8282</v>
      </c>
      <c r="W4834" s="1" t="str">
        <f>HYPERLINK("http://ictvonline.org/taxonomy/p/taxonomy-history?taxnode_id=201900183","ICTVonline=201900183")</f>
        <v>ICTVonline=201900183</v>
      </c>
    </row>
    <row r="4835" spans="1:23">
      <c r="A4835" s="3">
        <v>4834</v>
      </c>
      <c r="B4835" s="1" t="s">
        <v>5910</v>
      </c>
      <c r="D4835" s="1" t="s">
        <v>8187</v>
      </c>
      <c r="F4835" s="1" t="s">
        <v>5588</v>
      </c>
      <c r="G4835" s="1" t="s">
        <v>5678</v>
      </c>
      <c r="H4835" s="1" t="s">
        <v>5679</v>
      </c>
      <c r="J4835" s="1" t="s">
        <v>4052</v>
      </c>
      <c r="L4835" s="1" t="s">
        <v>6067</v>
      </c>
      <c r="N4835" s="1" t="s">
        <v>6068</v>
      </c>
      <c r="P4835" s="1" t="s">
        <v>6073</v>
      </c>
      <c r="Q4835" s="3">
        <v>0</v>
      </c>
      <c r="R4835" s="22" t="s">
        <v>3635</v>
      </c>
      <c r="S4835" s="42" t="s">
        <v>6912</v>
      </c>
      <c r="T4835" s="3" t="s">
        <v>4868</v>
      </c>
      <c r="U4835" s="45">
        <v>35</v>
      </c>
      <c r="V4835" t="s">
        <v>8191</v>
      </c>
      <c r="W4835" s="1" t="str">
        <f>HYPERLINK("http://ictvonline.org/taxonomy/p/taxonomy-history?taxnode_id=201906665","ICTVonline=201906665")</f>
        <v>ICTVonline=201906665</v>
      </c>
    </row>
    <row r="4836" spans="1:23">
      <c r="A4836" s="3">
        <v>4835</v>
      </c>
      <c r="B4836" s="1" t="s">
        <v>5910</v>
      </c>
      <c r="D4836" s="1" t="s">
        <v>8187</v>
      </c>
      <c r="F4836" s="1" t="s">
        <v>5588</v>
      </c>
      <c r="G4836" s="1" t="s">
        <v>5678</v>
      </c>
      <c r="H4836" s="1" t="s">
        <v>5679</v>
      </c>
      <c r="J4836" s="1" t="s">
        <v>4052</v>
      </c>
      <c r="L4836" s="1" t="s">
        <v>6067</v>
      </c>
      <c r="N4836" s="1" t="s">
        <v>6068</v>
      </c>
      <c r="P4836" s="1" t="s">
        <v>6074</v>
      </c>
      <c r="Q4836" s="3">
        <v>0</v>
      </c>
      <c r="R4836" s="22" t="s">
        <v>3635</v>
      </c>
      <c r="S4836" s="42" t="s">
        <v>6912</v>
      </c>
      <c r="T4836" s="3" t="s">
        <v>4868</v>
      </c>
      <c r="U4836" s="45">
        <v>35</v>
      </c>
      <c r="V4836" t="s">
        <v>8191</v>
      </c>
      <c r="W4836" s="1" t="str">
        <f>HYPERLINK("http://ictvonline.org/taxonomy/p/taxonomy-history?taxnode_id=201906666","ICTVonline=201906666")</f>
        <v>ICTVonline=201906666</v>
      </c>
    </row>
    <row r="4837" spans="1:23">
      <c r="A4837" s="3">
        <v>4836</v>
      </c>
      <c r="B4837" s="1" t="s">
        <v>5910</v>
      </c>
      <c r="D4837" s="1" t="s">
        <v>8187</v>
      </c>
      <c r="F4837" s="1" t="s">
        <v>5588</v>
      </c>
      <c r="G4837" s="1" t="s">
        <v>5678</v>
      </c>
      <c r="H4837" s="1" t="s">
        <v>5679</v>
      </c>
      <c r="J4837" s="1" t="s">
        <v>4052</v>
      </c>
      <c r="L4837" s="1" t="s">
        <v>6067</v>
      </c>
      <c r="N4837" s="1" t="s">
        <v>6068</v>
      </c>
      <c r="P4837" s="1" t="s">
        <v>8496</v>
      </c>
      <c r="Q4837" s="3">
        <v>0</v>
      </c>
      <c r="R4837" s="22" t="s">
        <v>3635</v>
      </c>
      <c r="S4837" s="42" t="s">
        <v>6912</v>
      </c>
      <c r="T4837" s="3" t="s">
        <v>4866</v>
      </c>
      <c r="U4837" s="45">
        <v>35</v>
      </c>
      <c r="V4837" t="s">
        <v>8487</v>
      </c>
      <c r="W4837" s="1" t="str">
        <f>HYPERLINK("http://ictvonline.org/taxonomy/p/taxonomy-history?taxnode_id=201907249","ICTVonline=201907249")</f>
        <v>ICTVonline=201907249</v>
      </c>
    </row>
    <row r="4838" spans="1:23">
      <c r="A4838" s="3">
        <v>4837</v>
      </c>
      <c r="B4838" s="1" t="s">
        <v>5910</v>
      </c>
      <c r="D4838" s="1" t="s">
        <v>8187</v>
      </c>
      <c r="F4838" s="1" t="s">
        <v>5588</v>
      </c>
      <c r="G4838" s="1" t="s">
        <v>5678</v>
      </c>
      <c r="H4838" s="1" t="s">
        <v>5679</v>
      </c>
      <c r="J4838" s="1" t="s">
        <v>4052</v>
      </c>
      <c r="L4838" s="1" t="s">
        <v>6067</v>
      </c>
      <c r="N4838" s="1" t="s">
        <v>6068</v>
      </c>
      <c r="P4838" s="1" t="s">
        <v>8497</v>
      </c>
      <c r="Q4838" s="3">
        <v>0</v>
      </c>
      <c r="R4838" s="22" t="s">
        <v>3635</v>
      </c>
      <c r="S4838" s="42" t="s">
        <v>6912</v>
      </c>
      <c r="T4838" s="3" t="s">
        <v>4866</v>
      </c>
      <c r="U4838" s="45">
        <v>35</v>
      </c>
      <c r="V4838" t="s">
        <v>8487</v>
      </c>
      <c r="W4838" s="1" t="str">
        <f>HYPERLINK("http://ictvonline.org/taxonomy/p/taxonomy-history?taxnode_id=201907250","ICTVonline=201907250")</f>
        <v>ICTVonline=201907250</v>
      </c>
    </row>
    <row r="4839" spans="1:23">
      <c r="A4839" s="3">
        <v>4838</v>
      </c>
      <c r="B4839" s="1" t="s">
        <v>5910</v>
      </c>
      <c r="D4839" s="1" t="s">
        <v>8187</v>
      </c>
      <c r="F4839" s="1" t="s">
        <v>5588</v>
      </c>
      <c r="G4839" s="1" t="s">
        <v>5678</v>
      </c>
      <c r="H4839" s="1" t="s">
        <v>5679</v>
      </c>
      <c r="J4839" s="1" t="s">
        <v>4052</v>
      </c>
      <c r="L4839" s="1" t="s">
        <v>6067</v>
      </c>
      <c r="N4839" s="1" t="s">
        <v>6068</v>
      </c>
      <c r="P4839" s="1" t="s">
        <v>8498</v>
      </c>
      <c r="Q4839" s="3">
        <v>0</v>
      </c>
      <c r="R4839" s="22" t="s">
        <v>3635</v>
      </c>
      <c r="S4839" s="42" t="s">
        <v>6912</v>
      </c>
      <c r="T4839" s="3" t="s">
        <v>4867</v>
      </c>
      <c r="U4839" s="45">
        <v>35</v>
      </c>
      <c r="V4839" t="s">
        <v>8282</v>
      </c>
      <c r="W4839" s="1" t="str">
        <f>HYPERLINK("http://ictvonline.org/taxonomy/p/taxonomy-history?taxnode_id=201900184","ICTVonline=201900184")</f>
        <v>ICTVonline=201900184</v>
      </c>
    </row>
    <row r="4840" spans="1:23">
      <c r="A4840" s="3">
        <v>4839</v>
      </c>
      <c r="B4840" s="1" t="s">
        <v>5910</v>
      </c>
      <c r="D4840" s="1" t="s">
        <v>8187</v>
      </c>
      <c r="F4840" s="1" t="s">
        <v>5588</v>
      </c>
      <c r="G4840" s="1" t="s">
        <v>5678</v>
      </c>
      <c r="H4840" s="1" t="s">
        <v>5679</v>
      </c>
      <c r="J4840" s="1" t="s">
        <v>4052</v>
      </c>
      <c r="L4840" s="1" t="s">
        <v>6067</v>
      </c>
      <c r="N4840" s="1" t="s">
        <v>6068</v>
      </c>
      <c r="P4840" s="1" t="s">
        <v>6075</v>
      </c>
      <c r="Q4840" s="3">
        <v>0</v>
      </c>
      <c r="R4840" s="22" t="s">
        <v>3635</v>
      </c>
      <c r="S4840" s="42" t="s">
        <v>6912</v>
      </c>
      <c r="T4840" s="3" t="s">
        <v>4868</v>
      </c>
      <c r="U4840" s="45">
        <v>35</v>
      </c>
      <c r="V4840" t="s">
        <v>8191</v>
      </c>
      <c r="W4840" s="1" t="str">
        <f>HYPERLINK("http://ictvonline.org/taxonomy/p/taxonomy-history?taxnode_id=201906667","ICTVonline=201906667")</f>
        <v>ICTVonline=201906667</v>
      </c>
    </row>
    <row r="4841" spans="1:23">
      <c r="A4841" s="3">
        <v>4840</v>
      </c>
      <c r="B4841" s="1" t="s">
        <v>5910</v>
      </c>
      <c r="D4841" s="1" t="s">
        <v>8187</v>
      </c>
      <c r="F4841" s="1" t="s">
        <v>5588</v>
      </c>
      <c r="G4841" s="1" t="s">
        <v>5678</v>
      </c>
      <c r="H4841" s="1" t="s">
        <v>5679</v>
      </c>
      <c r="J4841" s="1" t="s">
        <v>4052</v>
      </c>
      <c r="L4841" s="1" t="s">
        <v>6067</v>
      </c>
      <c r="N4841" s="1" t="s">
        <v>6068</v>
      </c>
      <c r="P4841" s="1" t="s">
        <v>8499</v>
      </c>
      <c r="Q4841" s="3">
        <v>0</v>
      </c>
      <c r="R4841" s="22" t="s">
        <v>3635</v>
      </c>
      <c r="S4841" s="42" t="s">
        <v>6912</v>
      </c>
      <c r="T4841" s="3" t="s">
        <v>4867</v>
      </c>
      <c r="U4841" s="45">
        <v>35</v>
      </c>
      <c r="V4841" t="s">
        <v>8282</v>
      </c>
      <c r="W4841" s="1" t="str">
        <f>HYPERLINK("http://ictvonline.org/taxonomy/p/taxonomy-history?taxnode_id=201900185","ICTVonline=201900185")</f>
        <v>ICTVonline=201900185</v>
      </c>
    </row>
    <row r="4842" spans="1:23">
      <c r="A4842" s="3">
        <v>4841</v>
      </c>
      <c r="B4842" s="1" t="s">
        <v>5910</v>
      </c>
      <c r="D4842" s="1" t="s">
        <v>8187</v>
      </c>
      <c r="F4842" s="1" t="s">
        <v>5588</v>
      </c>
      <c r="G4842" s="1" t="s">
        <v>5678</v>
      </c>
      <c r="H4842" s="1" t="s">
        <v>5679</v>
      </c>
      <c r="J4842" s="1" t="s">
        <v>4052</v>
      </c>
      <c r="L4842" s="1" t="s">
        <v>6067</v>
      </c>
      <c r="N4842" s="1" t="s">
        <v>6068</v>
      </c>
      <c r="P4842" s="1" t="s">
        <v>8500</v>
      </c>
      <c r="Q4842" s="3">
        <v>1</v>
      </c>
      <c r="R4842" s="22" t="s">
        <v>3635</v>
      </c>
      <c r="S4842" s="42" t="s">
        <v>6912</v>
      </c>
      <c r="T4842" s="3" t="s">
        <v>4867</v>
      </c>
      <c r="U4842" s="45">
        <v>35</v>
      </c>
      <c r="V4842" t="s">
        <v>8282</v>
      </c>
      <c r="W4842" s="1" t="str">
        <f>HYPERLINK("http://ictvonline.org/taxonomy/p/taxonomy-history?taxnode_id=201900186","ICTVonline=201900186")</f>
        <v>ICTVonline=201900186</v>
      </c>
    </row>
    <row r="4843" spans="1:23">
      <c r="A4843" s="3">
        <v>4842</v>
      </c>
      <c r="B4843" s="1" t="s">
        <v>5910</v>
      </c>
      <c r="D4843" s="1" t="s">
        <v>8187</v>
      </c>
      <c r="F4843" s="1" t="s">
        <v>5588</v>
      </c>
      <c r="G4843" s="1" t="s">
        <v>5678</v>
      </c>
      <c r="H4843" s="1" t="s">
        <v>5679</v>
      </c>
      <c r="J4843" s="1" t="s">
        <v>4052</v>
      </c>
      <c r="L4843" s="1" t="s">
        <v>6067</v>
      </c>
      <c r="N4843" s="1" t="s">
        <v>6068</v>
      </c>
      <c r="P4843" s="1" t="s">
        <v>8501</v>
      </c>
      <c r="Q4843" s="3">
        <v>0</v>
      </c>
      <c r="R4843" s="22" t="s">
        <v>3635</v>
      </c>
      <c r="S4843" s="42" t="s">
        <v>6912</v>
      </c>
      <c r="T4843" s="3" t="s">
        <v>4866</v>
      </c>
      <c r="U4843" s="45">
        <v>35</v>
      </c>
      <c r="V4843" t="s">
        <v>8487</v>
      </c>
      <c r="W4843" s="1" t="str">
        <f>HYPERLINK("http://ictvonline.org/taxonomy/p/taxonomy-history?taxnode_id=201907251","ICTVonline=201907251")</f>
        <v>ICTVonline=201907251</v>
      </c>
    </row>
    <row r="4844" spans="1:23">
      <c r="A4844" s="3">
        <v>4843</v>
      </c>
      <c r="B4844" s="1" t="s">
        <v>5910</v>
      </c>
      <c r="D4844" s="1" t="s">
        <v>8187</v>
      </c>
      <c r="F4844" s="1" t="s">
        <v>5588</v>
      </c>
      <c r="G4844" s="1" t="s">
        <v>5678</v>
      </c>
      <c r="H4844" s="1" t="s">
        <v>5679</v>
      </c>
      <c r="J4844" s="1" t="s">
        <v>4052</v>
      </c>
      <c r="L4844" s="1" t="s">
        <v>6067</v>
      </c>
      <c r="N4844" s="1" t="s">
        <v>6068</v>
      </c>
      <c r="P4844" s="1" t="s">
        <v>8502</v>
      </c>
      <c r="Q4844" s="3">
        <v>0</v>
      </c>
      <c r="R4844" s="22" t="s">
        <v>3635</v>
      </c>
      <c r="S4844" s="42" t="s">
        <v>6912</v>
      </c>
      <c r="T4844" s="3" t="s">
        <v>4866</v>
      </c>
      <c r="U4844" s="45">
        <v>35</v>
      </c>
      <c r="V4844" t="s">
        <v>8487</v>
      </c>
      <c r="W4844" s="1" t="str">
        <f>HYPERLINK("http://ictvonline.org/taxonomy/p/taxonomy-history?taxnode_id=201907252","ICTVonline=201907252")</f>
        <v>ICTVonline=201907252</v>
      </c>
    </row>
    <row r="4845" spans="1:23">
      <c r="A4845" s="3">
        <v>4844</v>
      </c>
      <c r="B4845" s="1" t="s">
        <v>5910</v>
      </c>
      <c r="D4845" s="1" t="s">
        <v>8187</v>
      </c>
      <c r="F4845" s="1" t="s">
        <v>5588</v>
      </c>
      <c r="G4845" s="1" t="s">
        <v>5678</v>
      </c>
      <c r="H4845" s="1" t="s">
        <v>5679</v>
      </c>
      <c r="J4845" s="1" t="s">
        <v>4052</v>
      </c>
      <c r="L4845" s="1" t="s">
        <v>6067</v>
      </c>
      <c r="N4845" s="1" t="s">
        <v>6068</v>
      </c>
      <c r="P4845" s="1" t="s">
        <v>8503</v>
      </c>
      <c r="Q4845" s="3">
        <v>0</v>
      </c>
      <c r="R4845" s="22" t="s">
        <v>3635</v>
      </c>
      <c r="S4845" s="42" t="s">
        <v>6912</v>
      </c>
      <c r="T4845" s="3" t="s">
        <v>4867</v>
      </c>
      <c r="U4845" s="45">
        <v>35</v>
      </c>
      <c r="V4845" t="s">
        <v>8282</v>
      </c>
      <c r="W4845" s="1" t="str">
        <f>HYPERLINK("http://ictvonline.org/taxonomy/p/taxonomy-history?taxnode_id=201900187","ICTVonline=201900187")</f>
        <v>ICTVonline=201900187</v>
      </c>
    </row>
    <row r="4846" spans="1:23">
      <c r="A4846" s="3">
        <v>4845</v>
      </c>
      <c r="B4846" s="1" t="s">
        <v>5910</v>
      </c>
      <c r="D4846" s="1" t="s">
        <v>8187</v>
      </c>
      <c r="F4846" s="1" t="s">
        <v>5588</v>
      </c>
      <c r="G4846" s="1" t="s">
        <v>5678</v>
      </c>
      <c r="H4846" s="1" t="s">
        <v>5679</v>
      </c>
      <c r="J4846" s="1" t="s">
        <v>4052</v>
      </c>
      <c r="L4846" s="1" t="s">
        <v>6067</v>
      </c>
      <c r="N4846" s="1" t="s">
        <v>6068</v>
      </c>
      <c r="P4846" s="1" t="s">
        <v>8504</v>
      </c>
      <c r="Q4846" s="3">
        <v>0</v>
      </c>
      <c r="R4846" s="22" t="s">
        <v>3635</v>
      </c>
      <c r="S4846" s="42" t="s">
        <v>6912</v>
      </c>
      <c r="T4846" s="3" t="s">
        <v>4867</v>
      </c>
      <c r="U4846" s="45">
        <v>35</v>
      </c>
      <c r="V4846" t="s">
        <v>8282</v>
      </c>
      <c r="W4846" s="1" t="str">
        <f>HYPERLINK("http://ictvonline.org/taxonomy/p/taxonomy-history?taxnode_id=201900188","ICTVonline=201900188")</f>
        <v>ICTVonline=201900188</v>
      </c>
    </row>
    <row r="4847" spans="1:23">
      <c r="A4847" s="3">
        <v>4846</v>
      </c>
      <c r="B4847" s="1" t="s">
        <v>5910</v>
      </c>
      <c r="D4847" s="1" t="s">
        <v>8187</v>
      </c>
      <c r="F4847" s="1" t="s">
        <v>5588</v>
      </c>
      <c r="G4847" s="1" t="s">
        <v>5678</v>
      </c>
      <c r="H4847" s="1" t="s">
        <v>5679</v>
      </c>
      <c r="J4847" s="1" t="s">
        <v>4052</v>
      </c>
      <c r="L4847" s="1" t="s">
        <v>6067</v>
      </c>
      <c r="N4847" s="1" t="s">
        <v>6068</v>
      </c>
      <c r="P4847" s="1" t="s">
        <v>8505</v>
      </c>
      <c r="Q4847" s="3">
        <v>0</v>
      </c>
      <c r="R4847" s="22" t="s">
        <v>3635</v>
      </c>
      <c r="S4847" s="42" t="s">
        <v>6912</v>
      </c>
      <c r="T4847" s="3" t="s">
        <v>4867</v>
      </c>
      <c r="U4847" s="45">
        <v>35</v>
      </c>
      <c r="V4847" t="s">
        <v>8282</v>
      </c>
      <c r="W4847" s="1" t="str">
        <f>HYPERLINK("http://ictvonline.org/taxonomy/p/taxonomy-history?taxnode_id=201900189","ICTVonline=201900189")</f>
        <v>ICTVonline=201900189</v>
      </c>
    </row>
    <row r="4848" spans="1:23">
      <c r="A4848" s="3">
        <v>4847</v>
      </c>
      <c r="B4848" s="1" t="s">
        <v>5910</v>
      </c>
      <c r="D4848" s="1" t="s">
        <v>8187</v>
      </c>
      <c r="F4848" s="1" t="s">
        <v>5588</v>
      </c>
      <c r="G4848" s="1" t="s">
        <v>5678</v>
      </c>
      <c r="H4848" s="1" t="s">
        <v>5679</v>
      </c>
      <c r="J4848" s="1" t="s">
        <v>4052</v>
      </c>
      <c r="L4848" s="1" t="s">
        <v>5719</v>
      </c>
      <c r="N4848" s="1" t="s">
        <v>5720</v>
      </c>
      <c r="P4848" s="1" t="s">
        <v>5721</v>
      </c>
      <c r="Q4848" s="3">
        <v>1</v>
      </c>
      <c r="R4848" s="22" t="s">
        <v>2722</v>
      </c>
      <c r="S4848" s="42" t="s">
        <v>6912</v>
      </c>
      <c r="T4848" s="3" t="s">
        <v>4868</v>
      </c>
      <c r="U4848" s="45">
        <v>35</v>
      </c>
      <c r="V4848" t="s">
        <v>8191</v>
      </c>
      <c r="W4848" s="1" t="str">
        <f>HYPERLINK("http://ictvonline.org/taxonomy/p/taxonomy-history?taxnode_id=201906242","ICTVonline=201906242")</f>
        <v>ICTVonline=201906242</v>
      </c>
    </row>
    <row r="4849" spans="1:23">
      <c r="A4849" s="3">
        <v>4848</v>
      </c>
      <c r="B4849" s="1" t="s">
        <v>5910</v>
      </c>
      <c r="D4849" s="1" t="s">
        <v>8187</v>
      </c>
      <c r="F4849" s="1" t="s">
        <v>5588</v>
      </c>
      <c r="G4849" s="1" t="s">
        <v>5678</v>
      </c>
      <c r="H4849" s="1" t="s">
        <v>5722</v>
      </c>
      <c r="J4849" s="1" t="s">
        <v>5723</v>
      </c>
      <c r="L4849" s="1" t="s">
        <v>5724</v>
      </c>
      <c r="N4849" s="1" t="s">
        <v>4860</v>
      </c>
      <c r="P4849" s="1" t="s">
        <v>4861</v>
      </c>
      <c r="Q4849" s="3">
        <v>1</v>
      </c>
      <c r="R4849" s="22" t="s">
        <v>2722</v>
      </c>
      <c r="S4849" s="42" t="s">
        <v>6911</v>
      </c>
      <c r="T4849" s="3" t="s">
        <v>4868</v>
      </c>
      <c r="U4849" s="45">
        <v>35</v>
      </c>
      <c r="V4849" t="s">
        <v>8191</v>
      </c>
      <c r="W4849" s="1" t="str">
        <f>HYPERLINK("http://ictvonline.org/taxonomy/p/taxonomy-history?taxnode_id=201905391","ICTVonline=201905391")</f>
        <v>ICTVonline=201905391</v>
      </c>
    </row>
    <row r="4850" spans="1:23">
      <c r="A4850" s="3">
        <v>4849</v>
      </c>
      <c r="B4850" s="1" t="s">
        <v>5910</v>
      </c>
      <c r="D4850" s="1" t="s">
        <v>8187</v>
      </c>
      <c r="F4850" s="1" t="s">
        <v>5588</v>
      </c>
      <c r="G4850" s="1" t="s">
        <v>5678</v>
      </c>
      <c r="H4850" s="1" t="s">
        <v>5722</v>
      </c>
      <c r="J4850" s="1" t="s">
        <v>5723</v>
      </c>
      <c r="L4850" s="1" t="s">
        <v>1612</v>
      </c>
      <c r="N4850" s="1" t="s">
        <v>5433</v>
      </c>
      <c r="P4850" s="1" t="s">
        <v>903</v>
      </c>
      <c r="Q4850" s="3">
        <v>1</v>
      </c>
      <c r="R4850" s="22" t="s">
        <v>2722</v>
      </c>
      <c r="S4850" s="42" t="s">
        <v>6911</v>
      </c>
      <c r="T4850" s="3" t="s">
        <v>4868</v>
      </c>
      <c r="U4850" s="45">
        <v>35</v>
      </c>
      <c r="V4850" t="s">
        <v>8191</v>
      </c>
      <c r="W4850" s="1" t="str">
        <f>HYPERLINK("http://ictvonline.org/taxonomy/p/taxonomy-history?taxnode_id=201903956","ICTVonline=201903956")</f>
        <v>ICTVonline=201903956</v>
      </c>
    </row>
    <row r="4851" spans="1:23">
      <c r="A4851" s="3">
        <v>4850</v>
      </c>
      <c r="B4851" s="1" t="s">
        <v>5910</v>
      </c>
      <c r="D4851" s="1" t="s">
        <v>8187</v>
      </c>
      <c r="F4851" s="1" t="s">
        <v>5588</v>
      </c>
      <c r="G4851" s="1" t="s">
        <v>5678</v>
      </c>
      <c r="H4851" s="1" t="s">
        <v>5722</v>
      </c>
      <c r="J4851" s="1" t="s">
        <v>5723</v>
      </c>
      <c r="L4851" s="1" t="s">
        <v>1612</v>
      </c>
      <c r="N4851" s="1" t="s">
        <v>5434</v>
      </c>
      <c r="P4851" s="1" t="s">
        <v>821</v>
      </c>
      <c r="Q4851" s="3">
        <v>1</v>
      </c>
      <c r="R4851" s="22" t="s">
        <v>2722</v>
      </c>
      <c r="S4851" s="42" t="s">
        <v>6911</v>
      </c>
      <c r="T4851" s="3" t="s">
        <v>4868</v>
      </c>
      <c r="U4851" s="45">
        <v>35</v>
      </c>
      <c r="V4851" t="s">
        <v>8191</v>
      </c>
      <c r="W4851" s="1" t="str">
        <f>HYPERLINK("http://ictvonline.org/taxonomy/p/taxonomy-history?taxnode_id=201903958","ICTVonline=201903958")</f>
        <v>ICTVonline=201903958</v>
      </c>
    </row>
    <row r="4852" spans="1:23">
      <c r="A4852" s="3">
        <v>4851</v>
      </c>
      <c r="B4852" s="1" t="s">
        <v>5910</v>
      </c>
      <c r="D4852" s="1" t="s">
        <v>8187</v>
      </c>
      <c r="F4852" s="1" t="s">
        <v>5588</v>
      </c>
      <c r="G4852" s="1" t="s">
        <v>5678</v>
      </c>
      <c r="H4852" s="1" t="s">
        <v>5722</v>
      </c>
      <c r="J4852" s="1" t="s">
        <v>5723</v>
      </c>
      <c r="L4852" s="1" t="s">
        <v>1612</v>
      </c>
      <c r="N4852" s="1" t="s">
        <v>5435</v>
      </c>
      <c r="P4852" s="1" t="s">
        <v>4758</v>
      </c>
      <c r="Q4852" s="3">
        <v>1</v>
      </c>
      <c r="R4852" s="22" t="s">
        <v>2722</v>
      </c>
      <c r="S4852" s="42" t="s">
        <v>6911</v>
      </c>
      <c r="T4852" s="3" t="s">
        <v>4868</v>
      </c>
      <c r="U4852" s="45">
        <v>35</v>
      </c>
      <c r="V4852" t="s">
        <v>8191</v>
      </c>
      <c r="W4852" s="1" t="str">
        <f>HYPERLINK("http://ictvonline.org/taxonomy/p/taxonomy-history?taxnode_id=201903962","ICTVonline=201903962")</f>
        <v>ICTVonline=201903962</v>
      </c>
    </row>
    <row r="4853" spans="1:23">
      <c r="A4853" s="3">
        <v>4852</v>
      </c>
      <c r="B4853" s="1" t="s">
        <v>5910</v>
      </c>
      <c r="D4853" s="1" t="s">
        <v>8187</v>
      </c>
      <c r="E4853" s="47"/>
      <c r="F4853" s="1" t="s">
        <v>5588</v>
      </c>
      <c r="G4853" s="1" t="s">
        <v>5678</v>
      </c>
      <c r="H4853" s="1" t="s">
        <v>5722</v>
      </c>
      <c r="J4853" s="1" t="s">
        <v>5723</v>
      </c>
      <c r="L4853" s="1" t="s">
        <v>1612</v>
      </c>
      <c r="N4853" s="1" t="s">
        <v>5436</v>
      </c>
      <c r="P4853" s="1" t="s">
        <v>822</v>
      </c>
      <c r="Q4853" s="3">
        <v>1</v>
      </c>
      <c r="R4853" s="22" t="s">
        <v>2722</v>
      </c>
      <c r="S4853" s="42" t="s">
        <v>6911</v>
      </c>
      <c r="T4853" s="3" t="s">
        <v>4868</v>
      </c>
      <c r="U4853" s="45">
        <v>35</v>
      </c>
      <c r="V4853" t="s">
        <v>8191</v>
      </c>
      <c r="W4853" s="1" t="str">
        <f>HYPERLINK("http://ictvonline.org/taxonomy/p/taxonomy-history?taxnode_id=201903960","ICTVonline=201903960")</f>
        <v>ICTVonline=201903960</v>
      </c>
    </row>
    <row r="4854" spans="1:23">
      <c r="A4854" s="3">
        <v>4853</v>
      </c>
      <c r="B4854" s="1" t="s">
        <v>5910</v>
      </c>
      <c r="D4854" s="1" t="s">
        <v>8187</v>
      </c>
      <c r="F4854" s="1" t="s">
        <v>5588</v>
      </c>
      <c r="G4854" s="1" t="s">
        <v>5678</v>
      </c>
      <c r="H4854" s="1" t="s">
        <v>5722</v>
      </c>
      <c r="J4854" s="1" t="s">
        <v>5723</v>
      </c>
      <c r="L4854" s="1" t="s">
        <v>1612</v>
      </c>
      <c r="N4854" s="1" t="s">
        <v>823</v>
      </c>
      <c r="P4854" s="1" t="s">
        <v>5437</v>
      </c>
      <c r="Q4854" s="3">
        <v>1</v>
      </c>
      <c r="R4854" s="22" t="s">
        <v>2722</v>
      </c>
      <c r="S4854" s="42" t="s">
        <v>6911</v>
      </c>
      <c r="T4854" s="3" t="s">
        <v>4868</v>
      </c>
      <c r="U4854" s="45">
        <v>35</v>
      </c>
      <c r="V4854" t="s">
        <v>8191</v>
      </c>
      <c r="W4854" s="1" t="str">
        <f>HYPERLINK("http://ictvonline.org/taxonomy/p/taxonomy-history?taxnode_id=201903964","ICTVonline=201903964")</f>
        <v>ICTVonline=201903964</v>
      </c>
    </row>
    <row r="4855" spans="1:23">
      <c r="A4855" s="3">
        <v>4854</v>
      </c>
      <c r="B4855" s="1" t="s">
        <v>5910</v>
      </c>
      <c r="D4855" s="1" t="s">
        <v>8187</v>
      </c>
      <c r="F4855" s="1" t="s">
        <v>5588</v>
      </c>
      <c r="G4855" s="1" t="s">
        <v>5678</v>
      </c>
      <c r="H4855" s="1" t="s">
        <v>5722</v>
      </c>
      <c r="J4855" s="1" t="s">
        <v>5723</v>
      </c>
      <c r="L4855" s="1" t="s">
        <v>1612</v>
      </c>
      <c r="N4855" s="1" t="s">
        <v>2257</v>
      </c>
      <c r="P4855" s="1" t="s">
        <v>5438</v>
      </c>
      <c r="Q4855" s="3">
        <v>0</v>
      </c>
      <c r="R4855" s="22" t="s">
        <v>2722</v>
      </c>
      <c r="S4855" s="42" t="s">
        <v>6911</v>
      </c>
      <c r="T4855" s="3" t="s">
        <v>4868</v>
      </c>
      <c r="U4855" s="45">
        <v>35</v>
      </c>
      <c r="V4855" t="s">
        <v>8191</v>
      </c>
      <c r="W4855" s="1" t="str">
        <f>HYPERLINK("http://ictvonline.org/taxonomy/p/taxonomy-history?taxnode_id=201903966","ICTVonline=201903966")</f>
        <v>ICTVonline=201903966</v>
      </c>
    </row>
    <row r="4856" spans="1:23">
      <c r="A4856" s="3">
        <v>4855</v>
      </c>
      <c r="B4856" s="1" t="s">
        <v>5910</v>
      </c>
      <c r="D4856" s="1" t="s">
        <v>8187</v>
      </c>
      <c r="F4856" s="1" t="s">
        <v>5588</v>
      </c>
      <c r="G4856" s="1" t="s">
        <v>5678</v>
      </c>
      <c r="H4856" s="1" t="s">
        <v>5722</v>
      </c>
      <c r="J4856" s="1" t="s">
        <v>5723</v>
      </c>
      <c r="L4856" s="1" t="s">
        <v>1612</v>
      </c>
      <c r="N4856" s="1" t="s">
        <v>2257</v>
      </c>
      <c r="P4856" s="1" t="s">
        <v>5439</v>
      </c>
      <c r="Q4856" s="3">
        <v>1</v>
      </c>
      <c r="R4856" s="22" t="s">
        <v>2722</v>
      </c>
      <c r="S4856" s="42" t="s">
        <v>6911</v>
      </c>
      <c r="T4856" s="3" t="s">
        <v>4868</v>
      </c>
      <c r="U4856" s="45">
        <v>35</v>
      </c>
      <c r="V4856" t="s">
        <v>8191</v>
      </c>
      <c r="W4856" s="1" t="str">
        <f>HYPERLINK("http://ictvonline.org/taxonomy/p/taxonomy-history?taxnode_id=201903967","ICTVonline=201903967")</f>
        <v>ICTVonline=201903967</v>
      </c>
    </row>
    <row r="4857" spans="1:23">
      <c r="A4857" s="3">
        <v>4856</v>
      </c>
      <c r="B4857" s="1" t="s">
        <v>5910</v>
      </c>
      <c r="D4857" s="1" t="s">
        <v>8187</v>
      </c>
      <c r="F4857" s="1" t="s">
        <v>5588</v>
      </c>
      <c r="G4857" s="1" t="s">
        <v>5678</v>
      </c>
      <c r="H4857" s="1" t="s">
        <v>5722</v>
      </c>
      <c r="J4857" s="1" t="s">
        <v>5723</v>
      </c>
      <c r="L4857" s="1" t="s">
        <v>1612</v>
      </c>
      <c r="N4857" s="1" t="s">
        <v>824</v>
      </c>
      <c r="P4857" s="1" t="s">
        <v>5440</v>
      </c>
      <c r="Q4857" s="3">
        <v>0</v>
      </c>
      <c r="R4857" s="22" t="s">
        <v>2722</v>
      </c>
      <c r="S4857" s="42" t="s">
        <v>6911</v>
      </c>
      <c r="T4857" s="3" t="s">
        <v>4868</v>
      </c>
      <c r="U4857" s="45">
        <v>35</v>
      </c>
      <c r="V4857" t="s">
        <v>8191</v>
      </c>
      <c r="W4857" s="1" t="str">
        <f>HYPERLINK("http://ictvonline.org/taxonomy/p/taxonomy-history?taxnode_id=201903969","ICTVonline=201903969")</f>
        <v>ICTVonline=201903969</v>
      </c>
    </row>
    <row r="4858" spans="1:23">
      <c r="A4858" s="3">
        <v>4857</v>
      </c>
      <c r="B4858" s="1" t="s">
        <v>5910</v>
      </c>
      <c r="D4858" s="1" t="s">
        <v>8187</v>
      </c>
      <c r="F4858" s="1" t="s">
        <v>5588</v>
      </c>
      <c r="G4858" s="1" t="s">
        <v>5678</v>
      </c>
      <c r="H4858" s="1" t="s">
        <v>5722</v>
      </c>
      <c r="J4858" s="1" t="s">
        <v>5723</v>
      </c>
      <c r="L4858" s="1" t="s">
        <v>1612</v>
      </c>
      <c r="N4858" s="1" t="s">
        <v>824</v>
      </c>
      <c r="P4858" s="1" t="s">
        <v>5441</v>
      </c>
      <c r="Q4858" s="3">
        <v>1</v>
      </c>
      <c r="R4858" s="22" t="s">
        <v>2722</v>
      </c>
      <c r="S4858" s="42" t="s">
        <v>6911</v>
      </c>
      <c r="T4858" s="3" t="s">
        <v>4868</v>
      </c>
      <c r="U4858" s="45">
        <v>35</v>
      </c>
      <c r="V4858" t="s">
        <v>8191</v>
      </c>
      <c r="W4858" s="1" t="str">
        <f>HYPERLINK("http://ictvonline.org/taxonomy/p/taxonomy-history?taxnode_id=201903970","ICTVonline=201903970")</f>
        <v>ICTVonline=201903970</v>
      </c>
    </row>
    <row r="4859" spans="1:23">
      <c r="A4859" s="3">
        <v>4858</v>
      </c>
      <c r="B4859" s="1" t="s">
        <v>5910</v>
      </c>
      <c r="D4859" s="1" t="s">
        <v>8187</v>
      </c>
      <c r="F4859" s="1" t="s">
        <v>8506</v>
      </c>
      <c r="H4859" s="1" t="s">
        <v>8507</v>
      </c>
      <c r="J4859" s="1" t="s">
        <v>8508</v>
      </c>
      <c r="L4859" s="1" t="s">
        <v>2359</v>
      </c>
      <c r="N4859" s="1" t="s">
        <v>2360</v>
      </c>
      <c r="P4859" s="1" t="s">
        <v>6132</v>
      </c>
      <c r="Q4859" s="3">
        <v>0</v>
      </c>
      <c r="R4859" s="22" t="s">
        <v>2725</v>
      </c>
      <c r="S4859" s="42" t="s">
        <v>6912</v>
      </c>
      <c r="T4859" s="3" t="s">
        <v>4868</v>
      </c>
      <c r="U4859" s="45">
        <v>35</v>
      </c>
      <c r="V4859" t="s">
        <v>8191</v>
      </c>
      <c r="W4859" s="1" t="str">
        <f>HYPERLINK("http://ictvonline.org/taxonomy/p/taxonomy-history?taxnode_id=201906725","ICTVonline=201906725")</f>
        <v>ICTVonline=201906725</v>
      </c>
    </row>
    <row r="4860" spans="1:23">
      <c r="A4860" s="3">
        <v>4859</v>
      </c>
      <c r="B4860" s="1" t="s">
        <v>5910</v>
      </c>
      <c r="D4860" s="1" t="s">
        <v>8187</v>
      </c>
      <c r="F4860" s="1" t="s">
        <v>8506</v>
      </c>
      <c r="H4860" s="1" t="s">
        <v>8507</v>
      </c>
      <c r="J4860" s="1" t="s">
        <v>8508</v>
      </c>
      <c r="L4860" s="1" t="s">
        <v>2359</v>
      </c>
      <c r="N4860" s="1" t="s">
        <v>2360</v>
      </c>
      <c r="P4860" s="1" t="s">
        <v>6133</v>
      </c>
      <c r="Q4860" s="3">
        <v>0</v>
      </c>
      <c r="R4860" s="22" t="s">
        <v>2725</v>
      </c>
      <c r="S4860" s="42" t="s">
        <v>6912</v>
      </c>
      <c r="T4860" s="3" t="s">
        <v>4868</v>
      </c>
      <c r="U4860" s="45">
        <v>35</v>
      </c>
      <c r="V4860" t="s">
        <v>8191</v>
      </c>
      <c r="W4860" s="1" t="str">
        <f>HYPERLINK("http://ictvonline.org/taxonomy/p/taxonomy-history?taxnode_id=201906726","ICTVonline=201906726")</f>
        <v>ICTVonline=201906726</v>
      </c>
    </row>
    <row r="4861" spans="1:23">
      <c r="A4861" s="3">
        <v>4860</v>
      </c>
      <c r="B4861" s="1" t="s">
        <v>5910</v>
      </c>
      <c r="D4861" s="1" t="s">
        <v>8187</v>
      </c>
      <c r="F4861" s="1" t="s">
        <v>8506</v>
      </c>
      <c r="H4861" s="1" t="s">
        <v>8507</v>
      </c>
      <c r="J4861" s="1" t="s">
        <v>8508</v>
      </c>
      <c r="L4861" s="1" t="s">
        <v>2359</v>
      </c>
      <c r="N4861" s="1" t="s">
        <v>2360</v>
      </c>
      <c r="P4861" s="1" t="s">
        <v>2361</v>
      </c>
      <c r="Q4861" s="3">
        <v>0</v>
      </c>
      <c r="R4861" s="22" t="s">
        <v>2725</v>
      </c>
      <c r="S4861" s="42" t="s">
        <v>6912</v>
      </c>
      <c r="T4861" s="3" t="s">
        <v>4868</v>
      </c>
      <c r="U4861" s="45">
        <v>35</v>
      </c>
      <c r="V4861" t="s">
        <v>8191</v>
      </c>
      <c r="W4861" s="1" t="str">
        <f>HYPERLINK("http://ictvonline.org/taxonomy/p/taxonomy-history?taxnode_id=201902477","ICTVonline=201902477")</f>
        <v>ICTVonline=201902477</v>
      </c>
    </row>
    <row r="4862" spans="1:23">
      <c r="A4862" s="3">
        <v>4861</v>
      </c>
      <c r="B4862" s="1" t="s">
        <v>5910</v>
      </c>
      <c r="D4862" s="1" t="s">
        <v>8187</v>
      </c>
      <c r="F4862" s="1" t="s">
        <v>8506</v>
      </c>
      <c r="H4862" s="1" t="s">
        <v>8507</v>
      </c>
      <c r="J4862" s="1" t="s">
        <v>8508</v>
      </c>
      <c r="L4862" s="1" t="s">
        <v>2359</v>
      </c>
      <c r="N4862" s="1" t="s">
        <v>2360</v>
      </c>
      <c r="P4862" s="1" t="s">
        <v>2362</v>
      </c>
      <c r="Q4862" s="3">
        <v>0</v>
      </c>
      <c r="R4862" s="22" t="s">
        <v>2725</v>
      </c>
      <c r="S4862" s="42" t="s">
        <v>6912</v>
      </c>
      <c r="T4862" s="3" t="s">
        <v>4868</v>
      </c>
      <c r="U4862" s="45">
        <v>35</v>
      </c>
      <c r="V4862" t="s">
        <v>8191</v>
      </c>
      <c r="W4862" s="1" t="str">
        <f>HYPERLINK("http://ictvonline.org/taxonomy/p/taxonomy-history?taxnode_id=201902478","ICTVonline=201902478")</f>
        <v>ICTVonline=201902478</v>
      </c>
    </row>
    <row r="4863" spans="1:23">
      <c r="A4863" s="3">
        <v>4862</v>
      </c>
      <c r="B4863" s="1" t="s">
        <v>5910</v>
      </c>
      <c r="D4863" s="1" t="s">
        <v>8187</v>
      </c>
      <c r="F4863" s="1" t="s">
        <v>8506</v>
      </c>
      <c r="H4863" s="1" t="s">
        <v>8507</v>
      </c>
      <c r="J4863" s="1" t="s">
        <v>8508</v>
      </c>
      <c r="L4863" s="1" t="s">
        <v>2359</v>
      </c>
      <c r="N4863" s="1" t="s">
        <v>2360</v>
      </c>
      <c r="P4863" s="1" t="s">
        <v>2363</v>
      </c>
      <c r="Q4863" s="3">
        <v>1</v>
      </c>
      <c r="R4863" s="22" t="s">
        <v>2725</v>
      </c>
      <c r="S4863" s="42" t="s">
        <v>6912</v>
      </c>
      <c r="T4863" s="3" t="s">
        <v>4868</v>
      </c>
      <c r="U4863" s="45">
        <v>35</v>
      </c>
      <c r="V4863" t="s">
        <v>8191</v>
      </c>
      <c r="W4863" s="1" t="str">
        <f>HYPERLINK("http://ictvonline.org/taxonomy/p/taxonomy-history?taxnode_id=201902479","ICTVonline=201902479")</f>
        <v>ICTVonline=201902479</v>
      </c>
    </row>
    <row r="4864" spans="1:23">
      <c r="A4864" s="3">
        <v>4863</v>
      </c>
      <c r="B4864" s="1" t="s">
        <v>5910</v>
      </c>
      <c r="D4864" s="1" t="s">
        <v>8187</v>
      </c>
      <c r="F4864" s="1" t="s">
        <v>8506</v>
      </c>
      <c r="H4864" s="1" t="s">
        <v>8507</v>
      </c>
      <c r="J4864" s="1" t="s">
        <v>8508</v>
      </c>
      <c r="L4864" s="1" t="s">
        <v>2359</v>
      </c>
      <c r="N4864" s="1" t="s">
        <v>2360</v>
      </c>
      <c r="P4864" s="1" t="s">
        <v>6134</v>
      </c>
      <c r="Q4864" s="3">
        <v>0</v>
      </c>
      <c r="R4864" s="22" t="s">
        <v>2725</v>
      </c>
      <c r="S4864" s="42" t="s">
        <v>6912</v>
      </c>
      <c r="T4864" s="3" t="s">
        <v>4868</v>
      </c>
      <c r="U4864" s="45">
        <v>35</v>
      </c>
      <c r="V4864" t="s">
        <v>8191</v>
      </c>
      <c r="W4864" s="1" t="str">
        <f>HYPERLINK("http://ictvonline.org/taxonomy/p/taxonomy-history?taxnode_id=201906727","ICTVonline=201906727")</f>
        <v>ICTVonline=201906727</v>
      </c>
    </row>
    <row r="4865" spans="1:23">
      <c r="A4865" s="3">
        <v>4864</v>
      </c>
      <c r="B4865" s="1" t="s">
        <v>5910</v>
      </c>
      <c r="D4865" s="1" t="s">
        <v>8187</v>
      </c>
      <c r="F4865" s="1" t="s">
        <v>8506</v>
      </c>
      <c r="H4865" s="1" t="s">
        <v>8507</v>
      </c>
      <c r="J4865" s="1" t="s">
        <v>8508</v>
      </c>
      <c r="L4865" s="1" t="s">
        <v>2359</v>
      </c>
      <c r="N4865" s="1" t="s">
        <v>2360</v>
      </c>
      <c r="P4865" s="1" t="s">
        <v>2364</v>
      </c>
      <c r="Q4865" s="3">
        <v>0</v>
      </c>
      <c r="R4865" s="22" t="s">
        <v>2725</v>
      </c>
      <c r="S4865" s="42" t="s">
        <v>6912</v>
      </c>
      <c r="T4865" s="3" t="s">
        <v>4868</v>
      </c>
      <c r="U4865" s="45">
        <v>35</v>
      </c>
      <c r="V4865" t="s">
        <v>8191</v>
      </c>
      <c r="W4865" s="1" t="str">
        <f>HYPERLINK("http://ictvonline.org/taxonomy/p/taxonomy-history?taxnode_id=201902480","ICTVonline=201902480")</f>
        <v>ICTVonline=201902480</v>
      </c>
    </row>
    <row r="4866" spans="1:23">
      <c r="A4866" s="3">
        <v>4865</v>
      </c>
      <c r="B4866" s="1" t="s">
        <v>5910</v>
      </c>
      <c r="D4866" s="1" t="s">
        <v>8187</v>
      </c>
      <c r="F4866" s="1" t="s">
        <v>8506</v>
      </c>
      <c r="H4866" s="1" t="s">
        <v>8507</v>
      </c>
      <c r="J4866" s="1" t="s">
        <v>8508</v>
      </c>
      <c r="L4866" s="1" t="s">
        <v>2359</v>
      </c>
      <c r="N4866" s="1" t="s">
        <v>2360</v>
      </c>
      <c r="P4866" s="1" t="s">
        <v>6135</v>
      </c>
      <c r="Q4866" s="3">
        <v>0</v>
      </c>
      <c r="R4866" s="22" t="s">
        <v>2725</v>
      </c>
      <c r="S4866" s="42" t="s">
        <v>6912</v>
      </c>
      <c r="T4866" s="3" t="s">
        <v>4868</v>
      </c>
      <c r="U4866" s="45">
        <v>35</v>
      </c>
      <c r="V4866" t="s">
        <v>8191</v>
      </c>
      <c r="W4866" s="1" t="str">
        <f>HYPERLINK("http://ictvonline.org/taxonomy/p/taxonomy-history?taxnode_id=201906728","ICTVonline=201906728")</f>
        <v>ICTVonline=201906728</v>
      </c>
    </row>
    <row r="4867" spans="1:23">
      <c r="A4867" s="3">
        <v>4866</v>
      </c>
      <c r="B4867" s="1" t="s">
        <v>5910</v>
      </c>
      <c r="D4867" s="1" t="s">
        <v>8187</v>
      </c>
      <c r="F4867" s="1" t="s">
        <v>8506</v>
      </c>
      <c r="H4867" s="1" t="s">
        <v>8507</v>
      </c>
      <c r="J4867" s="1" t="s">
        <v>8508</v>
      </c>
      <c r="L4867" s="1" t="s">
        <v>2359</v>
      </c>
      <c r="N4867" s="1" t="s">
        <v>2360</v>
      </c>
      <c r="P4867" s="1" t="s">
        <v>6136</v>
      </c>
      <c r="Q4867" s="3">
        <v>0</v>
      </c>
      <c r="R4867" s="22" t="s">
        <v>2725</v>
      </c>
      <c r="S4867" s="42" t="s">
        <v>6912</v>
      </c>
      <c r="T4867" s="3" t="s">
        <v>4868</v>
      </c>
      <c r="U4867" s="45">
        <v>35</v>
      </c>
      <c r="V4867" t="s">
        <v>8191</v>
      </c>
      <c r="W4867" s="1" t="str">
        <f>HYPERLINK("http://ictvonline.org/taxonomy/p/taxonomy-history?taxnode_id=201906729","ICTVonline=201906729")</f>
        <v>ICTVonline=201906729</v>
      </c>
    </row>
    <row r="4868" spans="1:23">
      <c r="A4868" s="3">
        <v>4867</v>
      </c>
      <c r="B4868" s="1" t="s">
        <v>5910</v>
      </c>
      <c r="D4868" s="1" t="s">
        <v>8187</v>
      </c>
      <c r="F4868" s="1" t="s">
        <v>8506</v>
      </c>
      <c r="H4868" s="1" t="s">
        <v>8507</v>
      </c>
      <c r="J4868" s="1" t="s">
        <v>8508</v>
      </c>
      <c r="L4868" s="1" t="s">
        <v>2359</v>
      </c>
      <c r="N4868" s="1" t="s">
        <v>6137</v>
      </c>
      <c r="P4868" s="1" t="s">
        <v>6138</v>
      </c>
      <c r="Q4868" s="3">
        <v>1</v>
      </c>
      <c r="R4868" s="22" t="s">
        <v>2725</v>
      </c>
      <c r="S4868" s="42" t="s">
        <v>6912</v>
      </c>
      <c r="T4868" s="3" t="s">
        <v>4868</v>
      </c>
      <c r="U4868" s="45">
        <v>35</v>
      </c>
      <c r="V4868" t="s">
        <v>8191</v>
      </c>
      <c r="W4868" s="1" t="str">
        <f>HYPERLINK("http://ictvonline.org/taxonomy/p/taxonomy-history?taxnode_id=201906731","ICTVonline=201906731")</f>
        <v>ICTVonline=201906731</v>
      </c>
    </row>
    <row r="4869" spans="1:23">
      <c r="A4869" s="3">
        <v>4868</v>
      </c>
      <c r="B4869" s="1" t="s">
        <v>5910</v>
      </c>
      <c r="D4869" s="1" t="s">
        <v>8187</v>
      </c>
      <c r="F4869" s="1" t="s">
        <v>8506</v>
      </c>
      <c r="H4869" s="1" t="s">
        <v>8507</v>
      </c>
      <c r="J4869" s="1" t="s">
        <v>8508</v>
      </c>
      <c r="L4869" s="1" t="s">
        <v>253</v>
      </c>
      <c r="N4869" s="1" t="s">
        <v>254</v>
      </c>
      <c r="P4869" s="1" t="s">
        <v>255</v>
      </c>
      <c r="Q4869" s="3">
        <v>1</v>
      </c>
      <c r="R4869" s="22" t="s">
        <v>2723</v>
      </c>
      <c r="T4869" s="3" t="s">
        <v>4868</v>
      </c>
      <c r="U4869" s="45">
        <v>35</v>
      </c>
      <c r="V4869" t="s">
        <v>8191</v>
      </c>
      <c r="W4869" s="1" t="str">
        <f>HYPERLINK("http://ictvonline.org/taxonomy/p/taxonomy-history?taxnode_id=201903674","ICTVonline=201903674")</f>
        <v>ICTVonline=201903674</v>
      </c>
    </row>
    <row r="4870" spans="1:23">
      <c r="A4870" s="3">
        <v>4869</v>
      </c>
      <c r="B4870" s="1" t="s">
        <v>5910</v>
      </c>
      <c r="D4870" s="1" t="s">
        <v>8187</v>
      </c>
      <c r="F4870" s="1" t="s">
        <v>8506</v>
      </c>
      <c r="H4870" s="1" t="s">
        <v>8507</v>
      </c>
      <c r="J4870" s="1" t="s">
        <v>8508</v>
      </c>
      <c r="L4870" s="1" t="s">
        <v>253</v>
      </c>
      <c r="N4870" s="1" t="s">
        <v>254</v>
      </c>
      <c r="P4870" s="1" t="s">
        <v>256</v>
      </c>
      <c r="Q4870" s="3">
        <v>0</v>
      </c>
      <c r="R4870" s="22" t="s">
        <v>2723</v>
      </c>
      <c r="T4870" s="3" t="s">
        <v>4868</v>
      </c>
      <c r="U4870" s="45">
        <v>35</v>
      </c>
      <c r="V4870" t="s">
        <v>8191</v>
      </c>
      <c r="W4870" s="1" t="str">
        <f>HYPERLINK("http://ictvonline.org/taxonomy/p/taxonomy-history?taxnode_id=201903675","ICTVonline=201903675")</f>
        <v>ICTVonline=201903675</v>
      </c>
    </row>
    <row r="4871" spans="1:23">
      <c r="A4871" s="3">
        <v>4870</v>
      </c>
      <c r="B4871" s="1" t="s">
        <v>5910</v>
      </c>
      <c r="D4871" s="1" t="s">
        <v>8187</v>
      </c>
      <c r="F4871" s="1" t="s">
        <v>8506</v>
      </c>
      <c r="H4871" s="1" t="s">
        <v>8507</v>
      </c>
      <c r="J4871" s="1" t="s">
        <v>8508</v>
      </c>
      <c r="L4871" s="1" t="s">
        <v>253</v>
      </c>
      <c r="N4871" s="1" t="s">
        <v>254</v>
      </c>
      <c r="P4871" s="1" t="s">
        <v>257</v>
      </c>
      <c r="Q4871" s="3">
        <v>0</v>
      </c>
      <c r="R4871" s="22" t="s">
        <v>2723</v>
      </c>
      <c r="T4871" s="3" t="s">
        <v>4868</v>
      </c>
      <c r="U4871" s="45">
        <v>35</v>
      </c>
      <c r="V4871" t="s">
        <v>8191</v>
      </c>
      <c r="W4871" s="1" t="str">
        <f>HYPERLINK("http://ictvonline.org/taxonomy/p/taxonomy-history?taxnode_id=201903676","ICTVonline=201903676")</f>
        <v>ICTVonline=201903676</v>
      </c>
    </row>
    <row r="4872" spans="1:23">
      <c r="A4872" s="3">
        <v>4871</v>
      </c>
      <c r="B4872" s="1" t="s">
        <v>5910</v>
      </c>
      <c r="D4872" s="1" t="s">
        <v>8187</v>
      </c>
      <c r="F4872" s="1" t="s">
        <v>8506</v>
      </c>
      <c r="H4872" s="1" t="s">
        <v>8507</v>
      </c>
      <c r="J4872" s="1" t="s">
        <v>8508</v>
      </c>
      <c r="L4872" s="1" t="s">
        <v>253</v>
      </c>
      <c r="N4872" s="1" t="s">
        <v>254</v>
      </c>
      <c r="P4872" s="1" t="s">
        <v>1667</v>
      </c>
      <c r="Q4872" s="3">
        <v>0</v>
      </c>
      <c r="R4872" s="22" t="s">
        <v>2723</v>
      </c>
      <c r="T4872" s="3" t="s">
        <v>4868</v>
      </c>
      <c r="U4872" s="45">
        <v>35</v>
      </c>
      <c r="V4872" t="s">
        <v>8191</v>
      </c>
      <c r="W4872" s="1" t="str">
        <f>HYPERLINK("http://ictvonline.org/taxonomy/p/taxonomy-history?taxnode_id=201903677","ICTVonline=201903677")</f>
        <v>ICTVonline=201903677</v>
      </c>
    </row>
    <row r="4873" spans="1:23">
      <c r="A4873" s="3">
        <v>4872</v>
      </c>
      <c r="B4873" s="1" t="s">
        <v>5910</v>
      </c>
      <c r="D4873" s="1" t="s">
        <v>8187</v>
      </c>
      <c r="F4873" s="1" t="s">
        <v>8506</v>
      </c>
      <c r="H4873" s="1" t="s">
        <v>8507</v>
      </c>
      <c r="J4873" s="1" t="s">
        <v>8508</v>
      </c>
      <c r="L4873" s="1" t="s">
        <v>1657</v>
      </c>
      <c r="N4873" s="1" t="s">
        <v>2505</v>
      </c>
      <c r="P4873" s="1" t="s">
        <v>947</v>
      </c>
      <c r="Q4873" s="3">
        <v>0</v>
      </c>
      <c r="R4873" s="22" t="s">
        <v>2725</v>
      </c>
      <c r="S4873" s="42" t="s">
        <v>6912</v>
      </c>
      <c r="T4873" s="3" t="s">
        <v>4868</v>
      </c>
      <c r="U4873" s="45">
        <v>35</v>
      </c>
      <c r="V4873" t="s">
        <v>8191</v>
      </c>
      <c r="W4873" s="1" t="str">
        <f>HYPERLINK("http://ictvonline.org/taxonomy/p/taxonomy-history?taxnode_id=201904141","ICTVonline=201904141")</f>
        <v>ICTVonline=201904141</v>
      </c>
    </row>
    <row r="4874" spans="1:23">
      <c r="A4874" s="3">
        <v>4873</v>
      </c>
      <c r="B4874" s="1" t="s">
        <v>5910</v>
      </c>
      <c r="D4874" s="1" t="s">
        <v>8187</v>
      </c>
      <c r="F4874" s="1" t="s">
        <v>8506</v>
      </c>
      <c r="H4874" s="1" t="s">
        <v>8507</v>
      </c>
      <c r="J4874" s="1" t="s">
        <v>8508</v>
      </c>
      <c r="L4874" s="1" t="s">
        <v>1657</v>
      </c>
      <c r="N4874" s="1" t="s">
        <v>2505</v>
      </c>
      <c r="P4874" s="1" t="s">
        <v>2506</v>
      </c>
      <c r="Q4874" s="3">
        <v>0</v>
      </c>
      <c r="R4874" s="22" t="s">
        <v>2725</v>
      </c>
      <c r="S4874" s="42" t="s">
        <v>6912</v>
      </c>
      <c r="T4874" s="3" t="s">
        <v>4868</v>
      </c>
      <c r="U4874" s="45">
        <v>35</v>
      </c>
      <c r="V4874" t="s">
        <v>8191</v>
      </c>
      <c r="W4874" s="1" t="str">
        <f>HYPERLINK("http://ictvonline.org/taxonomy/p/taxonomy-history?taxnode_id=201904142","ICTVonline=201904142")</f>
        <v>ICTVonline=201904142</v>
      </c>
    </row>
    <row r="4875" spans="1:23">
      <c r="A4875" s="3">
        <v>4874</v>
      </c>
      <c r="B4875" s="1" t="s">
        <v>5910</v>
      </c>
      <c r="D4875" s="1" t="s">
        <v>8187</v>
      </c>
      <c r="F4875" s="1" t="s">
        <v>8506</v>
      </c>
      <c r="H4875" s="1" t="s">
        <v>8507</v>
      </c>
      <c r="J4875" s="1" t="s">
        <v>8508</v>
      </c>
      <c r="L4875" s="1" t="s">
        <v>1657</v>
      </c>
      <c r="N4875" s="1" t="s">
        <v>2505</v>
      </c>
      <c r="P4875" s="1" t="s">
        <v>2507</v>
      </c>
      <c r="Q4875" s="3">
        <v>0</v>
      </c>
      <c r="R4875" s="22" t="s">
        <v>2725</v>
      </c>
      <c r="S4875" s="42" t="s">
        <v>6912</v>
      </c>
      <c r="T4875" s="3" t="s">
        <v>4868</v>
      </c>
      <c r="U4875" s="45">
        <v>35</v>
      </c>
      <c r="V4875" t="s">
        <v>8191</v>
      </c>
      <c r="W4875" s="1" t="str">
        <f>HYPERLINK("http://ictvonline.org/taxonomy/p/taxonomy-history?taxnode_id=201904143","ICTVonline=201904143")</f>
        <v>ICTVonline=201904143</v>
      </c>
    </row>
    <row r="4876" spans="1:23">
      <c r="A4876" s="3">
        <v>4875</v>
      </c>
      <c r="B4876" s="1" t="s">
        <v>5910</v>
      </c>
      <c r="D4876" s="1" t="s">
        <v>8187</v>
      </c>
      <c r="F4876" s="1" t="s">
        <v>8506</v>
      </c>
      <c r="H4876" s="1" t="s">
        <v>8507</v>
      </c>
      <c r="J4876" s="1" t="s">
        <v>8508</v>
      </c>
      <c r="L4876" s="1" t="s">
        <v>1657</v>
      </c>
      <c r="N4876" s="1" t="s">
        <v>2505</v>
      </c>
      <c r="P4876" s="1" t="s">
        <v>2508</v>
      </c>
      <c r="Q4876" s="3">
        <v>0</v>
      </c>
      <c r="R4876" s="22" t="s">
        <v>2725</v>
      </c>
      <c r="S4876" s="42" t="s">
        <v>6912</v>
      </c>
      <c r="T4876" s="3" t="s">
        <v>4868</v>
      </c>
      <c r="U4876" s="45">
        <v>35</v>
      </c>
      <c r="V4876" t="s">
        <v>8191</v>
      </c>
      <c r="W4876" s="1" t="str">
        <f>HYPERLINK("http://ictvonline.org/taxonomy/p/taxonomy-history?taxnode_id=201904144","ICTVonline=201904144")</f>
        <v>ICTVonline=201904144</v>
      </c>
    </row>
    <row r="4877" spans="1:23">
      <c r="A4877" s="3">
        <v>4876</v>
      </c>
      <c r="B4877" s="1" t="s">
        <v>5910</v>
      </c>
      <c r="D4877" s="1" t="s">
        <v>8187</v>
      </c>
      <c r="F4877" s="1" t="s">
        <v>8506</v>
      </c>
      <c r="H4877" s="1" t="s">
        <v>8507</v>
      </c>
      <c r="J4877" s="1" t="s">
        <v>8508</v>
      </c>
      <c r="L4877" s="1" t="s">
        <v>1657</v>
      </c>
      <c r="N4877" s="1" t="s">
        <v>2505</v>
      </c>
      <c r="P4877" s="1" t="s">
        <v>2509</v>
      </c>
      <c r="Q4877" s="3">
        <v>0</v>
      </c>
      <c r="R4877" s="22" t="s">
        <v>2725</v>
      </c>
      <c r="S4877" s="42" t="s">
        <v>6912</v>
      </c>
      <c r="T4877" s="3" t="s">
        <v>4868</v>
      </c>
      <c r="U4877" s="45">
        <v>35</v>
      </c>
      <c r="V4877" t="s">
        <v>8191</v>
      </c>
      <c r="W4877" s="1" t="str">
        <f>HYPERLINK("http://ictvonline.org/taxonomy/p/taxonomy-history?taxnode_id=201904145","ICTVonline=201904145")</f>
        <v>ICTVonline=201904145</v>
      </c>
    </row>
    <row r="4878" spans="1:23">
      <c r="A4878" s="3">
        <v>4877</v>
      </c>
      <c r="B4878" s="1" t="s">
        <v>5910</v>
      </c>
      <c r="D4878" s="1" t="s">
        <v>8187</v>
      </c>
      <c r="F4878" s="1" t="s">
        <v>8506</v>
      </c>
      <c r="H4878" s="1" t="s">
        <v>8507</v>
      </c>
      <c r="J4878" s="1" t="s">
        <v>8508</v>
      </c>
      <c r="L4878" s="1" t="s">
        <v>1657</v>
      </c>
      <c r="N4878" s="1" t="s">
        <v>2505</v>
      </c>
      <c r="P4878" s="1" t="s">
        <v>2663</v>
      </c>
      <c r="Q4878" s="3">
        <v>0</v>
      </c>
      <c r="R4878" s="22" t="s">
        <v>2725</v>
      </c>
      <c r="S4878" s="42" t="s">
        <v>6912</v>
      </c>
      <c r="T4878" s="3" t="s">
        <v>4868</v>
      </c>
      <c r="U4878" s="45">
        <v>35</v>
      </c>
      <c r="V4878" t="s">
        <v>8191</v>
      </c>
      <c r="W4878" s="1" t="str">
        <f>HYPERLINK("http://ictvonline.org/taxonomy/p/taxonomy-history?taxnode_id=201904146","ICTVonline=201904146")</f>
        <v>ICTVonline=201904146</v>
      </c>
    </row>
    <row r="4879" spans="1:23">
      <c r="A4879" s="3">
        <v>4878</v>
      </c>
      <c r="B4879" s="1" t="s">
        <v>5910</v>
      </c>
      <c r="D4879" s="1" t="s">
        <v>8187</v>
      </c>
      <c r="F4879" s="1" t="s">
        <v>8506</v>
      </c>
      <c r="H4879" s="1" t="s">
        <v>8507</v>
      </c>
      <c r="J4879" s="1" t="s">
        <v>8508</v>
      </c>
      <c r="L4879" s="1" t="s">
        <v>1657</v>
      </c>
      <c r="N4879" s="1" t="s">
        <v>2505</v>
      </c>
      <c r="P4879" s="1" t="s">
        <v>2664</v>
      </c>
      <c r="Q4879" s="3">
        <v>0</v>
      </c>
      <c r="R4879" s="22" t="s">
        <v>2725</v>
      </c>
      <c r="S4879" s="42" t="s">
        <v>6912</v>
      </c>
      <c r="T4879" s="3" t="s">
        <v>4868</v>
      </c>
      <c r="U4879" s="45">
        <v>35</v>
      </c>
      <c r="V4879" t="s">
        <v>8191</v>
      </c>
      <c r="W4879" s="1" t="str">
        <f>HYPERLINK("http://ictvonline.org/taxonomy/p/taxonomy-history?taxnode_id=201904147","ICTVonline=201904147")</f>
        <v>ICTVonline=201904147</v>
      </c>
    </row>
    <row r="4880" spans="1:23">
      <c r="A4880" s="3">
        <v>4879</v>
      </c>
      <c r="B4880" s="1" t="s">
        <v>5910</v>
      </c>
      <c r="D4880" s="1" t="s">
        <v>8187</v>
      </c>
      <c r="F4880" s="1" t="s">
        <v>8506</v>
      </c>
      <c r="H4880" s="1" t="s">
        <v>8507</v>
      </c>
      <c r="J4880" s="1" t="s">
        <v>8508</v>
      </c>
      <c r="L4880" s="1" t="s">
        <v>1657</v>
      </c>
      <c r="N4880" s="1" t="s">
        <v>2505</v>
      </c>
      <c r="P4880" s="1" t="s">
        <v>2665</v>
      </c>
      <c r="Q4880" s="3">
        <v>0</v>
      </c>
      <c r="R4880" s="22" t="s">
        <v>2725</v>
      </c>
      <c r="S4880" s="42" t="s">
        <v>6912</v>
      </c>
      <c r="T4880" s="3" t="s">
        <v>4868</v>
      </c>
      <c r="U4880" s="45">
        <v>35</v>
      </c>
      <c r="V4880" t="s">
        <v>8191</v>
      </c>
      <c r="W4880" s="1" t="str">
        <f>HYPERLINK("http://ictvonline.org/taxonomy/p/taxonomy-history?taxnode_id=201904148","ICTVonline=201904148")</f>
        <v>ICTVonline=201904148</v>
      </c>
    </row>
    <row r="4881" spans="1:23">
      <c r="A4881" s="3">
        <v>4880</v>
      </c>
      <c r="B4881" s="1" t="s">
        <v>5910</v>
      </c>
      <c r="D4881" s="1" t="s">
        <v>8187</v>
      </c>
      <c r="F4881" s="1" t="s">
        <v>8506</v>
      </c>
      <c r="H4881" s="1" t="s">
        <v>8507</v>
      </c>
      <c r="J4881" s="1" t="s">
        <v>8508</v>
      </c>
      <c r="L4881" s="1" t="s">
        <v>1657</v>
      </c>
      <c r="N4881" s="1" t="s">
        <v>2505</v>
      </c>
      <c r="P4881" s="1" t="s">
        <v>3864</v>
      </c>
      <c r="Q4881" s="3">
        <v>0</v>
      </c>
      <c r="R4881" s="22" t="s">
        <v>2725</v>
      </c>
      <c r="S4881" s="42" t="s">
        <v>6912</v>
      </c>
      <c r="T4881" s="3" t="s">
        <v>4868</v>
      </c>
      <c r="U4881" s="45">
        <v>35</v>
      </c>
      <c r="V4881" t="s">
        <v>8191</v>
      </c>
      <c r="W4881" s="1" t="str">
        <f>HYPERLINK("http://ictvonline.org/taxonomy/p/taxonomy-history?taxnode_id=201904149","ICTVonline=201904149")</f>
        <v>ICTVonline=201904149</v>
      </c>
    </row>
    <row r="4882" spans="1:23">
      <c r="A4882" s="3">
        <v>4881</v>
      </c>
      <c r="B4882" s="1" t="s">
        <v>5910</v>
      </c>
      <c r="D4882" s="1" t="s">
        <v>8187</v>
      </c>
      <c r="F4882" s="1" t="s">
        <v>8506</v>
      </c>
      <c r="H4882" s="1" t="s">
        <v>8507</v>
      </c>
      <c r="J4882" s="1" t="s">
        <v>8508</v>
      </c>
      <c r="L4882" s="1" t="s">
        <v>1657</v>
      </c>
      <c r="N4882" s="1" t="s">
        <v>2505</v>
      </c>
      <c r="P4882" s="1" t="s">
        <v>3865</v>
      </c>
      <c r="Q4882" s="3">
        <v>0</v>
      </c>
      <c r="R4882" s="22" t="s">
        <v>2725</v>
      </c>
      <c r="S4882" s="42" t="s">
        <v>6912</v>
      </c>
      <c r="T4882" s="3" t="s">
        <v>4868</v>
      </c>
      <c r="U4882" s="45">
        <v>35</v>
      </c>
      <c r="V4882" t="s">
        <v>8191</v>
      </c>
      <c r="W4882" s="1" t="str">
        <f>HYPERLINK("http://ictvonline.org/taxonomy/p/taxonomy-history?taxnode_id=201904150","ICTVonline=201904150")</f>
        <v>ICTVonline=201904150</v>
      </c>
    </row>
    <row r="4883" spans="1:23">
      <c r="A4883" s="3">
        <v>4882</v>
      </c>
      <c r="B4883" s="1" t="s">
        <v>5910</v>
      </c>
      <c r="D4883" s="1" t="s">
        <v>8187</v>
      </c>
      <c r="F4883" s="1" t="s">
        <v>8506</v>
      </c>
      <c r="H4883" s="1" t="s">
        <v>8507</v>
      </c>
      <c r="J4883" s="1" t="s">
        <v>8508</v>
      </c>
      <c r="L4883" s="1" t="s">
        <v>1657</v>
      </c>
      <c r="N4883" s="1" t="s">
        <v>2505</v>
      </c>
      <c r="P4883" s="1" t="s">
        <v>3866</v>
      </c>
      <c r="Q4883" s="3">
        <v>0</v>
      </c>
      <c r="R4883" s="22" t="s">
        <v>2725</v>
      </c>
      <c r="S4883" s="42" t="s">
        <v>6912</v>
      </c>
      <c r="T4883" s="3" t="s">
        <v>4868</v>
      </c>
      <c r="U4883" s="45">
        <v>35</v>
      </c>
      <c r="V4883" t="s">
        <v>8191</v>
      </c>
      <c r="W4883" s="1" t="str">
        <f>HYPERLINK("http://ictvonline.org/taxonomy/p/taxonomy-history?taxnode_id=201904151","ICTVonline=201904151")</f>
        <v>ICTVonline=201904151</v>
      </c>
    </row>
    <row r="4884" spans="1:23">
      <c r="A4884" s="3">
        <v>4883</v>
      </c>
      <c r="B4884" s="1" t="s">
        <v>5910</v>
      </c>
      <c r="D4884" s="1" t="s">
        <v>8187</v>
      </c>
      <c r="F4884" s="1" t="s">
        <v>8506</v>
      </c>
      <c r="H4884" s="1" t="s">
        <v>8507</v>
      </c>
      <c r="J4884" s="1" t="s">
        <v>8508</v>
      </c>
      <c r="L4884" s="1" t="s">
        <v>1657</v>
      </c>
      <c r="N4884" s="1" t="s">
        <v>2505</v>
      </c>
      <c r="P4884" s="1" t="s">
        <v>2510</v>
      </c>
      <c r="Q4884" s="3">
        <v>0</v>
      </c>
      <c r="R4884" s="22" t="s">
        <v>2725</v>
      </c>
      <c r="S4884" s="42" t="s">
        <v>6912</v>
      </c>
      <c r="T4884" s="3" t="s">
        <v>4868</v>
      </c>
      <c r="U4884" s="45">
        <v>35</v>
      </c>
      <c r="V4884" t="s">
        <v>8191</v>
      </c>
      <c r="W4884" s="1" t="str">
        <f>HYPERLINK("http://ictvonline.org/taxonomy/p/taxonomy-history?taxnode_id=201904152","ICTVonline=201904152")</f>
        <v>ICTVonline=201904152</v>
      </c>
    </row>
    <row r="4885" spans="1:23">
      <c r="A4885" s="3">
        <v>4884</v>
      </c>
      <c r="B4885" s="1" t="s">
        <v>5910</v>
      </c>
      <c r="D4885" s="1" t="s">
        <v>8187</v>
      </c>
      <c r="F4885" s="1" t="s">
        <v>8506</v>
      </c>
      <c r="H4885" s="1" t="s">
        <v>8507</v>
      </c>
      <c r="J4885" s="1" t="s">
        <v>8508</v>
      </c>
      <c r="L4885" s="1" t="s">
        <v>1657</v>
      </c>
      <c r="N4885" s="1" t="s">
        <v>2505</v>
      </c>
      <c r="P4885" s="1" t="s">
        <v>876</v>
      </c>
      <c r="Q4885" s="3">
        <v>0</v>
      </c>
      <c r="R4885" s="22" t="s">
        <v>2725</v>
      </c>
      <c r="S4885" s="42" t="s">
        <v>6912</v>
      </c>
      <c r="T4885" s="3" t="s">
        <v>4868</v>
      </c>
      <c r="U4885" s="45">
        <v>35</v>
      </c>
      <c r="V4885" t="s">
        <v>8191</v>
      </c>
      <c r="W4885" s="1" t="str">
        <f>HYPERLINK("http://ictvonline.org/taxonomy/p/taxonomy-history?taxnode_id=201904153","ICTVonline=201904153")</f>
        <v>ICTVonline=201904153</v>
      </c>
    </row>
    <row r="4886" spans="1:23">
      <c r="A4886" s="3">
        <v>4885</v>
      </c>
      <c r="B4886" s="1" t="s">
        <v>5910</v>
      </c>
      <c r="D4886" s="1" t="s">
        <v>8187</v>
      </c>
      <c r="F4886" s="1" t="s">
        <v>8506</v>
      </c>
      <c r="H4886" s="1" t="s">
        <v>8507</v>
      </c>
      <c r="J4886" s="1" t="s">
        <v>8508</v>
      </c>
      <c r="L4886" s="1" t="s">
        <v>1657</v>
      </c>
      <c r="N4886" s="1" t="s">
        <v>2505</v>
      </c>
      <c r="P4886" s="1" t="s">
        <v>877</v>
      </c>
      <c r="Q4886" s="3">
        <v>1</v>
      </c>
      <c r="R4886" s="22" t="s">
        <v>2725</v>
      </c>
      <c r="S4886" s="42" t="s">
        <v>6912</v>
      </c>
      <c r="T4886" s="3" t="s">
        <v>4868</v>
      </c>
      <c r="U4886" s="45">
        <v>35</v>
      </c>
      <c r="V4886" t="s">
        <v>8191</v>
      </c>
      <c r="W4886" s="1" t="str">
        <f>HYPERLINK("http://ictvonline.org/taxonomy/p/taxonomy-history?taxnode_id=201904154","ICTVonline=201904154")</f>
        <v>ICTVonline=201904154</v>
      </c>
    </row>
    <row r="4887" spans="1:23">
      <c r="A4887" s="3">
        <v>4886</v>
      </c>
      <c r="B4887" s="1" t="s">
        <v>5910</v>
      </c>
      <c r="D4887" s="1" t="s">
        <v>8187</v>
      </c>
      <c r="F4887" s="1" t="s">
        <v>8506</v>
      </c>
      <c r="H4887" s="1" t="s">
        <v>8507</v>
      </c>
      <c r="J4887" s="1" t="s">
        <v>8508</v>
      </c>
      <c r="L4887" s="1" t="s">
        <v>1657</v>
      </c>
      <c r="N4887" s="1" t="s">
        <v>2511</v>
      </c>
      <c r="P4887" s="1" t="s">
        <v>1592</v>
      </c>
      <c r="Q4887" s="3">
        <v>1</v>
      </c>
      <c r="R4887" s="22" t="s">
        <v>2725</v>
      </c>
      <c r="S4887" s="42" t="s">
        <v>6912</v>
      </c>
      <c r="T4887" s="3" t="s">
        <v>4868</v>
      </c>
      <c r="U4887" s="45">
        <v>35</v>
      </c>
      <c r="V4887" t="s">
        <v>8191</v>
      </c>
      <c r="W4887" s="1" t="str">
        <f>HYPERLINK("http://ictvonline.org/taxonomy/p/taxonomy-history?taxnode_id=201904156","ICTVonline=201904156")</f>
        <v>ICTVonline=201904156</v>
      </c>
    </row>
    <row r="4888" spans="1:23">
      <c r="A4888" s="3">
        <v>4887</v>
      </c>
      <c r="B4888" s="1" t="s">
        <v>5910</v>
      </c>
      <c r="D4888" s="1" t="s">
        <v>8187</v>
      </c>
      <c r="F4888" s="1" t="s">
        <v>8506</v>
      </c>
      <c r="H4888" s="1" t="s">
        <v>8507</v>
      </c>
      <c r="J4888" s="1" t="s">
        <v>8508</v>
      </c>
      <c r="L4888" s="1" t="s">
        <v>1657</v>
      </c>
      <c r="N4888" s="1" t="s">
        <v>2511</v>
      </c>
      <c r="P4888" s="1" t="s">
        <v>2512</v>
      </c>
      <c r="Q4888" s="3">
        <v>0</v>
      </c>
      <c r="R4888" s="22" t="s">
        <v>2725</v>
      </c>
      <c r="S4888" s="42" t="s">
        <v>6912</v>
      </c>
      <c r="T4888" s="3" t="s">
        <v>4868</v>
      </c>
      <c r="U4888" s="45">
        <v>35</v>
      </c>
      <c r="V4888" t="s">
        <v>8191</v>
      </c>
      <c r="W4888" s="1" t="str">
        <f>HYPERLINK("http://ictvonline.org/taxonomy/p/taxonomy-history?taxnode_id=201904157","ICTVonline=201904157")</f>
        <v>ICTVonline=201904157</v>
      </c>
    </row>
    <row r="4889" spans="1:23">
      <c r="A4889" s="3">
        <v>4888</v>
      </c>
      <c r="B4889" s="1" t="s">
        <v>5910</v>
      </c>
      <c r="D4889" s="1" t="s">
        <v>8187</v>
      </c>
      <c r="F4889" s="1" t="s">
        <v>8506</v>
      </c>
      <c r="H4889" s="1" t="s">
        <v>8507</v>
      </c>
      <c r="J4889" s="1" t="s">
        <v>8508</v>
      </c>
      <c r="L4889" s="1" t="s">
        <v>1657</v>
      </c>
      <c r="N4889" s="1" t="s">
        <v>2511</v>
      </c>
      <c r="P4889" s="1" t="s">
        <v>776</v>
      </c>
      <c r="Q4889" s="3">
        <v>0</v>
      </c>
      <c r="R4889" s="22" t="s">
        <v>2725</v>
      </c>
      <c r="S4889" s="42" t="s">
        <v>6912</v>
      </c>
      <c r="T4889" s="3" t="s">
        <v>4868</v>
      </c>
      <c r="U4889" s="45">
        <v>35</v>
      </c>
      <c r="V4889" t="s">
        <v>8191</v>
      </c>
      <c r="W4889" s="1" t="str">
        <f>HYPERLINK("http://ictvonline.org/taxonomy/p/taxonomy-history?taxnode_id=201904158","ICTVonline=201904158")</f>
        <v>ICTVonline=201904158</v>
      </c>
    </row>
    <row r="4890" spans="1:23">
      <c r="A4890" s="3">
        <v>4889</v>
      </c>
      <c r="B4890" s="1" t="s">
        <v>5910</v>
      </c>
      <c r="D4890" s="1" t="s">
        <v>8187</v>
      </c>
      <c r="F4890" s="1" t="s">
        <v>8506</v>
      </c>
      <c r="H4890" s="1" t="s">
        <v>8507</v>
      </c>
      <c r="J4890" s="1" t="s">
        <v>8508</v>
      </c>
      <c r="L4890" s="1" t="s">
        <v>1657</v>
      </c>
      <c r="N4890" s="1" t="s">
        <v>2511</v>
      </c>
      <c r="P4890" s="1" t="s">
        <v>2513</v>
      </c>
      <c r="Q4890" s="3">
        <v>0</v>
      </c>
      <c r="R4890" s="22" t="s">
        <v>2725</v>
      </c>
      <c r="S4890" s="42" t="s">
        <v>6912</v>
      </c>
      <c r="T4890" s="3" t="s">
        <v>4868</v>
      </c>
      <c r="U4890" s="45">
        <v>35</v>
      </c>
      <c r="V4890" t="s">
        <v>8191</v>
      </c>
      <c r="W4890" s="1" t="str">
        <f>HYPERLINK("http://ictvonline.org/taxonomy/p/taxonomy-history?taxnode_id=201904159","ICTVonline=201904159")</f>
        <v>ICTVonline=201904159</v>
      </c>
    </row>
    <row r="4891" spans="1:23">
      <c r="A4891" s="3">
        <v>4890</v>
      </c>
      <c r="B4891" s="1" t="s">
        <v>5910</v>
      </c>
      <c r="D4891" s="1" t="s">
        <v>8187</v>
      </c>
      <c r="F4891" s="1" t="s">
        <v>8506</v>
      </c>
      <c r="H4891" s="1" t="s">
        <v>8507</v>
      </c>
      <c r="J4891" s="1" t="s">
        <v>8508</v>
      </c>
      <c r="L4891" s="1" t="s">
        <v>1657</v>
      </c>
      <c r="N4891" s="1" t="s">
        <v>2511</v>
      </c>
      <c r="P4891" s="1" t="s">
        <v>2514</v>
      </c>
      <c r="Q4891" s="3">
        <v>0</v>
      </c>
      <c r="R4891" s="22" t="s">
        <v>2725</v>
      </c>
      <c r="S4891" s="42" t="s">
        <v>6912</v>
      </c>
      <c r="T4891" s="3" t="s">
        <v>4868</v>
      </c>
      <c r="U4891" s="45">
        <v>35</v>
      </c>
      <c r="V4891" t="s">
        <v>8191</v>
      </c>
      <c r="W4891" s="1" t="str">
        <f>HYPERLINK("http://ictvonline.org/taxonomy/p/taxonomy-history?taxnode_id=201904160","ICTVonline=201904160")</f>
        <v>ICTVonline=201904160</v>
      </c>
    </row>
    <row r="4892" spans="1:23">
      <c r="A4892" s="3">
        <v>4891</v>
      </c>
      <c r="B4892" s="1" t="s">
        <v>5910</v>
      </c>
      <c r="D4892" s="1" t="s">
        <v>8187</v>
      </c>
      <c r="F4892" s="1" t="s">
        <v>8506</v>
      </c>
      <c r="H4892" s="1" t="s">
        <v>8507</v>
      </c>
      <c r="J4892" s="1" t="s">
        <v>8508</v>
      </c>
      <c r="L4892" s="1" t="s">
        <v>1657</v>
      </c>
      <c r="N4892" s="1" t="s">
        <v>2511</v>
      </c>
      <c r="P4892" s="1" t="s">
        <v>1904</v>
      </c>
      <c r="Q4892" s="3">
        <v>0</v>
      </c>
      <c r="R4892" s="22" t="s">
        <v>2725</v>
      </c>
      <c r="S4892" s="42" t="s">
        <v>6912</v>
      </c>
      <c r="T4892" s="3" t="s">
        <v>4868</v>
      </c>
      <c r="U4892" s="45">
        <v>35</v>
      </c>
      <c r="V4892" t="s">
        <v>8191</v>
      </c>
      <c r="W4892" s="1" t="str">
        <f>HYPERLINK("http://ictvonline.org/taxonomy/p/taxonomy-history?taxnode_id=201904161","ICTVonline=201904161")</f>
        <v>ICTVonline=201904161</v>
      </c>
    </row>
    <row r="4893" spans="1:23">
      <c r="A4893" s="3">
        <v>4892</v>
      </c>
      <c r="B4893" s="1" t="s">
        <v>5910</v>
      </c>
      <c r="D4893" s="1" t="s">
        <v>8187</v>
      </c>
      <c r="F4893" s="1" t="s">
        <v>8506</v>
      </c>
      <c r="H4893" s="1" t="s">
        <v>8507</v>
      </c>
      <c r="J4893" s="1" t="s">
        <v>8508</v>
      </c>
      <c r="L4893" s="1" t="s">
        <v>1657</v>
      </c>
      <c r="N4893" s="1" t="s">
        <v>2511</v>
      </c>
      <c r="P4893" s="1" t="s">
        <v>2666</v>
      </c>
      <c r="Q4893" s="3">
        <v>0</v>
      </c>
      <c r="R4893" s="22" t="s">
        <v>2725</v>
      </c>
      <c r="S4893" s="42" t="s">
        <v>6912</v>
      </c>
      <c r="T4893" s="3" t="s">
        <v>4868</v>
      </c>
      <c r="U4893" s="45">
        <v>35</v>
      </c>
      <c r="V4893" t="s">
        <v>8191</v>
      </c>
      <c r="W4893" s="1" t="str">
        <f>HYPERLINK("http://ictvonline.org/taxonomy/p/taxonomy-history?taxnode_id=201904162","ICTVonline=201904162")</f>
        <v>ICTVonline=201904162</v>
      </c>
    </row>
    <row r="4894" spans="1:23">
      <c r="A4894" s="3">
        <v>4893</v>
      </c>
      <c r="B4894" s="1" t="s">
        <v>5910</v>
      </c>
      <c r="D4894" s="1" t="s">
        <v>8187</v>
      </c>
      <c r="F4894" s="1" t="s">
        <v>8506</v>
      </c>
      <c r="H4894" s="1" t="s">
        <v>8507</v>
      </c>
      <c r="J4894" s="1" t="s">
        <v>8508</v>
      </c>
      <c r="L4894" s="1" t="s">
        <v>1657</v>
      </c>
      <c r="N4894" s="1" t="s">
        <v>2511</v>
      </c>
      <c r="P4894" s="1" t="s">
        <v>3867</v>
      </c>
      <c r="Q4894" s="3">
        <v>0</v>
      </c>
      <c r="R4894" s="22" t="s">
        <v>2725</v>
      </c>
      <c r="S4894" s="42" t="s">
        <v>6912</v>
      </c>
      <c r="T4894" s="3" t="s">
        <v>4868</v>
      </c>
      <c r="U4894" s="45">
        <v>35</v>
      </c>
      <c r="V4894" t="s">
        <v>8191</v>
      </c>
      <c r="W4894" s="1" t="str">
        <f>HYPERLINK("http://ictvonline.org/taxonomy/p/taxonomy-history?taxnode_id=201904163","ICTVonline=201904163")</f>
        <v>ICTVonline=201904163</v>
      </c>
    </row>
    <row r="4895" spans="1:23">
      <c r="A4895" s="3">
        <v>4894</v>
      </c>
      <c r="B4895" s="1" t="s">
        <v>5910</v>
      </c>
      <c r="D4895" s="1" t="s">
        <v>8187</v>
      </c>
      <c r="F4895" s="1" t="s">
        <v>8506</v>
      </c>
      <c r="H4895" s="1" t="s">
        <v>8507</v>
      </c>
      <c r="J4895" s="1" t="s">
        <v>8508</v>
      </c>
      <c r="L4895" s="1" t="s">
        <v>1657</v>
      </c>
      <c r="N4895" s="1" t="s">
        <v>2511</v>
      </c>
      <c r="P4895" s="1" t="s">
        <v>2667</v>
      </c>
      <c r="Q4895" s="3">
        <v>0</v>
      </c>
      <c r="R4895" s="22" t="s">
        <v>2725</v>
      </c>
      <c r="S4895" s="42" t="s">
        <v>6912</v>
      </c>
      <c r="T4895" s="3" t="s">
        <v>4868</v>
      </c>
      <c r="U4895" s="45">
        <v>35</v>
      </c>
      <c r="V4895" t="s">
        <v>8191</v>
      </c>
      <c r="W4895" s="1" t="str">
        <f>HYPERLINK("http://ictvonline.org/taxonomy/p/taxonomy-history?taxnode_id=201904164","ICTVonline=201904164")</f>
        <v>ICTVonline=201904164</v>
      </c>
    </row>
    <row r="4896" spans="1:23">
      <c r="A4896" s="3">
        <v>4895</v>
      </c>
      <c r="B4896" s="1" t="s">
        <v>5910</v>
      </c>
      <c r="D4896" s="1" t="s">
        <v>8187</v>
      </c>
      <c r="F4896" s="1" t="s">
        <v>8506</v>
      </c>
      <c r="H4896" s="1" t="s">
        <v>8507</v>
      </c>
      <c r="J4896" s="1" t="s">
        <v>8508</v>
      </c>
      <c r="L4896" s="1" t="s">
        <v>1657</v>
      </c>
      <c r="N4896" s="1" t="s">
        <v>2511</v>
      </c>
      <c r="P4896" s="1" t="s">
        <v>2668</v>
      </c>
      <c r="Q4896" s="3">
        <v>0</v>
      </c>
      <c r="R4896" s="22" t="s">
        <v>2725</v>
      </c>
      <c r="S4896" s="42" t="s">
        <v>6912</v>
      </c>
      <c r="T4896" s="3" t="s">
        <v>4868</v>
      </c>
      <c r="U4896" s="45">
        <v>35</v>
      </c>
      <c r="V4896" t="s">
        <v>8191</v>
      </c>
      <c r="W4896" s="1" t="str">
        <f>HYPERLINK("http://ictvonline.org/taxonomy/p/taxonomy-history?taxnode_id=201904165","ICTVonline=201904165")</f>
        <v>ICTVonline=201904165</v>
      </c>
    </row>
    <row r="4897" spans="1:23">
      <c r="A4897" s="3">
        <v>4896</v>
      </c>
      <c r="B4897" s="1" t="s">
        <v>5910</v>
      </c>
      <c r="D4897" s="1" t="s">
        <v>8187</v>
      </c>
      <c r="F4897" s="1" t="s">
        <v>8506</v>
      </c>
      <c r="H4897" s="1" t="s">
        <v>8507</v>
      </c>
      <c r="J4897" s="1" t="s">
        <v>8508</v>
      </c>
      <c r="L4897" s="1" t="s">
        <v>1657</v>
      </c>
      <c r="N4897" s="1" t="s">
        <v>2511</v>
      </c>
      <c r="P4897" s="1" t="s">
        <v>613</v>
      </c>
      <c r="Q4897" s="3">
        <v>0</v>
      </c>
      <c r="R4897" s="22" t="s">
        <v>2725</v>
      </c>
      <c r="S4897" s="42" t="s">
        <v>6912</v>
      </c>
      <c r="T4897" s="3" t="s">
        <v>4868</v>
      </c>
      <c r="U4897" s="45">
        <v>35</v>
      </c>
      <c r="V4897" t="s">
        <v>8191</v>
      </c>
      <c r="W4897" s="1" t="str">
        <f>HYPERLINK("http://ictvonline.org/taxonomy/p/taxonomy-history?taxnode_id=201904166","ICTVonline=201904166")</f>
        <v>ICTVonline=201904166</v>
      </c>
    </row>
    <row r="4898" spans="1:23">
      <c r="A4898" s="3">
        <v>4897</v>
      </c>
      <c r="B4898" s="1" t="s">
        <v>5910</v>
      </c>
      <c r="D4898" s="1" t="s">
        <v>8187</v>
      </c>
      <c r="F4898" s="1" t="s">
        <v>8506</v>
      </c>
      <c r="H4898" s="1" t="s">
        <v>8507</v>
      </c>
      <c r="J4898" s="1" t="s">
        <v>8508</v>
      </c>
      <c r="L4898" s="1" t="s">
        <v>1657</v>
      </c>
      <c r="N4898" s="1" t="s">
        <v>2511</v>
      </c>
      <c r="P4898" s="1" t="s">
        <v>1242</v>
      </c>
      <c r="Q4898" s="3">
        <v>0</v>
      </c>
      <c r="R4898" s="22" t="s">
        <v>2725</v>
      </c>
      <c r="S4898" s="42" t="s">
        <v>6912</v>
      </c>
      <c r="T4898" s="3" t="s">
        <v>4868</v>
      </c>
      <c r="U4898" s="45">
        <v>35</v>
      </c>
      <c r="V4898" t="s">
        <v>8191</v>
      </c>
      <c r="W4898" s="1" t="str">
        <f>HYPERLINK("http://ictvonline.org/taxonomy/p/taxonomy-history?taxnode_id=201904167","ICTVonline=201904167")</f>
        <v>ICTVonline=201904167</v>
      </c>
    </row>
    <row r="4899" spans="1:23">
      <c r="A4899" s="3">
        <v>4898</v>
      </c>
      <c r="B4899" s="1" t="s">
        <v>5910</v>
      </c>
      <c r="D4899" s="1" t="s">
        <v>8187</v>
      </c>
      <c r="F4899" s="1" t="s">
        <v>8506</v>
      </c>
      <c r="H4899" s="1" t="s">
        <v>8507</v>
      </c>
      <c r="J4899" s="1" t="s">
        <v>8508</v>
      </c>
      <c r="L4899" s="1" t="s">
        <v>1657</v>
      </c>
      <c r="N4899" s="1" t="s">
        <v>2511</v>
      </c>
      <c r="P4899" s="1" t="s">
        <v>2515</v>
      </c>
      <c r="Q4899" s="3">
        <v>0</v>
      </c>
      <c r="R4899" s="22" t="s">
        <v>2725</v>
      </c>
      <c r="S4899" s="42" t="s">
        <v>6912</v>
      </c>
      <c r="T4899" s="3" t="s">
        <v>4868</v>
      </c>
      <c r="U4899" s="45">
        <v>35</v>
      </c>
      <c r="V4899" t="s">
        <v>8191</v>
      </c>
      <c r="W4899" s="1" t="str">
        <f>HYPERLINK("http://ictvonline.org/taxonomy/p/taxonomy-history?taxnode_id=201904168","ICTVonline=201904168")</f>
        <v>ICTVonline=201904168</v>
      </c>
    </row>
    <row r="4900" spans="1:23">
      <c r="A4900" s="3">
        <v>4899</v>
      </c>
      <c r="B4900" s="1" t="s">
        <v>5910</v>
      </c>
      <c r="D4900" s="1" t="s">
        <v>8187</v>
      </c>
      <c r="F4900" s="1" t="s">
        <v>8506</v>
      </c>
      <c r="H4900" s="1" t="s">
        <v>8507</v>
      </c>
      <c r="J4900" s="1" t="s">
        <v>8508</v>
      </c>
      <c r="L4900" s="1" t="s">
        <v>1657</v>
      </c>
      <c r="N4900" s="1" t="s">
        <v>2511</v>
      </c>
      <c r="P4900" s="1" t="s">
        <v>614</v>
      </c>
      <c r="Q4900" s="3">
        <v>0</v>
      </c>
      <c r="R4900" s="22" t="s">
        <v>2725</v>
      </c>
      <c r="S4900" s="42" t="s">
        <v>6912</v>
      </c>
      <c r="T4900" s="3" t="s">
        <v>4868</v>
      </c>
      <c r="U4900" s="45">
        <v>35</v>
      </c>
      <c r="V4900" t="s">
        <v>8191</v>
      </c>
      <c r="W4900" s="1" t="str">
        <f>HYPERLINK("http://ictvonline.org/taxonomy/p/taxonomy-history?taxnode_id=201904169","ICTVonline=201904169")</f>
        <v>ICTVonline=201904169</v>
      </c>
    </row>
    <row r="4901" spans="1:23">
      <c r="A4901" s="3">
        <v>4900</v>
      </c>
      <c r="B4901" s="1" t="s">
        <v>5910</v>
      </c>
      <c r="D4901" s="1" t="s">
        <v>8187</v>
      </c>
      <c r="F4901" s="1" t="s">
        <v>8506</v>
      </c>
      <c r="H4901" s="1" t="s">
        <v>8507</v>
      </c>
      <c r="J4901" s="1" t="s">
        <v>8508</v>
      </c>
      <c r="L4901" s="1" t="s">
        <v>1657</v>
      </c>
      <c r="N4901" s="1" t="s">
        <v>2511</v>
      </c>
      <c r="P4901" s="1" t="s">
        <v>886</v>
      </c>
      <c r="Q4901" s="3">
        <v>0</v>
      </c>
      <c r="R4901" s="22" t="s">
        <v>2725</v>
      </c>
      <c r="S4901" s="42" t="s">
        <v>6912</v>
      </c>
      <c r="T4901" s="3" t="s">
        <v>4868</v>
      </c>
      <c r="U4901" s="45">
        <v>35</v>
      </c>
      <c r="V4901" t="s">
        <v>8191</v>
      </c>
      <c r="W4901" s="1" t="str">
        <f>HYPERLINK("http://ictvonline.org/taxonomy/p/taxonomy-history?taxnode_id=201904170","ICTVonline=201904170")</f>
        <v>ICTVonline=201904170</v>
      </c>
    </row>
    <row r="4902" spans="1:23">
      <c r="A4902" s="3">
        <v>4901</v>
      </c>
      <c r="B4902" s="1" t="s">
        <v>5910</v>
      </c>
      <c r="D4902" s="1" t="s">
        <v>8187</v>
      </c>
      <c r="F4902" s="1" t="s">
        <v>8506</v>
      </c>
      <c r="H4902" s="1" t="s">
        <v>8507</v>
      </c>
      <c r="J4902" s="1" t="s">
        <v>8508</v>
      </c>
      <c r="L4902" s="1" t="s">
        <v>1657</v>
      </c>
      <c r="N4902" s="1" t="s">
        <v>2511</v>
      </c>
      <c r="P4902" s="1" t="s">
        <v>1504</v>
      </c>
      <c r="Q4902" s="3">
        <v>0</v>
      </c>
      <c r="R4902" s="22" t="s">
        <v>2725</v>
      </c>
      <c r="S4902" s="42" t="s">
        <v>6912</v>
      </c>
      <c r="T4902" s="3" t="s">
        <v>4868</v>
      </c>
      <c r="U4902" s="45">
        <v>35</v>
      </c>
      <c r="V4902" t="s">
        <v>8191</v>
      </c>
      <c r="W4902" s="1" t="str">
        <f>HYPERLINK("http://ictvonline.org/taxonomy/p/taxonomy-history?taxnode_id=201904171","ICTVonline=201904171")</f>
        <v>ICTVonline=201904171</v>
      </c>
    </row>
    <row r="4903" spans="1:23">
      <c r="A4903" s="3">
        <v>4902</v>
      </c>
      <c r="B4903" s="1" t="s">
        <v>5910</v>
      </c>
      <c r="D4903" s="1" t="s">
        <v>8187</v>
      </c>
      <c r="F4903" s="1" t="s">
        <v>8506</v>
      </c>
      <c r="H4903" s="1" t="s">
        <v>8507</v>
      </c>
      <c r="J4903" s="1" t="s">
        <v>8508</v>
      </c>
      <c r="L4903" s="1" t="s">
        <v>1657</v>
      </c>
      <c r="N4903" s="1" t="s">
        <v>2511</v>
      </c>
      <c r="P4903" s="1" t="s">
        <v>615</v>
      </c>
      <c r="Q4903" s="3">
        <v>0</v>
      </c>
      <c r="R4903" s="22" t="s">
        <v>2725</v>
      </c>
      <c r="S4903" s="42" t="s">
        <v>6912</v>
      </c>
      <c r="T4903" s="3" t="s">
        <v>4868</v>
      </c>
      <c r="U4903" s="45">
        <v>35</v>
      </c>
      <c r="V4903" t="s">
        <v>8191</v>
      </c>
      <c r="W4903" s="1" t="str">
        <f>HYPERLINK("http://ictvonline.org/taxonomy/p/taxonomy-history?taxnode_id=201904172","ICTVonline=201904172")</f>
        <v>ICTVonline=201904172</v>
      </c>
    </row>
    <row r="4904" spans="1:23">
      <c r="A4904" s="3">
        <v>4903</v>
      </c>
      <c r="B4904" s="1" t="s">
        <v>5910</v>
      </c>
      <c r="D4904" s="1" t="s">
        <v>8187</v>
      </c>
      <c r="F4904" s="1" t="s">
        <v>8506</v>
      </c>
      <c r="H4904" s="1" t="s">
        <v>8507</v>
      </c>
      <c r="J4904" s="1" t="s">
        <v>8508</v>
      </c>
      <c r="L4904" s="1" t="s">
        <v>1657</v>
      </c>
      <c r="N4904" s="1" t="s">
        <v>1243</v>
      </c>
      <c r="P4904" s="1" t="s">
        <v>291</v>
      </c>
      <c r="Q4904" s="3">
        <v>1</v>
      </c>
      <c r="R4904" s="22" t="s">
        <v>2725</v>
      </c>
      <c r="S4904" s="42" t="s">
        <v>6912</v>
      </c>
      <c r="T4904" s="3" t="s">
        <v>4868</v>
      </c>
      <c r="U4904" s="45">
        <v>35</v>
      </c>
      <c r="V4904" t="s">
        <v>8191</v>
      </c>
      <c r="W4904" s="1" t="str">
        <f>HYPERLINK("http://ictvonline.org/taxonomy/p/taxonomy-history?taxnode_id=201904174","ICTVonline=201904174")</f>
        <v>ICTVonline=201904174</v>
      </c>
    </row>
    <row r="4905" spans="1:23">
      <c r="A4905" s="3">
        <v>4904</v>
      </c>
      <c r="B4905" s="1" t="s">
        <v>5910</v>
      </c>
      <c r="D4905" s="1" t="s">
        <v>8187</v>
      </c>
      <c r="F4905" s="1" t="s">
        <v>8506</v>
      </c>
      <c r="H4905" s="1" t="s">
        <v>8507</v>
      </c>
      <c r="J4905" s="1" t="s">
        <v>8508</v>
      </c>
      <c r="L4905" s="1" t="s">
        <v>1657</v>
      </c>
      <c r="N4905" s="1" t="s">
        <v>2516</v>
      </c>
      <c r="P4905" s="1" t="s">
        <v>948</v>
      </c>
      <c r="Q4905" s="3">
        <v>0</v>
      </c>
      <c r="R4905" s="22" t="s">
        <v>2725</v>
      </c>
      <c r="S4905" s="42" t="s">
        <v>6912</v>
      </c>
      <c r="T4905" s="3" t="s">
        <v>4868</v>
      </c>
      <c r="U4905" s="45">
        <v>35</v>
      </c>
      <c r="V4905" t="s">
        <v>8191</v>
      </c>
      <c r="W4905" s="1" t="str">
        <f>HYPERLINK("http://ictvonline.org/taxonomy/p/taxonomy-history?taxnode_id=201904176","ICTVonline=201904176")</f>
        <v>ICTVonline=201904176</v>
      </c>
    </row>
    <row r="4906" spans="1:23">
      <c r="A4906" s="3">
        <v>4905</v>
      </c>
      <c r="B4906" s="1" t="s">
        <v>5910</v>
      </c>
      <c r="D4906" s="1" t="s">
        <v>8187</v>
      </c>
      <c r="F4906" s="1" t="s">
        <v>8506</v>
      </c>
      <c r="H4906" s="1" t="s">
        <v>8507</v>
      </c>
      <c r="J4906" s="1" t="s">
        <v>8508</v>
      </c>
      <c r="L4906" s="1" t="s">
        <v>1657</v>
      </c>
      <c r="N4906" s="1" t="s">
        <v>2516</v>
      </c>
      <c r="P4906" s="1" t="s">
        <v>949</v>
      </c>
      <c r="Q4906" s="3">
        <v>0</v>
      </c>
      <c r="R4906" s="22" t="s">
        <v>2725</v>
      </c>
      <c r="S4906" s="42" t="s">
        <v>6912</v>
      </c>
      <c r="T4906" s="3" t="s">
        <v>4868</v>
      </c>
      <c r="U4906" s="45">
        <v>35</v>
      </c>
      <c r="V4906" t="s">
        <v>8191</v>
      </c>
      <c r="W4906" s="1" t="str">
        <f>HYPERLINK("http://ictvonline.org/taxonomy/p/taxonomy-history?taxnode_id=201904177","ICTVonline=201904177")</f>
        <v>ICTVonline=201904177</v>
      </c>
    </row>
    <row r="4907" spans="1:23">
      <c r="A4907" s="3">
        <v>4906</v>
      </c>
      <c r="B4907" s="1" t="s">
        <v>5910</v>
      </c>
      <c r="D4907" s="1" t="s">
        <v>8187</v>
      </c>
      <c r="F4907" s="1" t="s">
        <v>8506</v>
      </c>
      <c r="H4907" s="1" t="s">
        <v>8507</v>
      </c>
      <c r="J4907" s="1" t="s">
        <v>8508</v>
      </c>
      <c r="L4907" s="1" t="s">
        <v>1657</v>
      </c>
      <c r="N4907" s="1" t="s">
        <v>2516</v>
      </c>
      <c r="P4907" s="1" t="s">
        <v>2517</v>
      </c>
      <c r="Q4907" s="3">
        <v>0</v>
      </c>
      <c r="R4907" s="22" t="s">
        <v>2725</v>
      </c>
      <c r="S4907" s="42" t="s">
        <v>6912</v>
      </c>
      <c r="T4907" s="3" t="s">
        <v>4868</v>
      </c>
      <c r="U4907" s="45">
        <v>35</v>
      </c>
      <c r="V4907" t="s">
        <v>8191</v>
      </c>
      <c r="W4907" s="1" t="str">
        <f>HYPERLINK("http://ictvonline.org/taxonomy/p/taxonomy-history?taxnode_id=201904178","ICTVonline=201904178")</f>
        <v>ICTVonline=201904178</v>
      </c>
    </row>
    <row r="4908" spans="1:23">
      <c r="A4908" s="3">
        <v>4907</v>
      </c>
      <c r="B4908" s="1" t="s">
        <v>5910</v>
      </c>
      <c r="D4908" s="1" t="s">
        <v>8187</v>
      </c>
      <c r="F4908" s="1" t="s">
        <v>8506</v>
      </c>
      <c r="H4908" s="1" t="s">
        <v>8507</v>
      </c>
      <c r="J4908" s="1" t="s">
        <v>8508</v>
      </c>
      <c r="L4908" s="1" t="s">
        <v>1657</v>
      </c>
      <c r="N4908" s="1" t="s">
        <v>2516</v>
      </c>
      <c r="P4908" s="1" t="s">
        <v>2518</v>
      </c>
      <c r="Q4908" s="3">
        <v>1</v>
      </c>
      <c r="R4908" s="22" t="s">
        <v>2725</v>
      </c>
      <c r="S4908" s="42" t="s">
        <v>6912</v>
      </c>
      <c r="T4908" s="3" t="s">
        <v>4868</v>
      </c>
      <c r="U4908" s="45">
        <v>35</v>
      </c>
      <c r="V4908" t="s">
        <v>8191</v>
      </c>
      <c r="W4908" s="1" t="str">
        <f>HYPERLINK("http://ictvonline.org/taxonomy/p/taxonomy-history?taxnode_id=201904179","ICTVonline=201904179")</f>
        <v>ICTVonline=201904179</v>
      </c>
    </row>
    <row r="4909" spans="1:23">
      <c r="A4909" s="3">
        <v>4908</v>
      </c>
      <c r="B4909" s="1" t="s">
        <v>5910</v>
      </c>
      <c r="D4909" s="1" t="s">
        <v>8187</v>
      </c>
      <c r="F4909" s="1" t="s">
        <v>8506</v>
      </c>
      <c r="H4909" s="1" t="s">
        <v>8507</v>
      </c>
      <c r="J4909" s="1" t="s">
        <v>8508</v>
      </c>
      <c r="L4909" s="1" t="s">
        <v>1657</v>
      </c>
      <c r="N4909" s="1" t="s">
        <v>2516</v>
      </c>
      <c r="P4909" s="1" t="s">
        <v>2519</v>
      </c>
      <c r="Q4909" s="3">
        <v>0</v>
      </c>
      <c r="R4909" s="22" t="s">
        <v>2725</v>
      </c>
      <c r="S4909" s="42" t="s">
        <v>6912</v>
      </c>
      <c r="T4909" s="3" t="s">
        <v>4868</v>
      </c>
      <c r="U4909" s="45">
        <v>35</v>
      </c>
      <c r="V4909" t="s">
        <v>8191</v>
      </c>
      <c r="W4909" s="1" t="str">
        <f>HYPERLINK("http://ictvonline.org/taxonomy/p/taxonomy-history?taxnode_id=201904180","ICTVonline=201904180")</f>
        <v>ICTVonline=201904180</v>
      </c>
    </row>
    <row r="4910" spans="1:23">
      <c r="A4910" s="3">
        <v>4909</v>
      </c>
      <c r="B4910" s="1" t="s">
        <v>5910</v>
      </c>
      <c r="D4910" s="1" t="s">
        <v>8187</v>
      </c>
      <c r="F4910" s="1" t="s">
        <v>8506</v>
      </c>
      <c r="H4910" s="1" t="s">
        <v>8507</v>
      </c>
      <c r="J4910" s="1" t="s">
        <v>8508</v>
      </c>
      <c r="L4910" s="1" t="s">
        <v>1657</v>
      </c>
      <c r="N4910" s="1" t="s">
        <v>2520</v>
      </c>
      <c r="P4910" s="1" t="s">
        <v>617</v>
      </c>
      <c r="Q4910" s="3">
        <v>0</v>
      </c>
      <c r="R4910" s="22" t="s">
        <v>2725</v>
      </c>
      <c r="S4910" s="42" t="s">
        <v>6912</v>
      </c>
      <c r="T4910" s="3" t="s">
        <v>4868</v>
      </c>
      <c r="U4910" s="45">
        <v>35</v>
      </c>
      <c r="V4910" t="s">
        <v>8191</v>
      </c>
      <c r="W4910" s="1" t="str">
        <f>HYPERLINK("http://ictvonline.org/taxonomy/p/taxonomy-history?taxnode_id=201904182","ICTVonline=201904182")</f>
        <v>ICTVonline=201904182</v>
      </c>
    </row>
    <row r="4911" spans="1:23">
      <c r="A4911" s="3">
        <v>4910</v>
      </c>
      <c r="B4911" s="1" t="s">
        <v>5910</v>
      </c>
      <c r="D4911" s="1" t="s">
        <v>8187</v>
      </c>
      <c r="F4911" s="1" t="s">
        <v>8506</v>
      </c>
      <c r="H4911" s="1" t="s">
        <v>8507</v>
      </c>
      <c r="J4911" s="1" t="s">
        <v>8508</v>
      </c>
      <c r="L4911" s="1" t="s">
        <v>1657</v>
      </c>
      <c r="N4911" s="1" t="s">
        <v>2520</v>
      </c>
      <c r="P4911" s="1" t="s">
        <v>1593</v>
      </c>
      <c r="Q4911" s="3">
        <v>0</v>
      </c>
      <c r="R4911" s="22" t="s">
        <v>2725</v>
      </c>
      <c r="S4911" s="42" t="s">
        <v>6912</v>
      </c>
      <c r="T4911" s="3" t="s">
        <v>4868</v>
      </c>
      <c r="U4911" s="45">
        <v>35</v>
      </c>
      <c r="V4911" t="s">
        <v>8191</v>
      </c>
      <c r="W4911" s="1" t="str">
        <f>HYPERLINK("http://ictvonline.org/taxonomy/p/taxonomy-history?taxnode_id=201904183","ICTVonline=201904183")</f>
        <v>ICTVonline=201904183</v>
      </c>
    </row>
    <row r="4912" spans="1:23">
      <c r="A4912" s="3">
        <v>4911</v>
      </c>
      <c r="B4912" s="1" t="s">
        <v>5910</v>
      </c>
      <c r="D4912" s="1" t="s">
        <v>8187</v>
      </c>
      <c r="F4912" s="1" t="s">
        <v>8506</v>
      </c>
      <c r="H4912" s="1" t="s">
        <v>8507</v>
      </c>
      <c r="J4912" s="1" t="s">
        <v>8508</v>
      </c>
      <c r="L4912" s="1" t="s">
        <v>1657</v>
      </c>
      <c r="N4912" s="1" t="s">
        <v>2520</v>
      </c>
      <c r="P4912" s="1" t="s">
        <v>1903</v>
      </c>
      <c r="Q4912" s="3">
        <v>0</v>
      </c>
      <c r="R4912" s="22" t="s">
        <v>2725</v>
      </c>
      <c r="S4912" s="42" t="s">
        <v>6912</v>
      </c>
      <c r="T4912" s="3" t="s">
        <v>4868</v>
      </c>
      <c r="U4912" s="45">
        <v>35</v>
      </c>
      <c r="V4912" t="s">
        <v>8191</v>
      </c>
      <c r="W4912" s="1" t="str">
        <f>HYPERLINK("http://ictvonline.org/taxonomy/p/taxonomy-history?taxnode_id=201904184","ICTVonline=201904184")</f>
        <v>ICTVonline=201904184</v>
      </c>
    </row>
    <row r="4913" spans="1:23">
      <c r="A4913" s="3">
        <v>4912</v>
      </c>
      <c r="B4913" s="1" t="s">
        <v>5910</v>
      </c>
      <c r="D4913" s="1" t="s">
        <v>8187</v>
      </c>
      <c r="F4913" s="1" t="s">
        <v>8506</v>
      </c>
      <c r="H4913" s="1" t="s">
        <v>8507</v>
      </c>
      <c r="J4913" s="1" t="s">
        <v>8508</v>
      </c>
      <c r="L4913" s="1" t="s">
        <v>1657</v>
      </c>
      <c r="N4913" s="1" t="s">
        <v>2520</v>
      </c>
      <c r="P4913" s="1" t="s">
        <v>1905</v>
      </c>
      <c r="Q4913" s="3">
        <v>0</v>
      </c>
      <c r="R4913" s="22" t="s">
        <v>2725</v>
      </c>
      <c r="S4913" s="42" t="s">
        <v>6912</v>
      </c>
      <c r="T4913" s="3" t="s">
        <v>4868</v>
      </c>
      <c r="U4913" s="45">
        <v>35</v>
      </c>
      <c r="V4913" t="s">
        <v>8191</v>
      </c>
      <c r="W4913" s="1" t="str">
        <f>HYPERLINK("http://ictvonline.org/taxonomy/p/taxonomy-history?taxnode_id=201904185","ICTVonline=201904185")</f>
        <v>ICTVonline=201904185</v>
      </c>
    </row>
    <row r="4914" spans="1:23">
      <c r="A4914" s="3">
        <v>4913</v>
      </c>
      <c r="B4914" s="1" t="s">
        <v>5910</v>
      </c>
      <c r="D4914" s="1" t="s">
        <v>8187</v>
      </c>
      <c r="F4914" s="1" t="s">
        <v>8506</v>
      </c>
      <c r="H4914" s="1" t="s">
        <v>8507</v>
      </c>
      <c r="J4914" s="1" t="s">
        <v>8508</v>
      </c>
      <c r="L4914" s="1" t="s">
        <v>1657</v>
      </c>
      <c r="N4914" s="1" t="s">
        <v>2520</v>
      </c>
      <c r="P4914" s="1" t="s">
        <v>893</v>
      </c>
      <c r="Q4914" s="3">
        <v>0</v>
      </c>
      <c r="R4914" s="22" t="s">
        <v>2725</v>
      </c>
      <c r="S4914" s="42" t="s">
        <v>6912</v>
      </c>
      <c r="T4914" s="3" t="s">
        <v>4868</v>
      </c>
      <c r="U4914" s="45">
        <v>35</v>
      </c>
      <c r="V4914" t="s">
        <v>8191</v>
      </c>
      <c r="W4914" s="1" t="str">
        <f>HYPERLINK("http://ictvonline.org/taxonomy/p/taxonomy-history?taxnode_id=201904186","ICTVonline=201904186")</f>
        <v>ICTVonline=201904186</v>
      </c>
    </row>
    <row r="4915" spans="1:23">
      <c r="A4915" s="3">
        <v>4914</v>
      </c>
      <c r="B4915" s="1" t="s">
        <v>5910</v>
      </c>
      <c r="D4915" s="1" t="s">
        <v>8187</v>
      </c>
      <c r="F4915" s="1" t="s">
        <v>8506</v>
      </c>
      <c r="H4915" s="1" t="s">
        <v>8507</v>
      </c>
      <c r="J4915" s="1" t="s">
        <v>8508</v>
      </c>
      <c r="L4915" s="1" t="s">
        <v>1657</v>
      </c>
      <c r="N4915" s="1" t="s">
        <v>2520</v>
      </c>
      <c r="P4915" s="1" t="s">
        <v>1240</v>
      </c>
      <c r="Q4915" s="3">
        <v>0</v>
      </c>
      <c r="R4915" s="22" t="s">
        <v>2725</v>
      </c>
      <c r="S4915" s="42" t="s">
        <v>6912</v>
      </c>
      <c r="T4915" s="3" t="s">
        <v>4868</v>
      </c>
      <c r="U4915" s="45">
        <v>35</v>
      </c>
      <c r="V4915" t="s">
        <v>8191</v>
      </c>
      <c r="W4915" s="1" t="str">
        <f>HYPERLINK("http://ictvonline.org/taxonomy/p/taxonomy-history?taxnode_id=201904187","ICTVonline=201904187")</f>
        <v>ICTVonline=201904187</v>
      </c>
    </row>
    <row r="4916" spans="1:23">
      <c r="A4916" s="3">
        <v>4915</v>
      </c>
      <c r="B4916" s="1" t="s">
        <v>5910</v>
      </c>
      <c r="D4916" s="1" t="s">
        <v>8187</v>
      </c>
      <c r="F4916" s="1" t="s">
        <v>8506</v>
      </c>
      <c r="H4916" s="1" t="s">
        <v>8507</v>
      </c>
      <c r="J4916" s="1" t="s">
        <v>8508</v>
      </c>
      <c r="L4916" s="1" t="s">
        <v>1657</v>
      </c>
      <c r="N4916" s="1" t="s">
        <v>2520</v>
      </c>
      <c r="P4916" s="1" t="s">
        <v>1241</v>
      </c>
      <c r="Q4916" s="3">
        <v>0</v>
      </c>
      <c r="R4916" s="22" t="s">
        <v>2725</v>
      </c>
      <c r="S4916" s="42" t="s">
        <v>6912</v>
      </c>
      <c r="T4916" s="3" t="s">
        <v>4868</v>
      </c>
      <c r="U4916" s="45">
        <v>35</v>
      </c>
      <c r="V4916" t="s">
        <v>8191</v>
      </c>
      <c r="W4916" s="1" t="str">
        <f>HYPERLINK("http://ictvonline.org/taxonomy/p/taxonomy-history?taxnode_id=201904188","ICTVonline=201904188")</f>
        <v>ICTVonline=201904188</v>
      </c>
    </row>
    <row r="4917" spans="1:23">
      <c r="A4917" s="3">
        <v>4916</v>
      </c>
      <c r="B4917" s="1" t="s">
        <v>5910</v>
      </c>
      <c r="D4917" s="1" t="s">
        <v>8187</v>
      </c>
      <c r="F4917" s="1" t="s">
        <v>8506</v>
      </c>
      <c r="H4917" s="1" t="s">
        <v>8507</v>
      </c>
      <c r="J4917" s="1" t="s">
        <v>8508</v>
      </c>
      <c r="L4917" s="1" t="s">
        <v>1657</v>
      </c>
      <c r="N4917" s="1" t="s">
        <v>2520</v>
      </c>
      <c r="P4917" s="1" t="s">
        <v>885</v>
      </c>
      <c r="Q4917" s="3">
        <v>1</v>
      </c>
      <c r="R4917" s="22" t="s">
        <v>2725</v>
      </c>
      <c r="S4917" s="42" t="s">
        <v>6912</v>
      </c>
      <c r="T4917" s="3" t="s">
        <v>4868</v>
      </c>
      <c r="U4917" s="45">
        <v>35</v>
      </c>
      <c r="V4917" t="s">
        <v>8191</v>
      </c>
      <c r="W4917" s="1" t="str">
        <f>HYPERLINK("http://ictvonline.org/taxonomy/p/taxonomy-history?taxnode_id=201904189","ICTVonline=201904189")</f>
        <v>ICTVonline=201904189</v>
      </c>
    </row>
    <row r="4918" spans="1:23">
      <c r="A4918" s="3">
        <v>4917</v>
      </c>
      <c r="B4918" s="1" t="s">
        <v>5910</v>
      </c>
      <c r="D4918" s="1" t="s">
        <v>8187</v>
      </c>
      <c r="F4918" s="1" t="s">
        <v>8506</v>
      </c>
      <c r="H4918" s="1" t="s">
        <v>8507</v>
      </c>
      <c r="J4918" s="1" t="s">
        <v>8508</v>
      </c>
      <c r="L4918" s="1" t="s">
        <v>1657</v>
      </c>
      <c r="P4918" s="1" t="s">
        <v>616</v>
      </c>
      <c r="Q4918" s="3">
        <v>0</v>
      </c>
      <c r="R4918" s="22" t="s">
        <v>2725</v>
      </c>
      <c r="S4918" s="42" t="s">
        <v>6912</v>
      </c>
      <c r="T4918" s="3" t="s">
        <v>4868</v>
      </c>
      <c r="U4918" s="45">
        <v>35</v>
      </c>
      <c r="V4918" t="s">
        <v>8191</v>
      </c>
      <c r="W4918" s="1" t="str">
        <f>HYPERLINK("http://ictvonline.org/taxonomy/p/taxonomy-history?taxnode_id=201904191","ICTVonline=201904191")</f>
        <v>ICTVonline=201904191</v>
      </c>
    </row>
    <row r="4919" spans="1:23">
      <c r="A4919" s="3">
        <v>4918</v>
      </c>
      <c r="B4919" s="1" t="s">
        <v>5910</v>
      </c>
      <c r="D4919" s="1" t="s">
        <v>8187</v>
      </c>
      <c r="F4919" s="1" t="s">
        <v>8506</v>
      </c>
      <c r="H4919" s="1" t="s">
        <v>8507</v>
      </c>
      <c r="J4919" s="1" t="s">
        <v>8508</v>
      </c>
      <c r="L4919" s="1" t="s">
        <v>1657</v>
      </c>
      <c r="P4919" s="1" t="s">
        <v>946</v>
      </c>
      <c r="Q4919" s="3">
        <v>0</v>
      </c>
      <c r="R4919" s="22" t="s">
        <v>2725</v>
      </c>
      <c r="S4919" s="42" t="s">
        <v>6912</v>
      </c>
      <c r="T4919" s="3" t="s">
        <v>4868</v>
      </c>
      <c r="U4919" s="45">
        <v>35</v>
      </c>
      <c r="V4919" t="s">
        <v>8191</v>
      </c>
      <c r="W4919" s="1" t="str">
        <f>HYPERLINK("http://ictvonline.org/taxonomy/p/taxonomy-history?taxnode_id=201904192","ICTVonline=201904192")</f>
        <v>ICTVonline=201904192</v>
      </c>
    </row>
    <row r="4920" spans="1:23">
      <c r="A4920" s="3">
        <v>4919</v>
      </c>
      <c r="B4920" s="1" t="s">
        <v>5910</v>
      </c>
      <c r="D4920" s="1" t="s">
        <v>8187</v>
      </c>
      <c r="F4920" s="1" t="s">
        <v>8506</v>
      </c>
      <c r="H4920" s="1" t="s">
        <v>8507</v>
      </c>
      <c r="J4920" s="1" t="s">
        <v>8508</v>
      </c>
      <c r="L4920" s="1" t="s">
        <v>1657</v>
      </c>
      <c r="P4920" s="1" t="s">
        <v>950</v>
      </c>
      <c r="Q4920" s="3">
        <v>0</v>
      </c>
      <c r="R4920" s="22" t="s">
        <v>2725</v>
      </c>
      <c r="S4920" s="42" t="s">
        <v>6912</v>
      </c>
      <c r="T4920" s="3" t="s">
        <v>4868</v>
      </c>
      <c r="U4920" s="45">
        <v>35</v>
      </c>
      <c r="V4920" t="s">
        <v>8191</v>
      </c>
      <c r="W4920" s="1" t="str">
        <f>HYPERLINK("http://ictvonline.org/taxonomy/p/taxonomy-history?taxnode_id=201904193","ICTVonline=201904193")</f>
        <v>ICTVonline=201904193</v>
      </c>
    </row>
    <row r="4921" spans="1:23">
      <c r="A4921" s="3">
        <v>4920</v>
      </c>
      <c r="B4921" s="1" t="s">
        <v>5910</v>
      </c>
      <c r="D4921" s="1" t="s">
        <v>8187</v>
      </c>
      <c r="F4921" s="1" t="s">
        <v>8506</v>
      </c>
      <c r="H4921" s="1" t="s">
        <v>8507</v>
      </c>
      <c r="J4921" s="1" t="s">
        <v>8508</v>
      </c>
      <c r="L4921" s="1" t="s">
        <v>1657</v>
      </c>
      <c r="P4921" s="1" t="s">
        <v>951</v>
      </c>
      <c r="Q4921" s="3">
        <v>0</v>
      </c>
      <c r="R4921" s="22" t="s">
        <v>2725</v>
      </c>
      <c r="S4921" s="42" t="s">
        <v>6912</v>
      </c>
      <c r="T4921" s="3" t="s">
        <v>4868</v>
      </c>
      <c r="U4921" s="45">
        <v>35</v>
      </c>
      <c r="V4921" t="s">
        <v>8191</v>
      </c>
      <c r="W4921" s="1" t="str">
        <f>HYPERLINK("http://ictvonline.org/taxonomy/p/taxonomy-history?taxnode_id=201904194","ICTVonline=201904194")</f>
        <v>ICTVonline=201904194</v>
      </c>
    </row>
    <row r="4922" spans="1:23">
      <c r="A4922" s="3">
        <v>4921</v>
      </c>
      <c r="B4922" s="1" t="s">
        <v>5910</v>
      </c>
      <c r="D4922" s="1" t="s">
        <v>8187</v>
      </c>
      <c r="F4922" s="1" t="s">
        <v>8506</v>
      </c>
      <c r="H4922" s="1" t="s">
        <v>8507</v>
      </c>
      <c r="J4922" s="1" t="s">
        <v>8508</v>
      </c>
      <c r="L4922" s="1" t="s">
        <v>1657</v>
      </c>
      <c r="P4922" s="1" t="s">
        <v>612</v>
      </c>
      <c r="Q4922" s="3">
        <v>0</v>
      </c>
      <c r="R4922" s="22" t="s">
        <v>2725</v>
      </c>
      <c r="S4922" s="42" t="s">
        <v>6912</v>
      </c>
      <c r="T4922" s="3" t="s">
        <v>4868</v>
      </c>
      <c r="U4922" s="45">
        <v>35</v>
      </c>
      <c r="V4922" t="s">
        <v>8191</v>
      </c>
      <c r="W4922" s="1" t="str">
        <f>HYPERLINK("http://ictvonline.org/taxonomy/p/taxonomy-history?taxnode_id=201904195","ICTVonline=201904195")</f>
        <v>ICTVonline=201904195</v>
      </c>
    </row>
    <row r="4923" spans="1:23">
      <c r="A4923" s="3">
        <v>4922</v>
      </c>
      <c r="B4923" s="1" t="s">
        <v>5910</v>
      </c>
      <c r="D4923" s="1" t="s">
        <v>8187</v>
      </c>
      <c r="F4923" s="1" t="s">
        <v>8506</v>
      </c>
      <c r="H4923" s="1" t="s">
        <v>8507</v>
      </c>
      <c r="J4923" s="1" t="s">
        <v>8508</v>
      </c>
      <c r="L4923" s="1" t="s">
        <v>1657</v>
      </c>
      <c r="P4923" s="1" t="s">
        <v>952</v>
      </c>
      <c r="Q4923" s="3">
        <v>0</v>
      </c>
      <c r="R4923" s="22" t="s">
        <v>2725</v>
      </c>
      <c r="S4923" s="42" t="s">
        <v>6912</v>
      </c>
      <c r="T4923" s="3" t="s">
        <v>4868</v>
      </c>
      <c r="U4923" s="45">
        <v>35</v>
      </c>
      <c r="V4923" t="s">
        <v>8191</v>
      </c>
      <c r="W4923" s="1" t="str">
        <f>HYPERLINK("http://ictvonline.org/taxonomy/p/taxonomy-history?taxnode_id=201904196","ICTVonline=201904196")</f>
        <v>ICTVonline=201904196</v>
      </c>
    </row>
    <row r="4924" spans="1:23">
      <c r="A4924" s="3">
        <v>4923</v>
      </c>
      <c r="B4924" s="1" t="s">
        <v>5910</v>
      </c>
      <c r="D4924" s="1" t="s">
        <v>8187</v>
      </c>
      <c r="F4924" s="1" t="s">
        <v>8506</v>
      </c>
      <c r="H4924" s="1" t="s">
        <v>8507</v>
      </c>
      <c r="J4924" s="1" t="s">
        <v>8508</v>
      </c>
      <c r="L4924" s="1" t="s">
        <v>1657</v>
      </c>
      <c r="P4924" s="1" t="s">
        <v>953</v>
      </c>
      <c r="Q4924" s="3">
        <v>0</v>
      </c>
      <c r="R4924" s="22" t="s">
        <v>2725</v>
      </c>
      <c r="S4924" s="42" t="s">
        <v>6912</v>
      </c>
      <c r="T4924" s="3" t="s">
        <v>4868</v>
      </c>
      <c r="U4924" s="45">
        <v>35</v>
      </c>
      <c r="V4924" t="s">
        <v>8191</v>
      </c>
      <c r="W4924" s="1" t="str">
        <f>HYPERLINK("http://ictvonline.org/taxonomy/p/taxonomy-history?taxnode_id=201904197","ICTVonline=201904197")</f>
        <v>ICTVonline=201904197</v>
      </c>
    </row>
    <row r="4925" spans="1:23">
      <c r="A4925" s="3">
        <v>4924</v>
      </c>
      <c r="B4925" s="1" t="s">
        <v>5910</v>
      </c>
      <c r="D4925" s="1" t="s">
        <v>8187</v>
      </c>
      <c r="F4925" s="1" t="s">
        <v>8506</v>
      </c>
      <c r="H4925" s="1" t="s">
        <v>8507</v>
      </c>
      <c r="J4925" s="1" t="s">
        <v>8508</v>
      </c>
      <c r="L4925" s="1" t="s">
        <v>1657</v>
      </c>
      <c r="P4925" s="1" t="s">
        <v>5465</v>
      </c>
      <c r="Q4925" s="3">
        <v>0</v>
      </c>
      <c r="R4925" s="22" t="s">
        <v>2725</v>
      </c>
      <c r="S4925" s="42" t="s">
        <v>6912</v>
      </c>
      <c r="T4925" s="3" t="s">
        <v>4868</v>
      </c>
      <c r="U4925" s="45">
        <v>35</v>
      </c>
      <c r="V4925" t="s">
        <v>8191</v>
      </c>
      <c r="W4925" s="1" t="str">
        <f>HYPERLINK("http://ictvonline.org/taxonomy/p/taxonomy-history?taxnode_id=201904198","ICTVonline=201904198")</f>
        <v>ICTVonline=201904198</v>
      </c>
    </row>
    <row r="4926" spans="1:23">
      <c r="A4926" s="3">
        <v>4925</v>
      </c>
      <c r="B4926" s="1" t="s">
        <v>5910</v>
      </c>
      <c r="D4926" s="1" t="s">
        <v>8187</v>
      </c>
      <c r="F4926" s="1" t="s">
        <v>8506</v>
      </c>
      <c r="H4926" s="1" t="s">
        <v>8507</v>
      </c>
      <c r="J4926" s="1" t="s">
        <v>8508</v>
      </c>
      <c r="L4926" s="1" t="s">
        <v>1657</v>
      </c>
      <c r="P4926" s="1" t="s">
        <v>5466</v>
      </c>
      <c r="Q4926" s="3">
        <v>0</v>
      </c>
      <c r="R4926" s="22" t="s">
        <v>2725</v>
      </c>
      <c r="S4926" s="42" t="s">
        <v>6912</v>
      </c>
      <c r="T4926" s="3" t="s">
        <v>4868</v>
      </c>
      <c r="U4926" s="45">
        <v>35</v>
      </c>
      <c r="V4926" t="s">
        <v>8191</v>
      </c>
      <c r="W4926" s="1" t="str">
        <f>HYPERLINK("http://ictvonline.org/taxonomy/p/taxonomy-history?taxnode_id=201904199","ICTVonline=201904199")</f>
        <v>ICTVonline=201904199</v>
      </c>
    </row>
    <row r="4927" spans="1:23">
      <c r="A4927" s="3">
        <v>4926</v>
      </c>
      <c r="B4927" s="1" t="s">
        <v>5910</v>
      </c>
      <c r="D4927" s="1" t="s">
        <v>8187</v>
      </c>
      <c r="F4927" s="1" t="s">
        <v>8506</v>
      </c>
      <c r="H4927" s="1" t="s">
        <v>8507</v>
      </c>
      <c r="J4927" s="1" t="s">
        <v>8508</v>
      </c>
      <c r="L4927" s="1" t="s">
        <v>1657</v>
      </c>
      <c r="P4927" s="1" t="s">
        <v>871</v>
      </c>
      <c r="Q4927" s="3">
        <v>0</v>
      </c>
      <c r="R4927" s="22" t="s">
        <v>2725</v>
      </c>
      <c r="S4927" s="42" t="s">
        <v>6912</v>
      </c>
      <c r="T4927" s="3" t="s">
        <v>4868</v>
      </c>
      <c r="U4927" s="45">
        <v>35</v>
      </c>
      <c r="V4927" t="s">
        <v>8191</v>
      </c>
      <c r="W4927" s="1" t="str">
        <f>HYPERLINK("http://ictvonline.org/taxonomy/p/taxonomy-history?taxnode_id=201904200","ICTVonline=201904200")</f>
        <v>ICTVonline=201904200</v>
      </c>
    </row>
    <row r="4928" spans="1:23">
      <c r="A4928" s="3">
        <v>4927</v>
      </c>
      <c r="B4928" s="1" t="s">
        <v>5910</v>
      </c>
      <c r="D4928" s="1" t="s">
        <v>8187</v>
      </c>
      <c r="F4928" s="1" t="s">
        <v>8506</v>
      </c>
      <c r="H4928" s="1" t="s">
        <v>8507</v>
      </c>
      <c r="J4928" s="1" t="s">
        <v>8508</v>
      </c>
      <c r="L4928" s="1" t="s">
        <v>1657</v>
      </c>
      <c r="P4928" s="1" t="s">
        <v>872</v>
      </c>
      <c r="Q4928" s="3">
        <v>0</v>
      </c>
      <c r="R4928" s="22" t="s">
        <v>2725</v>
      </c>
      <c r="S4928" s="42" t="s">
        <v>6912</v>
      </c>
      <c r="T4928" s="3" t="s">
        <v>4868</v>
      </c>
      <c r="U4928" s="45">
        <v>35</v>
      </c>
      <c r="V4928" t="s">
        <v>8191</v>
      </c>
      <c r="W4928" s="1" t="str">
        <f>HYPERLINK("http://ictvonline.org/taxonomy/p/taxonomy-history?taxnode_id=201904201","ICTVonline=201904201")</f>
        <v>ICTVonline=201904201</v>
      </c>
    </row>
    <row r="4929" spans="1:23">
      <c r="A4929" s="3">
        <v>4928</v>
      </c>
      <c r="B4929" s="1" t="s">
        <v>5910</v>
      </c>
      <c r="D4929" s="1" t="s">
        <v>8187</v>
      </c>
      <c r="F4929" s="1" t="s">
        <v>8506</v>
      </c>
      <c r="H4929" s="1" t="s">
        <v>8507</v>
      </c>
      <c r="J4929" s="1" t="s">
        <v>8508</v>
      </c>
      <c r="L4929" s="1" t="s">
        <v>1657</v>
      </c>
      <c r="P4929" s="1" t="s">
        <v>873</v>
      </c>
      <c r="Q4929" s="3">
        <v>0</v>
      </c>
      <c r="R4929" s="22" t="s">
        <v>2725</v>
      </c>
      <c r="S4929" s="42" t="s">
        <v>6912</v>
      </c>
      <c r="T4929" s="3" t="s">
        <v>4868</v>
      </c>
      <c r="U4929" s="45">
        <v>35</v>
      </c>
      <c r="V4929" t="s">
        <v>8191</v>
      </c>
      <c r="W4929" s="1" t="str">
        <f>HYPERLINK("http://ictvonline.org/taxonomy/p/taxonomy-history?taxnode_id=201904202","ICTVonline=201904202")</f>
        <v>ICTVonline=201904202</v>
      </c>
    </row>
    <row r="4930" spans="1:23">
      <c r="A4930" s="3">
        <v>4929</v>
      </c>
      <c r="B4930" s="1" t="s">
        <v>5910</v>
      </c>
      <c r="D4930" s="1" t="s">
        <v>8187</v>
      </c>
      <c r="F4930" s="1" t="s">
        <v>8506</v>
      </c>
      <c r="H4930" s="1" t="s">
        <v>8507</v>
      </c>
      <c r="J4930" s="1" t="s">
        <v>8508</v>
      </c>
      <c r="L4930" s="1" t="s">
        <v>1657</v>
      </c>
      <c r="P4930" s="1" t="s">
        <v>874</v>
      </c>
      <c r="Q4930" s="3">
        <v>0</v>
      </c>
      <c r="R4930" s="22" t="s">
        <v>2725</v>
      </c>
      <c r="S4930" s="42" t="s">
        <v>6912</v>
      </c>
      <c r="T4930" s="3" t="s">
        <v>4868</v>
      </c>
      <c r="U4930" s="45">
        <v>35</v>
      </c>
      <c r="V4930" t="s">
        <v>8191</v>
      </c>
      <c r="W4930" s="1" t="str">
        <f>HYPERLINK("http://ictvonline.org/taxonomy/p/taxonomy-history?taxnode_id=201904203","ICTVonline=201904203")</f>
        <v>ICTVonline=201904203</v>
      </c>
    </row>
    <row r="4931" spans="1:23">
      <c r="A4931" s="3">
        <v>4930</v>
      </c>
      <c r="B4931" s="1" t="s">
        <v>5910</v>
      </c>
      <c r="D4931" s="1" t="s">
        <v>8187</v>
      </c>
      <c r="F4931" s="1" t="s">
        <v>8506</v>
      </c>
      <c r="H4931" s="1" t="s">
        <v>8507</v>
      </c>
      <c r="J4931" s="1" t="s">
        <v>8508</v>
      </c>
      <c r="L4931" s="1" t="s">
        <v>1657</v>
      </c>
      <c r="P4931" s="1" t="s">
        <v>875</v>
      </c>
      <c r="Q4931" s="3">
        <v>0</v>
      </c>
      <c r="R4931" s="22" t="s">
        <v>2725</v>
      </c>
      <c r="S4931" s="42" t="s">
        <v>6912</v>
      </c>
      <c r="T4931" s="3" t="s">
        <v>4868</v>
      </c>
      <c r="U4931" s="45">
        <v>35</v>
      </c>
      <c r="V4931" t="s">
        <v>8191</v>
      </c>
      <c r="W4931" s="1" t="str">
        <f>HYPERLINK("http://ictvonline.org/taxonomy/p/taxonomy-history?taxnode_id=201904204","ICTVonline=201904204")</f>
        <v>ICTVonline=201904204</v>
      </c>
    </row>
    <row r="4932" spans="1:23">
      <c r="A4932" s="3">
        <v>4931</v>
      </c>
      <c r="B4932" s="1" t="s">
        <v>5910</v>
      </c>
      <c r="D4932" s="1" t="s">
        <v>8187</v>
      </c>
      <c r="F4932" s="1" t="s">
        <v>8506</v>
      </c>
      <c r="H4932" s="1" t="s">
        <v>8507</v>
      </c>
      <c r="J4932" s="1" t="s">
        <v>8508</v>
      </c>
      <c r="L4932" s="1" t="s">
        <v>1657</v>
      </c>
      <c r="P4932" s="1" t="s">
        <v>878</v>
      </c>
      <c r="Q4932" s="3">
        <v>0</v>
      </c>
      <c r="R4932" s="22" t="s">
        <v>2725</v>
      </c>
      <c r="S4932" s="42" t="s">
        <v>6912</v>
      </c>
      <c r="T4932" s="3" t="s">
        <v>4868</v>
      </c>
      <c r="U4932" s="45">
        <v>35</v>
      </c>
      <c r="V4932" t="s">
        <v>8191</v>
      </c>
      <c r="W4932" s="1" t="str">
        <f>HYPERLINK("http://ictvonline.org/taxonomy/p/taxonomy-history?taxnode_id=201904205","ICTVonline=201904205")</f>
        <v>ICTVonline=201904205</v>
      </c>
    </row>
    <row r="4933" spans="1:23">
      <c r="A4933" s="3">
        <v>4932</v>
      </c>
      <c r="B4933" s="1" t="s">
        <v>5910</v>
      </c>
      <c r="D4933" s="1" t="s">
        <v>8187</v>
      </c>
      <c r="F4933" s="1" t="s">
        <v>8506</v>
      </c>
      <c r="H4933" s="1" t="s">
        <v>8507</v>
      </c>
      <c r="J4933" s="1" t="s">
        <v>8508</v>
      </c>
      <c r="L4933" s="1" t="s">
        <v>860</v>
      </c>
      <c r="N4933" s="1" t="s">
        <v>861</v>
      </c>
      <c r="P4933" s="1" t="s">
        <v>8509</v>
      </c>
      <c r="Q4933" s="3">
        <v>0</v>
      </c>
      <c r="R4933" s="22" t="s">
        <v>2725</v>
      </c>
      <c r="S4933" s="42" t="s">
        <v>6914</v>
      </c>
      <c r="T4933" s="3" t="s">
        <v>4866</v>
      </c>
      <c r="U4933" s="45">
        <v>35</v>
      </c>
      <c r="V4933" t="s">
        <v>8510</v>
      </c>
      <c r="W4933" s="1" t="str">
        <f>HYPERLINK("http://ictvonline.org/taxonomy/p/taxonomy-history?taxnode_id=201908648","ICTVonline=201908648")</f>
        <v>ICTVonline=201908648</v>
      </c>
    </row>
    <row r="4934" spans="1:23">
      <c r="A4934" s="3">
        <v>4933</v>
      </c>
      <c r="B4934" s="1" t="s">
        <v>5910</v>
      </c>
      <c r="D4934" s="1" t="s">
        <v>8187</v>
      </c>
      <c r="F4934" s="1" t="s">
        <v>8506</v>
      </c>
      <c r="H4934" s="1" t="s">
        <v>8507</v>
      </c>
      <c r="J4934" s="1" t="s">
        <v>8508</v>
      </c>
      <c r="L4934" s="1" t="s">
        <v>860</v>
      </c>
      <c r="N4934" s="1" t="s">
        <v>861</v>
      </c>
      <c r="P4934" s="1" t="s">
        <v>8511</v>
      </c>
      <c r="Q4934" s="3">
        <v>0</v>
      </c>
      <c r="R4934" s="22" t="s">
        <v>2725</v>
      </c>
      <c r="S4934" s="42" t="s">
        <v>6914</v>
      </c>
      <c r="T4934" s="3" t="s">
        <v>4866</v>
      </c>
      <c r="U4934" s="45">
        <v>35</v>
      </c>
      <c r="V4934" t="s">
        <v>8510</v>
      </c>
      <c r="W4934" s="1" t="str">
        <f>HYPERLINK("http://ictvonline.org/taxonomy/p/taxonomy-history?taxnode_id=201908647","ICTVonline=201908647")</f>
        <v>ICTVonline=201908647</v>
      </c>
    </row>
    <row r="4935" spans="1:23">
      <c r="A4935" s="3">
        <v>4934</v>
      </c>
      <c r="B4935" s="1" t="s">
        <v>5910</v>
      </c>
      <c r="D4935" s="1" t="s">
        <v>8187</v>
      </c>
      <c r="F4935" s="1" t="s">
        <v>8506</v>
      </c>
      <c r="H4935" s="1" t="s">
        <v>8507</v>
      </c>
      <c r="J4935" s="1" t="s">
        <v>8508</v>
      </c>
      <c r="L4935" s="1" t="s">
        <v>860</v>
      </c>
      <c r="N4935" s="1" t="s">
        <v>861</v>
      </c>
      <c r="P4935" s="1" t="s">
        <v>862</v>
      </c>
      <c r="Q4935" s="3">
        <v>1</v>
      </c>
      <c r="R4935" s="22" t="s">
        <v>2725</v>
      </c>
      <c r="S4935" s="42" t="s">
        <v>6912</v>
      </c>
      <c r="T4935" s="3" t="s">
        <v>4868</v>
      </c>
      <c r="U4935" s="45">
        <v>35</v>
      </c>
      <c r="V4935" t="s">
        <v>8191</v>
      </c>
      <c r="W4935" s="1" t="str">
        <f>HYPERLINK("http://ictvonline.org/taxonomy/p/taxonomy-history?taxnode_id=201904334","ICTVonline=201904334")</f>
        <v>ICTVonline=201904334</v>
      </c>
    </row>
    <row r="4936" spans="1:23">
      <c r="A4936" s="3">
        <v>4935</v>
      </c>
      <c r="B4936" s="1" t="s">
        <v>5910</v>
      </c>
      <c r="D4936" s="1" t="s">
        <v>8187</v>
      </c>
      <c r="F4936" s="1" t="s">
        <v>8506</v>
      </c>
      <c r="H4936" s="1" t="s">
        <v>8512</v>
      </c>
      <c r="J4936" s="1" t="s">
        <v>1428</v>
      </c>
      <c r="K4936" s="1" t="s">
        <v>5725</v>
      </c>
      <c r="L4936" s="1" t="s">
        <v>5726</v>
      </c>
      <c r="M4936" s="1" t="s">
        <v>5727</v>
      </c>
      <c r="N4936" s="1" t="s">
        <v>5728</v>
      </c>
      <c r="O4936" s="1" t="s">
        <v>5729</v>
      </c>
      <c r="P4936" s="1" t="s">
        <v>5730</v>
      </c>
      <c r="Q4936" s="3">
        <v>1</v>
      </c>
      <c r="R4936" s="22" t="s">
        <v>2723</v>
      </c>
      <c r="T4936" s="3" t="s">
        <v>4868</v>
      </c>
      <c r="U4936" s="45">
        <v>35</v>
      </c>
      <c r="V4936" t="s">
        <v>8191</v>
      </c>
      <c r="W4936" s="1" t="str">
        <f>HYPERLINK("http://ictvonline.org/taxonomy/p/taxonomy-history?taxnode_id=201906200","ICTVonline=201906200")</f>
        <v>ICTVonline=201906200</v>
      </c>
    </row>
    <row r="4937" spans="1:23">
      <c r="A4937" s="3">
        <v>4936</v>
      </c>
      <c r="B4937" s="1" t="s">
        <v>5910</v>
      </c>
      <c r="D4937" s="1" t="s">
        <v>8187</v>
      </c>
      <c r="F4937" s="1" t="s">
        <v>8506</v>
      </c>
      <c r="H4937" s="1" t="s">
        <v>8512</v>
      </c>
      <c r="J4937" s="1" t="s">
        <v>1428</v>
      </c>
      <c r="K4937" s="1" t="s">
        <v>5731</v>
      </c>
      <c r="L4937" s="1" t="s">
        <v>1429</v>
      </c>
      <c r="M4937" s="1" t="s">
        <v>5732</v>
      </c>
      <c r="N4937" s="1" t="s">
        <v>5733</v>
      </c>
      <c r="P4937" s="1" t="s">
        <v>5734</v>
      </c>
      <c r="Q4937" s="3">
        <v>1</v>
      </c>
      <c r="R4937" s="22" t="s">
        <v>2723</v>
      </c>
      <c r="T4937" s="3" t="s">
        <v>4868</v>
      </c>
      <c r="U4937" s="45">
        <v>35</v>
      </c>
      <c r="V4937" t="s">
        <v>8191</v>
      </c>
      <c r="W4937" s="1" t="str">
        <f>HYPERLINK("http://ictvonline.org/taxonomy/p/taxonomy-history?taxnode_id=201906015","ICTVonline=201906015")</f>
        <v>ICTVonline=201906015</v>
      </c>
    </row>
    <row r="4938" spans="1:23">
      <c r="A4938" s="3">
        <v>4937</v>
      </c>
      <c r="B4938" s="1" t="s">
        <v>5910</v>
      </c>
      <c r="D4938" s="1" t="s">
        <v>8187</v>
      </c>
      <c r="F4938" s="1" t="s">
        <v>8506</v>
      </c>
      <c r="H4938" s="1" t="s">
        <v>8512</v>
      </c>
      <c r="J4938" s="1" t="s">
        <v>1428</v>
      </c>
      <c r="K4938" s="1" t="s">
        <v>5731</v>
      </c>
      <c r="L4938" s="1" t="s">
        <v>1429</v>
      </c>
      <c r="M4938" s="1" t="s">
        <v>5735</v>
      </c>
      <c r="N4938" s="1" t="s">
        <v>5736</v>
      </c>
      <c r="P4938" s="1" t="s">
        <v>5737</v>
      </c>
      <c r="Q4938" s="3">
        <v>1</v>
      </c>
      <c r="R4938" s="22" t="s">
        <v>2723</v>
      </c>
      <c r="T4938" s="3" t="s">
        <v>4868</v>
      </c>
      <c r="U4938" s="45">
        <v>35</v>
      </c>
      <c r="V4938" t="s">
        <v>8191</v>
      </c>
      <c r="W4938" s="1" t="str">
        <f>HYPERLINK("http://ictvonline.org/taxonomy/p/taxonomy-history?taxnode_id=201901827","ICTVonline=201901827")</f>
        <v>ICTVonline=201901827</v>
      </c>
    </row>
    <row r="4939" spans="1:23">
      <c r="A4939" s="3">
        <v>4938</v>
      </c>
      <c r="B4939" s="1" t="s">
        <v>5910</v>
      </c>
      <c r="D4939" s="1" t="s">
        <v>8187</v>
      </c>
      <c r="F4939" s="1" t="s">
        <v>8506</v>
      </c>
      <c r="H4939" s="1" t="s">
        <v>8512</v>
      </c>
      <c r="J4939" s="1" t="s">
        <v>1428</v>
      </c>
      <c r="K4939" s="1" t="s">
        <v>5731</v>
      </c>
      <c r="L4939" s="1" t="s">
        <v>1429</v>
      </c>
      <c r="M4939" s="1" t="s">
        <v>5738</v>
      </c>
      <c r="N4939" s="1" t="s">
        <v>5739</v>
      </c>
      <c r="P4939" s="1" t="s">
        <v>5740</v>
      </c>
      <c r="Q4939" s="3">
        <v>1</v>
      </c>
      <c r="R4939" s="22" t="s">
        <v>2723</v>
      </c>
      <c r="T4939" s="3" t="s">
        <v>4868</v>
      </c>
      <c r="U4939" s="45">
        <v>35</v>
      </c>
      <c r="V4939" t="s">
        <v>8191</v>
      </c>
      <c r="W4939" s="1" t="str">
        <f>HYPERLINK("http://ictvonline.org/taxonomy/p/taxonomy-history?taxnode_id=201901829","ICTVonline=201901829")</f>
        <v>ICTVonline=201901829</v>
      </c>
    </row>
    <row r="4940" spans="1:23">
      <c r="A4940" s="3">
        <v>4939</v>
      </c>
      <c r="B4940" s="1" t="s">
        <v>5910</v>
      </c>
      <c r="D4940" s="1" t="s">
        <v>8187</v>
      </c>
      <c r="F4940" s="1" t="s">
        <v>8506</v>
      </c>
      <c r="H4940" s="1" t="s">
        <v>8512</v>
      </c>
      <c r="J4940" s="1" t="s">
        <v>1428</v>
      </c>
      <c r="K4940" s="1" t="s">
        <v>5731</v>
      </c>
      <c r="L4940" s="1" t="s">
        <v>1429</v>
      </c>
      <c r="M4940" s="1" t="s">
        <v>5741</v>
      </c>
      <c r="N4940" s="1" t="s">
        <v>5742</v>
      </c>
      <c r="O4940" s="1" t="s">
        <v>5743</v>
      </c>
      <c r="P4940" s="1" t="s">
        <v>5744</v>
      </c>
      <c r="Q4940" s="3">
        <v>1</v>
      </c>
      <c r="R4940" s="22" t="s">
        <v>2723</v>
      </c>
      <c r="T4940" s="3" t="s">
        <v>4868</v>
      </c>
      <c r="U4940" s="45">
        <v>35</v>
      </c>
      <c r="V4940" t="s">
        <v>8191</v>
      </c>
      <c r="W4940" s="1" t="str">
        <f>HYPERLINK("http://ictvonline.org/taxonomy/p/taxonomy-history?taxnode_id=201901845","ICTVonline=201901845")</f>
        <v>ICTVonline=201901845</v>
      </c>
    </row>
    <row r="4941" spans="1:23">
      <c r="A4941" s="3">
        <v>4940</v>
      </c>
      <c r="B4941" s="1" t="s">
        <v>5910</v>
      </c>
      <c r="D4941" s="1" t="s">
        <v>8187</v>
      </c>
      <c r="F4941" s="1" t="s">
        <v>8506</v>
      </c>
      <c r="H4941" s="1" t="s">
        <v>8512</v>
      </c>
      <c r="J4941" s="1" t="s">
        <v>1428</v>
      </c>
      <c r="K4941" s="1" t="s">
        <v>5731</v>
      </c>
      <c r="L4941" s="1" t="s">
        <v>1429</v>
      </c>
      <c r="M4941" s="1" t="s">
        <v>5741</v>
      </c>
      <c r="N4941" s="1" t="s">
        <v>5745</v>
      </c>
      <c r="O4941" s="1" t="s">
        <v>5746</v>
      </c>
      <c r="P4941" s="1" t="s">
        <v>5747</v>
      </c>
      <c r="Q4941" s="3">
        <v>1</v>
      </c>
      <c r="R4941" s="22" t="s">
        <v>2723</v>
      </c>
      <c r="T4941" s="3" t="s">
        <v>4868</v>
      </c>
      <c r="U4941" s="45">
        <v>35</v>
      </c>
      <c r="V4941" t="s">
        <v>8191</v>
      </c>
      <c r="W4941" s="1" t="str">
        <f>HYPERLINK("http://ictvonline.org/taxonomy/p/taxonomy-history?taxnode_id=201901844","ICTVonline=201901844")</f>
        <v>ICTVonline=201901844</v>
      </c>
    </row>
    <row r="4942" spans="1:23">
      <c r="A4942" s="3">
        <v>4941</v>
      </c>
      <c r="B4942" s="1" t="s">
        <v>5910</v>
      </c>
      <c r="D4942" s="1" t="s">
        <v>8187</v>
      </c>
      <c r="F4942" s="1" t="s">
        <v>8506</v>
      </c>
      <c r="H4942" s="1" t="s">
        <v>8512</v>
      </c>
      <c r="J4942" s="1" t="s">
        <v>1428</v>
      </c>
      <c r="K4942" s="1" t="s">
        <v>5731</v>
      </c>
      <c r="L4942" s="1" t="s">
        <v>1429</v>
      </c>
      <c r="M4942" s="1" t="s">
        <v>5741</v>
      </c>
      <c r="N4942" s="1" t="s">
        <v>5745</v>
      </c>
      <c r="O4942" s="1" t="s">
        <v>5746</v>
      </c>
      <c r="P4942" s="1" t="s">
        <v>5748</v>
      </c>
      <c r="Q4942" s="3">
        <v>0</v>
      </c>
      <c r="R4942" s="22" t="s">
        <v>2723</v>
      </c>
      <c r="T4942" s="3" t="s">
        <v>4868</v>
      </c>
      <c r="U4942" s="45">
        <v>35</v>
      </c>
      <c r="V4942" t="s">
        <v>8191</v>
      </c>
      <c r="W4942" s="1" t="str">
        <f>HYPERLINK("http://ictvonline.org/taxonomy/p/taxonomy-history?taxnode_id=201901837","ICTVonline=201901837")</f>
        <v>ICTVonline=201901837</v>
      </c>
    </row>
    <row r="4943" spans="1:23">
      <c r="A4943" s="3">
        <v>4942</v>
      </c>
      <c r="B4943" s="1" t="s">
        <v>5910</v>
      </c>
      <c r="D4943" s="1" t="s">
        <v>8187</v>
      </c>
      <c r="F4943" s="1" t="s">
        <v>8506</v>
      </c>
      <c r="H4943" s="1" t="s">
        <v>8512</v>
      </c>
      <c r="J4943" s="1" t="s">
        <v>1428</v>
      </c>
      <c r="K4943" s="1" t="s">
        <v>5731</v>
      </c>
      <c r="L4943" s="1" t="s">
        <v>1429</v>
      </c>
      <c r="M4943" s="1" t="s">
        <v>5741</v>
      </c>
      <c r="N4943" s="1" t="s">
        <v>5745</v>
      </c>
      <c r="O4943" s="1" t="s">
        <v>5746</v>
      </c>
      <c r="P4943" s="1" t="s">
        <v>5749</v>
      </c>
      <c r="Q4943" s="3">
        <v>0</v>
      </c>
      <c r="R4943" s="22" t="s">
        <v>2723</v>
      </c>
      <c r="T4943" s="3" t="s">
        <v>4868</v>
      </c>
      <c r="U4943" s="45">
        <v>35</v>
      </c>
      <c r="V4943" t="s">
        <v>8191</v>
      </c>
      <c r="W4943" s="1" t="str">
        <f>HYPERLINK("http://ictvonline.org/taxonomy/p/taxonomy-history?taxnode_id=201906098","ICTVonline=201906098")</f>
        <v>ICTVonline=201906098</v>
      </c>
    </row>
    <row r="4944" spans="1:23">
      <c r="A4944" s="3">
        <v>4943</v>
      </c>
      <c r="B4944" s="1" t="s">
        <v>5910</v>
      </c>
      <c r="D4944" s="1" t="s">
        <v>8187</v>
      </c>
      <c r="F4944" s="1" t="s">
        <v>8506</v>
      </c>
      <c r="H4944" s="1" t="s">
        <v>8512</v>
      </c>
      <c r="J4944" s="1" t="s">
        <v>1428</v>
      </c>
      <c r="K4944" s="1" t="s">
        <v>5731</v>
      </c>
      <c r="L4944" s="1" t="s">
        <v>1429</v>
      </c>
      <c r="M4944" s="1" t="s">
        <v>5741</v>
      </c>
      <c r="N4944" s="1" t="s">
        <v>5750</v>
      </c>
      <c r="P4944" s="1" t="s">
        <v>5751</v>
      </c>
      <c r="Q4944" s="3">
        <v>1</v>
      </c>
      <c r="R4944" s="22" t="s">
        <v>2723</v>
      </c>
      <c r="T4944" s="3" t="s">
        <v>4868</v>
      </c>
      <c r="U4944" s="45">
        <v>35</v>
      </c>
      <c r="V4944" t="s">
        <v>8191</v>
      </c>
      <c r="W4944" s="1" t="str">
        <f>HYPERLINK("http://ictvonline.org/taxonomy/p/taxonomy-history?taxnode_id=201901840","ICTVonline=201901840")</f>
        <v>ICTVonline=201901840</v>
      </c>
    </row>
    <row r="4945" spans="1:23">
      <c r="A4945" s="3">
        <v>4944</v>
      </c>
      <c r="B4945" s="1" t="s">
        <v>5910</v>
      </c>
      <c r="D4945" s="1" t="s">
        <v>8187</v>
      </c>
      <c r="F4945" s="1" t="s">
        <v>8506</v>
      </c>
      <c r="H4945" s="1" t="s">
        <v>8512</v>
      </c>
      <c r="J4945" s="1" t="s">
        <v>1428</v>
      </c>
      <c r="K4945" s="1" t="s">
        <v>5731</v>
      </c>
      <c r="L4945" s="1" t="s">
        <v>1429</v>
      </c>
      <c r="M4945" s="1" t="s">
        <v>5741</v>
      </c>
      <c r="N4945" s="1" t="s">
        <v>5752</v>
      </c>
      <c r="O4945" s="1" t="s">
        <v>5763</v>
      </c>
      <c r="P4945" s="1" t="s">
        <v>5764</v>
      </c>
      <c r="Q4945" s="3">
        <v>0</v>
      </c>
      <c r="R4945" s="22" t="s">
        <v>2723</v>
      </c>
      <c r="T4945" s="3" t="s">
        <v>4868</v>
      </c>
      <c r="U4945" s="45">
        <v>35</v>
      </c>
      <c r="V4945" t="s">
        <v>8191</v>
      </c>
      <c r="W4945" s="1" t="str">
        <f>HYPERLINK("http://ictvonline.org/taxonomy/p/taxonomy-history?taxnode_id=201901836","ICTVonline=201901836")</f>
        <v>ICTVonline=201901836</v>
      </c>
    </row>
    <row r="4946" spans="1:23">
      <c r="A4946" s="3">
        <v>4945</v>
      </c>
      <c r="B4946" s="1" t="s">
        <v>5910</v>
      </c>
      <c r="D4946" s="1" t="s">
        <v>8187</v>
      </c>
      <c r="F4946" s="1" t="s">
        <v>8506</v>
      </c>
      <c r="H4946" s="1" t="s">
        <v>8512</v>
      </c>
      <c r="J4946" s="1" t="s">
        <v>1428</v>
      </c>
      <c r="K4946" s="1" t="s">
        <v>5731</v>
      </c>
      <c r="L4946" s="1" t="s">
        <v>1429</v>
      </c>
      <c r="M4946" s="1" t="s">
        <v>5741</v>
      </c>
      <c r="N4946" s="1" t="s">
        <v>5752</v>
      </c>
      <c r="O4946" s="1" t="s">
        <v>5753</v>
      </c>
      <c r="P4946" s="1" t="s">
        <v>5754</v>
      </c>
      <c r="Q4946" s="3">
        <v>1</v>
      </c>
      <c r="R4946" s="22" t="s">
        <v>2723</v>
      </c>
      <c r="T4946" s="3" t="s">
        <v>4868</v>
      </c>
      <c r="U4946" s="45">
        <v>35</v>
      </c>
      <c r="V4946" t="s">
        <v>8191</v>
      </c>
      <c r="W4946" s="1" t="str">
        <f>HYPERLINK("http://ictvonline.org/taxonomy/p/taxonomy-history?taxnode_id=201901841","ICTVonline=201901841")</f>
        <v>ICTVonline=201901841</v>
      </c>
    </row>
    <row r="4947" spans="1:23">
      <c r="A4947" s="3">
        <v>4946</v>
      </c>
      <c r="B4947" s="1" t="s">
        <v>5910</v>
      </c>
      <c r="D4947" s="1" t="s">
        <v>8187</v>
      </c>
      <c r="F4947" s="1" t="s">
        <v>8506</v>
      </c>
      <c r="H4947" s="1" t="s">
        <v>8512</v>
      </c>
      <c r="J4947" s="1" t="s">
        <v>1428</v>
      </c>
      <c r="K4947" s="1" t="s">
        <v>5731</v>
      </c>
      <c r="L4947" s="1" t="s">
        <v>1429</v>
      </c>
      <c r="M4947" s="1" t="s">
        <v>5741</v>
      </c>
      <c r="N4947" s="1" t="s">
        <v>5752</v>
      </c>
      <c r="O4947" s="1" t="s">
        <v>5755</v>
      </c>
      <c r="P4947" s="1" t="s">
        <v>8513</v>
      </c>
      <c r="Q4947" s="3">
        <v>0</v>
      </c>
      <c r="R4947" s="22" t="s">
        <v>2723</v>
      </c>
      <c r="T4947" s="3" t="s">
        <v>4867</v>
      </c>
      <c r="U4947" s="45">
        <v>35</v>
      </c>
      <c r="V4947" t="s">
        <v>8514</v>
      </c>
      <c r="W4947" s="1" t="str">
        <f>HYPERLINK("http://ictvonline.org/taxonomy/p/taxonomy-history?taxnode_id=201901843","ICTVonline=201901843")</f>
        <v>ICTVonline=201901843</v>
      </c>
    </row>
    <row r="4948" spans="1:23">
      <c r="A4948" s="3">
        <v>4947</v>
      </c>
      <c r="B4948" s="1" t="s">
        <v>5910</v>
      </c>
      <c r="D4948" s="1" t="s">
        <v>8187</v>
      </c>
      <c r="F4948" s="1" t="s">
        <v>8506</v>
      </c>
      <c r="H4948" s="1" t="s">
        <v>8512</v>
      </c>
      <c r="J4948" s="1" t="s">
        <v>1428</v>
      </c>
      <c r="K4948" s="1" t="s">
        <v>5731</v>
      </c>
      <c r="L4948" s="1" t="s">
        <v>1429</v>
      </c>
      <c r="M4948" s="1" t="s">
        <v>5741</v>
      </c>
      <c r="N4948" s="1" t="s">
        <v>5756</v>
      </c>
      <c r="O4948" s="1" t="s">
        <v>5765</v>
      </c>
      <c r="P4948" s="1" t="s">
        <v>5766</v>
      </c>
      <c r="Q4948" s="3">
        <v>0</v>
      </c>
      <c r="R4948" s="22" t="s">
        <v>2723</v>
      </c>
      <c r="T4948" s="3" t="s">
        <v>4868</v>
      </c>
      <c r="U4948" s="45">
        <v>35</v>
      </c>
      <c r="V4948" t="s">
        <v>8191</v>
      </c>
      <c r="W4948" s="1" t="str">
        <f>HYPERLINK("http://ictvonline.org/taxonomy/p/taxonomy-history?taxnode_id=201901838","ICTVonline=201901838")</f>
        <v>ICTVonline=201901838</v>
      </c>
    </row>
    <row r="4949" spans="1:23">
      <c r="A4949" s="3">
        <v>4948</v>
      </c>
      <c r="B4949" s="1" t="s">
        <v>5910</v>
      </c>
      <c r="D4949" s="1" t="s">
        <v>8187</v>
      </c>
      <c r="F4949" s="1" t="s">
        <v>8506</v>
      </c>
      <c r="H4949" s="1" t="s">
        <v>8512</v>
      </c>
      <c r="J4949" s="1" t="s">
        <v>1428</v>
      </c>
      <c r="K4949" s="1" t="s">
        <v>5731</v>
      </c>
      <c r="L4949" s="1" t="s">
        <v>1429</v>
      </c>
      <c r="M4949" s="1" t="s">
        <v>5741</v>
      </c>
      <c r="N4949" s="1" t="s">
        <v>5756</v>
      </c>
      <c r="O4949" s="1" t="s">
        <v>5757</v>
      </c>
      <c r="P4949" s="1" t="s">
        <v>5758</v>
      </c>
      <c r="Q4949" s="3">
        <v>1</v>
      </c>
      <c r="R4949" s="22" t="s">
        <v>2723</v>
      </c>
      <c r="T4949" s="3" t="s">
        <v>4868</v>
      </c>
      <c r="U4949" s="45">
        <v>35</v>
      </c>
      <c r="V4949" t="s">
        <v>8191</v>
      </c>
      <c r="W4949" s="1" t="str">
        <f>HYPERLINK("http://ictvonline.org/taxonomy/p/taxonomy-history?taxnode_id=201901842","ICTVonline=201901842")</f>
        <v>ICTVonline=201901842</v>
      </c>
    </row>
    <row r="4950" spans="1:23">
      <c r="A4950" s="3">
        <v>4949</v>
      </c>
      <c r="B4950" s="1" t="s">
        <v>5910</v>
      </c>
      <c r="D4950" s="1" t="s">
        <v>8187</v>
      </c>
      <c r="F4950" s="1" t="s">
        <v>8506</v>
      </c>
      <c r="H4950" s="1" t="s">
        <v>8512</v>
      </c>
      <c r="J4950" s="1" t="s">
        <v>1428</v>
      </c>
      <c r="K4950" s="1" t="s">
        <v>5731</v>
      </c>
      <c r="L4950" s="1" t="s">
        <v>1429</v>
      </c>
      <c r="M4950" s="1" t="s">
        <v>5741</v>
      </c>
      <c r="N4950" s="1" t="s">
        <v>5772</v>
      </c>
      <c r="P4950" s="1" t="s">
        <v>5773</v>
      </c>
      <c r="Q4950" s="3">
        <v>1</v>
      </c>
      <c r="R4950" s="22" t="s">
        <v>2723</v>
      </c>
      <c r="T4950" s="3" t="s">
        <v>4868</v>
      </c>
      <c r="U4950" s="45">
        <v>35</v>
      </c>
      <c r="V4950" t="s">
        <v>8191</v>
      </c>
      <c r="W4950" s="1" t="str">
        <f>HYPERLINK("http://ictvonline.org/taxonomy/p/taxonomy-history?taxnode_id=201901839","ICTVonline=201901839")</f>
        <v>ICTVonline=201901839</v>
      </c>
    </row>
    <row r="4951" spans="1:23">
      <c r="A4951" s="3">
        <v>4950</v>
      </c>
      <c r="B4951" s="1" t="s">
        <v>5910</v>
      </c>
      <c r="D4951" s="1" t="s">
        <v>8187</v>
      </c>
      <c r="F4951" s="1" t="s">
        <v>8506</v>
      </c>
      <c r="H4951" s="1" t="s">
        <v>8512</v>
      </c>
      <c r="J4951" s="1" t="s">
        <v>1428</v>
      </c>
      <c r="K4951" s="1" t="s">
        <v>5731</v>
      </c>
      <c r="L4951" s="1" t="s">
        <v>1429</v>
      </c>
      <c r="M4951" s="1" t="s">
        <v>5759</v>
      </c>
      <c r="N4951" s="1" t="s">
        <v>5760</v>
      </c>
      <c r="O4951" s="1" t="s">
        <v>5761</v>
      </c>
      <c r="P4951" s="1" t="s">
        <v>5762</v>
      </c>
      <c r="Q4951" s="3">
        <v>0</v>
      </c>
      <c r="R4951" s="22" t="s">
        <v>2723</v>
      </c>
      <c r="T4951" s="3" t="s">
        <v>4868</v>
      </c>
      <c r="U4951" s="45">
        <v>35</v>
      </c>
      <c r="V4951" t="s">
        <v>8191</v>
      </c>
      <c r="W4951" s="1" t="str">
        <f>HYPERLINK("http://ictvonline.org/taxonomy/p/taxonomy-history?taxnode_id=201901833","ICTVonline=201901833")</f>
        <v>ICTVonline=201901833</v>
      </c>
    </row>
    <row r="4952" spans="1:23">
      <c r="A4952" s="3">
        <v>4951</v>
      </c>
      <c r="B4952" s="1" t="s">
        <v>5910</v>
      </c>
      <c r="D4952" s="1" t="s">
        <v>8187</v>
      </c>
      <c r="F4952" s="1" t="s">
        <v>8506</v>
      </c>
      <c r="H4952" s="1" t="s">
        <v>8512</v>
      </c>
      <c r="J4952" s="1" t="s">
        <v>1428</v>
      </c>
      <c r="K4952" s="1" t="s">
        <v>5731</v>
      </c>
      <c r="L4952" s="1" t="s">
        <v>1429</v>
      </c>
      <c r="M4952" s="1" t="s">
        <v>5759</v>
      </c>
      <c r="N4952" s="1" t="s">
        <v>5760</v>
      </c>
      <c r="O4952" s="1" t="s">
        <v>5779</v>
      </c>
      <c r="P4952" s="1" t="s">
        <v>5780</v>
      </c>
      <c r="Q4952" s="3">
        <v>0</v>
      </c>
      <c r="R4952" s="22" t="s">
        <v>2723</v>
      </c>
      <c r="T4952" s="3" t="s">
        <v>4868</v>
      </c>
      <c r="U4952" s="45">
        <v>35</v>
      </c>
      <c r="V4952" t="s">
        <v>8191</v>
      </c>
      <c r="W4952" s="1" t="str">
        <f>HYPERLINK("http://ictvonline.org/taxonomy/p/taxonomy-history?taxnode_id=201901834","ICTVonline=201901834")</f>
        <v>ICTVonline=201901834</v>
      </c>
    </row>
    <row r="4953" spans="1:23">
      <c r="A4953" s="3">
        <v>4952</v>
      </c>
      <c r="B4953" s="1" t="s">
        <v>5910</v>
      </c>
      <c r="D4953" s="1" t="s">
        <v>8187</v>
      </c>
      <c r="F4953" s="1" t="s">
        <v>8506</v>
      </c>
      <c r="H4953" s="1" t="s">
        <v>8512</v>
      </c>
      <c r="J4953" s="1" t="s">
        <v>1428</v>
      </c>
      <c r="K4953" s="1" t="s">
        <v>5731</v>
      </c>
      <c r="L4953" s="1" t="s">
        <v>1429</v>
      </c>
      <c r="M4953" s="1" t="s">
        <v>5759</v>
      </c>
      <c r="N4953" s="1" t="s">
        <v>5760</v>
      </c>
      <c r="O4953" s="1" t="s">
        <v>5779</v>
      </c>
      <c r="P4953" s="1" t="s">
        <v>5781</v>
      </c>
      <c r="Q4953" s="3">
        <v>0</v>
      </c>
      <c r="R4953" s="22" t="s">
        <v>2723</v>
      </c>
      <c r="T4953" s="3" t="s">
        <v>4868</v>
      </c>
      <c r="U4953" s="45">
        <v>35</v>
      </c>
      <c r="V4953" t="s">
        <v>8191</v>
      </c>
      <c r="W4953" s="1" t="str">
        <f>HYPERLINK("http://ictvonline.org/taxonomy/p/taxonomy-history?taxnode_id=201906090","ICTVonline=201906090")</f>
        <v>ICTVonline=201906090</v>
      </c>
    </row>
    <row r="4954" spans="1:23">
      <c r="A4954" s="3">
        <v>4953</v>
      </c>
      <c r="B4954" s="1" t="s">
        <v>5910</v>
      </c>
      <c r="D4954" s="1" t="s">
        <v>8187</v>
      </c>
      <c r="F4954" s="1" t="s">
        <v>8506</v>
      </c>
      <c r="H4954" s="1" t="s">
        <v>8512</v>
      </c>
      <c r="J4954" s="1" t="s">
        <v>1428</v>
      </c>
      <c r="K4954" s="1" t="s">
        <v>5731</v>
      </c>
      <c r="L4954" s="1" t="s">
        <v>1429</v>
      </c>
      <c r="M4954" s="1" t="s">
        <v>5759</v>
      </c>
      <c r="N4954" s="1" t="s">
        <v>5760</v>
      </c>
      <c r="O4954" s="1" t="s">
        <v>5779</v>
      </c>
      <c r="P4954" s="1" t="s">
        <v>8515</v>
      </c>
      <c r="Q4954" s="3">
        <v>0</v>
      </c>
      <c r="R4954" s="22" t="s">
        <v>2723</v>
      </c>
      <c r="T4954" s="3" t="s">
        <v>4866</v>
      </c>
      <c r="U4954" s="45">
        <v>35</v>
      </c>
      <c r="V4954" t="s">
        <v>8514</v>
      </c>
      <c r="W4954" s="1" t="str">
        <f>HYPERLINK("http://ictvonline.org/taxonomy/p/taxonomy-history?taxnode_id=201907464","ICTVonline=201907464")</f>
        <v>ICTVonline=201907464</v>
      </c>
    </row>
    <row r="4955" spans="1:23">
      <c r="A4955" s="3">
        <v>4954</v>
      </c>
      <c r="B4955" s="1" t="s">
        <v>5910</v>
      </c>
      <c r="D4955" s="1" t="s">
        <v>8187</v>
      </c>
      <c r="F4955" s="1" t="s">
        <v>8506</v>
      </c>
      <c r="H4955" s="1" t="s">
        <v>8512</v>
      </c>
      <c r="J4955" s="1" t="s">
        <v>1428</v>
      </c>
      <c r="K4955" s="1" t="s">
        <v>5731</v>
      </c>
      <c r="L4955" s="1" t="s">
        <v>1429</v>
      </c>
      <c r="M4955" s="1" t="s">
        <v>5759</v>
      </c>
      <c r="N4955" s="1" t="s">
        <v>5760</v>
      </c>
      <c r="O4955" s="1" t="s">
        <v>5782</v>
      </c>
      <c r="P4955" s="1" t="s">
        <v>5783</v>
      </c>
      <c r="Q4955" s="3">
        <v>1</v>
      </c>
      <c r="R4955" s="22" t="s">
        <v>2723</v>
      </c>
      <c r="T4955" s="3" t="s">
        <v>4868</v>
      </c>
      <c r="U4955" s="45">
        <v>35</v>
      </c>
      <c r="V4955" t="s">
        <v>8191</v>
      </c>
      <c r="W4955" s="1" t="str">
        <f>HYPERLINK("http://ictvonline.org/taxonomy/p/taxonomy-history?taxnode_id=201901832","ICTVonline=201901832")</f>
        <v>ICTVonline=201901832</v>
      </c>
    </row>
    <row r="4956" spans="1:23">
      <c r="A4956" s="3">
        <v>4955</v>
      </c>
      <c r="B4956" s="1" t="s">
        <v>5910</v>
      </c>
      <c r="D4956" s="1" t="s">
        <v>8187</v>
      </c>
      <c r="F4956" s="1" t="s">
        <v>8506</v>
      </c>
      <c r="H4956" s="1" t="s">
        <v>8512</v>
      </c>
      <c r="J4956" s="1" t="s">
        <v>1428</v>
      </c>
      <c r="K4956" s="1" t="s">
        <v>5731</v>
      </c>
      <c r="L4956" s="1" t="s">
        <v>1429</v>
      </c>
      <c r="M4956" s="1" t="s">
        <v>5759</v>
      </c>
      <c r="N4956" s="1" t="s">
        <v>5760</v>
      </c>
      <c r="O4956" s="1" t="s">
        <v>8516</v>
      </c>
      <c r="P4956" s="1" t="s">
        <v>8517</v>
      </c>
      <c r="Q4956" s="3">
        <v>0</v>
      </c>
      <c r="R4956" s="22" t="s">
        <v>2723</v>
      </c>
      <c r="T4956" s="3" t="s">
        <v>4866</v>
      </c>
      <c r="U4956" s="45">
        <v>35</v>
      </c>
      <c r="V4956" t="s">
        <v>8514</v>
      </c>
      <c r="W4956" s="1" t="str">
        <f>HYPERLINK("http://ictvonline.org/taxonomy/p/taxonomy-history?taxnode_id=201907466","ICTVonline=201907466")</f>
        <v>ICTVonline=201907466</v>
      </c>
    </row>
    <row r="4957" spans="1:23">
      <c r="A4957" s="3">
        <v>4956</v>
      </c>
      <c r="B4957" s="1" t="s">
        <v>5910</v>
      </c>
      <c r="D4957" s="1" t="s">
        <v>8187</v>
      </c>
      <c r="F4957" s="1" t="s">
        <v>8506</v>
      </c>
      <c r="H4957" s="1" t="s">
        <v>8512</v>
      </c>
      <c r="J4957" s="1" t="s">
        <v>1428</v>
      </c>
      <c r="K4957" s="1" t="s">
        <v>5731</v>
      </c>
      <c r="L4957" s="1" t="s">
        <v>1429</v>
      </c>
      <c r="M4957" s="1" t="s">
        <v>5759</v>
      </c>
      <c r="N4957" s="1" t="s">
        <v>5767</v>
      </c>
      <c r="P4957" s="1" t="s">
        <v>5768</v>
      </c>
      <c r="Q4957" s="3">
        <v>1</v>
      </c>
      <c r="R4957" s="22" t="s">
        <v>2723</v>
      </c>
      <c r="T4957" s="3" t="s">
        <v>4868</v>
      </c>
      <c r="U4957" s="45">
        <v>35</v>
      </c>
      <c r="V4957" t="s">
        <v>8191</v>
      </c>
      <c r="W4957" s="1" t="str">
        <f>HYPERLINK("http://ictvonline.org/taxonomy/p/taxonomy-history?taxnode_id=201901831","ICTVonline=201901831")</f>
        <v>ICTVonline=201901831</v>
      </c>
    </row>
    <row r="4958" spans="1:23">
      <c r="A4958" s="3">
        <v>4957</v>
      </c>
      <c r="B4958" s="1" t="s">
        <v>5910</v>
      </c>
      <c r="D4958" s="1" t="s">
        <v>8187</v>
      </c>
      <c r="F4958" s="1" t="s">
        <v>8506</v>
      </c>
      <c r="H4958" s="1" t="s">
        <v>8512</v>
      </c>
      <c r="J4958" s="1" t="s">
        <v>1428</v>
      </c>
      <c r="K4958" s="1" t="s">
        <v>5731</v>
      </c>
      <c r="L4958" s="1" t="s">
        <v>1429</v>
      </c>
      <c r="M4958" s="1" t="s">
        <v>5759</v>
      </c>
      <c r="N4958" s="1" t="s">
        <v>8518</v>
      </c>
      <c r="P4958" s="1" t="s">
        <v>8519</v>
      </c>
      <c r="Q4958" s="3">
        <v>1</v>
      </c>
      <c r="R4958" s="22" t="s">
        <v>2723</v>
      </c>
      <c r="T4958" s="3" t="s">
        <v>4866</v>
      </c>
      <c r="U4958" s="45">
        <v>35</v>
      </c>
      <c r="V4958" t="s">
        <v>8514</v>
      </c>
      <c r="W4958" s="1" t="str">
        <f>HYPERLINK("http://ictvonline.org/taxonomy/p/taxonomy-history?taxnode_id=201907468","ICTVonline=201907468")</f>
        <v>ICTVonline=201907468</v>
      </c>
    </row>
    <row r="4959" spans="1:23">
      <c r="A4959" s="3">
        <v>4958</v>
      </c>
      <c r="B4959" s="1" t="s">
        <v>5910</v>
      </c>
      <c r="D4959" s="1" t="s">
        <v>8187</v>
      </c>
      <c r="F4959" s="1" t="s">
        <v>8506</v>
      </c>
      <c r="H4959" s="1" t="s">
        <v>8512</v>
      </c>
      <c r="J4959" s="1" t="s">
        <v>1428</v>
      </c>
      <c r="K4959" s="1" t="s">
        <v>5731</v>
      </c>
      <c r="L4959" s="1" t="s">
        <v>1429</v>
      </c>
      <c r="M4959" s="1" t="s">
        <v>5769</v>
      </c>
      <c r="N4959" s="1" t="s">
        <v>5770</v>
      </c>
      <c r="P4959" s="1" t="s">
        <v>5771</v>
      </c>
      <c r="Q4959" s="3">
        <v>1</v>
      </c>
      <c r="R4959" s="22" t="s">
        <v>2723</v>
      </c>
      <c r="T4959" s="3" t="s">
        <v>4868</v>
      </c>
      <c r="U4959" s="45">
        <v>35</v>
      </c>
      <c r="V4959" t="s">
        <v>8191</v>
      </c>
      <c r="W4959" s="1" t="str">
        <f>HYPERLINK("http://ictvonline.org/taxonomy/p/taxonomy-history?taxnode_id=201901825","ICTVonline=201901825")</f>
        <v>ICTVonline=201901825</v>
      </c>
    </row>
    <row r="4960" spans="1:23">
      <c r="A4960" s="3">
        <v>4959</v>
      </c>
      <c r="B4960" s="1" t="s">
        <v>5910</v>
      </c>
      <c r="D4960" s="1" t="s">
        <v>8187</v>
      </c>
      <c r="F4960" s="1" t="s">
        <v>8506</v>
      </c>
      <c r="H4960" s="1" t="s">
        <v>8512</v>
      </c>
      <c r="J4960" s="1" t="s">
        <v>1428</v>
      </c>
      <c r="K4960" s="1" t="s">
        <v>5731</v>
      </c>
      <c r="L4960" s="1" t="s">
        <v>8520</v>
      </c>
      <c r="M4960" s="1" t="s">
        <v>8521</v>
      </c>
      <c r="N4960" s="1" t="s">
        <v>8522</v>
      </c>
      <c r="P4960" s="1" t="s">
        <v>8523</v>
      </c>
      <c r="Q4960" s="3">
        <v>1</v>
      </c>
      <c r="R4960" s="22" t="s">
        <v>2723</v>
      </c>
      <c r="T4960" s="3" t="s">
        <v>4866</v>
      </c>
      <c r="U4960" s="45">
        <v>35</v>
      </c>
      <c r="V4960" t="s">
        <v>8514</v>
      </c>
      <c r="W4960" s="1" t="str">
        <f>HYPERLINK("http://ictvonline.org/taxonomy/p/taxonomy-history?taxnode_id=201907480","ICTVonline=201907480")</f>
        <v>ICTVonline=201907480</v>
      </c>
    </row>
    <row r="4961" spans="1:23">
      <c r="A4961" s="3">
        <v>4960</v>
      </c>
      <c r="B4961" s="1" t="s">
        <v>5910</v>
      </c>
      <c r="D4961" s="1" t="s">
        <v>8187</v>
      </c>
      <c r="F4961" s="1" t="s">
        <v>8506</v>
      </c>
      <c r="H4961" s="1" t="s">
        <v>8512</v>
      </c>
      <c r="J4961" s="1" t="s">
        <v>1428</v>
      </c>
      <c r="K4961" s="1" t="s">
        <v>5731</v>
      </c>
      <c r="L4961" s="1" t="s">
        <v>8524</v>
      </c>
      <c r="M4961" s="1" t="s">
        <v>8525</v>
      </c>
      <c r="N4961" s="1" t="s">
        <v>8526</v>
      </c>
      <c r="P4961" s="1" t="s">
        <v>8527</v>
      </c>
      <c r="Q4961" s="3">
        <v>1</v>
      </c>
      <c r="R4961" s="22" t="s">
        <v>2723</v>
      </c>
      <c r="T4961" s="3" t="s">
        <v>4866</v>
      </c>
      <c r="U4961" s="45">
        <v>35</v>
      </c>
      <c r="V4961" t="s">
        <v>8514</v>
      </c>
      <c r="W4961" s="1" t="str">
        <f>HYPERLINK("http://ictvonline.org/taxonomy/p/taxonomy-history?taxnode_id=201907476","ICTVonline=201907476")</f>
        <v>ICTVonline=201907476</v>
      </c>
    </row>
    <row r="4962" spans="1:23">
      <c r="A4962" s="3">
        <v>4961</v>
      </c>
      <c r="B4962" s="1" t="s">
        <v>5910</v>
      </c>
      <c r="D4962" s="1" t="s">
        <v>8187</v>
      </c>
      <c r="F4962" s="1" t="s">
        <v>8506</v>
      </c>
      <c r="H4962" s="1" t="s">
        <v>8512</v>
      </c>
      <c r="J4962" s="1" t="s">
        <v>1428</v>
      </c>
      <c r="K4962" s="1" t="s">
        <v>5731</v>
      </c>
      <c r="L4962" s="1" t="s">
        <v>8528</v>
      </c>
      <c r="M4962" s="1" t="s">
        <v>8529</v>
      </c>
      <c r="N4962" s="1" t="s">
        <v>8530</v>
      </c>
      <c r="P4962" s="1" t="s">
        <v>8531</v>
      </c>
      <c r="Q4962" s="3">
        <v>1</v>
      </c>
      <c r="R4962" s="22" t="s">
        <v>2723</v>
      </c>
      <c r="T4962" s="3" t="s">
        <v>4866</v>
      </c>
      <c r="U4962" s="45">
        <v>35</v>
      </c>
      <c r="V4962" t="s">
        <v>8514</v>
      </c>
      <c r="W4962" s="1" t="str">
        <f>HYPERLINK("http://ictvonline.org/taxonomy/p/taxonomy-history?taxnode_id=201907472","ICTVonline=201907472")</f>
        <v>ICTVonline=201907472</v>
      </c>
    </row>
    <row r="4963" spans="1:23">
      <c r="A4963" s="3">
        <v>4962</v>
      </c>
      <c r="B4963" s="1" t="s">
        <v>5910</v>
      </c>
      <c r="D4963" s="1" t="s">
        <v>8187</v>
      </c>
      <c r="F4963" s="1" t="s">
        <v>8506</v>
      </c>
      <c r="H4963" s="1" t="s">
        <v>8512</v>
      </c>
      <c r="J4963" s="1" t="s">
        <v>1428</v>
      </c>
      <c r="K4963" s="1" t="s">
        <v>5774</v>
      </c>
      <c r="L4963" s="1" t="s">
        <v>1373</v>
      </c>
      <c r="M4963" s="1" t="s">
        <v>5775</v>
      </c>
      <c r="N4963" s="1" t="s">
        <v>5776</v>
      </c>
      <c r="O4963" s="1" t="s">
        <v>5777</v>
      </c>
      <c r="P4963" s="1" t="s">
        <v>5778</v>
      </c>
      <c r="Q4963" s="3">
        <v>1</v>
      </c>
      <c r="R4963" s="22" t="s">
        <v>2723</v>
      </c>
      <c r="T4963" s="3" t="s">
        <v>4868</v>
      </c>
      <c r="U4963" s="45">
        <v>35</v>
      </c>
      <c r="V4963" t="s">
        <v>8191</v>
      </c>
      <c r="W4963" s="1" t="str">
        <f>HYPERLINK("http://ictvonline.org/taxonomy/p/taxonomy-history?taxnode_id=201906140","ICTVonline=201906140")</f>
        <v>ICTVonline=201906140</v>
      </c>
    </row>
    <row r="4964" spans="1:23">
      <c r="A4964" s="3">
        <v>4963</v>
      </c>
      <c r="B4964" s="1" t="s">
        <v>5910</v>
      </c>
      <c r="D4964" s="1" t="s">
        <v>8187</v>
      </c>
      <c r="F4964" s="1" t="s">
        <v>8506</v>
      </c>
      <c r="H4964" s="1" t="s">
        <v>8512</v>
      </c>
      <c r="J4964" s="1" t="s">
        <v>1428</v>
      </c>
      <c r="K4964" s="1" t="s">
        <v>5774</v>
      </c>
      <c r="L4964" s="1" t="s">
        <v>1373</v>
      </c>
      <c r="M4964" s="1" t="s">
        <v>5784</v>
      </c>
      <c r="N4964" s="1" t="s">
        <v>1829</v>
      </c>
      <c r="O4964" s="1" t="s">
        <v>5785</v>
      </c>
      <c r="P4964" s="1" t="s">
        <v>3576</v>
      </c>
      <c r="Q4964" s="3">
        <v>0</v>
      </c>
      <c r="R4964" s="22" t="s">
        <v>2723</v>
      </c>
      <c r="T4964" s="3" t="s">
        <v>4868</v>
      </c>
      <c r="U4964" s="45">
        <v>35</v>
      </c>
      <c r="V4964" t="s">
        <v>8191</v>
      </c>
      <c r="W4964" s="1" t="str">
        <f>HYPERLINK("http://ictvonline.org/taxonomy/p/taxonomy-history?taxnode_id=201901850","ICTVonline=201901850")</f>
        <v>ICTVonline=201901850</v>
      </c>
    </row>
    <row r="4965" spans="1:23">
      <c r="A4965" s="3">
        <v>4964</v>
      </c>
      <c r="B4965" s="1" t="s">
        <v>5910</v>
      </c>
      <c r="D4965" s="1" t="s">
        <v>8187</v>
      </c>
      <c r="F4965" s="1" t="s">
        <v>8506</v>
      </c>
      <c r="H4965" s="1" t="s">
        <v>8512</v>
      </c>
      <c r="J4965" s="1" t="s">
        <v>1428</v>
      </c>
      <c r="K4965" s="1" t="s">
        <v>5774</v>
      </c>
      <c r="L4965" s="1" t="s">
        <v>1373</v>
      </c>
      <c r="M4965" s="1" t="s">
        <v>5784</v>
      </c>
      <c r="N4965" s="1" t="s">
        <v>1829</v>
      </c>
      <c r="O4965" s="1" t="s">
        <v>5793</v>
      </c>
      <c r="P4965" s="1" t="s">
        <v>3577</v>
      </c>
      <c r="Q4965" s="3">
        <v>0</v>
      </c>
      <c r="R4965" s="22" t="s">
        <v>2723</v>
      </c>
      <c r="T4965" s="3" t="s">
        <v>4868</v>
      </c>
      <c r="U4965" s="45">
        <v>35</v>
      </c>
      <c r="V4965" t="s">
        <v>8191</v>
      </c>
      <c r="W4965" s="1" t="str">
        <f>HYPERLINK("http://ictvonline.org/taxonomy/p/taxonomy-history?taxnode_id=201901851","ICTVonline=201901851")</f>
        <v>ICTVonline=201901851</v>
      </c>
    </row>
    <row r="4966" spans="1:23">
      <c r="A4966" s="3">
        <v>4965</v>
      </c>
      <c r="B4966" s="1" t="s">
        <v>5910</v>
      </c>
      <c r="D4966" s="1" t="s">
        <v>8187</v>
      </c>
      <c r="F4966" s="1" t="s">
        <v>8506</v>
      </c>
      <c r="H4966" s="1" t="s">
        <v>8512</v>
      </c>
      <c r="J4966" s="1" t="s">
        <v>1428</v>
      </c>
      <c r="K4966" s="1" t="s">
        <v>5774</v>
      </c>
      <c r="L4966" s="1" t="s">
        <v>1373</v>
      </c>
      <c r="M4966" s="1" t="s">
        <v>5784</v>
      </c>
      <c r="N4966" s="1" t="s">
        <v>1829</v>
      </c>
      <c r="O4966" s="1" t="s">
        <v>5793</v>
      </c>
      <c r="P4966" s="1" t="s">
        <v>5794</v>
      </c>
      <c r="Q4966" s="3">
        <v>0</v>
      </c>
      <c r="R4966" s="22" t="s">
        <v>2723</v>
      </c>
      <c r="T4966" s="3" t="s">
        <v>4868</v>
      </c>
      <c r="U4966" s="45">
        <v>35</v>
      </c>
      <c r="V4966" t="s">
        <v>8191</v>
      </c>
      <c r="W4966" s="1" t="str">
        <f>HYPERLINK("http://ictvonline.org/taxonomy/p/taxonomy-history?taxnode_id=201906109","ICTVonline=201906109")</f>
        <v>ICTVonline=201906109</v>
      </c>
    </row>
    <row r="4967" spans="1:23">
      <c r="A4967" s="3">
        <v>4966</v>
      </c>
      <c r="B4967" s="1" t="s">
        <v>5910</v>
      </c>
      <c r="D4967" s="1" t="s">
        <v>8187</v>
      </c>
      <c r="F4967" s="1" t="s">
        <v>8506</v>
      </c>
      <c r="H4967" s="1" t="s">
        <v>8512</v>
      </c>
      <c r="J4967" s="1" t="s">
        <v>1428</v>
      </c>
      <c r="K4967" s="1" t="s">
        <v>5774</v>
      </c>
      <c r="L4967" s="1" t="s">
        <v>1373</v>
      </c>
      <c r="M4967" s="1" t="s">
        <v>5784</v>
      </c>
      <c r="N4967" s="1" t="s">
        <v>1829</v>
      </c>
      <c r="O4967" s="1" t="s">
        <v>5796</v>
      </c>
      <c r="P4967" s="1" t="s">
        <v>1374</v>
      </c>
      <c r="Q4967" s="3">
        <v>0</v>
      </c>
      <c r="R4967" s="22" t="s">
        <v>2723</v>
      </c>
      <c r="T4967" s="3" t="s">
        <v>4868</v>
      </c>
      <c r="U4967" s="45">
        <v>35</v>
      </c>
      <c r="V4967" t="s">
        <v>8191</v>
      </c>
      <c r="W4967" s="1" t="str">
        <f>HYPERLINK("http://ictvonline.org/taxonomy/p/taxonomy-history?taxnode_id=201901852","ICTVonline=201901852")</f>
        <v>ICTVonline=201901852</v>
      </c>
    </row>
    <row r="4968" spans="1:23">
      <c r="A4968" s="3">
        <v>4967</v>
      </c>
      <c r="B4968" s="1" t="s">
        <v>5910</v>
      </c>
      <c r="D4968" s="1" t="s">
        <v>8187</v>
      </c>
      <c r="F4968" s="1" t="s">
        <v>8506</v>
      </c>
      <c r="H4968" s="1" t="s">
        <v>8512</v>
      </c>
      <c r="J4968" s="1" t="s">
        <v>1428</v>
      </c>
      <c r="K4968" s="1" t="s">
        <v>5774</v>
      </c>
      <c r="L4968" s="1" t="s">
        <v>1373</v>
      </c>
      <c r="M4968" s="1" t="s">
        <v>5784</v>
      </c>
      <c r="N4968" s="1" t="s">
        <v>1829</v>
      </c>
      <c r="O4968" s="1" t="s">
        <v>5786</v>
      </c>
      <c r="P4968" s="1" t="s">
        <v>5787</v>
      </c>
      <c r="Q4968" s="3">
        <v>0</v>
      </c>
      <c r="R4968" s="22" t="s">
        <v>2723</v>
      </c>
      <c r="T4968" s="3" t="s">
        <v>4868</v>
      </c>
      <c r="U4968" s="45">
        <v>35</v>
      </c>
      <c r="V4968" t="s">
        <v>8191</v>
      </c>
      <c r="W4968" s="1" t="str">
        <f>HYPERLINK("http://ictvonline.org/taxonomy/p/taxonomy-history?taxnode_id=201906122","ICTVonline=201906122")</f>
        <v>ICTVonline=201906122</v>
      </c>
    </row>
    <row r="4969" spans="1:23">
      <c r="A4969" s="3">
        <v>4968</v>
      </c>
      <c r="B4969" s="1" t="s">
        <v>5910</v>
      </c>
      <c r="D4969" s="1" t="s">
        <v>8187</v>
      </c>
      <c r="F4969" s="1" t="s">
        <v>8506</v>
      </c>
      <c r="H4969" s="1" t="s">
        <v>8512</v>
      </c>
      <c r="J4969" s="1" t="s">
        <v>1428</v>
      </c>
      <c r="K4969" s="1" t="s">
        <v>5774</v>
      </c>
      <c r="L4969" s="1" t="s">
        <v>1373</v>
      </c>
      <c r="M4969" s="1" t="s">
        <v>5784</v>
      </c>
      <c r="N4969" s="1" t="s">
        <v>1829</v>
      </c>
      <c r="O4969" s="1" t="s">
        <v>5788</v>
      </c>
      <c r="P4969" s="1" t="s">
        <v>3578</v>
      </c>
      <c r="Q4969" s="3">
        <v>0</v>
      </c>
      <c r="R4969" s="22" t="s">
        <v>2723</v>
      </c>
      <c r="T4969" s="3" t="s">
        <v>4868</v>
      </c>
      <c r="U4969" s="45">
        <v>35</v>
      </c>
      <c r="V4969" t="s">
        <v>8514</v>
      </c>
      <c r="W4969" s="1" t="str">
        <f>HYPERLINK("http://ictvonline.org/taxonomy/p/taxonomy-history?taxnode_id=201901856","ICTVonline=201901856")</f>
        <v>ICTVonline=201901856</v>
      </c>
    </row>
    <row r="4970" spans="1:23">
      <c r="A4970" s="3">
        <v>4969</v>
      </c>
      <c r="B4970" s="1" t="s">
        <v>5910</v>
      </c>
      <c r="D4970" s="1" t="s">
        <v>8187</v>
      </c>
      <c r="F4970" s="1" t="s">
        <v>8506</v>
      </c>
      <c r="H4970" s="1" t="s">
        <v>8512</v>
      </c>
      <c r="J4970" s="1" t="s">
        <v>1428</v>
      </c>
      <c r="K4970" s="1" t="s">
        <v>5774</v>
      </c>
      <c r="L4970" s="1" t="s">
        <v>1373</v>
      </c>
      <c r="M4970" s="1" t="s">
        <v>5784</v>
      </c>
      <c r="N4970" s="1" t="s">
        <v>1829</v>
      </c>
      <c r="O4970" s="1" t="s">
        <v>5800</v>
      </c>
      <c r="P4970" s="1" t="s">
        <v>564</v>
      </c>
      <c r="Q4970" s="3">
        <v>0</v>
      </c>
      <c r="R4970" s="22" t="s">
        <v>2723</v>
      </c>
      <c r="T4970" s="3" t="s">
        <v>4868</v>
      </c>
      <c r="U4970" s="45">
        <v>35</v>
      </c>
      <c r="V4970" t="s">
        <v>8191</v>
      </c>
      <c r="W4970" s="1" t="str">
        <f>HYPERLINK("http://ictvonline.org/taxonomy/p/taxonomy-history?taxnode_id=201901854","ICTVonline=201901854")</f>
        <v>ICTVonline=201901854</v>
      </c>
    </row>
    <row r="4971" spans="1:23">
      <c r="A4971" s="3">
        <v>4970</v>
      </c>
      <c r="B4971" s="1" t="s">
        <v>5910</v>
      </c>
      <c r="D4971" s="1" t="s">
        <v>8187</v>
      </c>
      <c r="F4971" s="1" t="s">
        <v>8506</v>
      </c>
      <c r="H4971" s="1" t="s">
        <v>8512</v>
      </c>
      <c r="J4971" s="1" t="s">
        <v>1428</v>
      </c>
      <c r="K4971" s="1" t="s">
        <v>5774</v>
      </c>
      <c r="L4971" s="1" t="s">
        <v>1373</v>
      </c>
      <c r="M4971" s="1" t="s">
        <v>5784</v>
      </c>
      <c r="N4971" s="1" t="s">
        <v>1829</v>
      </c>
      <c r="O4971" s="1" t="s">
        <v>5800</v>
      </c>
      <c r="P4971" s="1" t="s">
        <v>565</v>
      </c>
      <c r="Q4971" s="3">
        <v>0</v>
      </c>
      <c r="R4971" s="22" t="s">
        <v>2723</v>
      </c>
      <c r="T4971" s="3" t="s">
        <v>4868</v>
      </c>
      <c r="U4971" s="45">
        <v>35</v>
      </c>
      <c r="V4971" t="s">
        <v>8191</v>
      </c>
      <c r="W4971" s="1" t="str">
        <f>HYPERLINK("http://ictvonline.org/taxonomy/p/taxonomy-history?taxnode_id=201901855","ICTVonline=201901855")</f>
        <v>ICTVonline=201901855</v>
      </c>
    </row>
    <row r="4972" spans="1:23">
      <c r="A4972" s="3">
        <v>4971</v>
      </c>
      <c r="B4972" s="1" t="s">
        <v>5910</v>
      </c>
      <c r="D4972" s="1" t="s">
        <v>8187</v>
      </c>
      <c r="F4972" s="1" t="s">
        <v>8506</v>
      </c>
      <c r="H4972" s="1" t="s">
        <v>8512</v>
      </c>
      <c r="J4972" s="1" t="s">
        <v>1428</v>
      </c>
      <c r="K4972" s="1" t="s">
        <v>5774</v>
      </c>
      <c r="L4972" s="1" t="s">
        <v>1373</v>
      </c>
      <c r="M4972" s="1" t="s">
        <v>5784</v>
      </c>
      <c r="N4972" s="1" t="s">
        <v>1829</v>
      </c>
      <c r="O4972" s="1" t="s">
        <v>5789</v>
      </c>
      <c r="P4972" s="1" t="s">
        <v>5790</v>
      </c>
      <c r="Q4972" s="3">
        <v>0</v>
      </c>
      <c r="R4972" s="22" t="s">
        <v>2723</v>
      </c>
      <c r="T4972" s="3" t="s">
        <v>4868</v>
      </c>
      <c r="U4972" s="45">
        <v>35</v>
      </c>
      <c r="V4972" t="s">
        <v>8191</v>
      </c>
      <c r="W4972" s="1" t="str">
        <f>HYPERLINK("http://ictvonline.org/taxonomy/p/taxonomy-history?taxnode_id=201906119","ICTVonline=201906119")</f>
        <v>ICTVonline=201906119</v>
      </c>
    </row>
    <row r="4973" spans="1:23">
      <c r="A4973" s="3">
        <v>4972</v>
      </c>
      <c r="B4973" s="1" t="s">
        <v>5910</v>
      </c>
      <c r="D4973" s="1" t="s">
        <v>8187</v>
      </c>
      <c r="F4973" s="1" t="s">
        <v>8506</v>
      </c>
      <c r="H4973" s="1" t="s">
        <v>8512</v>
      </c>
      <c r="J4973" s="1" t="s">
        <v>1428</v>
      </c>
      <c r="K4973" s="1" t="s">
        <v>5774</v>
      </c>
      <c r="L4973" s="1" t="s">
        <v>1373</v>
      </c>
      <c r="M4973" s="1" t="s">
        <v>5784</v>
      </c>
      <c r="N4973" s="1" t="s">
        <v>1829</v>
      </c>
      <c r="O4973" s="1" t="s">
        <v>5791</v>
      </c>
      <c r="P4973" s="1" t="s">
        <v>5792</v>
      </c>
      <c r="Q4973" s="3">
        <v>0</v>
      </c>
      <c r="R4973" s="22" t="s">
        <v>2723</v>
      </c>
      <c r="T4973" s="3" t="s">
        <v>4868</v>
      </c>
      <c r="U4973" s="45">
        <v>35</v>
      </c>
      <c r="V4973" t="s">
        <v>8191</v>
      </c>
      <c r="W4973" s="1" t="str">
        <f>HYPERLINK("http://ictvonline.org/taxonomy/p/taxonomy-history?taxnode_id=201906120","ICTVonline=201906120")</f>
        <v>ICTVonline=201906120</v>
      </c>
    </row>
    <row r="4974" spans="1:23">
      <c r="A4974" s="3">
        <v>4973</v>
      </c>
      <c r="B4974" s="1" t="s">
        <v>5910</v>
      </c>
      <c r="D4974" s="1" t="s">
        <v>8187</v>
      </c>
      <c r="F4974" s="1" t="s">
        <v>8506</v>
      </c>
      <c r="H4974" s="1" t="s">
        <v>8512</v>
      </c>
      <c r="J4974" s="1" t="s">
        <v>1428</v>
      </c>
      <c r="K4974" s="1" t="s">
        <v>5774</v>
      </c>
      <c r="L4974" s="1" t="s">
        <v>1373</v>
      </c>
      <c r="M4974" s="1" t="s">
        <v>5784</v>
      </c>
      <c r="N4974" s="1" t="s">
        <v>1829</v>
      </c>
      <c r="O4974" s="1" t="s">
        <v>5791</v>
      </c>
      <c r="P4974" s="1" t="s">
        <v>8532</v>
      </c>
      <c r="Q4974" s="3">
        <v>0</v>
      </c>
      <c r="R4974" s="22" t="s">
        <v>2723</v>
      </c>
      <c r="T4974" s="3" t="s">
        <v>4866</v>
      </c>
      <c r="U4974" s="45">
        <v>35</v>
      </c>
      <c r="V4974" t="s">
        <v>8514</v>
      </c>
      <c r="W4974" s="1" t="str">
        <f>HYPERLINK("http://ictvonline.org/taxonomy/p/taxonomy-history?taxnode_id=201907490","ICTVonline=201907490")</f>
        <v>ICTVonline=201907490</v>
      </c>
    </row>
    <row r="4975" spans="1:23">
      <c r="A4975" s="3">
        <v>4974</v>
      </c>
      <c r="B4975" s="1" t="s">
        <v>5910</v>
      </c>
      <c r="D4975" s="1" t="s">
        <v>8187</v>
      </c>
      <c r="F4975" s="1" t="s">
        <v>8506</v>
      </c>
      <c r="H4975" s="1" t="s">
        <v>8512</v>
      </c>
      <c r="J4975" s="1" t="s">
        <v>1428</v>
      </c>
      <c r="K4975" s="1" t="s">
        <v>5774</v>
      </c>
      <c r="L4975" s="1" t="s">
        <v>1373</v>
      </c>
      <c r="M4975" s="1" t="s">
        <v>5784</v>
      </c>
      <c r="N4975" s="1" t="s">
        <v>1829</v>
      </c>
      <c r="O4975" s="1" t="s">
        <v>5795</v>
      </c>
      <c r="P4975" s="1" t="s">
        <v>1060</v>
      </c>
      <c r="Q4975" s="3">
        <v>0</v>
      </c>
      <c r="R4975" s="22" t="s">
        <v>2723</v>
      </c>
      <c r="T4975" s="3" t="s">
        <v>4868</v>
      </c>
      <c r="U4975" s="45">
        <v>35</v>
      </c>
      <c r="V4975" t="s">
        <v>8191</v>
      </c>
      <c r="W4975" s="1" t="str">
        <f>HYPERLINK("http://ictvonline.org/taxonomy/p/taxonomy-history?taxnode_id=201901857","ICTVonline=201901857")</f>
        <v>ICTVonline=201901857</v>
      </c>
    </row>
    <row r="4976" spans="1:23">
      <c r="A4976" s="3">
        <v>4975</v>
      </c>
      <c r="B4976" s="1" t="s">
        <v>5910</v>
      </c>
      <c r="D4976" s="1" t="s">
        <v>8187</v>
      </c>
      <c r="F4976" s="1" t="s">
        <v>8506</v>
      </c>
      <c r="H4976" s="1" t="s">
        <v>8512</v>
      </c>
      <c r="J4976" s="1" t="s">
        <v>1428</v>
      </c>
      <c r="K4976" s="1" t="s">
        <v>5774</v>
      </c>
      <c r="L4976" s="1" t="s">
        <v>1373</v>
      </c>
      <c r="M4976" s="1" t="s">
        <v>5784</v>
      </c>
      <c r="N4976" s="1" t="s">
        <v>1829</v>
      </c>
      <c r="O4976" s="1" t="s">
        <v>5795</v>
      </c>
      <c r="P4976" s="1" t="s">
        <v>567</v>
      </c>
      <c r="Q4976" s="3">
        <v>0</v>
      </c>
      <c r="R4976" s="22" t="s">
        <v>2723</v>
      </c>
      <c r="T4976" s="3" t="s">
        <v>4868</v>
      </c>
      <c r="U4976" s="45">
        <v>35</v>
      </c>
      <c r="V4976" t="s">
        <v>8191</v>
      </c>
      <c r="W4976" s="1" t="str">
        <f>HYPERLINK("http://ictvonline.org/taxonomy/p/taxonomy-history?taxnode_id=201901859","ICTVonline=201901859")</f>
        <v>ICTVonline=201901859</v>
      </c>
    </row>
    <row r="4977" spans="1:23">
      <c r="A4977" s="3">
        <v>4976</v>
      </c>
      <c r="B4977" s="1" t="s">
        <v>5910</v>
      </c>
      <c r="D4977" s="1" t="s">
        <v>8187</v>
      </c>
      <c r="F4977" s="1" t="s">
        <v>8506</v>
      </c>
      <c r="H4977" s="1" t="s">
        <v>8512</v>
      </c>
      <c r="J4977" s="1" t="s">
        <v>1428</v>
      </c>
      <c r="K4977" s="1" t="s">
        <v>5774</v>
      </c>
      <c r="L4977" s="1" t="s">
        <v>1373</v>
      </c>
      <c r="M4977" s="1" t="s">
        <v>5784</v>
      </c>
      <c r="N4977" s="1" t="s">
        <v>1829</v>
      </c>
      <c r="O4977" s="1" t="s">
        <v>5797</v>
      </c>
      <c r="P4977" s="1" t="s">
        <v>566</v>
      </c>
      <c r="Q4977" s="3">
        <v>0</v>
      </c>
      <c r="R4977" s="22" t="s">
        <v>2723</v>
      </c>
      <c r="T4977" s="3" t="s">
        <v>4868</v>
      </c>
      <c r="U4977" s="45">
        <v>35</v>
      </c>
      <c r="V4977" t="s">
        <v>8191</v>
      </c>
      <c r="W4977" s="1" t="str">
        <f>HYPERLINK("http://ictvonline.org/taxonomy/p/taxonomy-history?taxnode_id=201901858","ICTVonline=201901858")</f>
        <v>ICTVonline=201901858</v>
      </c>
    </row>
    <row r="4978" spans="1:23">
      <c r="A4978" s="3">
        <v>4977</v>
      </c>
      <c r="B4978" s="1" t="s">
        <v>5910</v>
      </c>
      <c r="D4978" s="1" t="s">
        <v>8187</v>
      </c>
      <c r="F4978" s="1" t="s">
        <v>8506</v>
      </c>
      <c r="H4978" s="1" t="s">
        <v>8512</v>
      </c>
      <c r="J4978" s="1" t="s">
        <v>1428</v>
      </c>
      <c r="K4978" s="1" t="s">
        <v>5774</v>
      </c>
      <c r="L4978" s="1" t="s">
        <v>1373</v>
      </c>
      <c r="M4978" s="1" t="s">
        <v>5784</v>
      </c>
      <c r="N4978" s="1" t="s">
        <v>1829</v>
      </c>
      <c r="O4978" s="1" t="s">
        <v>5798</v>
      </c>
      <c r="P4978" s="1" t="s">
        <v>1059</v>
      </c>
      <c r="Q4978" s="3">
        <v>0</v>
      </c>
      <c r="R4978" s="22" t="s">
        <v>2723</v>
      </c>
      <c r="T4978" s="3" t="s">
        <v>4868</v>
      </c>
      <c r="U4978" s="45">
        <v>35</v>
      </c>
      <c r="V4978" t="s">
        <v>8191</v>
      </c>
      <c r="W4978" s="1" t="str">
        <f>HYPERLINK("http://ictvonline.org/taxonomy/p/taxonomy-history?taxnode_id=201901853","ICTVonline=201901853")</f>
        <v>ICTVonline=201901853</v>
      </c>
    </row>
    <row r="4979" spans="1:23">
      <c r="A4979" s="3">
        <v>4978</v>
      </c>
      <c r="B4979" s="1" t="s">
        <v>5910</v>
      </c>
      <c r="D4979" s="1" t="s">
        <v>8187</v>
      </c>
      <c r="F4979" s="1" t="s">
        <v>8506</v>
      </c>
      <c r="H4979" s="1" t="s">
        <v>8512</v>
      </c>
      <c r="J4979" s="1" t="s">
        <v>1428</v>
      </c>
      <c r="K4979" s="1" t="s">
        <v>5774</v>
      </c>
      <c r="L4979" s="1" t="s">
        <v>1373</v>
      </c>
      <c r="M4979" s="1" t="s">
        <v>5784</v>
      </c>
      <c r="N4979" s="1" t="s">
        <v>1829</v>
      </c>
      <c r="O4979" s="1" t="s">
        <v>5798</v>
      </c>
      <c r="P4979" s="1" t="s">
        <v>5799</v>
      </c>
      <c r="Q4979" s="3">
        <v>0</v>
      </c>
      <c r="R4979" s="22" t="s">
        <v>2723</v>
      </c>
      <c r="T4979" s="3" t="s">
        <v>4868</v>
      </c>
      <c r="U4979" s="45">
        <v>35</v>
      </c>
      <c r="V4979" t="s">
        <v>8191</v>
      </c>
      <c r="W4979" s="1" t="str">
        <f>HYPERLINK("http://ictvonline.org/taxonomy/p/taxonomy-history?taxnode_id=201906112","ICTVonline=201906112")</f>
        <v>ICTVonline=201906112</v>
      </c>
    </row>
    <row r="4980" spans="1:23">
      <c r="A4980" s="3">
        <v>4979</v>
      </c>
      <c r="B4980" s="1" t="s">
        <v>5910</v>
      </c>
      <c r="D4980" s="1" t="s">
        <v>8187</v>
      </c>
      <c r="F4980" s="1" t="s">
        <v>8506</v>
      </c>
      <c r="H4980" s="1" t="s">
        <v>8512</v>
      </c>
      <c r="J4980" s="1" t="s">
        <v>1428</v>
      </c>
      <c r="K4980" s="1" t="s">
        <v>5774</v>
      </c>
      <c r="L4980" s="1" t="s">
        <v>1373</v>
      </c>
      <c r="M4980" s="1" t="s">
        <v>5784</v>
      </c>
      <c r="N4980" s="1" t="s">
        <v>1829</v>
      </c>
      <c r="O4980" s="1" t="s">
        <v>8533</v>
      </c>
      <c r="P4980" s="1" t="s">
        <v>8534</v>
      </c>
      <c r="Q4980" s="3">
        <v>0</v>
      </c>
      <c r="R4980" s="22" t="s">
        <v>2723</v>
      </c>
      <c r="T4980" s="3" t="s">
        <v>4866</v>
      </c>
      <c r="U4980" s="45">
        <v>35</v>
      </c>
      <c r="V4980" t="s">
        <v>8514</v>
      </c>
      <c r="W4980" s="1" t="str">
        <f>HYPERLINK("http://ictvonline.org/taxonomy/p/taxonomy-history?taxnode_id=201907494","ICTVonline=201907494")</f>
        <v>ICTVonline=201907494</v>
      </c>
    </row>
    <row r="4981" spans="1:23">
      <c r="A4981" s="3">
        <v>4980</v>
      </c>
      <c r="B4981" s="1" t="s">
        <v>5910</v>
      </c>
      <c r="D4981" s="1" t="s">
        <v>8187</v>
      </c>
      <c r="F4981" s="1" t="s">
        <v>8506</v>
      </c>
      <c r="H4981" s="1" t="s">
        <v>8512</v>
      </c>
      <c r="J4981" s="1" t="s">
        <v>1428</v>
      </c>
      <c r="K4981" s="1" t="s">
        <v>5774</v>
      </c>
      <c r="L4981" s="1" t="s">
        <v>1373</v>
      </c>
      <c r="M4981" s="1" t="s">
        <v>5784</v>
      </c>
      <c r="N4981" s="1" t="s">
        <v>1829</v>
      </c>
      <c r="O4981" s="1" t="s">
        <v>8535</v>
      </c>
      <c r="P4981" s="1" t="s">
        <v>8536</v>
      </c>
      <c r="Q4981" s="3">
        <v>0</v>
      </c>
      <c r="R4981" s="22" t="s">
        <v>2723</v>
      </c>
      <c r="T4981" s="3" t="s">
        <v>4866</v>
      </c>
      <c r="U4981" s="45">
        <v>35</v>
      </c>
      <c r="V4981" t="s">
        <v>8514</v>
      </c>
      <c r="W4981" s="1" t="str">
        <f>HYPERLINK("http://ictvonline.org/taxonomy/p/taxonomy-history?taxnode_id=201907492","ICTVonline=201907492")</f>
        <v>ICTVonline=201907492</v>
      </c>
    </row>
    <row r="4982" spans="1:23">
      <c r="A4982" s="3">
        <v>4981</v>
      </c>
      <c r="B4982" s="1" t="s">
        <v>5910</v>
      </c>
      <c r="D4982" s="1" t="s">
        <v>8187</v>
      </c>
      <c r="F4982" s="1" t="s">
        <v>8506</v>
      </c>
      <c r="H4982" s="1" t="s">
        <v>8512</v>
      </c>
      <c r="J4982" s="1" t="s">
        <v>1428</v>
      </c>
      <c r="K4982" s="1" t="s">
        <v>5774</v>
      </c>
      <c r="L4982" s="1" t="s">
        <v>1373</v>
      </c>
      <c r="M4982" s="1" t="s">
        <v>5784</v>
      </c>
      <c r="N4982" s="1" t="s">
        <v>1829</v>
      </c>
      <c r="O4982" s="1" t="s">
        <v>5801</v>
      </c>
      <c r="P4982" s="1" t="s">
        <v>1830</v>
      </c>
      <c r="Q4982" s="3">
        <v>1</v>
      </c>
      <c r="R4982" s="22" t="s">
        <v>2723</v>
      </c>
      <c r="T4982" s="3" t="s">
        <v>4868</v>
      </c>
      <c r="U4982" s="45">
        <v>35</v>
      </c>
      <c r="V4982" t="s">
        <v>8191</v>
      </c>
      <c r="W4982" s="1" t="str">
        <f>HYPERLINK("http://ictvonline.org/taxonomy/p/taxonomy-history?taxnode_id=201901849","ICTVonline=201901849")</f>
        <v>ICTVonline=201901849</v>
      </c>
    </row>
    <row r="4983" spans="1:23">
      <c r="A4983" s="3">
        <v>4982</v>
      </c>
      <c r="B4983" s="1" t="s">
        <v>5910</v>
      </c>
      <c r="D4983" s="1" t="s">
        <v>8187</v>
      </c>
      <c r="F4983" s="1" t="s">
        <v>8506</v>
      </c>
      <c r="H4983" s="1" t="s">
        <v>8512</v>
      </c>
      <c r="J4983" s="1" t="s">
        <v>1428</v>
      </c>
      <c r="K4983" s="1" t="s">
        <v>5774</v>
      </c>
      <c r="L4983" s="1" t="s">
        <v>1373</v>
      </c>
      <c r="M4983" s="1" t="s">
        <v>5784</v>
      </c>
      <c r="N4983" s="1" t="s">
        <v>459</v>
      </c>
      <c r="O4983" s="1" t="s">
        <v>5807</v>
      </c>
      <c r="P4983" s="1" t="s">
        <v>461</v>
      </c>
      <c r="Q4983" s="3">
        <v>0</v>
      </c>
      <c r="R4983" s="22" t="s">
        <v>2723</v>
      </c>
      <c r="T4983" s="3" t="s">
        <v>4868</v>
      </c>
      <c r="U4983" s="45">
        <v>35</v>
      </c>
      <c r="V4983" t="s">
        <v>8191</v>
      </c>
      <c r="W4983" s="1" t="str">
        <f>HYPERLINK("http://ictvonline.org/taxonomy/p/taxonomy-history?taxnode_id=201901861","ICTVonline=201901861")</f>
        <v>ICTVonline=201901861</v>
      </c>
    </row>
    <row r="4984" spans="1:23">
      <c r="A4984" s="3">
        <v>4983</v>
      </c>
      <c r="B4984" s="1" t="s">
        <v>5910</v>
      </c>
      <c r="D4984" s="1" t="s">
        <v>8187</v>
      </c>
      <c r="F4984" s="1" t="s">
        <v>8506</v>
      </c>
      <c r="H4984" s="1" t="s">
        <v>8512</v>
      </c>
      <c r="J4984" s="1" t="s">
        <v>1428</v>
      </c>
      <c r="K4984" s="1" t="s">
        <v>5774</v>
      </c>
      <c r="L4984" s="1" t="s">
        <v>1373</v>
      </c>
      <c r="M4984" s="1" t="s">
        <v>5784</v>
      </c>
      <c r="N4984" s="1" t="s">
        <v>459</v>
      </c>
      <c r="O4984" s="1" t="s">
        <v>5807</v>
      </c>
      <c r="P4984" s="1" t="s">
        <v>5808</v>
      </c>
      <c r="Q4984" s="3">
        <v>0</v>
      </c>
      <c r="R4984" s="22" t="s">
        <v>2723</v>
      </c>
      <c r="T4984" s="3" t="s">
        <v>4868</v>
      </c>
      <c r="U4984" s="45">
        <v>35</v>
      </c>
      <c r="V4984" t="s">
        <v>8191</v>
      </c>
      <c r="W4984" s="1" t="str">
        <f>HYPERLINK("http://ictvonline.org/taxonomy/p/taxonomy-history?taxnode_id=201906124","ICTVonline=201906124")</f>
        <v>ICTVonline=201906124</v>
      </c>
    </row>
    <row r="4985" spans="1:23">
      <c r="A4985" s="3">
        <v>4984</v>
      </c>
      <c r="B4985" s="1" t="s">
        <v>5910</v>
      </c>
      <c r="D4985" s="1" t="s">
        <v>8187</v>
      </c>
      <c r="F4985" s="1" t="s">
        <v>8506</v>
      </c>
      <c r="H4985" s="1" t="s">
        <v>8512</v>
      </c>
      <c r="J4985" s="1" t="s">
        <v>1428</v>
      </c>
      <c r="K4985" s="1" t="s">
        <v>5774</v>
      </c>
      <c r="L4985" s="1" t="s">
        <v>1373</v>
      </c>
      <c r="M4985" s="1" t="s">
        <v>5784</v>
      </c>
      <c r="N4985" s="1" t="s">
        <v>459</v>
      </c>
      <c r="O4985" s="1" t="s">
        <v>5807</v>
      </c>
      <c r="P4985" s="1" t="s">
        <v>1387</v>
      </c>
      <c r="Q4985" s="3">
        <v>0</v>
      </c>
      <c r="R4985" s="22" t="s">
        <v>2723</v>
      </c>
      <c r="T4985" s="3" t="s">
        <v>4868</v>
      </c>
      <c r="U4985" s="45">
        <v>35</v>
      </c>
      <c r="V4985" t="s">
        <v>8191</v>
      </c>
      <c r="W4985" s="1" t="str">
        <f>HYPERLINK("http://ictvonline.org/taxonomy/p/taxonomy-history?taxnode_id=201901863","ICTVonline=201901863")</f>
        <v>ICTVonline=201901863</v>
      </c>
    </row>
    <row r="4986" spans="1:23">
      <c r="A4986" s="3">
        <v>4985</v>
      </c>
      <c r="B4986" s="1" t="s">
        <v>5910</v>
      </c>
      <c r="D4986" s="1" t="s">
        <v>8187</v>
      </c>
      <c r="F4986" s="1" t="s">
        <v>8506</v>
      </c>
      <c r="H4986" s="1" t="s">
        <v>8512</v>
      </c>
      <c r="J4986" s="1" t="s">
        <v>1428</v>
      </c>
      <c r="K4986" s="1" t="s">
        <v>5774</v>
      </c>
      <c r="L4986" s="1" t="s">
        <v>1373</v>
      </c>
      <c r="M4986" s="1" t="s">
        <v>5784</v>
      </c>
      <c r="N4986" s="1" t="s">
        <v>459</v>
      </c>
      <c r="O4986" s="1" t="s">
        <v>5807</v>
      </c>
      <c r="P4986" s="1" t="s">
        <v>460</v>
      </c>
      <c r="Q4986" s="3">
        <v>1</v>
      </c>
      <c r="R4986" s="22" t="s">
        <v>2723</v>
      </c>
      <c r="T4986" s="3" t="s">
        <v>4868</v>
      </c>
      <c r="U4986" s="45">
        <v>35</v>
      </c>
      <c r="V4986" t="s">
        <v>8191</v>
      </c>
      <c r="W4986" s="1" t="str">
        <f>HYPERLINK("http://ictvonline.org/taxonomy/p/taxonomy-history?taxnode_id=201901865","ICTVonline=201901865")</f>
        <v>ICTVonline=201901865</v>
      </c>
    </row>
    <row r="4987" spans="1:23">
      <c r="A4987" s="3">
        <v>4986</v>
      </c>
      <c r="B4987" s="1" t="s">
        <v>5910</v>
      </c>
      <c r="D4987" s="1" t="s">
        <v>8187</v>
      </c>
      <c r="F4987" s="1" t="s">
        <v>8506</v>
      </c>
      <c r="H4987" s="1" t="s">
        <v>8512</v>
      </c>
      <c r="J4987" s="1" t="s">
        <v>1428</v>
      </c>
      <c r="K4987" s="1" t="s">
        <v>5774</v>
      </c>
      <c r="L4987" s="1" t="s">
        <v>1373</v>
      </c>
      <c r="M4987" s="1" t="s">
        <v>5784</v>
      </c>
      <c r="N4987" s="1" t="s">
        <v>459</v>
      </c>
      <c r="O4987" s="1" t="s">
        <v>5807</v>
      </c>
      <c r="P4987" s="1" t="s">
        <v>8537</v>
      </c>
      <c r="Q4987" s="3">
        <v>0</v>
      </c>
      <c r="R4987" s="22" t="s">
        <v>2723</v>
      </c>
      <c r="T4987" s="3" t="s">
        <v>4866</v>
      </c>
      <c r="U4987" s="45">
        <v>35</v>
      </c>
      <c r="V4987" t="s">
        <v>8514</v>
      </c>
      <c r="W4987" s="1" t="str">
        <f>HYPERLINK("http://ictvonline.org/taxonomy/p/taxonomy-history?taxnode_id=201907496","ICTVonline=201907496")</f>
        <v>ICTVonline=201907496</v>
      </c>
    </row>
    <row r="4988" spans="1:23">
      <c r="A4988" s="3">
        <v>4987</v>
      </c>
      <c r="B4988" s="1" t="s">
        <v>5910</v>
      </c>
      <c r="D4988" s="1" t="s">
        <v>8187</v>
      </c>
      <c r="F4988" s="1" t="s">
        <v>8506</v>
      </c>
      <c r="H4988" s="1" t="s">
        <v>8512</v>
      </c>
      <c r="J4988" s="1" t="s">
        <v>1428</v>
      </c>
      <c r="K4988" s="1" t="s">
        <v>5774</v>
      </c>
      <c r="L4988" s="1" t="s">
        <v>1373</v>
      </c>
      <c r="M4988" s="1" t="s">
        <v>5784</v>
      </c>
      <c r="N4988" s="1" t="s">
        <v>459</v>
      </c>
      <c r="O4988" s="1" t="s">
        <v>5802</v>
      </c>
      <c r="P4988" s="1" t="s">
        <v>5803</v>
      </c>
      <c r="Q4988" s="3">
        <v>0</v>
      </c>
      <c r="R4988" s="22" t="s">
        <v>2723</v>
      </c>
      <c r="T4988" s="3" t="s">
        <v>4868</v>
      </c>
      <c r="U4988" s="45">
        <v>35</v>
      </c>
      <c r="V4988" t="s">
        <v>8191</v>
      </c>
      <c r="W4988" s="1" t="str">
        <f>HYPERLINK("http://ictvonline.org/taxonomy/p/taxonomy-history?taxnode_id=201906131","ICTVonline=201906131")</f>
        <v>ICTVonline=201906131</v>
      </c>
    </row>
    <row r="4989" spans="1:23">
      <c r="A4989" s="3">
        <v>4988</v>
      </c>
      <c r="B4989" s="1" t="s">
        <v>5910</v>
      </c>
      <c r="D4989" s="1" t="s">
        <v>8187</v>
      </c>
      <c r="F4989" s="1" t="s">
        <v>8506</v>
      </c>
      <c r="H4989" s="1" t="s">
        <v>8512</v>
      </c>
      <c r="J4989" s="1" t="s">
        <v>1428</v>
      </c>
      <c r="K4989" s="1" t="s">
        <v>5774</v>
      </c>
      <c r="L4989" s="1" t="s">
        <v>1373</v>
      </c>
      <c r="M4989" s="1" t="s">
        <v>5784</v>
      </c>
      <c r="N4989" s="1" t="s">
        <v>459</v>
      </c>
      <c r="O4989" s="1" t="s">
        <v>5810</v>
      </c>
      <c r="P4989" s="1" t="s">
        <v>3579</v>
      </c>
      <c r="Q4989" s="3">
        <v>0</v>
      </c>
      <c r="R4989" s="22" t="s">
        <v>2723</v>
      </c>
      <c r="T4989" s="3" t="s">
        <v>4868</v>
      </c>
      <c r="U4989" s="45">
        <v>35</v>
      </c>
      <c r="V4989" t="s">
        <v>8191</v>
      </c>
      <c r="W4989" s="1" t="str">
        <f>HYPERLINK("http://ictvonline.org/taxonomy/p/taxonomy-history?taxnode_id=201901862","ICTVonline=201901862")</f>
        <v>ICTVonline=201901862</v>
      </c>
    </row>
    <row r="4990" spans="1:23">
      <c r="A4990" s="3">
        <v>4989</v>
      </c>
      <c r="B4990" s="1" t="s">
        <v>5910</v>
      </c>
      <c r="D4990" s="1" t="s">
        <v>8187</v>
      </c>
      <c r="F4990" s="1" t="s">
        <v>8506</v>
      </c>
      <c r="H4990" s="1" t="s">
        <v>8512</v>
      </c>
      <c r="J4990" s="1" t="s">
        <v>1428</v>
      </c>
      <c r="K4990" s="1" t="s">
        <v>5774</v>
      </c>
      <c r="L4990" s="1" t="s">
        <v>1373</v>
      </c>
      <c r="M4990" s="1" t="s">
        <v>5784</v>
      </c>
      <c r="N4990" s="1" t="s">
        <v>459</v>
      </c>
      <c r="O4990" s="1" t="s">
        <v>5810</v>
      </c>
      <c r="P4990" s="1" t="s">
        <v>3580</v>
      </c>
      <c r="Q4990" s="3">
        <v>0</v>
      </c>
      <c r="R4990" s="22" t="s">
        <v>2723</v>
      </c>
      <c r="T4990" s="3" t="s">
        <v>4868</v>
      </c>
      <c r="U4990" s="45">
        <v>35</v>
      </c>
      <c r="V4990" t="s">
        <v>8191</v>
      </c>
      <c r="W4990" s="1" t="str">
        <f>HYPERLINK("http://ictvonline.org/taxonomy/p/taxonomy-history?taxnode_id=201901864","ICTVonline=201901864")</f>
        <v>ICTVonline=201901864</v>
      </c>
    </row>
    <row r="4991" spans="1:23">
      <c r="A4991" s="3">
        <v>4990</v>
      </c>
      <c r="B4991" s="1" t="s">
        <v>5910</v>
      </c>
      <c r="D4991" s="1" t="s">
        <v>8187</v>
      </c>
      <c r="F4991" s="1" t="s">
        <v>8506</v>
      </c>
      <c r="H4991" s="1" t="s">
        <v>8512</v>
      </c>
      <c r="J4991" s="1" t="s">
        <v>1428</v>
      </c>
      <c r="K4991" s="1" t="s">
        <v>5774</v>
      </c>
      <c r="L4991" s="1" t="s">
        <v>1373</v>
      </c>
      <c r="M4991" s="1" t="s">
        <v>5784</v>
      </c>
      <c r="N4991" s="1" t="s">
        <v>459</v>
      </c>
      <c r="O4991" s="1" t="s">
        <v>5810</v>
      </c>
      <c r="P4991" s="1" t="s">
        <v>568</v>
      </c>
      <c r="Q4991" s="3">
        <v>0</v>
      </c>
      <c r="R4991" s="22" t="s">
        <v>2723</v>
      </c>
      <c r="T4991" s="3" t="s">
        <v>4868</v>
      </c>
      <c r="U4991" s="45">
        <v>35</v>
      </c>
      <c r="V4991" t="s">
        <v>8191</v>
      </c>
      <c r="W4991" s="1" t="str">
        <f>HYPERLINK("http://ictvonline.org/taxonomy/p/taxonomy-history?taxnode_id=201901866","ICTVonline=201901866")</f>
        <v>ICTVonline=201901866</v>
      </c>
    </row>
    <row r="4992" spans="1:23">
      <c r="A4992" s="3">
        <v>4991</v>
      </c>
      <c r="B4992" s="1" t="s">
        <v>5910</v>
      </c>
      <c r="D4992" s="1" t="s">
        <v>8187</v>
      </c>
      <c r="F4992" s="1" t="s">
        <v>8506</v>
      </c>
      <c r="H4992" s="1" t="s">
        <v>8512</v>
      </c>
      <c r="J4992" s="1" t="s">
        <v>1428</v>
      </c>
      <c r="K4992" s="1" t="s">
        <v>5774</v>
      </c>
      <c r="L4992" s="1" t="s">
        <v>1373</v>
      </c>
      <c r="M4992" s="1" t="s">
        <v>5784</v>
      </c>
      <c r="N4992" s="1" t="s">
        <v>459</v>
      </c>
      <c r="O4992" s="1" t="s">
        <v>5810</v>
      </c>
      <c r="P4992" s="1" t="s">
        <v>570</v>
      </c>
      <c r="Q4992" s="3">
        <v>0</v>
      </c>
      <c r="R4992" s="22" t="s">
        <v>2723</v>
      </c>
      <c r="T4992" s="3" t="s">
        <v>4868</v>
      </c>
      <c r="U4992" s="45">
        <v>35</v>
      </c>
      <c r="V4992" t="s">
        <v>8191</v>
      </c>
      <c r="W4992" s="1" t="str">
        <f>HYPERLINK("http://ictvonline.org/taxonomy/p/taxonomy-history?taxnode_id=201901869","ICTVonline=201901869")</f>
        <v>ICTVonline=201901869</v>
      </c>
    </row>
    <row r="4993" spans="1:23">
      <c r="A4993" s="3">
        <v>4992</v>
      </c>
      <c r="B4993" s="1" t="s">
        <v>5910</v>
      </c>
      <c r="D4993" s="1" t="s">
        <v>8187</v>
      </c>
      <c r="F4993" s="1" t="s">
        <v>8506</v>
      </c>
      <c r="H4993" s="1" t="s">
        <v>8512</v>
      </c>
      <c r="J4993" s="1" t="s">
        <v>1428</v>
      </c>
      <c r="K4993" s="1" t="s">
        <v>5774</v>
      </c>
      <c r="L4993" s="1" t="s">
        <v>1373</v>
      </c>
      <c r="M4993" s="1" t="s">
        <v>5784</v>
      </c>
      <c r="N4993" s="1" t="s">
        <v>459</v>
      </c>
      <c r="O4993" s="1" t="s">
        <v>5804</v>
      </c>
      <c r="P4993" s="1" t="s">
        <v>8538</v>
      </c>
      <c r="Q4993" s="3">
        <v>0</v>
      </c>
      <c r="R4993" s="22" t="s">
        <v>2723</v>
      </c>
      <c r="T4993" s="3" t="s">
        <v>4866</v>
      </c>
      <c r="U4993" s="45">
        <v>35</v>
      </c>
      <c r="V4993" t="s">
        <v>8514</v>
      </c>
      <c r="W4993" s="1" t="str">
        <f>HYPERLINK("http://ictvonline.org/taxonomy/p/taxonomy-history?taxnode_id=201907495","ICTVonline=201907495")</f>
        <v>ICTVonline=201907495</v>
      </c>
    </row>
    <row r="4994" spans="1:23">
      <c r="A4994" s="3">
        <v>4993</v>
      </c>
      <c r="B4994" s="1" t="s">
        <v>5910</v>
      </c>
      <c r="D4994" s="1" t="s">
        <v>8187</v>
      </c>
      <c r="F4994" s="1" t="s">
        <v>8506</v>
      </c>
      <c r="H4994" s="1" t="s">
        <v>8512</v>
      </c>
      <c r="J4994" s="1" t="s">
        <v>1428</v>
      </c>
      <c r="K4994" s="1" t="s">
        <v>5774</v>
      </c>
      <c r="L4994" s="1" t="s">
        <v>1373</v>
      </c>
      <c r="M4994" s="1" t="s">
        <v>5784</v>
      </c>
      <c r="N4994" s="1" t="s">
        <v>459</v>
      </c>
      <c r="O4994" s="1" t="s">
        <v>5804</v>
      </c>
      <c r="P4994" s="1" t="s">
        <v>5805</v>
      </c>
      <c r="Q4994" s="3">
        <v>0</v>
      </c>
      <c r="R4994" s="22" t="s">
        <v>2723</v>
      </c>
      <c r="T4994" s="3" t="s">
        <v>4868</v>
      </c>
      <c r="U4994" s="45">
        <v>35</v>
      </c>
      <c r="V4994" t="s">
        <v>8191</v>
      </c>
      <c r="W4994" s="1" t="str">
        <f>HYPERLINK("http://ictvonline.org/taxonomy/p/taxonomy-history?taxnode_id=201906128","ICTVonline=201906128")</f>
        <v>ICTVonline=201906128</v>
      </c>
    </row>
    <row r="4995" spans="1:23">
      <c r="A4995" s="3">
        <v>4994</v>
      </c>
      <c r="B4995" s="1" t="s">
        <v>5910</v>
      </c>
      <c r="D4995" s="1" t="s">
        <v>8187</v>
      </c>
      <c r="F4995" s="1" t="s">
        <v>8506</v>
      </c>
      <c r="H4995" s="1" t="s">
        <v>8512</v>
      </c>
      <c r="J4995" s="1" t="s">
        <v>1428</v>
      </c>
      <c r="K4995" s="1" t="s">
        <v>5774</v>
      </c>
      <c r="L4995" s="1" t="s">
        <v>1373</v>
      </c>
      <c r="M4995" s="1" t="s">
        <v>5784</v>
      </c>
      <c r="N4995" s="1" t="s">
        <v>459</v>
      </c>
      <c r="O4995" s="1" t="s">
        <v>5804</v>
      </c>
      <c r="P4995" s="1" t="s">
        <v>569</v>
      </c>
      <c r="Q4995" s="3">
        <v>0</v>
      </c>
      <c r="R4995" s="22" t="s">
        <v>2723</v>
      </c>
      <c r="T4995" s="3" t="s">
        <v>4868</v>
      </c>
      <c r="U4995" s="45">
        <v>35</v>
      </c>
      <c r="V4995" t="s">
        <v>8191</v>
      </c>
      <c r="W4995" s="1" t="str">
        <f>HYPERLINK("http://ictvonline.org/taxonomy/p/taxonomy-history?taxnode_id=201901867","ICTVonline=201901867")</f>
        <v>ICTVonline=201901867</v>
      </c>
    </row>
    <row r="4996" spans="1:23">
      <c r="A4996" s="3">
        <v>4995</v>
      </c>
      <c r="B4996" s="1" t="s">
        <v>5910</v>
      </c>
      <c r="D4996" s="1" t="s">
        <v>8187</v>
      </c>
      <c r="F4996" s="1" t="s">
        <v>8506</v>
      </c>
      <c r="H4996" s="1" t="s">
        <v>8512</v>
      </c>
      <c r="J4996" s="1" t="s">
        <v>1428</v>
      </c>
      <c r="K4996" s="1" t="s">
        <v>5774</v>
      </c>
      <c r="L4996" s="1" t="s">
        <v>1373</v>
      </c>
      <c r="M4996" s="1" t="s">
        <v>5784</v>
      </c>
      <c r="N4996" s="1" t="s">
        <v>459</v>
      </c>
      <c r="O4996" s="1" t="s">
        <v>5806</v>
      </c>
      <c r="P4996" s="1" t="s">
        <v>1358</v>
      </c>
      <c r="Q4996" s="3">
        <v>0</v>
      </c>
      <c r="R4996" s="22" t="s">
        <v>2723</v>
      </c>
      <c r="T4996" s="3" t="s">
        <v>4868</v>
      </c>
      <c r="U4996" s="45">
        <v>35</v>
      </c>
      <c r="V4996" t="s">
        <v>8191</v>
      </c>
      <c r="W4996" s="1" t="str">
        <f>HYPERLINK("http://ictvonline.org/taxonomy/p/taxonomy-history?taxnode_id=201901868","ICTVonline=201901868")</f>
        <v>ICTVonline=201901868</v>
      </c>
    </row>
    <row r="4997" spans="1:23">
      <c r="A4997" s="3">
        <v>4996</v>
      </c>
      <c r="B4997" s="1" t="s">
        <v>5910</v>
      </c>
      <c r="D4997" s="1" t="s">
        <v>8187</v>
      </c>
      <c r="F4997" s="1" t="s">
        <v>8506</v>
      </c>
      <c r="H4997" s="1" t="s">
        <v>8512</v>
      </c>
      <c r="J4997" s="1" t="s">
        <v>1428</v>
      </c>
      <c r="K4997" s="1" t="s">
        <v>5774</v>
      </c>
      <c r="L4997" s="1" t="s">
        <v>1373</v>
      </c>
      <c r="M4997" s="1" t="s">
        <v>5784</v>
      </c>
      <c r="N4997" s="1" t="s">
        <v>0</v>
      </c>
      <c r="O4997" s="1" t="s">
        <v>5813</v>
      </c>
      <c r="P4997" s="1" t="s">
        <v>3585</v>
      </c>
      <c r="Q4997" s="3">
        <v>0</v>
      </c>
      <c r="R4997" s="22" t="s">
        <v>2723</v>
      </c>
      <c r="T4997" s="3" t="s">
        <v>4868</v>
      </c>
      <c r="U4997" s="45">
        <v>35</v>
      </c>
      <c r="V4997" t="s">
        <v>8191</v>
      </c>
      <c r="W4997" s="1" t="str">
        <f>HYPERLINK("http://ictvonline.org/taxonomy/p/taxonomy-history?taxnode_id=201901878","ICTVonline=201901878")</f>
        <v>ICTVonline=201901878</v>
      </c>
    </row>
    <row r="4998" spans="1:23">
      <c r="A4998" s="3">
        <v>4997</v>
      </c>
      <c r="B4998" s="1" t="s">
        <v>5910</v>
      </c>
      <c r="D4998" s="1" t="s">
        <v>8187</v>
      </c>
      <c r="F4998" s="1" t="s">
        <v>8506</v>
      </c>
      <c r="H4998" s="1" t="s">
        <v>8512</v>
      </c>
      <c r="J4998" s="1" t="s">
        <v>1428</v>
      </c>
      <c r="K4998" s="1" t="s">
        <v>5774</v>
      </c>
      <c r="L4998" s="1" t="s">
        <v>1373</v>
      </c>
      <c r="M4998" s="1" t="s">
        <v>5784</v>
      </c>
      <c r="N4998" s="1" t="s">
        <v>0</v>
      </c>
      <c r="O4998" s="1" t="s">
        <v>5809</v>
      </c>
      <c r="P4998" s="1" t="s">
        <v>1</v>
      </c>
      <c r="Q4998" s="3">
        <v>1</v>
      </c>
      <c r="R4998" s="22" t="s">
        <v>2723</v>
      </c>
      <c r="T4998" s="3" t="s">
        <v>4868</v>
      </c>
      <c r="U4998" s="45">
        <v>35</v>
      </c>
      <c r="V4998" t="s">
        <v>8191</v>
      </c>
      <c r="W4998" s="1" t="str">
        <f>HYPERLINK("http://ictvonline.org/taxonomy/p/taxonomy-history?taxnode_id=201901871","ICTVonline=201901871")</f>
        <v>ICTVonline=201901871</v>
      </c>
    </row>
    <row r="4999" spans="1:23">
      <c r="A4999" s="3">
        <v>4998</v>
      </c>
      <c r="B4999" s="1" t="s">
        <v>5910</v>
      </c>
      <c r="D4999" s="1" t="s">
        <v>8187</v>
      </c>
      <c r="F4999" s="1" t="s">
        <v>8506</v>
      </c>
      <c r="H4999" s="1" t="s">
        <v>8512</v>
      </c>
      <c r="J4999" s="1" t="s">
        <v>1428</v>
      </c>
      <c r="K4999" s="1" t="s">
        <v>5774</v>
      </c>
      <c r="L4999" s="1" t="s">
        <v>1373</v>
      </c>
      <c r="M4999" s="1" t="s">
        <v>5784</v>
      </c>
      <c r="N4999" s="1" t="s">
        <v>0</v>
      </c>
      <c r="O4999" s="1" t="s">
        <v>5809</v>
      </c>
      <c r="P4999" s="1" t="s">
        <v>3581</v>
      </c>
      <c r="Q4999" s="3">
        <v>0</v>
      </c>
      <c r="R4999" s="22" t="s">
        <v>2723</v>
      </c>
      <c r="T4999" s="3" t="s">
        <v>4868</v>
      </c>
      <c r="U4999" s="45">
        <v>35</v>
      </c>
      <c r="V4999" t="s">
        <v>8514</v>
      </c>
      <c r="W4999" s="1" t="str">
        <f>HYPERLINK("http://ictvonline.org/taxonomy/p/taxonomy-history?taxnode_id=201901872","ICTVonline=201901872")</f>
        <v>ICTVonline=201901872</v>
      </c>
    </row>
    <row r="5000" spans="1:23">
      <c r="A5000" s="3">
        <v>4999</v>
      </c>
      <c r="B5000" s="1" t="s">
        <v>5910</v>
      </c>
      <c r="D5000" s="1" t="s">
        <v>8187</v>
      </c>
      <c r="F5000" s="1" t="s">
        <v>8506</v>
      </c>
      <c r="H5000" s="1" t="s">
        <v>8512</v>
      </c>
      <c r="J5000" s="1" t="s">
        <v>1428</v>
      </c>
      <c r="K5000" s="1" t="s">
        <v>5774</v>
      </c>
      <c r="L5000" s="1" t="s">
        <v>1373</v>
      </c>
      <c r="M5000" s="1" t="s">
        <v>5784</v>
      </c>
      <c r="N5000" s="1" t="s">
        <v>0</v>
      </c>
      <c r="O5000" s="1" t="s">
        <v>5809</v>
      </c>
      <c r="P5000" s="1" t="s">
        <v>3582</v>
      </c>
      <c r="Q5000" s="3">
        <v>0</v>
      </c>
      <c r="R5000" s="22" t="s">
        <v>2723</v>
      </c>
      <c r="T5000" s="3" t="s">
        <v>4868</v>
      </c>
      <c r="U5000" s="45">
        <v>35</v>
      </c>
      <c r="V5000" t="s">
        <v>8191</v>
      </c>
      <c r="W5000" s="1" t="str">
        <f>HYPERLINK("http://ictvonline.org/taxonomy/p/taxonomy-history?taxnode_id=201901873","ICTVonline=201901873")</f>
        <v>ICTVonline=201901873</v>
      </c>
    </row>
    <row r="5001" spans="1:23">
      <c r="A5001" s="3">
        <v>5000</v>
      </c>
      <c r="B5001" s="1" t="s">
        <v>5910</v>
      </c>
      <c r="D5001" s="1" t="s">
        <v>8187</v>
      </c>
      <c r="F5001" s="1" t="s">
        <v>8506</v>
      </c>
      <c r="H5001" s="1" t="s">
        <v>8512</v>
      </c>
      <c r="J5001" s="1" t="s">
        <v>1428</v>
      </c>
      <c r="K5001" s="1" t="s">
        <v>5774</v>
      </c>
      <c r="L5001" s="1" t="s">
        <v>1373</v>
      </c>
      <c r="M5001" s="1" t="s">
        <v>5784</v>
      </c>
      <c r="N5001" s="1" t="s">
        <v>0</v>
      </c>
      <c r="O5001" s="1" t="s">
        <v>5809</v>
      </c>
      <c r="P5001" s="1" t="s">
        <v>559</v>
      </c>
      <c r="Q5001" s="3">
        <v>0</v>
      </c>
      <c r="R5001" s="22" t="s">
        <v>2723</v>
      </c>
      <c r="T5001" s="3" t="s">
        <v>4868</v>
      </c>
      <c r="U5001" s="45">
        <v>35</v>
      </c>
      <c r="V5001" t="s">
        <v>8191</v>
      </c>
      <c r="W5001" s="1" t="str">
        <f>HYPERLINK("http://ictvonline.org/taxonomy/p/taxonomy-history?taxnode_id=201901874","ICTVonline=201901874")</f>
        <v>ICTVonline=201901874</v>
      </c>
    </row>
    <row r="5002" spans="1:23">
      <c r="A5002" s="3">
        <v>5001</v>
      </c>
      <c r="B5002" s="1" t="s">
        <v>5910</v>
      </c>
      <c r="D5002" s="1" t="s">
        <v>8187</v>
      </c>
      <c r="F5002" s="1" t="s">
        <v>8506</v>
      </c>
      <c r="H5002" s="1" t="s">
        <v>8512</v>
      </c>
      <c r="J5002" s="1" t="s">
        <v>1428</v>
      </c>
      <c r="K5002" s="1" t="s">
        <v>5774</v>
      </c>
      <c r="L5002" s="1" t="s">
        <v>1373</v>
      </c>
      <c r="M5002" s="1" t="s">
        <v>5784</v>
      </c>
      <c r="N5002" s="1" t="s">
        <v>0</v>
      </c>
      <c r="O5002" s="1" t="s">
        <v>5809</v>
      </c>
      <c r="P5002" s="1" t="s">
        <v>3584</v>
      </c>
      <c r="Q5002" s="3">
        <v>0</v>
      </c>
      <c r="R5002" s="22" t="s">
        <v>2723</v>
      </c>
      <c r="T5002" s="3" t="s">
        <v>4868</v>
      </c>
      <c r="U5002" s="45">
        <v>35</v>
      </c>
      <c r="V5002" t="s">
        <v>8191</v>
      </c>
      <c r="W5002" s="1" t="str">
        <f>HYPERLINK("http://ictvonline.org/taxonomy/p/taxonomy-history?taxnode_id=201901877","ICTVonline=201901877")</f>
        <v>ICTVonline=201901877</v>
      </c>
    </row>
    <row r="5003" spans="1:23">
      <c r="A5003" s="3">
        <v>5002</v>
      </c>
      <c r="B5003" s="1" t="s">
        <v>5910</v>
      </c>
      <c r="D5003" s="1" t="s">
        <v>8187</v>
      </c>
      <c r="F5003" s="1" t="s">
        <v>8506</v>
      </c>
      <c r="H5003" s="1" t="s">
        <v>8512</v>
      </c>
      <c r="J5003" s="1" t="s">
        <v>1428</v>
      </c>
      <c r="K5003" s="1" t="s">
        <v>5774</v>
      </c>
      <c r="L5003" s="1" t="s">
        <v>1373</v>
      </c>
      <c r="M5003" s="1" t="s">
        <v>5784</v>
      </c>
      <c r="N5003" s="1" t="s">
        <v>0</v>
      </c>
      <c r="O5003" s="1" t="s">
        <v>5811</v>
      </c>
      <c r="P5003" s="1" t="s">
        <v>3583</v>
      </c>
      <c r="Q5003" s="3">
        <v>0</v>
      </c>
      <c r="R5003" s="22" t="s">
        <v>2723</v>
      </c>
      <c r="T5003" s="3" t="s">
        <v>4868</v>
      </c>
      <c r="U5003" s="45">
        <v>35</v>
      </c>
      <c r="V5003" t="s">
        <v>8191</v>
      </c>
      <c r="W5003" s="1" t="str">
        <f>HYPERLINK("http://ictvonline.org/taxonomy/p/taxonomy-history?taxnode_id=201901875","ICTVonline=201901875")</f>
        <v>ICTVonline=201901875</v>
      </c>
    </row>
    <row r="5004" spans="1:23">
      <c r="A5004" s="3">
        <v>5003</v>
      </c>
      <c r="B5004" s="1" t="s">
        <v>5910</v>
      </c>
      <c r="D5004" s="1" t="s">
        <v>8187</v>
      </c>
      <c r="F5004" s="1" t="s">
        <v>8506</v>
      </c>
      <c r="H5004" s="1" t="s">
        <v>8512</v>
      </c>
      <c r="J5004" s="1" t="s">
        <v>1428</v>
      </c>
      <c r="K5004" s="1" t="s">
        <v>5774</v>
      </c>
      <c r="L5004" s="1" t="s">
        <v>1373</v>
      </c>
      <c r="M5004" s="1" t="s">
        <v>5784</v>
      </c>
      <c r="N5004" s="1" t="s">
        <v>428</v>
      </c>
      <c r="O5004" s="1" t="s">
        <v>8539</v>
      </c>
      <c r="P5004" s="1" t="s">
        <v>8540</v>
      </c>
      <c r="Q5004" s="3">
        <v>0</v>
      </c>
      <c r="R5004" s="22" t="s">
        <v>2723</v>
      </c>
      <c r="T5004" s="3" t="s">
        <v>4866</v>
      </c>
      <c r="U5004" s="45">
        <v>35</v>
      </c>
      <c r="V5004" t="s">
        <v>8514</v>
      </c>
      <c r="W5004" s="1" t="str">
        <f>HYPERLINK("http://ictvonline.org/taxonomy/p/taxonomy-history?taxnode_id=201907498","ICTVonline=201907498")</f>
        <v>ICTVonline=201907498</v>
      </c>
    </row>
    <row r="5005" spans="1:23">
      <c r="A5005" s="3">
        <v>5004</v>
      </c>
      <c r="B5005" s="1" t="s">
        <v>5910</v>
      </c>
      <c r="D5005" s="1" t="s">
        <v>8187</v>
      </c>
      <c r="F5005" s="1" t="s">
        <v>8506</v>
      </c>
      <c r="H5005" s="1" t="s">
        <v>8512</v>
      </c>
      <c r="J5005" s="1" t="s">
        <v>1428</v>
      </c>
      <c r="K5005" s="1" t="s">
        <v>5774</v>
      </c>
      <c r="L5005" s="1" t="s">
        <v>1373</v>
      </c>
      <c r="M5005" s="1" t="s">
        <v>5784</v>
      </c>
      <c r="N5005" s="1" t="s">
        <v>428</v>
      </c>
      <c r="O5005" s="1" t="s">
        <v>5824</v>
      </c>
      <c r="P5005" s="1" t="s">
        <v>430</v>
      </c>
      <c r="Q5005" s="3">
        <v>0</v>
      </c>
      <c r="R5005" s="22" t="s">
        <v>2723</v>
      </c>
      <c r="T5005" s="3" t="s">
        <v>4868</v>
      </c>
      <c r="U5005" s="45">
        <v>35</v>
      </c>
      <c r="V5005" t="s">
        <v>8191</v>
      </c>
      <c r="W5005" s="1" t="str">
        <f>HYPERLINK("http://ictvonline.org/taxonomy/p/taxonomy-history?taxnode_id=201901881","ICTVonline=201901881")</f>
        <v>ICTVonline=201901881</v>
      </c>
    </row>
    <row r="5006" spans="1:23">
      <c r="A5006" s="3">
        <v>5005</v>
      </c>
      <c r="B5006" s="1" t="s">
        <v>5910</v>
      </c>
      <c r="D5006" s="1" t="s">
        <v>8187</v>
      </c>
      <c r="F5006" s="1" t="s">
        <v>8506</v>
      </c>
      <c r="H5006" s="1" t="s">
        <v>8512</v>
      </c>
      <c r="J5006" s="1" t="s">
        <v>1428</v>
      </c>
      <c r="K5006" s="1" t="s">
        <v>5774</v>
      </c>
      <c r="L5006" s="1" t="s">
        <v>1373</v>
      </c>
      <c r="M5006" s="1" t="s">
        <v>5784</v>
      </c>
      <c r="N5006" s="1" t="s">
        <v>428</v>
      </c>
      <c r="O5006" s="1" t="s">
        <v>5812</v>
      </c>
      <c r="P5006" s="1" t="s">
        <v>429</v>
      </c>
      <c r="Q5006" s="3">
        <v>1</v>
      </c>
      <c r="R5006" s="22" t="s">
        <v>2723</v>
      </c>
      <c r="T5006" s="3" t="s">
        <v>4868</v>
      </c>
      <c r="U5006" s="45">
        <v>35</v>
      </c>
      <c r="V5006" t="s">
        <v>8191</v>
      </c>
      <c r="W5006" s="1" t="str">
        <f>HYPERLINK("http://ictvonline.org/taxonomy/p/taxonomy-history?taxnode_id=201901880","ICTVonline=201901880")</f>
        <v>ICTVonline=201901880</v>
      </c>
    </row>
    <row r="5007" spans="1:23">
      <c r="A5007" s="3">
        <v>5006</v>
      </c>
      <c r="B5007" s="1" t="s">
        <v>5910</v>
      </c>
      <c r="D5007" s="1" t="s">
        <v>8187</v>
      </c>
      <c r="F5007" s="1" t="s">
        <v>8506</v>
      </c>
      <c r="H5007" s="1" t="s">
        <v>8512</v>
      </c>
      <c r="J5007" s="1" t="s">
        <v>1428</v>
      </c>
      <c r="K5007" s="1" t="s">
        <v>5774</v>
      </c>
      <c r="L5007" s="1" t="s">
        <v>1373</v>
      </c>
      <c r="M5007" s="1" t="s">
        <v>5784</v>
      </c>
      <c r="N5007" s="1" t="s">
        <v>428</v>
      </c>
      <c r="O5007" s="1" t="s">
        <v>5812</v>
      </c>
      <c r="P5007" s="1" t="s">
        <v>8541</v>
      </c>
      <c r="Q5007" s="3">
        <v>0</v>
      </c>
      <c r="R5007" s="22" t="s">
        <v>2723</v>
      </c>
      <c r="T5007" s="3" t="s">
        <v>4866</v>
      </c>
      <c r="U5007" s="45">
        <v>35</v>
      </c>
      <c r="V5007" t="s">
        <v>8514</v>
      </c>
      <c r="W5007" s="1" t="str">
        <f>HYPERLINK("http://ictvonline.org/taxonomy/p/taxonomy-history?taxnode_id=201907500","ICTVonline=201907500")</f>
        <v>ICTVonline=201907500</v>
      </c>
    </row>
    <row r="5008" spans="1:23">
      <c r="A5008" s="3">
        <v>5007</v>
      </c>
      <c r="B5008" s="1" t="s">
        <v>5910</v>
      </c>
      <c r="D5008" s="1" t="s">
        <v>8187</v>
      </c>
      <c r="F5008" s="1" t="s">
        <v>8506</v>
      </c>
      <c r="H5008" s="1" t="s">
        <v>8512</v>
      </c>
      <c r="J5008" s="1" t="s">
        <v>1428</v>
      </c>
      <c r="K5008" s="1" t="s">
        <v>5774</v>
      </c>
      <c r="L5008" s="1" t="s">
        <v>1373</v>
      </c>
      <c r="M5008" s="1" t="s">
        <v>5784</v>
      </c>
      <c r="N5008" s="1" t="s">
        <v>428</v>
      </c>
      <c r="O5008" s="1" t="s">
        <v>5812</v>
      </c>
      <c r="P5008" s="1" t="s">
        <v>8542</v>
      </c>
      <c r="Q5008" s="3">
        <v>0</v>
      </c>
      <c r="R5008" s="22" t="s">
        <v>2723</v>
      </c>
      <c r="T5008" s="3" t="s">
        <v>4866</v>
      </c>
      <c r="U5008" s="45">
        <v>35</v>
      </c>
      <c r="V5008" t="s">
        <v>8514</v>
      </c>
      <c r="W5008" s="1" t="str">
        <f>HYPERLINK("http://ictvonline.org/taxonomy/p/taxonomy-history?taxnode_id=201907499","ICTVonline=201907499")</f>
        <v>ICTVonline=201907499</v>
      </c>
    </row>
    <row r="5009" spans="1:23">
      <c r="A5009" s="3">
        <v>5008</v>
      </c>
      <c r="B5009" s="1" t="s">
        <v>5910</v>
      </c>
      <c r="D5009" s="1" t="s">
        <v>8187</v>
      </c>
      <c r="F5009" s="1" t="s">
        <v>8506</v>
      </c>
      <c r="H5009" s="1" t="s">
        <v>8512</v>
      </c>
      <c r="J5009" s="1" t="s">
        <v>1428</v>
      </c>
      <c r="K5009" s="1" t="s">
        <v>5814</v>
      </c>
      <c r="L5009" s="1" t="s">
        <v>5815</v>
      </c>
      <c r="M5009" s="1" t="s">
        <v>5816</v>
      </c>
      <c r="N5009" s="1" t="s">
        <v>5817</v>
      </c>
      <c r="O5009" s="1" t="s">
        <v>5818</v>
      </c>
      <c r="P5009" s="1" t="s">
        <v>5819</v>
      </c>
      <c r="Q5009" s="3">
        <v>1</v>
      </c>
      <c r="R5009" s="22" t="s">
        <v>2723</v>
      </c>
      <c r="T5009" s="3" t="s">
        <v>4868</v>
      </c>
      <c r="U5009" s="45">
        <v>35</v>
      </c>
      <c r="V5009" t="s">
        <v>8191</v>
      </c>
      <c r="W5009" s="1" t="str">
        <f>HYPERLINK("http://ictvonline.org/taxonomy/p/taxonomy-history?taxnode_id=201906175","ICTVonline=201906175")</f>
        <v>ICTVonline=201906175</v>
      </c>
    </row>
    <row r="5010" spans="1:23">
      <c r="A5010" s="3">
        <v>5009</v>
      </c>
      <c r="B5010" s="1" t="s">
        <v>5910</v>
      </c>
      <c r="D5010" s="1" t="s">
        <v>8187</v>
      </c>
      <c r="F5010" s="1" t="s">
        <v>8506</v>
      </c>
      <c r="H5010" s="1" t="s">
        <v>8512</v>
      </c>
      <c r="J5010" s="1" t="s">
        <v>1428</v>
      </c>
      <c r="K5010" s="1" t="s">
        <v>5814</v>
      </c>
      <c r="L5010" s="1" t="s">
        <v>5815</v>
      </c>
      <c r="M5010" s="1" t="s">
        <v>5820</v>
      </c>
      <c r="N5010" s="1" t="s">
        <v>5821</v>
      </c>
      <c r="O5010" s="1" t="s">
        <v>5822</v>
      </c>
      <c r="P5010" s="1" t="s">
        <v>5823</v>
      </c>
      <c r="Q5010" s="3">
        <v>1</v>
      </c>
      <c r="R5010" s="22" t="s">
        <v>2723</v>
      </c>
      <c r="T5010" s="3" t="s">
        <v>4868</v>
      </c>
      <c r="U5010" s="45">
        <v>35</v>
      </c>
      <c r="V5010" t="s">
        <v>8191</v>
      </c>
      <c r="W5010" s="1" t="str">
        <f>HYPERLINK("http://ictvonline.org/taxonomy/p/taxonomy-history?taxnode_id=201906179","ICTVonline=201906179")</f>
        <v>ICTVonline=201906179</v>
      </c>
    </row>
    <row r="5011" spans="1:23">
      <c r="A5011" s="3">
        <v>5010</v>
      </c>
      <c r="B5011" s="1" t="s">
        <v>5910</v>
      </c>
      <c r="D5011" s="1" t="s">
        <v>8187</v>
      </c>
      <c r="F5011" s="1" t="s">
        <v>8506</v>
      </c>
      <c r="H5011" s="1" t="s">
        <v>8512</v>
      </c>
      <c r="J5011" s="1" t="s">
        <v>1428</v>
      </c>
      <c r="K5011" s="1" t="s">
        <v>5814</v>
      </c>
      <c r="L5011" s="1" t="s">
        <v>2154</v>
      </c>
      <c r="M5011" s="1" t="s">
        <v>5825</v>
      </c>
      <c r="N5011" s="1" t="s">
        <v>2155</v>
      </c>
      <c r="O5011" s="1" t="s">
        <v>5826</v>
      </c>
      <c r="P5011" s="1" t="s">
        <v>3590</v>
      </c>
      <c r="Q5011" s="3">
        <v>0</v>
      </c>
      <c r="R5011" s="22" t="s">
        <v>2723</v>
      </c>
      <c r="T5011" s="3" t="s">
        <v>4868</v>
      </c>
      <c r="U5011" s="45">
        <v>35</v>
      </c>
      <c r="V5011" t="s">
        <v>8191</v>
      </c>
      <c r="W5011" s="1" t="str">
        <f>HYPERLINK("http://ictvonline.org/taxonomy/p/taxonomy-history?taxnode_id=201901901","ICTVonline=201901901")</f>
        <v>ICTVonline=201901901</v>
      </c>
    </row>
    <row r="5012" spans="1:23">
      <c r="A5012" s="3">
        <v>5011</v>
      </c>
      <c r="B5012" s="1" t="s">
        <v>5910</v>
      </c>
      <c r="D5012" s="1" t="s">
        <v>8187</v>
      </c>
      <c r="F5012" s="1" t="s">
        <v>8506</v>
      </c>
      <c r="H5012" s="1" t="s">
        <v>8512</v>
      </c>
      <c r="J5012" s="1" t="s">
        <v>1428</v>
      </c>
      <c r="K5012" s="1" t="s">
        <v>5814</v>
      </c>
      <c r="L5012" s="1" t="s">
        <v>2154</v>
      </c>
      <c r="M5012" s="1" t="s">
        <v>5825</v>
      </c>
      <c r="N5012" s="1" t="s">
        <v>2155</v>
      </c>
      <c r="O5012" s="1" t="s">
        <v>5832</v>
      </c>
      <c r="P5012" s="1" t="s">
        <v>5833</v>
      </c>
      <c r="Q5012" s="3">
        <v>0</v>
      </c>
      <c r="R5012" s="22" t="s">
        <v>2723</v>
      </c>
      <c r="T5012" s="3" t="s">
        <v>4868</v>
      </c>
      <c r="U5012" s="45">
        <v>35</v>
      </c>
      <c r="V5012" t="s">
        <v>8191</v>
      </c>
      <c r="W5012" s="1" t="str">
        <f>HYPERLINK("http://ictvonline.org/taxonomy/p/taxonomy-history?taxnode_id=201901904","ICTVonline=201901904")</f>
        <v>ICTVonline=201901904</v>
      </c>
    </row>
    <row r="5013" spans="1:23">
      <c r="A5013" s="3">
        <v>5012</v>
      </c>
      <c r="B5013" s="1" t="s">
        <v>5910</v>
      </c>
      <c r="D5013" s="1" t="s">
        <v>8187</v>
      </c>
      <c r="F5013" s="1" t="s">
        <v>8506</v>
      </c>
      <c r="H5013" s="1" t="s">
        <v>8512</v>
      </c>
      <c r="J5013" s="1" t="s">
        <v>1428</v>
      </c>
      <c r="K5013" s="1" t="s">
        <v>5814</v>
      </c>
      <c r="L5013" s="1" t="s">
        <v>2154</v>
      </c>
      <c r="M5013" s="1" t="s">
        <v>5825</v>
      </c>
      <c r="N5013" s="1" t="s">
        <v>2155</v>
      </c>
      <c r="O5013" s="1" t="s">
        <v>5834</v>
      </c>
      <c r="P5013" s="1" t="s">
        <v>3591</v>
      </c>
      <c r="Q5013" s="3">
        <v>0</v>
      </c>
      <c r="R5013" s="22" t="s">
        <v>2723</v>
      </c>
      <c r="T5013" s="3" t="s">
        <v>4868</v>
      </c>
      <c r="U5013" s="45">
        <v>35</v>
      </c>
      <c r="V5013" t="s">
        <v>8191</v>
      </c>
      <c r="W5013" s="1" t="str">
        <f>HYPERLINK("http://ictvonline.org/taxonomy/p/taxonomy-history?taxnode_id=201901902","ICTVonline=201901902")</f>
        <v>ICTVonline=201901902</v>
      </c>
    </row>
    <row r="5014" spans="1:23">
      <c r="A5014" s="3">
        <v>5013</v>
      </c>
      <c r="B5014" s="1" t="s">
        <v>5910</v>
      </c>
      <c r="D5014" s="1" t="s">
        <v>8187</v>
      </c>
      <c r="F5014" s="1" t="s">
        <v>8506</v>
      </c>
      <c r="H5014" s="1" t="s">
        <v>8512</v>
      </c>
      <c r="J5014" s="1" t="s">
        <v>1428</v>
      </c>
      <c r="K5014" s="1" t="s">
        <v>5814</v>
      </c>
      <c r="L5014" s="1" t="s">
        <v>2154</v>
      </c>
      <c r="M5014" s="1" t="s">
        <v>5825</v>
      </c>
      <c r="N5014" s="1" t="s">
        <v>2155</v>
      </c>
      <c r="O5014" s="1" t="s">
        <v>5827</v>
      </c>
      <c r="P5014" s="1" t="s">
        <v>5828</v>
      </c>
      <c r="Q5014" s="3">
        <v>0</v>
      </c>
      <c r="R5014" s="22" t="s">
        <v>2723</v>
      </c>
      <c r="T5014" s="3" t="s">
        <v>4868</v>
      </c>
      <c r="U5014" s="45">
        <v>35</v>
      </c>
      <c r="V5014" t="s">
        <v>8191</v>
      </c>
      <c r="W5014" s="1" t="str">
        <f>HYPERLINK("http://ictvonline.org/taxonomy/p/taxonomy-history?taxnode_id=201906168","ICTVonline=201906168")</f>
        <v>ICTVonline=201906168</v>
      </c>
    </row>
    <row r="5015" spans="1:23">
      <c r="A5015" s="3">
        <v>5014</v>
      </c>
      <c r="B5015" s="1" t="s">
        <v>5910</v>
      </c>
      <c r="D5015" s="1" t="s">
        <v>8187</v>
      </c>
      <c r="F5015" s="1" t="s">
        <v>8506</v>
      </c>
      <c r="H5015" s="1" t="s">
        <v>8512</v>
      </c>
      <c r="J5015" s="1" t="s">
        <v>1428</v>
      </c>
      <c r="K5015" s="1" t="s">
        <v>5814</v>
      </c>
      <c r="L5015" s="1" t="s">
        <v>2154</v>
      </c>
      <c r="M5015" s="1" t="s">
        <v>5825</v>
      </c>
      <c r="N5015" s="1" t="s">
        <v>2155</v>
      </c>
      <c r="O5015" s="1" t="s">
        <v>5829</v>
      </c>
      <c r="P5015" s="1" t="s">
        <v>3588</v>
      </c>
      <c r="Q5015" s="3">
        <v>0</v>
      </c>
      <c r="R5015" s="22" t="s">
        <v>2723</v>
      </c>
      <c r="T5015" s="3" t="s">
        <v>4868</v>
      </c>
      <c r="U5015" s="45">
        <v>35</v>
      </c>
      <c r="V5015" t="s">
        <v>8191</v>
      </c>
      <c r="W5015" s="1" t="str">
        <f>HYPERLINK("http://ictvonline.org/taxonomy/p/taxonomy-history?taxnode_id=201901899","ICTVonline=201901899")</f>
        <v>ICTVonline=201901899</v>
      </c>
    </row>
    <row r="5016" spans="1:23">
      <c r="A5016" s="3">
        <v>5015</v>
      </c>
      <c r="B5016" s="1" t="s">
        <v>5910</v>
      </c>
      <c r="D5016" s="1" t="s">
        <v>8187</v>
      </c>
      <c r="F5016" s="1" t="s">
        <v>8506</v>
      </c>
      <c r="H5016" s="1" t="s">
        <v>8512</v>
      </c>
      <c r="J5016" s="1" t="s">
        <v>1428</v>
      </c>
      <c r="K5016" s="1" t="s">
        <v>5814</v>
      </c>
      <c r="L5016" s="1" t="s">
        <v>2154</v>
      </c>
      <c r="M5016" s="1" t="s">
        <v>5825</v>
      </c>
      <c r="N5016" s="1" t="s">
        <v>2155</v>
      </c>
      <c r="O5016" s="1" t="s">
        <v>5829</v>
      </c>
      <c r="P5016" s="1" t="s">
        <v>3589</v>
      </c>
      <c r="Q5016" s="3">
        <v>0</v>
      </c>
      <c r="R5016" s="22" t="s">
        <v>2723</v>
      </c>
      <c r="T5016" s="3" t="s">
        <v>4868</v>
      </c>
      <c r="U5016" s="45">
        <v>35</v>
      </c>
      <c r="V5016" t="s">
        <v>8191</v>
      </c>
      <c r="W5016" s="1" t="str">
        <f>HYPERLINK("http://ictvonline.org/taxonomy/p/taxonomy-history?taxnode_id=201901900","ICTVonline=201901900")</f>
        <v>ICTVonline=201901900</v>
      </c>
    </row>
    <row r="5017" spans="1:23">
      <c r="A5017" s="3">
        <v>5016</v>
      </c>
      <c r="B5017" s="1" t="s">
        <v>5910</v>
      </c>
      <c r="D5017" s="1" t="s">
        <v>8187</v>
      </c>
      <c r="F5017" s="1" t="s">
        <v>8506</v>
      </c>
      <c r="H5017" s="1" t="s">
        <v>8512</v>
      </c>
      <c r="J5017" s="1" t="s">
        <v>1428</v>
      </c>
      <c r="K5017" s="1" t="s">
        <v>5814</v>
      </c>
      <c r="L5017" s="1" t="s">
        <v>2154</v>
      </c>
      <c r="M5017" s="1" t="s">
        <v>5825</v>
      </c>
      <c r="N5017" s="1" t="s">
        <v>2155</v>
      </c>
      <c r="O5017" s="1" t="s">
        <v>5841</v>
      </c>
      <c r="P5017" s="1" t="s">
        <v>5842</v>
      </c>
      <c r="Q5017" s="3">
        <v>0</v>
      </c>
      <c r="R5017" s="22" t="s">
        <v>2723</v>
      </c>
      <c r="T5017" s="3" t="s">
        <v>4868</v>
      </c>
      <c r="U5017" s="45">
        <v>35</v>
      </c>
      <c r="V5017" t="s">
        <v>8191</v>
      </c>
      <c r="W5017" s="1" t="str">
        <f>HYPERLINK("http://ictvonline.org/taxonomy/p/taxonomy-history?taxnode_id=201901905","ICTVonline=201901905")</f>
        <v>ICTVonline=201901905</v>
      </c>
    </row>
    <row r="5018" spans="1:23">
      <c r="A5018" s="3">
        <v>5017</v>
      </c>
      <c r="B5018" s="1" t="s">
        <v>5910</v>
      </c>
      <c r="D5018" s="1" t="s">
        <v>8187</v>
      </c>
      <c r="F5018" s="1" t="s">
        <v>8506</v>
      </c>
      <c r="H5018" s="1" t="s">
        <v>8512</v>
      </c>
      <c r="J5018" s="1" t="s">
        <v>1428</v>
      </c>
      <c r="K5018" s="1" t="s">
        <v>5814</v>
      </c>
      <c r="L5018" s="1" t="s">
        <v>2154</v>
      </c>
      <c r="M5018" s="1" t="s">
        <v>5825</v>
      </c>
      <c r="N5018" s="1" t="s">
        <v>2155</v>
      </c>
      <c r="O5018" s="1" t="s">
        <v>5849</v>
      </c>
      <c r="P5018" s="1" t="s">
        <v>2156</v>
      </c>
      <c r="Q5018" s="3">
        <v>1</v>
      </c>
      <c r="R5018" s="22" t="s">
        <v>2723</v>
      </c>
      <c r="T5018" s="3" t="s">
        <v>4868</v>
      </c>
      <c r="U5018" s="45">
        <v>35</v>
      </c>
      <c r="V5018" t="s">
        <v>8191</v>
      </c>
      <c r="W5018" s="1" t="str">
        <f>HYPERLINK("http://ictvonline.org/taxonomy/p/taxonomy-history?taxnode_id=201901898","ICTVonline=201901898")</f>
        <v>ICTVonline=201901898</v>
      </c>
    </row>
    <row r="5019" spans="1:23">
      <c r="A5019" s="3">
        <v>5018</v>
      </c>
      <c r="B5019" s="1" t="s">
        <v>5910</v>
      </c>
      <c r="D5019" s="1" t="s">
        <v>8187</v>
      </c>
      <c r="F5019" s="1" t="s">
        <v>8506</v>
      </c>
      <c r="H5019" s="1" t="s">
        <v>8512</v>
      </c>
      <c r="J5019" s="1" t="s">
        <v>1428</v>
      </c>
      <c r="K5019" s="1" t="s">
        <v>5814</v>
      </c>
      <c r="L5019" s="1" t="s">
        <v>2154</v>
      </c>
      <c r="M5019" s="1" t="s">
        <v>5825</v>
      </c>
      <c r="N5019" s="1" t="s">
        <v>2155</v>
      </c>
      <c r="O5019" s="1" t="s">
        <v>5849</v>
      </c>
      <c r="P5019" s="1" t="s">
        <v>8543</v>
      </c>
      <c r="Q5019" s="3">
        <v>0</v>
      </c>
      <c r="R5019" s="22" t="s">
        <v>2723</v>
      </c>
      <c r="T5019" s="3" t="s">
        <v>4866</v>
      </c>
      <c r="U5019" s="45">
        <v>35</v>
      </c>
      <c r="V5019" t="s">
        <v>8514</v>
      </c>
      <c r="W5019" s="1" t="str">
        <f>HYPERLINK("http://ictvonline.org/taxonomy/p/taxonomy-history?taxnode_id=201907509","ICTVonline=201907509")</f>
        <v>ICTVonline=201907509</v>
      </c>
    </row>
    <row r="5020" spans="1:23">
      <c r="A5020" s="3">
        <v>5019</v>
      </c>
      <c r="B5020" s="1" t="s">
        <v>5910</v>
      </c>
      <c r="D5020" s="1" t="s">
        <v>8187</v>
      </c>
      <c r="F5020" s="1" t="s">
        <v>8506</v>
      </c>
      <c r="H5020" s="1" t="s">
        <v>8512</v>
      </c>
      <c r="J5020" s="1" t="s">
        <v>1428</v>
      </c>
      <c r="K5020" s="1" t="s">
        <v>5814</v>
      </c>
      <c r="L5020" s="1" t="s">
        <v>2154</v>
      </c>
      <c r="M5020" s="1" t="s">
        <v>5825</v>
      </c>
      <c r="N5020" s="1" t="s">
        <v>2155</v>
      </c>
      <c r="O5020" s="1" t="s">
        <v>5830</v>
      </c>
      <c r="P5020" s="1" t="s">
        <v>5831</v>
      </c>
      <c r="Q5020" s="3">
        <v>0</v>
      </c>
      <c r="R5020" s="22" t="s">
        <v>2723</v>
      </c>
      <c r="T5020" s="3" t="s">
        <v>4868</v>
      </c>
      <c r="U5020" s="45">
        <v>35</v>
      </c>
      <c r="V5020" t="s">
        <v>8191</v>
      </c>
      <c r="W5020" s="1" t="str">
        <f>HYPERLINK("http://ictvonline.org/taxonomy/p/taxonomy-history?taxnode_id=201906127","ICTVonline=201906127")</f>
        <v>ICTVonline=201906127</v>
      </c>
    </row>
    <row r="5021" spans="1:23">
      <c r="A5021" s="3">
        <v>5020</v>
      </c>
      <c r="B5021" s="1" t="s">
        <v>5910</v>
      </c>
      <c r="D5021" s="1" t="s">
        <v>8187</v>
      </c>
      <c r="F5021" s="1" t="s">
        <v>8506</v>
      </c>
      <c r="H5021" s="1" t="s">
        <v>8512</v>
      </c>
      <c r="J5021" s="1" t="s">
        <v>1428</v>
      </c>
      <c r="K5021" s="1" t="s">
        <v>5835</v>
      </c>
      <c r="L5021" s="1" t="s">
        <v>5836</v>
      </c>
      <c r="M5021" s="1" t="s">
        <v>5837</v>
      </c>
      <c r="N5021" s="1" t="s">
        <v>5838</v>
      </c>
      <c r="O5021" s="1" t="s">
        <v>5839</v>
      </c>
      <c r="P5021" s="1" t="s">
        <v>5840</v>
      </c>
      <c r="Q5021" s="3">
        <v>1</v>
      </c>
      <c r="R5021" s="22" t="s">
        <v>2723</v>
      </c>
      <c r="T5021" s="3" t="s">
        <v>4868</v>
      </c>
      <c r="U5021" s="45">
        <v>35</v>
      </c>
      <c r="V5021" t="s">
        <v>8191</v>
      </c>
      <c r="W5021" s="1" t="str">
        <f>HYPERLINK("http://ictvonline.org/taxonomy/p/taxonomy-history?taxnode_id=201906206","ICTVonline=201906206")</f>
        <v>ICTVonline=201906206</v>
      </c>
    </row>
    <row r="5022" spans="1:23">
      <c r="A5022" s="3">
        <v>5021</v>
      </c>
      <c r="B5022" s="1" t="s">
        <v>5910</v>
      </c>
      <c r="D5022" s="1" t="s">
        <v>8187</v>
      </c>
      <c r="F5022" s="1" t="s">
        <v>8506</v>
      </c>
      <c r="H5022" s="1" t="s">
        <v>8512</v>
      </c>
      <c r="J5022" s="1" t="s">
        <v>1428</v>
      </c>
      <c r="K5022" s="1" t="s">
        <v>8544</v>
      </c>
      <c r="L5022" s="1" t="s">
        <v>8545</v>
      </c>
      <c r="M5022" s="1" t="s">
        <v>8546</v>
      </c>
      <c r="N5022" s="1" t="s">
        <v>8547</v>
      </c>
      <c r="P5022" s="1" t="s">
        <v>8548</v>
      </c>
      <c r="Q5022" s="3">
        <v>1</v>
      </c>
      <c r="R5022" s="22" t="s">
        <v>2723</v>
      </c>
      <c r="T5022" s="3" t="s">
        <v>4866</v>
      </c>
      <c r="U5022" s="45">
        <v>35</v>
      </c>
      <c r="V5022" t="s">
        <v>8514</v>
      </c>
      <c r="W5022" s="1" t="str">
        <f>HYPERLINK("http://ictvonline.org/taxonomy/p/taxonomy-history?taxnode_id=201907489","ICTVonline=201907489")</f>
        <v>ICTVonline=201907489</v>
      </c>
    </row>
    <row r="5023" spans="1:23">
      <c r="A5023" s="3">
        <v>5022</v>
      </c>
      <c r="B5023" s="1" t="s">
        <v>5910</v>
      </c>
      <c r="D5023" s="1" t="s">
        <v>8187</v>
      </c>
      <c r="F5023" s="1" t="s">
        <v>8506</v>
      </c>
      <c r="H5023" s="1" t="s">
        <v>8512</v>
      </c>
      <c r="J5023" s="1" t="s">
        <v>1428</v>
      </c>
      <c r="K5023" s="1" t="s">
        <v>8544</v>
      </c>
      <c r="L5023" s="1" t="s">
        <v>8549</v>
      </c>
      <c r="M5023" s="1" t="s">
        <v>8550</v>
      </c>
      <c r="N5023" s="1" t="s">
        <v>8551</v>
      </c>
      <c r="P5023" s="1" t="s">
        <v>8552</v>
      </c>
      <c r="Q5023" s="3">
        <v>1</v>
      </c>
      <c r="R5023" s="22" t="s">
        <v>2723</v>
      </c>
      <c r="T5023" s="3" t="s">
        <v>4866</v>
      </c>
      <c r="U5023" s="45">
        <v>35</v>
      </c>
      <c r="V5023" t="s">
        <v>8514</v>
      </c>
      <c r="W5023" s="1" t="str">
        <f>HYPERLINK("http://ictvonline.org/taxonomy/p/taxonomy-history?taxnode_id=201907485","ICTVonline=201907485")</f>
        <v>ICTVonline=201907485</v>
      </c>
    </row>
    <row r="5024" spans="1:23">
      <c r="A5024" s="3">
        <v>5023</v>
      </c>
      <c r="B5024" s="1" t="s">
        <v>5910</v>
      </c>
      <c r="D5024" s="1" t="s">
        <v>8187</v>
      </c>
      <c r="F5024" s="1" t="s">
        <v>8506</v>
      </c>
      <c r="H5024" s="1" t="s">
        <v>8512</v>
      </c>
      <c r="J5024" s="1" t="s">
        <v>1428</v>
      </c>
      <c r="K5024" s="1" t="s">
        <v>5843</v>
      </c>
      <c r="L5024" s="1" t="s">
        <v>5844</v>
      </c>
      <c r="M5024" s="1" t="s">
        <v>5845</v>
      </c>
      <c r="N5024" s="1" t="s">
        <v>5846</v>
      </c>
      <c r="O5024" s="1" t="s">
        <v>5847</v>
      </c>
      <c r="P5024" s="1" t="s">
        <v>5848</v>
      </c>
      <c r="Q5024" s="3">
        <v>1</v>
      </c>
      <c r="R5024" s="22" t="s">
        <v>2723</v>
      </c>
      <c r="T5024" s="3" t="s">
        <v>4868</v>
      </c>
      <c r="U5024" s="45">
        <v>35</v>
      </c>
      <c r="V5024" t="s">
        <v>8191</v>
      </c>
      <c r="W5024" s="1" t="str">
        <f>HYPERLINK("http://ictvonline.org/taxonomy/p/taxonomy-history?taxnode_id=201906188","ICTVonline=201906188")</f>
        <v>ICTVonline=201906188</v>
      </c>
    </row>
    <row r="5025" spans="1:23">
      <c r="A5025" s="3">
        <v>5024</v>
      </c>
      <c r="B5025" s="1" t="s">
        <v>5910</v>
      </c>
      <c r="D5025" s="1" t="s">
        <v>8187</v>
      </c>
      <c r="F5025" s="1" t="s">
        <v>8506</v>
      </c>
      <c r="H5025" s="1" t="s">
        <v>8512</v>
      </c>
      <c r="J5025" s="1" t="s">
        <v>1428</v>
      </c>
      <c r="K5025" s="1" t="s">
        <v>5843</v>
      </c>
      <c r="L5025" s="1" t="s">
        <v>5844</v>
      </c>
      <c r="M5025" s="1" t="s">
        <v>5845</v>
      </c>
      <c r="N5025" s="1" t="s">
        <v>5846</v>
      </c>
      <c r="O5025" s="1" t="s">
        <v>5850</v>
      </c>
      <c r="P5025" s="1" t="s">
        <v>5851</v>
      </c>
      <c r="Q5025" s="3">
        <v>0</v>
      </c>
      <c r="R5025" s="22" t="s">
        <v>2723</v>
      </c>
      <c r="T5025" s="3" t="s">
        <v>4868</v>
      </c>
      <c r="U5025" s="45">
        <v>35</v>
      </c>
      <c r="V5025" t="s">
        <v>8191</v>
      </c>
      <c r="W5025" s="1" t="str">
        <f>HYPERLINK("http://ictvonline.org/taxonomy/p/taxonomy-history?taxnode_id=201906190","ICTVonline=201906190")</f>
        <v>ICTVonline=201906190</v>
      </c>
    </row>
    <row r="5026" spans="1:23">
      <c r="A5026" s="3">
        <v>5025</v>
      </c>
      <c r="B5026" s="1" t="s">
        <v>5910</v>
      </c>
      <c r="D5026" s="1" t="s">
        <v>8187</v>
      </c>
      <c r="F5026" s="1" t="s">
        <v>8506</v>
      </c>
      <c r="H5026" s="1" t="s">
        <v>8512</v>
      </c>
      <c r="J5026" s="1" t="s">
        <v>1428</v>
      </c>
      <c r="K5026" s="1" t="s">
        <v>5843</v>
      </c>
      <c r="L5026" s="1" t="s">
        <v>5844</v>
      </c>
      <c r="M5026" s="1" t="s">
        <v>5852</v>
      </c>
      <c r="N5026" s="1" t="s">
        <v>5853</v>
      </c>
      <c r="O5026" s="1" t="s">
        <v>5854</v>
      </c>
      <c r="P5026" s="1" t="s">
        <v>5855</v>
      </c>
      <c r="Q5026" s="3">
        <v>1</v>
      </c>
      <c r="R5026" s="22" t="s">
        <v>2723</v>
      </c>
      <c r="T5026" s="3" t="s">
        <v>4868</v>
      </c>
      <c r="U5026" s="45">
        <v>35</v>
      </c>
      <c r="V5026" t="s">
        <v>8191</v>
      </c>
      <c r="W5026" s="1" t="str">
        <f>HYPERLINK("http://ictvonline.org/taxonomy/p/taxonomy-history?taxnode_id=201906194","ICTVonline=201906194")</f>
        <v>ICTVonline=201906194</v>
      </c>
    </row>
    <row r="5027" spans="1:23">
      <c r="A5027" s="3">
        <v>5026</v>
      </c>
      <c r="B5027" s="1" t="s">
        <v>5910</v>
      </c>
      <c r="D5027" s="1" t="s">
        <v>8187</v>
      </c>
      <c r="F5027" s="1" t="s">
        <v>8506</v>
      </c>
      <c r="H5027" s="1" t="s">
        <v>8512</v>
      </c>
      <c r="J5027" s="1" t="s">
        <v>1428</v>
      </c>
      <c r="K5027" s="1" t="s">
        <v>5843</v>
      </c>
      <c r="L5027" s="1" t="s">
        <v>1064</v>
      </c>
      <c r="M5027" s="1" t="s">
        <v>5856</v>
      </c>
      <c r="N5027" s="1" t="s">
        <v>1065</v>
      </c>
      <c r="O5027" s="1" t="s">
        <v>5857</v>
      </c>
      <c r="P5027" s="1" t="s">
        <v>1066</v>
      </c>
      <c r="Q5027" s="3">
        <v>1</v>
      </c>
      <c r="R5027" s="22" t="s">
        <v>2723</v>
      </c>
      <c r="T5027" s="3" t="s">
        <v>4868</v>
      </c>
      <c r="U5027" s="45">
        <v>35</v>
      </c>
      <c r="V5027" t="s">
        <v>8191</v>
      </c>
      <c r="W5027" s="1" t="str">
        <f>HYPERLINK("http://ictvonline.org/taxonomy/p/taxonomy-history?taxnode_id=201901909","ICTVonline=201901909")</f>
        <v>ICTVonline=201901909</v>
      </c>
    </row>
    <row r="5028" spans="1:23">
      <c r="A5028" s="3">
        <v>5027</v>
      </c>
      <c r="B5028" s="1" t="s">
        <v>5910</v>
      </c>
      <c r="D5028" s="1" t="s">
        <v>8187</v>
      </c>
      <c r="F5028" s="1" t="s">
        <v>8506</v>
      </c>
      <c r="H5028" s="1" t="s">
        <v>8512</v>
      </c>
      <c r="J5028" s="1" t="s">
        <v>1428</v>
      </c>
      <c r="K5028" s="1" t="s">
        <v>5843</v>
      </c>
      <c r="L5028" s="1" t="s">
        <v>1064</v>
      </c>
      <c r="M5028" s="1" t="s">
        <v>5856</v>
      </c>
      <c r="N5028" s="1" t="s">
        <v>1065</v>
      </c>
      <c r="O5028" s="1" t="s">
        <v>5857</v>
      </c>
      <c r="P5028" s="1" t="s">
        <v>8553</v>
      </c>
      <c r="Q5028" s="3">
        <v>0</v>
      </c>
      <c r="R5028" s="22" t="s">
        <v>2723</v>
      </c>
      <c r="T5028" s="3" t="s">
        <v>4866</v>
      </c>
      <c r="U5028" s="45">
        <v>35</v>
      </c>
      <c r="V5028" t="s">
        <v>8514</v>
      </c>
      <c r="W5028" s="1" t="str">
        <f>HYPERLINK("http://ictvonline.org/taxonomy/p/taxonomy-history?taxnode_id=201907510","ICTVonline=201907510")</f>
        <v>ICTVonline=201907510</v>
      </c>
    </row>
    <row r="5029" spans="1:23">
      <c r="A5029" s="3">
        <v>5028</v>
      </c>
      <c r="B5029" s="1" t="s">
        <v>5910</v>
      </c>
      <c r="D5029" s="1" t="s">
        <v>8187</v>
      </c>
      <c r="F5029" s="1" t="s">
        <v>8506</v>
      </c>
      <c r="H5029" s="1" t="s">
        <v>8512</v>
      </c>
      <c r="J5029" s="1" t="s">
        <v>1428</v>
      </c>
      <c r="K5029" s="1" t="s">
        <v>5843</v>
      </c>
      <c r="L5029" s="1" t="s">
        <v>1064</v>
      </c>
      <c r="M5029" s="1" t="s">
        <v>5856</v>
      </c>
      <c r="N5029" s="1" t="s">
        <v>1065</v>
      </c>
      <c r="O5029" s="1" t="s">
        <v>5857</v>
      </c>
      <c r="P5029" s="1" t="s">
        <v>5858</v>
      </c>
      <c r="Q5029" s="3">
        <v>0</v>
      </c>
      <c r="R5029" s="22" t="s">
        <v>2723</v>
      </c>
      <c r="T5029" s="3" t="s">
        <v>4868</v>
      </c>
      <c r="U5029" s="45">
        <v>35</v>
      </c>
      <c r="V5029" t="s">
        <v>8191</v>
      </c>
      <c r="W5029" s="1" t="str">
        <f>HYPERLINK("http://ictvonline.org/taxonomy/p/taxonomy-history?taxnode_id=201906183","ICTVonline=201906183")</f>
        <v>ICTVonline=201906183</v>
      </c>
    </row>
    <row r="5030" spans="1:23">
      <c r="A5030" s="3">
        <v>5029</v>
      </c>
      <c r="B5030" s="1" t="s">
        <v>5910</v>
      </c>
      <c r="D5030" s="1" t="s">
        <v>8187</v>
      </c>
      <c r="F5030" s="1" t="s">
        <v>8506</v>
      </c>
      <c r="H5030" s="1" t="s">
        <v>8512</v>
      </c>
      <c r="J5030" s="1" t="s">
        <v>1428</v>
      </c>
      <c r="K5030" s="1" t="s">
        <v>5859</v>
      </c>
      <c r="L5030" s="1" t="s">
        <v>5860</v>
      </c>
      <c r="M5030" s="1" t="s">
        <v>5861</v>
      </c>
      <c r="N5030" s="1" t="s">
        <v>305</v>
      </c>
      <c r="O5030" s="1" t="s">
        <v>5874</v>
      </c>
      <c r="P5030" s="1" t="s">
        <v>306</v>
      </c>
      <c r="Q5030" s="3">
        <v>1</v>
      </c>
      <c r="R5030" s="22" t="s">
        <v>2723</v>
      </c>
      <c r="T5030" s="3" t="s">
        <v>4868</v>
      </c>
      <c r="U5030" s="45">
        <v>35</v>
      </c>
      <c r="V5030" t="s">
        <v>8191</v>
      </c>
      <c r="W5030" s="1" t="str">
        <f>HYPERLINK("http://ictvonline.org/taxonomy/p/taxonomy-history?taxnode_id=201901885","ICTVonline=201901885")</f>
        <v>ICTVonline=201901885</v>
      </c>
    </row>
    <row r="5031" spans="1:23">
      <c r="A5031" s="3">
        <v>5030</v>
      </c>
      <c r="B5031" s="1" t="s">
        <v>5910</v>
      </c>
      <c r="D5031" s="1" t="s">
        <v>8187</v>
      </c>
      <c r="F5031" s="1" t="s">
        <v>8506</v>
      </c>
      <c r="H5031" s="1" t="s">
        <v>8512</v>
      </c>
      <c r="J5031" s="1" t="s">
        <v>1428</v>
      </c>
      <c r="K5031" s="1" t="s">
        <v>5859</v>
      </c>
      <c r="L5031" s="1" t="s">
        <v>5860</v>
      </c>
      <c r="M5031" s="1" t="s">
        <v>5861</v>
      </c>
      <c r="N5031" s="1" t="s">
        <v>305</v>
      </c>
      <c r="O5031" s="1" t="s">
        <v>5862</v>
      </c>
      <c r="P5031" s="1" t="s">
        <v>3586</v>
      </c>
      <c r="Q5031" s="3">
        <v>0</v>
      </c>
      <c r="R5031" s="22" t="s">
        <v>2723</v>
      </c>
      <c r="T5031" s="3" t="s">
        <v>4868</v>
      </c>
      <c r="U5031" s="45">
        <v>35</v>
      </c>
      <c r="V5031" t="s">
        <v>8191</v>
      </c>
      <c r="W5031" s="1" t="str">
        <f>HYPERLINK("http://ictvonline.org/taxonomy/p/taxonomy-history?taxnode_id=201901884","ICTVonline=201901884")</f>
        <v>ICTVonline=201901884</v>
      </c>
    </row>
    <row r="5032" spans="1:23">
      <c r="A5032" s="3">
        <v>5031</v>
      </c>
      <c r="B5032" s="1" t="s">
        <v>5910</v>
      </c>
      <c r="D5032" s="1" t="s">
        <v>8187</v>
      </c>
      <c r="F5032" s="1" t="s">
        <v>8506</v>
      </c>
      <c r="H5032" s="1" t="s">
        <v>8512</v>
      </c>
      <c r="J5032" s="1" t="s">
        <v>1428</v>
      </c>
      <c r="K5032" s="1" t="s">
        <v>5859</v>
      </c>
      <c r="L5032" s="1" t="s">
        <v>5860</v>
      </c>
      <c r="M5032" s="1" t="s">
        <v>5861</v>
      </c>
      <c r="N5032" s="1" t="s">
        <v>5863</v>
      </c>
      <c r="O5032" s="1" t="s">
        <v>5864</v>
      </c>
      <c r="P5032" s="1" t="s">
        <v>4522</v>
      </c>
      <c r="Q5032" s="3">
        <v>1</v>
      </c>
      <c r="R5032" s="22" t="s">
        <v>2723</v>
      </c>
      <c r="T5032" s="3" t="s">
        <v>4868</v>
      </c>
      <c r="U5032" s="45">
        <v>35</v>
      </c>
      <c r="V5032" t="s">
        <v>8191</v>
      </c>
      <c r="W5032" s="1" t="str">
        <f>HYPERLINK("http://ictvonline.org/taxonomy/p/taxonomy-history?taxnode_id=201901894","ICTVonline=201901894")</f>
        <v>ICTVonline=201901894</v>
      </c>
    </row>
    <row r="5033" spans="1:23">
      <c r="A5033" s="3">
        <v>5032</v>
      </c>
      <c r="B5033" s="1" t="s">
        <v>5910</v>
      </c>
      <c r="D5033" s="1" t="s">
        <v>8187</v>
      </c>
      <c r="F5033" s="1" t="s">
        <v>8506</v>
      </c>
      <c r="H5033" s="1" t="s">
        <v>8512</v>
      </c>
      <c r="J5033" s="1" t="s">
        <v>1428</v>
      </c>
      <c r="K5033" s="1" t="s">
        <v>5859</v>
      </c>
      <c r="L5033" s="1" t="s">
        <v>5860</v>
      </c>
      <c r="M5033" s="1" t="s">
        <v>5865</v>
      </c>
      <c r="N5033" s="1" t="s">
        <v>5866</v>
      </c>
      <c r="O5033" s="1" t="s">
        <v>5867</v>
      </c>
      <c r="P5033" s="1" t="s">
        <v>4521</v>
      </c>
      <c r="Q5033" s="3">
        <v>1</v>
      </c>
      <c r="R5033" s="22" t="s">
        <v>2723</v>
      </c>
      <c r="T5033" s="3" t="s">
        <v>4868</v>
      </c>
      <c r="U5033" s="45">
        <v>35</v>
      </c>
      <c r="V5033" t="s">
        <v>8191</v>
      </c>
      <c r="W5033" s="1" t="str">
        <f>HYPERLINK("http://ictvonline.org/taxonomy/p/taxonomy-history?taxnode_id=201901893","ICTVonline=201901893")</f>
        <v>ICTVonline=201901893</v>
      </c>
    </row>
    <row r="5034" spans="1:23">
      <c r="A5034" s="3">
        <v>5033</v>
      </c>
      <c r="B5034" s="1" t="s">
        <v>5910</v>
      </c>
      <c r="D5034" s="1" t="s">
        <v>8187</v>
      </c>
      <c r="F5034" s="1" t="s">
        <v>8506</v>
      </c>
      <c r="H5034" s="1" t="s">
        <v>8512</v>
      </c>
      <c r="J5034" s="1" t="s">
        <v>1428</v>
      </c>
      <c r="K5034" s="1" t="s">
        <v>5859</v>
      </c>
      <c r="L5034" s="1" t="s">
        <v>5860</v>
      </c>
      <c r="M5034" s="1" t="s">
        <v>5868</v>
      </c>
      <c r="N5034" s="1" t="s">
        <v>5869</v>
      </c>
      <c r="O5034" s="1" t="s">
        <v>8554</v>
      </c>
      <c r="P5034" s="1" t="s">
        <v>8555</v>
      </c>
      <c r="Q5034" s="3">
        <v>0</v>
      </c>
      <c r="R5034" s="22" t="s">
        <v>2723</v>
      </c>
      <c r="T5034" s="3" t="s">
        <v>4866</v>
      </c>
      <c r="U5034" s="45">
        <v>35</v>
      </c>
      <c r="V5034" t="s">
        <v>8514</v>
      </c>
      <c r="W5034" s="1" t="str">
        <f>HYPERLINK("http://ictvonline.org/taxonomy/p/taxonomy-history?taxnode_id=201907502","ICTVonline=201907502")</f>
        <v>ICTVonline=201907502</v>
      </c>
    </row>
    <row r="5035" spans="1:23">
      <c r="A5035" s="3">
        <v>5034</v>
      </c>
      <c r="B5035" s="1" t="s">
        <v>5910</v>
      </c>
      <c r="D5035" s="1" t="s">
        <v>8187</v>
      </c>
      <c r="F5035" s="1" t="s">
        <v>8506</v>
      </c>
      <c r="H5035" s="1" t="s">
        <v>8512</v>
      </c>
      <c r="J5035" s="1" t="s">
        <v>1428</v>
      </c>
      <c r="K5035" s="1" t="s">
        <v>5859</v>
      </c>
      <c r="L5035" s="1" t="s">
        <v>5860</v>
      </c>
      <c r="M5035" s="1" t="s">
        <v>5868</v>
      </c>
      <c r="N5035" s="1" t="s">
        <v>5869</v>
      </c>
      <c r="O5035" s="1" t="s">
        <v>5870</v>
      </c>
      <c r="P5035" s="1" t="s">
        <v>5871</v>
      </c>
      <c r="Q5035" s="3">
        <v>1</v>
      </c>
      <c r="R5035" s="22" t="s">
        <v>2723</v>
      </c>
      <c r="T5035" s="3" t="s">
        <v>4868</v>
      </c>
      <c r="U5035" s="45">
        <v>35</v>
      </c>
      <c r="V5035" t="s">
        <v>8191</v>
      </c>
      <c r="W5035" s="1" t="str">
        <f>HYPERLINK("http://ictvonline.org/taxonomy/p/taxonomy-history?taxnode_id=201906154","ICTVonline=201906154")</f>
        <v>ICTVonline=201906154</v>
      </c>
    </row>
    <row r="5036" spans="1:23">
      <c r="A5036" s="3">
        <v>5035</v>
      </c>
      <c r="B5036" s="1" t="s">
        <v>5910</v>
      </c>
      <c r="D5036" s="1" t="s">
        <v>8187</v>
      </c>
      <c r="F5036" s="1" t="s">
        <v>8506</v>
      </c>
      <c r="H5036" s="1" t="s">
        <v>8512</v>
      </c>
      <c r="J5036" s="1" t="s">
        <v>1428</v>
      </c>
      <c r="K5036" s="1" t="s">
        <v>5859</v>
      </c>
      <c r="L5036" s="1" t="s">
        <v>5860</v>
      </c>
      <c r="M5036" s="1" t="s">
        <v>5868</v>
      </c>
      <c r="N5036" s="1" t="s">
        <v>8556</v>
      </c>
      <c r="O5036" s="1" t="s">
        <v>8557</v>
      </c>
      <c r="P5036" s="1" t="s">
        <v>8558</v>
      </c>
      <c r="Q5036" s="3">
        <v>1</v>
      </c>
      <c r="R5036" s="22" t="s">
        <v>2723</v>
      </c>
      <c r="T5036" s="3" t="s">
        <v>4866</v>
      </c>
      <c r="U5036" s="45">
        <v>35</v>
      </c>
      <c r="V5036" t="s">
        <v>8514</v>
      </c>
      <c r="W5036" s="1" t="str">
        <f>HYPERLINK("http://ictvonline.org/taxonomy/p/taxonomy-history?taxnode_id=201907505","ICTVonline=201907505")</f>
        <v>ICTVonline=201907505</v>
      </c>
    </row>
    <row r="5037" spans="1:23">
      <c r="A5037" s="3">
        <v>5036</v>
      </c>
      <c r="B5037" s="1" t="s">
        <v>5910</v>
      </c>
      <c r="D5037" s="1" t="s">
        <v>8187</v>
      </c>
      <c r="F5037" s="1" t="s">
        <v>8506</v>
      </c>
      <c r="H5037" s="1" t="s">
        <v>8512</v>
      </c>
      <c r="J5037" s="1" t="s">
        <v>1428</v>
      </c>
      <c r="K5037" s="1" t="s">
        <v>5859</v>
      </c>
      <c r="L5037" s="1" t="s">
        <v>5860</v>
      </c>
      <c r="M5037" s="1" t="s">
        <v>5868</v>
      </c>
      <c r="N5037" s="1" t="s">
        <v>5872</v>
      </c>
      <c r="O5037" s="1" t="s">
        <v>5873</v>
      </c>
      <c r="P5037" s="1" t="s">
        <v>3587</v>
      </c>
      <c r="Q5037" s="3">
        <v>1</v>
      </c>
      <c r="R5037" s="22" t="s">
        <v>2723</v>
      </c>
      <c r="T5037" s="3" t="s">
        <v>4868</v>
      </c>
      <c r="U5037" s="45">
        <v>35</v>
      </c>
      <c r="V5037" t="s">
        <v>8191</v>
      </c>
      <c r="W5037" s="1" t="str">
        <f>HYPERLINK("http://ictvonline.org/taxonomy/p/taxonomy-history?taxnode_id=201901892","ICTVonline=201901892")</f>
        <v>ICTVonline=201901892</v>
      </c>
    </row>
    <row r="5038" spans="1:23">
      <c r="A5038" s="3">
        <v>5037</v>
      </c>
      <c r="B5038" s="1" t="s">
        <v>5910</v>
      </c>
      <c r="D5038" s="1" t="s">
        <v>8187</v>
      </c>
      <c r="F5038" s="1" t="s">
        <v>8506</v>
      </c>
      <c r="H5038" s="1" t="s">
        <v>8512</v>
      </c>
      <c r="J5038" s="1" t="s">
        <v>1428</v>
      </c>
      <c r="K5038" s="1" t="s">
        <v>5859</v>
      </c>
      <c r="L5038" s="1" t="s">
        <v>5860</v>
      </c>
      <c r="M5038" s="1" t="s">
        <v>5868</v>
      </c>
      <c r="N5038" s="1" t="s">
        <v>5872</v>
      </c>
      <c r="O5038" s="1" t="s">
        <v>5873</v>
      </c>
      <c r="P5038" s="1" t="s">
        <v>8559</v>
      </c>
      <c r="Q5038" s="3">
        <v>0</v>
      </c>
      <c r="R5038" s="22" t="s">
        <v>2723</v>
      </c>
      <c r="T5038" s="3" t="s">
        <v>4866</v>
      </c>
      <c r="U5038" s="45">
        <v>35</v>
      </c>
      <c r="V5038" t="s">
        <v>8514</v>
      </c>
      <c r="W5038" s="1" t="str">
        <f>HYPERLINK("http://ictvonline.org/taxonomy/p/taxonomy-history?taxnode_id=201907508","ICTVonline=201907508")</f>
        <v>ICTVonline=201907508</v>
      </c>
    </row>
    <row r="5039" spans="1:23">
      <c r="A5039" s="3">
        <v>5038</v>
      </c>
      <c r="B5039" s="1" t="s">
        <v>5910</v>
      </c>
      <c r="D5039" s="1" t="s">
        <v>8187</v>
      </c>
      <c r="F5039" s="1" t="s">
        <v>8506</v>
      </c>
      <c r="H5039" s="1" t="s">
        <v>8512</v>
      </c>
      <c r="J5039" s="1" t="s">
        <v>1428</v>
      </c>
      <c r="K5039" s="1" t="s">
        <v>5859</v>
      </c>
      <c r="L5039" s="1" t="s">
        <v>5860</v>
      </c>
      <c r="M5039" s="1" t="s">
        <v>5868</v>
      </c>
      <c r="N5039" s="1" t="s">
        <v>5872</v>
      </c>
      <c r="O5039" s="1" t="s">
        <v>8560</v>
      </c>
      <c r="P5039" s="1" t="s">
        <v>8561</v>
      </c>
      <c r="Q5039" s="3">
        <v>0</v>
      </c>
      <c r="R5039" s="22" t="s">
        <v>2723</v>
      </c>
      <c r="T5039" s="3" t="s">
        <v>4866</v>
      </c>
      <c r="U5039" s="45">
        <v>35</v>
      </c>
      <c r="V5039" t="s">
        <v>8514</v>
      </c>
      <c r="W5039" s="1" t="str">
        <f>HYPERLINK("http://ictvonline.org/taxonomy/p/taxonomy-history?taxnode_id=201907507","ICTVonline=201907507")</f>
        <v>ICTVonline=201907507</v>
      </c>
    </row>
    <row r="5040" spans="1:23">
      <c r="A5040" s="3">
        <v>5039</v>
      </c>
      <c r="B5040" s="1" t="s">
        <v>5910</v>
      </c>
      <c r="D5040" s="1" t="s">
        <v>8187</v>
      </c>
      <c r="F5040" s="1" t="s">
        <v>8506</v>
      </c>
      <c r="H5040" s="1" t="s">
        <v>8512</v>
      </c>
      <c r="J5040" s="1" t="s">
        <v>1428</v>
      </c>
      <c r="K5040" s="1" t="s">
        <v>5859</v>
      </c>
      <c r="L5040" s="1" t="s">
        <v>5860</v>
      </c>
      <c r="M5040" s="1" t="s">
        <v>5868</v>
      </c>
      <c r="N5040" s="1" t="s">
        <v>5872</v>
      </c>
      <c r="O5040" s="1" t="s">
        <v>5878</v>
      </c>
      <c r="P5040" s="1" t="s">
        <v>5879</v>
      </c>
      <c r="Q5040" s="3">
        <v>0</v>
      </c>
      <c r="R5040" s="22" t="s">
        <v>2723</v>
      </c>
      <c r="T5040" s="3" t="s">
        <v>6903</v>
      </c>
      <c r="U5040" s="45">
        <v>35</v>
      </c>
      <c r="V5040" t="s">
        <v>8514</v>
      </c>
      <c r="W5040" s="1" t="str">
        <f>HYPERLINK("http://ictvonline.org/taxonomy/p/taxonomy-history?taxnode_id=201906156","ICTVonline=201906156")</f>
        <v>ICTVonline=201906156</v>
      </c>
    </row>
    <row r="5041" spans="1:23">
      <c r="A5041" s="3">
        <v>5040</v>
      </c>
      <c r="B5041" s="1" t="s">
        <v>5910</v>
      </c>
      <c r="D5041" s="1" t="s">
        <v>8187</v>
      </c>
      <c r="F5041" s="1" t="s">
        <v>8506</v>
      </c>
      <c r="H5041" s="1" t="s">
        <v>8512</v>
      </c>
      <c r="J5041" s="1" t="s">
        <v>1428</v>
      </c>
      <c r="K5041" s="1" t="s">
        <v>5859</v>
      </c>
      <c r="L5041" s="1" t="s">
        <v>5860</v>
      </c>
      <c r="M5041" s="1" t="s">
        <v>5868</v>
      </c>
      <c r="N5041" s="1" t="s">
        <v>5875</v>
      </c>
      <c r="O5041" s="1" t="s">
        <v>5876</v>
      </c>
      <c r="P5041" s="1" t="s">
        <v>5877</v>
      </c>
      <c r="Q5041" s="3">
        <v>1</v>
      </c>
      <c r="R5041" s="22" t="s">
        <v>2723</v>
      </c>
      <c r="T5041" s="3" t="s">
        <v>4868</v>
      </c>
      <c r="U5041" s="45">
        <v>35</v>
      </c>
      <c r="V5041" t="s">
        <v>8191</v>
      </c>
      <c r="W5041" s="1" t="str">
        <f>HYPERLINK("http://ictvonline.org/taxonomy/p/taxonomy-history?taxnode_id=201906155","ICTVonline=201906155")</f>
        <v>ICTVonline=201906155</v>
      </c>
    </row>
    <row r="5042" spans="1:23">
      <c r="A5042" s="3">
        <v>5041</v>
      </c>
      <c r="B5042" s="1" t="s">
        <v>5910</v>
      </c>
      <c r="D5042" s="1" t="s">
        <v>8187</v>
      </c>
      <c r="F5042" s="1" t="s">
        <v>8506</v>
      </c>
      <c r="H5042" s="1" t="s">
        <v>8512</v>
      </c>
      <c r="J5042" s="1" t="s">
        <v>1428</v>
      </c>
      <c r="K5042" s="1" t="s">
        <v>5859</v>
      </c>
      <c r="L5042" s="1" t="s">
        <v>5860</v>
      </c>
      <c r="M5042" s="1" t="s">
        <v>431</v>
      </c>
      <c r="N5042" s="1" t="s">
        <v>1061</v>
      </c>
      <c r="O5042" s="1" t="s">
        <v>5880</v>
      </c>
      <c r="P5042" s="1" t="s">
        <v>1062</v>
      </c>
      <c r="Q5042" s="3">
        <v>0</v>
      </c>
      <c r="R5042" s="22" t="s">
        <v>2723</v>
      </c>
      <c r="T5042" s="3" t="s">
        <v>4868</v>
      </c>
      <c r="U5042" s="45">
        <v>35</v>
      </c>
      <c r="V5042" t="s">
        <v>8191</v>
      </c>
      <c r="W5042" s="1" t="str">
        <f>HYPERLINK("http://ictvonline.org/taxonomy/p/taxonomy-history?taxnode_id=201901887","ICTVonline=201901887")</f>
        <v>ICTVonline=201901887</v>
      </c>
    </row>
    <row r="5043" spans="1:23">
      <c r="A5043" s="3">
        <v>5042</v>
      </c>
      <c r="B5043" s="1" t="s">
        <v>5910</v>
      </c>
      <c r="D5043" s="1" t="s">
        <v>8187</v>
      </c>
      <c r="F5043" s="1" t="s">
        <v>8506</v>
      </c>
      <c r="H5043" s="1" t="s">
        <v>8512</v>
      </c>
      <c r="J5043" s="1" t="s">
        <v>1428</v>
      </c>
      <c r="K5043" s="1" t="s">
        <v>5859</v>
      </c>
      <c r="L5043" s="1" t="s">
        <v>5860</v>
      </c>
      <c r="M5043" s="1" t="s">
        <v>431</v>
      </c>
      <c r="N5043" s="1" t="s">
        <v>1061</v>
      </c>
      <c r="O5043" s="1" t="s">
        <v>5880</v>
      </c>
      <c r="P5043" s="1" t="s">
        <v>682</v>
      </c>
      <c r="Q5043" s="3">
        <v>1</v>
      </c>
      <c r="R5043" s="22" t="s">
        <v>2723</v>
      </c>
      <c r="T5043" s="3" t="s">
        <v>4868</v>
      </c>
      <c r="U5043" s="45">
        <v>35</v>
      </c>
      <c r="V5043" t="s">
        <v>8191</v>
      </c>
      <c r="W5043" s="1" t="str">
        <f>HYPERLINK("http://ictvonline.org/taxonomy/p/taxonomy-history?taxnode_id=201901888","ICTVonline=201901888")</f>
        <v>ICTVonline=201901888</v>
      </c>
    </row>
    <row r="5044" spans="1:23">
      <c r="A5044" s="3">
        <v>5043</v>
      </c>
      <c r="B5044" s="1" t="s">
        <v>5910</v>
      </c>
      <c r="D5044" s="1" t="s">
        <v>8187</v>
      </c>
      <c r="F5044" s="1" t="s">
        <v>8506</v>
      </c>
      <c r="H5044" s="1" t="s">
        <v>8512</v>
      </c>
      <c r="J5044" s="1" t="s">
        <v>1428</v>
      </c>
      <c r="K5044" s="1" t="s">
        <v>5859</v>
      </c>
      <c r="L5044" s="1" t="s">
        <v>5860</v>
      </c>
      <c r="M5044" s="1" t="s">
        <v>431</v>
      </c>
      <c r="N5044" s="1" t="s">
        <v>1061</v>
      </c>
      <c r="O5044" s="1" t="s">
        <v>5880</v>
      </c>
      <c r="P5044" s="1" t="s">
        <v>1063</v>
      </c>
      <c r="Q5044" s="3">
        <v>0</v>
      </c>
      <c r="R5044" s="22" t="s">
        <v>2723</v>
      </c>
      <c r="T5044" s="3" t="s">
        <v>4868</v>
      </c>
      <c r="U5044" s="45">
        <v>35</v>
      </c>
      <c r="V5044" t="s">
        <v>8191</v>
      </c>
      <c r="W5044" s="1" t="str">
        <f>HYPERLINK("http://ictvonline.org/taxonomy/p/taxonomy-history?taxnode_id=201901890","ICTVonline=201901890")</f>
        <v>ICTVonline=201901890</v>
      </c>
    </row>
    <row r="5045" spans="1:23">
      <c r="A5045" s="3">
        <v>5044</v>
      </c>
      <c r="B5045" s="1" t="s">
        <v>5910</v>
      </c>
      <c r="D5045" s="1" t="s">
        <v>8187</v>
      </c>
      <c r="F5045" s="1" t="s">
        <v>8506</v>
      </c>
      <c r="H5045" s="1" t="s">
        <v>8512</v>
      </c>
      <c r="J5045" s="1" t="s">
        <v>1067</v>
      </c>
      <c r="L5045" s="1" t="s">
        <v>1989</v>
      </c>
      <c r="N5045" s="1" t="s">
        <v>6150</v>
      </c>
      <c r="P5045" s="1" t="s">
        <v>6151</v>
      </c>
      <c r="Q5045" s="3">
        <v>1</v>
      </c>
      <c r="R5045" s="22" t="s">
        <v>2723</v>
      </c>
      <c r="T5045" s="3" t="s">
        <v>4868</v>
      </c>
      <c r="U5045" s="45">
        <v>35</v>
      </c>
      <c r="V5045" t="s">
        <v>8191</v>
      </c>
      <c r="W5045" s="1" t="str">
        <f>HYPERLINK("http://ictvonline.org/taxonomy/p/taxonomy-history?taxnode_id=201906495","ICTVonline=201906495")</f>
        <v>ICTVonline=201906495</v>
      </c>
    </row>
    <row r="5046" spans="1:23">
      <c r="A5046" s="3">
        <v>5045</v>
      </c>
      <c r="B5046" s="1" t="s">
        <v>5910</v>
      </c>
      <c r="D5046" s="1" t="s">
        <v>8187</v>
      </c>
      <c r="F5046" s="1" t="s">
        <v>8506</v>
      </c>
      <c r="H5046" s="1" t="s">
        <v>8512</v>
      </c>
      <c r="J5046" s="1" t="s">
        <v>1067</v>
      </c>
      <c r="L5046" s="1" t="s">
        <v>1989</v>
      </c>
      <c r="N5046" s="1" t="s">
        <v>1990</v>
      </c>
      <c r="P5046" s="1" t="s">
        <v>1991</v>
      </c>
      <c r="Q5046" s="3">
        <v>0</v>
      </c>
      <c r="R5046" s="22" t="s">
        <v>2723</v>
      </c>
      <c r="T5046" s="3" t="s">
        <v>4868</v>
      </c>
      <c r="U5046" s="45">
        <v>35</v>
      </c>
      <c r="V5046" t="s">
        <v>8191</v>
      </c>
      <c r="W5046" s="1" t="str">
        <f>HYPERLINK("http://ictvonline.org/taxonomy/p/taxonomy-history?taxnode_id=201902801","ICTVonline=201902801")</f>
        <v>ICTVonline=201902801</v>
      </c>
    </row>
    <row r="5047" spans="1:23">
      <c r="A5047" s="3">
        <v>5046</v>
      </c>
      <c r="B5047" s="1" t="s">
        <v>5910</v>
      </c>
      <c r="D5047" s="1" t="s">
        <v>8187</v>
      </c>
      <c r="F5047" s="1" t="s">
        <v>8506</v>
      </c>
      <c r="H5047" s="1" t="s">
        <v>8512</v>
      </c>
      <c r="J5047" s="1" t="s">
        <v>1067</v>
      </c>
      <c r="L5047" s="1" t="s">
        <v>1989</v>
      </c>
      <c r="N5047" s="1" t="s">
        <v>1990</v>
      </c>
      <c r="P5047" s="1" t="s">
        <v>1992</v>
      </c>
      <c r="Q5047" s="3">
        <v>1</v>
      </c>
      <c r="R5047" s="22" t="s">
        <v>2723</v>
      </c>
      <c r="T5047" s="3" t="s">
        <v>4868</v>
      </c>
      <c r="U5047" s="45">
        <v>35</v>
      </c>
      <c r="V5047" t="s">
        <v>8191</v>
      </c>
      <c r="W5047" s="1" t="str">
        <f>HYPERLINK("http://ictvonline.org/taxonomy/p/taxonomy-history?taxnode_id=201902802","ICTVonline=201902802")</f>
        <v>ICTVonline=201902802</v>
      </c>
    </row>
    <row r="5048" spans="1:23">
      <c r="A5048" s="3">
        <v>5047</v>
      </c>
      <c r="B5048" s="1" t="s">
        <v>5910</v>
      </c>
      <c r="D5048" s="1" t="s">
        <v>8187</v>
      </c>
      <c r="F5048" s="1" t="s">
        <v>8506</v>
      </c>
      <c r="H5048" s="1" t="s">
        <v>8512</v>
      </c>
      <c r="J5048" s="1" t="s">
        <v>1067</v>
      </c>
      <c r="L5048" s="1" t="s">
        <v>1989</v>
      </c>
      <c r="N5048" s="1" t="s">
        <v>6152</v>
      </c>
      <c r="P5048" s="1" t="s">
        <v>6153</v>
      </c>
      <c r="Q5048" s="3">
        <v>1</v>
      </c>
      <c r="R5048" s="22" t="s">
        <v>2723</v>
      </c>
      <c r="T5048" s="3" t="s">
        <v>4868</v>
      </c>
      <c r="U5048" s="45">
        <v>35</v>
      </c>
      <c r="V5048" t="s">
        <v>8191</v>
      </c>
      <c r="W5048" s="1" t="str">
        <f>HYPERLINK("http://ictvonline.org/taxonomy/p/taxonomy-history?taxnode_id=201906497","ICTVonline=201906497")</f>
        <v>ICTVonline=201906497</v>
      </c>
    </row>
    <row r="5049" spans="1:23">
      <c r="A5049" s="3">
        <v>5048</v>
      </c>
      <c r="B5049" s="1" t="s">
        <v>5910</v>
      </c>
      <c r="D5049" s="1" t="s">
        <v>8187</v>
      </c>
      <c r="F5049" s="1" t="s">
        <v>8506</v>
      </c>
      <c r="H5049" s="1" t="s">
        <v>8512</v>
      </c>
      <c r="J5049" s="1" t="s">
        <v>1067</v>
      </c>
      <c r="L5049" s="1" t="s">
        <v>1989</v>
      </c>
      <c r="N5049" s="1" t="s">
        <v>6154</v>
      </c>
      <c r="P5049" s="1" t="s">
        <v>6155</v>
      </c>
      <c r="Q5049" s="3">
        <v>1</v>
      </c>
      <c r="R5049" s="22" t="s">
        <v>2723</v>
      </c>
      <c r="T5049" s="3" t="s">
        <v>4868</v>
      </c>
      <c r="U5049" s="45">
        <v>35</v>
      </c>
      <c r="V5049" t="s">
        <v>8191</v>
      </c>
      <c r="W5049" s="1" t="str">
        <f>HYPERLINK("http://ictvonline.org/taxonomy/p/taxonomy-history?taxnode_id=201906499","ICTVonline=201906499")</f>
        <v>ICTVonline=201906499</v>
      </c>
    </row>
    <row r="5050" spans="1:23">
      <c r="A5050" s="3">
        <v>5049</v>
      </c>
      <c r="B5050" s="1" t="s">
        <v>5910</v>
      </c>
      <c r="D5050" s="1" t="s">
        <v>8187</v>
      </c>
      <c r="F5050" s="1" t="s">
        <v>8506</v>
      </c>
      <c r="H5050" s="1" t="s">
        <v>8512</v>
      </c>
      <c r="J5050" s="1" t="s">
        <v>1067</v>
      </c>
      <c r="L5050" s="1" t="s">
        <v>1989</v>
      </c>
      <c r="N5050" s="1" t="s">
        <v>1828</v>
      </c>
      <c r="P5050" s="1" t="s">
        <v>5309</v>
      </c>
      <c r="Q5050" s="3">
        <v>1</v>
      </c>
      <c r="R5050" s="22" t="s">
        <v>2723</v>
      </c>
      <c r="T5050" s="3" t="s">
        <v>4868</v>
      </c>
      <c r="U5050" s="45">
        <v>35</v>
      </c>
      <c r="V5050" t="s">
        <v>8191</v>
      </c>
      <c r="W5050" s="1" t="str">
        <f>HYPERLINK("http://ictvonline.org/taxonomy/p/taxonomy-history?taxnode_id=201902804","ICTVonline=201902804")</f>
        <v>ICTVonline=201902804</v>
      </c>
    </row>
    <row r="5051" spans="1:23">
      <c r="A5051" s="3">
        <v>5050</v>
      </c>
      <c r="B5051" s="1" t="s">
        <v>5910</v>
      </c>
      <c r="D5051" s="1" t="s">
        <v>8187</v>
      </c>
      <c r="F5051" s="1" t="s">
        <v>8506</v>
      </c>
      <c r="H5051" s="1" t="s">
        <v>8512</v>
      </c>
      <c r="J5051" s="1" t="s">
        <v>1067</v>
      </c>
      <c r="L5051" s="1" t="s">
        <v>1989</v>
      </c>
      <c r="N5051" s="1" t="s">
        <v>1993</v>
      </c>
      <c r="P5051" s="1" t="s">
        <v>1994</v>
      </c>
      <c r="Q5051" s="3">
        <v>1</v>
      </c>
      <c r="R5051" s="22" t="s">
        <v>2723</v>
      </c>
      <c r="T5051" s="3" t="s">
        <v>4868</v>
      </c>
      <c r="U5051" s="45">
        <v>35</v>
      </c>
      <c r="V5051" t="s">
        <v>8191</v>
      </c>
      <c r="W5051" s="1" t="str">
        <f>HYPERLINK("http://ictvonline.org/taxonomy/p/taxonomy-history?taxnode_id=201902806","ICTVonline=201902806")</f>
        <v>ICTVonline=201902806</v>
      </c>
    </row>
    <row r="5052" spans="1:23">
      <c r="A5052" s="3">
        <v>5051</v>
      </c>
      <c r="B5052" s="1" t="s">
        <v>5910</v>
      </c>
      <c r="D5052" s="1" t="s">
        <v>8187</v>
      </c>
      <c r="F5052" s="1" t="s">
        <v>8506</v>
      </c>
      <c r="H5052" s="1" t="s">
        <v>8512</v>
      </c>
      <c r="J5052" s="1" t="s">
        <v>1067</v>
      </c>
      <c r="L5052" s="1" t="s">
        <v>1989</v>
      </c>
      <c r="N5052" s="1" t="s">
        <v>6156</v>
      </c>
      <c r="P5052" s="1" t="s">
        <v>6157</v>
      </c>
      <c r="Q5052" s="3">
        <v>1</v>
      </c>
      <c r="R5052" s="22" t="s">
        <v>2723</v>
      </c>
      <c r="T5052" s="3" t="s">
        <v>4868</v>
      </c>
      <c r="U5052" s="45">
        <v>35</v>
      </c>
      <c r="V5052" t="s">
        <v>8191</v>
      </c>
      <c r="W5052" s="1" t="str">
        <f>HYPERLINK("http://ictvonline.org/taxonomy/p/taxonomy-history?taxnode_id=201906501","ICTVonline=201906501")</f>
        <v>ICTVonline=201906501</v>
      </c>
    </row>
    <row r="5053" spans="1:23">
      <c r="A5053" s="3">
        <v>5052</v>
      </c>
      <c r="B5053" s="1" t="s">
        <v>5910</v>
      </c>
      <c r="D5053" s="1" t="s">
        <v>8187</v>
      </c>
      <c r="F5053" s="1" t="s">
        <v>8506</v>
      </c>
      <c r="H5053" s="1" t="s">
        <v>8512</v>
      </c>
      <c r="J5053" s="1" t="s">
        <v>1067</v>
      </c>
      <c r="L5053" s="1" t="s">
        <v>1989</v>
      </c>
      <c r="N5053" s="1" t="s">
        <v>6158</v>
      </c>
      <c r="P5053" s="1" t="s">
        <v>6159</v>
      </c>
      <c r="Q5053" s="3">
        <v>1</v>
      </c>
      <c r="R5053" s="22" t="s">
        <v>2723</v>
      </c>
      <c r="T5053" s="3" t="s">
        <v>4868</v>
      </c>
      <c r="U5053" s="45">
        <v>35</v>
      </c>
      <c r="V5053" t="s">
        <v>8191</v>
      </c>
      <c r="W5053" s="1" t="str">
        <f>HYPERLINK("http://ictvonline.org/taxonomy/p/taxonomy-history?taxnode_id=201906503","ICTVonline=201906503")</f>
        <v>ICTVonline=201906503</v>
      </c>
    </row>
    <row r="5054" spans="1:23">
      <c r="A5054" s="3">
        <v>5053</v>
      </c>
      <c r="B5054" s="1" t="s">
        <v>5910</v>
      </c>
      <c r="D5054" s="1" t="s">
        <v>8187</v>
      </c>
      <c r="F5054" s="1" t="s">
        <v>8506</v>
      </c>
      <c r="H5054" s="1" t="s">
        <v>8512</v>
      </c>
      <c r="J5054" s="1" t="s">
        <v>1067</v>
      </c>
      <c r="L5054" s="1" t="s">
        <v>1989</v>
      </c>
      <c r="N5054" s="1" t="s">
        <v>1995</v>
      </c>
      <c r="P5054" s="1" t="s">
        <v>1996</v>
      </c>
      <c r="Q5054" s="3">
        <v>1</v>
      </c>
      <c r="R5054" s="22" t="s">
        <v>2723</v>
      </c>
      <c r="T5054" s="3" t="s">
        <v>4868</v>
      </c>
      <c r="U5054" s="45">
        <v>35</v>
      </c>
      <c r="V5054" t="s">
        <v>8191</v>
      </c>
      <c r="W5054" s="1" t="str">
        <f>HYPERLINK("http://ictvonline.org/taxonomy/p/taxonomy-history?taxnode_id=201902808","ICTVonline=201902808")</f>
        <v>ICTVonline=201902808</v>
      </c>
    </row>
    <row r="5055" spans="1:23">
      <c r="A5055" s="3">
        <v>5054</v>
      </c>
      <c r="B5055" s="1" t="s">
        <v>5910</v>
      </c>
      <c r="D5055" s="1" t="s">
        <v>8187</v>
      </c>
      <c r="F5055" s="1" t="s">
        <v>8506</v>
      </c>
      <c r="H5055" s="1" t="s">
        <v>8512</v>
      </c>
      <c r="J5055" s="1" t="s">
        <v>1067</v>
      </c>
      <c r="L5055" s="1" t="s">
        <v>1989</v>
      </c>
      <c r="N5055" s="1" t="s">
        <v>6160</v>
      </c>
      <c r="P5055" s="1" t="s">
        <v>6161</v>
      </c>
      <c r="Q5055" s="3">
        <v>1</v>
      </c>
      <c r="R5055" s="22" t="s">
        <v>2723</v>
      </c>
      <c r="T5055" s="3" t="s">
        <v>4868</v>
      </c>
      <c r="U5055" s="45">
        <v>35</v>
      </c>
      <c r="V5055" t="s">
        <v>8191</v>
      </c>
      <c r="W5055" s="1" t="str">
        <f>HYPERLINK("http://ictvonline.org/taxonomy/p/taxonomy-history?taxnode_id=201906505","ICTVonline=201906505")</f>
        <v>ICTVonline=201906505</v>
      </c>
    </row>
    <row r="5056" spans="1:23">
      <c r="A5056" s="3">
        <v>5055</v>
      </c>
      <c r="B5056" s="1" t="s">
        <v>5910</v>
      </c>
      <c r="D5056" s="1" t="s">
        <v>8187</v>
      </c>
      <c r="F5056" s="1" t="s">
        <v>8506</v>
      </c>
      <c r="H5056" s="1" t="s">
        <v>8512</v>
      </c>
      <c r="J5056" s="1" t="s">
        <v>1067</v>
      </c>
      <c r="L5056" s="1" t="s">
        <v>1989</v>
      </c>
      <c r="N5056" s="1" t="s">
        <v>1997</v>
      </c>
      <c r="P5056" s="1" t="s">
        <v>1998</v>
      </c>
      <c r="Q5056" s="3">
        <v>0</v>
      </c>
      <c r="R5056" s="22" t="s">
        <v>2723</v>
      </c>
      <c r="T5056" s="3" t="s">
        <v>4868</v>
      </c>
      <c r="U5056" s="45">
        <v>35</v>
      </c>
      <c r="V5056" t="s">
        <v>8191</v>
      </c>
      <c r="W5056" s="1" t="str">
        <f>HYPERLINK("http://ictvonline.org/taxonomy/p/taxonomy-history?taxnode_id=201902810","ICTVonline=201902810")</f>
        <v>ICTVonline=201902810</v>
      </c>
    </row>
    <row r="5057" spans="1:23">
      <c r="A5057" s="3">
        <v>5056</v>
      </c>
      <c r="B5057" s="1" t="s">
        <v>5910</v>
      </c>
      <c r="D5057" s="1" t="s">
        <v>8187</v>
      </c>
      <c r="F5057" s="1" t="s">
        <v>8506</v>
      </c>
      <c r="H5057" s="1" t="s">
        <v>8512</v>
      </c>
      <c r="J5057" s="1" t="s">
        <v>1067</v>
      </c>
      <c r="L5057" s="1" t="s">
        <v>1989</v>
      </c>
      <c r="N5057" s="1" t="s">
        <v>1997</v>
      </c>
      <c r="P5057" s="1" t="s">
        <v>1999</v>
      </c>
      <c r="Q5057" s="3">
        <v>1</v>
      </c>
      <c r="R5057" s="22" t="s">
        <v>2723</v>
      </c>
      <c r="T5057" s="3" t="s">
        <v>4868</v>
      </c>
      <c r="U5057" s="45">
        <v>35</v>
      </c>
      <c r="V5057" t="s">
        <v>8191</v>
      </c>
      <c r="W5057" s="1" t="str">
        <f>HYPERLINK("http://ictvonline.org/taxonomy/p/taxonomy-history?taxnode_id=201902811","ICTVonline=201902811")</f>
        <v>ICTVonline=201902811</v>
      </c>
    </row>
    <row r="5058" spans="1:23">
      <c r="A5058" s="3">
        <v>5057</v>
      </c>
      <c r="B5058" s="1" t="s">
        <v>5910</v>
      </c>
      <c r="D5058" s="1" t="s">
        <v>8187</v>
      </c>
      <c r="F5058" s="1" t="s">
        <v>8506</v>
      </c>
      <c r="H5058" s="1" t="s">
        <v>8512</v>
      </c>
      <c r="J5058" s="1" t="s">
        <v>1067</v>
      </c>
      <c r="L5058" s="1" t="s">
        <v>1028</v>
      </c>
      <c r="N5058" s="1" t="s">
        <v>1351</v>
      </c>
      <c r="P5058" s="1" t="s">
        <v>1025</v>
      </c>
      <c r="Q5058" s="3">
        <v>1</v>
      </c>
      <c r="R5058" s="22" t="s">
        <v>2723</v>
      </c>
      <c r="T5058" s="3" t="s">
        <v>4868</v>
      </c>
      <c r="U5058" s="45">
        <v>35</v>
      </c>
      <c r="V5058" t="s">
        <v>8191</v>
      </c>
      <c r="W5058" s="1" t="str">
        <f>HYPERLINK("http://ictvonline.org/taxonomy/p/taxonomy-history?taxnode_id=201901914","ICTVonline=201901914")</f>
        <v>ICTVonline=201901914</v>
      </c>
    </row>
    <row r="5059" spans="1:23">
      <c r="A5059" s="3">
        <v>5058</v>
      </c>
      <c r="B5059" s="1" t="s">
        <v>5910</v>
      </c>
      <c r="D5059" s="1" t="s">
        <v>8187</v>
      </c>
      <c r="F5059" s="1" t="s">
        <v>8506</v>
      </c>
      <c r="H5059" s="1" t="s">
        <v>8512</v>
      </c>
      <c r="J5059" s="1" t="s">
        <v>1067</v>
      </c>
      <c r="L5059" s="1" t="s">
        <v>1028</v>
      </c>
      <c r="N5059" s="1" t="s">
        <v>1351</v>
      </c>
      <c r="P5059" s="1" t="s">
        <v>1352</v>
      </c>
      <c r="Q5059" s="3">
        <v>0</v>
      </c>
      <c r="R5059" s="22" t="s">
        <v>2723</v>
      </c>
      <c r="T5059" s="3" t="s">
        <v>4868</v>
      </c>
      <c r="U5059" s="45">
        <v>35</v>
      </c>
      <c r="V5059" t="s">
        <v>8191</v>
      </c>
      <c r="W5059" s="1" t="str">
        <f>HYPERLINK("http://ictvonline.org/taxonomy/p/taxonomy-history?taxnode_id=201901915","ICTVonline=201901915")</f>
        <v>ICTVonline=201901915</v>
      </c>
    </row>
    <row r="5060" spans="1:23">
      <c r="A5060" s="3">
        <v>5059</v>
      </c>
      <c r="B5060" s="1" t="s">
        <v>5910</v>
      </c>
      <c r="D5060" s="1" t="s">
        <v>8187</v>
      </c>
      <c r="F5060" s="1" t="s">
        <v>8506</v>
      </c>
      <c r="H5060" s="1" t="s">
        <v>8512</v>
      </c>
      <c r="J5060" s="1" t="s">
        <v>1067</v>
      </c>
      <c r="L5060" s="1" t="s">
        <v>1028</v>
      </c>
      <c r="N5060" s="1" t="s">
        <v>1351</v>
      </c>
      <c r="P5060" s="1" t="s">
        <v>1026</v>
      </c>
      <c r="Q5060" s="3">
        <v>0</v>
      </c>
      <c r="R5060" s="22" t="s">
        <v>2723</v>
      </c>
      <c r="T5060" s="3" t="s">
        <v>4868</v>
      </c>
      <c r="U5060" s="45">
        <v>35</v>
      </c>
      <c r="V5060" t="s">
        <v>8191</v>
      </c>
      <c r="W5060" s="1" t="str">
        <f>HYPERLINK("http://ictvonline.org/taxonomy/p/taxonomy-history?taxnode_id=201901916","ICTVonline=201901916")</f>
        <v>ICTVonline=201901916</v>
      </c>
    </row>
    <row r="5061" spans="1:23">
      <c r="A5061" s="3">
        <v>5060</v>
      </c>
      <c r="B5061" s="1" t="s">
        <v>5910</v>
      </c>
      <c r="D5061" s="1" t="s">
        <v>8187</v>
      </c>
      <c r="F5061" s="1" t="s">
        <v>8506</v>
      </c>
      <c r="H5061" s="1" t="s">
        <v>8512</v>
      </c>
      <c r="J5061" s="1" t="s">
        <v>1067</v>
      </c>
      <c r="L5061" s="1" t="s">
        <v>1028</v>
      </c>
      <c r="N5061" s="1" t="s">
        <v>1351</v>
      </c>
      <c r="P5061" s="1" t="s">
        <v>2</v>
      </c>
      <c r="Q5061" s="3">
        <v>0</v>
      </c>
      <c r="R5061" s="22" t="s">
        <v>2723</v>
      </c>
      <c r="T5061" s="3" t="s">
        <v>4868</v>
      </c>
      <c r="U5061" s="45">
        <v>35</v>
      </c>
      <c r="V5061" t="s">
        <v>8191</v>
      </c>
      <c r="W5061" s="1" t="str">
        <f>HYPERLINK("http://ictvonline.org/taxonomy/p/taxonomy-history?taxnode_id=201901917","ICTVonline=201901917")</f>
        <v>ICTVonline=201901917</v>
      </c>
    </row>
    <row r="5062" spans="1:23">
      <c r="A5062" s="3">
        <v>5061</v>
      </c>
      <c r="B5062" s="1" t="s">
        <v>5910</v>
      </c>
      <c r="D5062" s="1" t="s">
        <v>8187</v>
      </c>
      <c r="F5062" s="1" t="s">
        <v>8506</v>
      </c>
      <c r="H5062" s="1" t="s">
        <v>8512</v>
      </c>
      <c r="J5062" s="1" t="s">
        <v>1067</v>
      </c>
      <c r="L5062" s="1" t="s">
        <v>1028</v>
      </c>
      <c r="N5062" s="1" t="s">
        <v>1351</v>
      </c>
      <c r="P5062" s="1" t="s">
        <v>5092</v>
      </c>
      <c r="Q5062" s="3">
        <v>0</v>
      </c>
      <c r="R5062" s="22" t="s">
        <v>2723</v>
      </c>
      <c r="T5062" s="3" t="s">
        <v>4868</v>
      </c>
      <c r="U5062" s="45">
        <v>35</v>
      </c>
      <c r="V5062" t="s">
        <v>8191</v>
      </c>
      <c r="W5062" s="1" t="str">
        <f>HYPERLINK("http://ictvonline.org/taxonomy/p/taxonomy-history?taxnode_id=201901918","ICTVonline=201901918")</f>
        <v>ICTVonline=201901918</v>
      </c>
    </row>
    <row r="5063" spans="1:23">
      <c r="A5063" s="3">
        <v>5062</v>
      </c>
      <c r="B5063" s="1" t="s">
        <v>5910</v>
      </c>
      <c r="D5063" s="1" t="s">
        <v>8187</v>
      </c>
      <c r="F5063" s="1" t="s">
        <v>8506</v>
      </c>
      <c r="H5063" s="1" t="s">
        <v>8512</v>
      </c>
      <c r="J5063" s="1" t="s">
        <v>1067</v>
      </c>
      <c r="L5063" s="1" t="s">
        <v>1028</v>
      </c>
      <c r="N5063" s="1" t="s">
        <v>1351</v>
      </c>
      <c r="P5063" s="1" t="s">
        <v>1027</v>
      </c>
      <c r="Q5063" s="3">
        <v>0</v>
      </c>
      <c r="R5063" s="22" t="s">
        <v>2723</v>
      </c>
      <c r="T5063" s="3" t="s">
        <v>4868</v>
      </c>
      <c r="U5063" s="45">
        <v>35</v>
      </c>
      <c r="V5063" t="s">
        <v>8191</v>
      </c>
      <c r="W5063" s="1" t="str">
        <f>HYPERLINK("http://ictvonline.org/taxonomy/p/taxonomy-history?taxnode_id=201901919","ICTVonline=201901919")</f>
        <v>ICTVonline=201901919</v>
      </c>
    </row>
    <row r="5064" spans="1:23">
      <c r="A5064" s="3">
        <v>5063</v>
      </c>
      <c r="B5064" s="1" t="s">
        <v>5910</v>
      </c>
      <c r="D5064" s="1" t="s">
        <v>8187</v>
      </c>
      <c r="F5064" s="1" t="s">
        <v>8506</v>
      </c>
      <c r="H5064" s="1" t="s">
        <v>8512</v>
      </c>
      <c r="J5064" s="1" t="s">
        <v>1067</v>
      </c>
      <c r="L5064" s="1" t="s">
        <v>1028</v>
      </c>
      <c r="N5064" s="1" t="s">
        <v>1029</v>
      </c>
      <c r="P5064" s="1" t="s">
        <v>1030</v>
      </c>
      <c r="Q5064" s="3">
        <v>0</v>
      </c>
      <c r="R5064" s="22" t="s">
        <v>2723</v>
      </c>
      <c r="T5064" s="3" t="s">
        <v>4868</v>
      </c>
      <c r="U5064" s="45">
        <v>35</v>
      </c>
      <c r="V5064" t="s">
        <v>8191</v>
      </c>
      <c r="W5064" s="1" t="str">
        <f>HYPERLINK("http://ictvonline.org/taxonomy/p/taxonomy-history?taxnode_id=201901921","ICTVonline=201901921")</f>
        <v>ICTVonline=201901921</v>
      </c>
    </row>
    <row r="5065" spans="1:23">
      <c r="A5065" s="3">
        <v>5064</v>
      </c>
      <c r="B5065" s="1" t="s">
        <v>5910</v>
      </c>
      <c r="D5065" s="1" t="s">
        <v>8187</v>
      </c>
      <c r="F5065" s="1" t="s">
        <v>8506</v>
      </c>
      <c r="H5065" s="1" t="s">
        <v>8512</v>
      </c>
      <c r="J5065" s="1" t="s">
        <v>1067</v>
      </c>
      <c r="L5065" s="1" t="s">
        <v>1028</v>
      </c>
      <c r="N5065" s="1" t="s">
        <v>1029</v>
      </c>
      <c r="P5065" s="1" t="s">
        <v>1032</v>
      </c>
      <c r="Q5065" s="3">
        <v>1</v>
      </c>
      <c r="R5065" s="22" t="s">
        <v>2723</v>
      </c>
      <c r="T5065" s="3" t="s">
        <v>4868</v>
      </c>
      <c r="U5065" s="45">
        <v>35</v>
      </c>
      <c r="V5065" t="s">
        <v>8191</v>
      </c>
      <c r="W5065" s="1" t="str">
        <f>HYPERLINK("http://ictvonline.org/taxonomy/p/taxonomy-history?taxnode_id=201901922","ICTVonline=201901922")</f>
        <v>ICTVonline=201901922</v>
      </c>
    </row>
    <row r="5066" spans="1:23">
      <c r="A5066" s="3">
        <v>5065</v>
      </c>
      <c r="B5066" s="1" t="s">
        <v>5910</v>
      </c>
      <c r="D5066" s="1" t="s">
        <v>8187</v>
      </c>
      <c r="F5066" s="1" t="s">
        <v>8506</v>
      </c>
      <c r="H5066" s="1" t="s">
        <v>8512</v>
      </c>
      <c r="J5066" s="1" t="s">
        <v>1067</v>
      </c>
      <c r="L5066" s="1" t="s">
        <v>1028</v>
      </c>
      <c r="N5066" s="1" t="s">
        <v>1029</v>
      </c>
      <c r="P5066" s="1" t="s">
        <v>1033</v>
      </c>
      <c r="Q5066" s="3">
        <v>0</v>
      </c>
      <c r="R5066" s="22" t="s">
        <v>2723</v>
      </c>
      <c r="T5066" s="3" t="s">
        <v>4868</v>
      </c>
      <c r="U5066" s="45">
        <v>35</v>
      </c>
      <c r="V5066" t="s">
        <v>8191</v>
      </c>
      <c r="W5066" s="1" t="str">
        <f>HYPERLINK("http://ictvonline.org/taxonomy/p/taxonomy-history?taxnode_id=201901923","ICTVonline=201901923")</f>
        <v>ICTVonline=201901923</v>
      </c>
    </row>
    <row r="5067" spans="1:23">
      <c r="A5067" s="3">
        <v>5066</v>
      </c>
      <c r="B5067" s="1" t="s">
        <v>5910</v>
      </c>
      <c r="D5067" s="1" t="s">
        <v>8187</v>
      </c>
      <c r="F5067" s="1" t="s">
        <v>8506</v>
      </c>
      <c r="H5067" s="1" t="s">
        <v>8512</v>
      </c>
      <c r="J5067" s="1" t="s">
        <v>1067</v>
      </c>
      <c r="L5067" s="1" t="s">
        <v>1028</v>
      </c>
      <c r="N5067" s="1" t="s">
        <v>1029</v>
      </c>
      <c r="P5067" s="1" t="s">
        <v>1035</v>
      </c>
      <c r="Q5067" s="3">
        <v>0</v>
      </c>
      <c r="R5067" s="22" t="s">
        <v>2723</v>
      </c>
      <c r="T5067" s="3" t="s">
        <v>4868</v>
      </c>
      <c r="U5067" s="45">
        <v>35</v>
      </c>
      <c r="V5067" t="s">
        <v>8191</v>
      </c>
      <c r="W5067" s="1" t="str">
        <f>HYPERLINK("http://ictvonline.org/taxonomy/p/taxonomy-history?taxnode_id=201901924","ICTVonline=201901924")</f>
        <v>ICTVonline=201901924</v>
      </c>
    </row>
    <row r="5068" spans="1:23">
      <c r="A5068" s="3">
        <v>5067</v>
      </c>
      <c r="B5068" s="1" t="s">
        <v>5910</v>
      </c>
      <c r="D5068" s="1" t="s">
        <v>8187</v>
      </c>
      <c r="F5068" s="1" t="s">
        <v>8506</v>
      </c>
      <c r="H5068" s="1" t="s">
        <v>8512</v>
      </c>
      <c r="J5068" s="1" t="s">
        <v>1067</v>
      </c>
      <c r="L5068" s="1" t="s">
        <v>1028</v>
      </c>
      <c r="N5068" s="1" t="s">
        <v>3592</v>
      </c>
      <c r="P5068" s="1" t="s">
        <v>1031</v>
      </c>
      <c r="Q5068" s="3">
        <v>0</v>
      </c>
      <c r="R5068" s="22" t="s">
        <v>2723</v>
      </c>
      <c r="T5068" s="3" t="s">
        <v>4868</v>
      </c>
      <c r="U5068" s="45">
        <v>35</v>
      </c>
      <c r="V5068" t="s">
        <v>8191</v>
      </c>
      <c r="W5068" s="1" t="str">
        <f>HYPERLINK("http://ictvonline.org/taxonomy/p/taxonomy-history?taxnode_id=201901926","ICTVonline=201901926")</f>
        <v>ICTVonline=201901926</v>
      </c>
    </row>
    <row r="5069" spans="1:23">
      <c r="A5069" s="3">
        <v>5068</v>
      </c>
      <c r="B5069" s="1" t="s">
        <v>5910</v>
      </c>
      <c r="D5069" s="1" t="s">
        <v>8187</v>
      </c>
      <c r="F5069" s="1" t="s">
        <v>8506</v>
      </c>
      <c r="H5069" s="1" t="s">
        <v>8512</v>
      </c>
      <c r="J5069" s="1" t="s">
        <v>1067</v>
      </c>
      <c r="L5069" s="1" t="s">
        <v>1028</v>
      </c>
      <c r="N5069" s="1" t="s">
        <v>3592</v>
      </c>
      <c r="P5069" s="1" t="s">
        <v>1422</v>
      </c>
      <c r="Q5069" s="3">
        <v>0</v>
      </c>
      <c r="R5069" s="22" t="s">
        <v>2723</v>
      </c>
      <c r="T5069" s="3" t="s">
        <v>4868</v>
      </c>
      <c r="U5069" s="45">
        <v>35</v>
      </c>
      <c r="V5069" t="s">
        <v>8191</v>
      </c>
      <c r="W5069" s="1" t="str">
        <f>HYPERLINK("http://ictvonline.org/taxonomy/p/taxonomy-history?taxnode_id=201901927","ICTVonline=201901927")</f>
        <v>ICTVonline=201901927</v>
      </c>
    </row>
    <row r="5070" spans="1:23">
      <c r="A5070" s="3">
        <v>5069</v>
      </c>
      <c r="B5070" s="1" t="s">
        <v>5910</v>
      </c>
      <c r="D5070" s="1" t="s">
        <v>8187</v>
      </c>
      <c r="F5070" s="1" t="s">
        <v>8506</v>
      </c>
      <c r="H5070" s="1" t="s">
        <v>8512</v>
      </c>
      <c r="J5070" s="1" t="s">
        <v>1067</v>
      </c>
      <c r="L5070" s="1" t="s">
        <v>1028</v>
      </c>
      <c r="N5070" s="1" t="s">
        <v>3592</v>
      </c>
      <c r="P5070" s="1" t="s">
        <v>5093</v>
      </c>
      <c r="Q5070" s="3">
        <v>0</v>
      </c>
      <c r="R5070" s="22" t="s">
        <v>2723</v>
      </c>
      <c r="T5070" s="3" t="s">
        <v>4868</v>
      </c>
      <c r="U5070" s="45">
        <v>35</v>
      </c>
      <c r="V5070" t="s">
        <v>8191</v>
      </c>
      <c r="W5070" s="1" t="str">
        <f>HYPERLINK("http://ictvonline.org/taxonomy/p/taxonomy-history?taxnode_id=201901928","ICTVonline=201901928")</f>
        <v>ICTVonline=201901928</v>
      </c>
    </row>
    <row r="5071" spans="1:23">
      <c r="A5071" s="3">
        <v>5070</v>
      </c>
      <c r="B5071" s="1" t="s">
        <v>5910</v>
      </c>
      <c r="D5071" s="1" t="s">
        <v>8187</v>
      </c>
      <c r="F5071" s="1" t="s">
        <v>8506</v>
      </c>
      <c r="H5071" s="1" t="s">
        <v>8512</v>
      </c>
      <c r="J5071" s="1" t="s">
        <v>1067</v>
      </c>
      <c r="L5071" s="1" t="s">
        <v>1028</v>
      </c>
      <c r="N5071" s="1" t="s">
        <v>3592</v>
      </c>
      <c r="P5071" s="1" t="s">
        <v>1034</v>
      </c>
      <c r="Q5071" s="3">
        <v>0</v>
      </c>
      <c r="R5071" s="22" t="s">
        <v>2723</v>
      </c>
      <c r="T5071" s="3" t="s">
        <v>4868</v>
      </c>
      <c r="U5071" s="45">
        <v>35</v>
      </c>
      <c r="V5071" t="s">
        <v>8191</v>
      </c>
      <c r="W5071" s="1" t="str">
        <f>HYPERLINK("http://ictvonline.org/taxonomy/p/taxonomy-history?taxnode_id=201901929","ICTVonline=201901929")</f>
        <v>ICTVonline=201901929</v>
      </c>
    </row>
    <row r="5072" spans="1:23">
      <c r="A5072" s="3">
        <v>5071</v>
      </c>
      <c r="B5072" s="1" t="s">
        <v>5910</v>
      </c>
      <c r="D5072" s="1" t="s">
        <v>8187</v>
      </c>
      <c r="F5072" s="1" t="s">
        <v>8506</v>
      </c>
      <c r="H5072" s="1" t="s">
        <v>8512</v>
      </c>
      <c r="J5072" s="1" t="s">
        <v>1067</v>
      </c>
      <c r="L5072" s="1" t="s">
        <v>1028</v>
      </c>
      <c r="N5072" s="1" t="s">
        <v>3592</v>
      </c>
      <c r="P5072" s="1" t="s">
        <v>1024</v>
      </c>
      <c r="Q5072" s="3">
        <v>1</v>
      </c>
      <c r="R5072" s="22" t="s">
        <v>2723</v>
      </c>
      <c r="T5072" s="3" t="s">
        <v>4868</v>
      </c>
      <c r="U5072" s="45">
        <v>35</v>
      </c>
      <c r="V5072" t="s">
        <v>8191</v>
      </c>
      <c r="W5072" s="1" t="str">
        <f>HYPERLINK("http://ictvonline.org/taxonomy/p/taxonomy-history?taxnode_id=201901930","ICTVonline=201901930")</f>
        <v>ICTVonline=201901930</v>
      </c>
    </row>
    <row r="5073" spans="1:23">
      <c r="A5073" s="3">
        <v>5072</v>
      </c>
      <c r="B5073" s="1" t="s">
        <v>5910</v>
      </c>
      <c r="D5073" s="1" t="s">
        <v>8187</v>
      </c>
      <c r="F5073" s="1" t="s">
        <v>8506</v>
      </c>
      <c r="H5073" s="1" t="s">
        <v>8512</v>
      </c>
      <c r="J5073" s="1" t="s">
        <v>1067</v>
      </c>
      <c r="L5073" s="1" t="s">
        <v>1102</v>
      </c>
      <c r="N5073" s="1" t="s">
        <v>1103</v>
      </c>
      <c r="P5073" s="1" t="s">
        <v>3593</v>
      </c>
      <c r="Q5073" s="3">
        <v>0</v>
      </c>
      <c r="R5073" s="22" t="s">
        <v>2723</v>
      </c>
      <c r="T5073" s="3" t="s">
        <v>4868</v>
      </c>
      <c r="U5073" s="45">
        <v>35</v>
      </c>
      <c r="V5073" t="s">
        <v>8191</v>
      </c>
      <c r="W5073" s="1" t="str">
        <f>HYPERLINK("http://ictvonline.org/taxonomy/p/taxonomy-history?taxnode_id=201901934","ICTVonline=201901934")</f>
        <v>ICTVonline=201901934</v>
      </c>
    </row>
    <row r="5074" spans="1:23">
      <c r="A5074" s="3">
        <v>5073</v>
      </c>
      <c r="B5074" s="1" t="s">
        <v>5910</v>
      </c>
      <c r="D5074" s="1" t="s">
        <v>8187</v>
      </c>
      <c r="F5074" s="1" t="s">
        <v>8506</v>
      </c>
      <c r="H5074" s="1" t="s">
        <v>8512</v>
      </c>
      <c r="J5074" s="1" t="s">
        <v>1067</v>
      </c>
      <c r="L5074" s="1" t="s">
        <v>1102</v>
      </c>
      <c r="N5074" s="1" t="s">
        <v>1103</v>
      </c>
      <c r="P5074" s="1" t="s">
        <v>4523</v>
      </c>
      <c r="Q5074" s="3">
        <v>0</v>
      </c>
      <c r="R5074" s="22" t="s">
        <v>2723</v>
      </c>
      <c r="T5074" s="3" t="s">
        <v>4868</v>
      </c>
      <c r="U5074" s="45">
        <v>35</v>
      </c>
      <c r="V5074" t="s">
        <v>8191</v>
      </c>
      <c r="W5074" s="1" t="str">
        <f>HYPERLINK("http://ictvonline.org/taxonomy/p/taxonomy-history?taxnode_id=201901935","ICTVonline=201901935")</f>
        <v>ICTVonline=201901935</v>
      </c>
    </row>
    <row r="5075" spans="1:23">
      <c r="A5075" s="3">
        <v>5074</v>
      </c>
      <c r="B5075" s="1" t="s">
        <v>5910</v>
      </c>
      <c r="D5075" s="1" t="s">
        <v>8187</v>
      </c>
      <c r="F5075" s="1" t="s">
        <v>8506</v>
      </c>
      <c r="H5075" s="1" t="s">
        <v>8512</v>
      </c>
      <c r="J5075" s="1" t="s">
        <v>1067</v>
      </c>
      <c r="L5075" s="1" t="s">
        <v>1102</v>
      </c>
      <c r="N5075" s="1" t="s">
        <v>1103</v>
      </c>
      <c r="P5075" s="1" t="s">
        <v>1104</v>
      </c>
      <c r="Q5075" s="3">
        <v>0</v>
      </c>
      <c r="R5075" s="22" t="s">
        <v>2723</v>
      </c>
      <c r="T5075" s="3" t="s">
        <v>4868</v>
      </c>
      <c r="U5075" s="45">
        <v>35</v>
      </c>
      <c r="V5075" t="s">
        <v>8191</v>
      </c>
      <c r="W5075" s="1" t="str">
        <f>HYPERLINK("http://ictvonline.org/taxonomy/p/taxonomy-history?taxnode_id=201901936","ICTVonline=201901936")</f>
        <v>ICTVonline=201901936</v>
      </c>
    </row>
    <row r="5076" spans="1:23">
      <c r="A5076" s="3">
        <v>5075</v>
      </c>
      <c r="B5076" s="1" t="s">
        <v>5910</v>
      </c>
      <c r="D5076" s="1" t="s">
        <v>8187</v>
      </c>
      <c r="F5076" s="1" t="s">
        <v>8506</v>
      </c>
      <c r="H5076" s="1" t="s">
        <v>8512</v>
      </c>
      <c r="J5076" s="1" t="s">
        <v>1067</v>
      </c>
      <c r="L5076" s="1" t="s">
        <v>1102</v>
      </c>
      <c r="N5076" s="1" t="s">
        <v>1103</v>
      </c>
      <c r="P5076" s="1" t="s">
        <v>3594</v>
      </c>
      <c r="Q5076" s="3">
        <v>0</v>
      </c>
      <c r="R5076" s="22" t="s">
        <v>2723</v>
      </c>
      <c r="T5076" s="3" t="s">
        <v>4868</v>
      </c>
      <c r="U5076" s="45">
        <v>35</v>
      </c>
      <c r="V5076" t="s">
        <v>8191</v>
      </c>
      <c r="W5076" s="1" t="str">
        <f>HYPERLINK("http://ictvonline.org/taxonomy/p/taxonomy-history?taxnode_id=201901937","ICTVonline=201901937")</f>
        <v>ICTVonline=201901937</v>
      </c>
    </row>
    <row r="5077" spans="1:23">
      <c r="A5077" s="3">
        <v>5076</v>
      </c>
      <c r="B5077" s="1" t="s">
        <v>5910</v>
      </c>
      <c r="D5077" s="1" t="s">
        <v>8187</v>
      </c>
      <c r="F5077" s="1" t="s">
        <v>8506</v>
      </c>
      <c r="H5077" s="1" t="s">
        <v>8512</v>
      </c>
      <c r="J5077" s="1" t="s">
        <v>1067</v>
      </c>
      <c r="L5077" s="1" t="s">
        <v>1102</v>
      </c>
      <c r="N5077" s="1" t="s">
        <v>1103</v>
      </c>
      <c r="P5077" s="1" t="s">
        <v>1105</v>
      </c>
      <c r="Q5077" s="3">
        <v>0</v>
      </c>
      <c r="R5077" s="22" t="s">
        <v>2723</v>
      </c>
      <c r="T5077" s="3" t="s">
        <v>4868</v>
      </c>
      <c r="U5077" s="45">
        <v>35</v>
      </c>
      <c r="V5077" t="s">
        <v>8191</v>
      </c>
      <c r="W5077" s="1" t="str">
        <f>HYPERLINK("http://ictvonline.org/taxonomy/p/taxonomy-history?taxnode_id=201901938","ICTVonline=201901938")</f>
        <v>ICTVonline=201901938</v>
      </c>
    </row>
    <row r="5078" spans="1:23">
      <c r="A5078" s="3">
        <v>5077</v>
      </c>
      <c r="B5078" s="1" t="s">
        <v>5910</v>
      </c>
      <c r="D5078" s="1" t="s">
        <v>8187</v>
      </c>
      <c r="F5078" s="1" t="s">
        <v>8506</v>
      </c>
      <c r="H5078" s="1" t="s">
        <v>8512</v>
      </c>
      <c r="J5078" s="1" t="s">
        <v>1067</v>
      </c>
      <c r="L5078" s="1" t="s">
        <v>1102</v>
      </c>
      <c r="N5078" s="1" t="s">
        <v>1103</v>
      </c>
      <c r="P5078" s="1" t="s">
        <v>1106</v>
      </c>
      <c r="Q5078" s="3">
        <v>1</v>
      </c>
      <c r="R5078" s="22" t="s">
        <v>2723</v>
      </c>
      <c r="T5078" s="3" t="s">
        <v>4868</v>
      </c>
      <c r="U5078" s="45">
        <v>35</v>
      </c>
      <c r="V5078" t="s">
        <v>8191</v>
      </c>
      <c r="W5078" s="1" t="str">
        <f>HYPERLINK("http://ictvonline.org/taxonomy/p/taxonomy-history?taxnode_id=201901939","ICTVonline=201901939")</f>
        <v>ICTVonline=201901939</v>
      </c>
    </row>
    <row r="5079" spans="1:23">
      <c r="A5079" s="3">
        <v>5078</v>
      </c>
      <c r="B5079" s="1" t="s">
        <v>5910</v>
      </c>
      <c r="D5079" s="1" t="s">
        <v>8187</v>
      </c>
      <c r="F5079" s="1" t="s">
        <v>8506</v>
      </c>
      <c r="H5079" s="1" t="s">
        <v>8512</v>
      </c>
      <c r="J5079" s="1" t="s">
        <v>1067</v>
      </c>
      <c r="L5079" s="1" t="s">
        <v>1102</v>
      </c>
      <c r="N5079" s="1" t="s">
        <v>1103</v>
      </c>
      <c r="P5079" s="1" t="s">
        <v>2288</v>
      </c>
      <c r="Q5079" s="3">
        <v>0</v>
      </c>
      <c r="R5079" s="22" t="s">
        <v>2723</v>
      </c>
      <c r="T5079" s="3" t="s">
        <v>4868</v>
      </c>
      <c r="U5079" s="45">
        <v>35</v>
      </c>
      <c r="V5079" t="s">
        <v>8191</v>
      </c>
      <c r="W5079" s="1" t="str">
        <f>HYPERLINK("http://ictvonline.org/taxonomy/p/taxonomy-history?taxnode_id=201901940","ICTVonline=201901940")</f>
        <v>ICTVonline=201901940</v>
      </c>
    </row>
    <row r="5080" spans="1:23">
      <c r="A5080" s="3">
        <v>5079</v>
      </c>
      <c r="B5080" s="1" t="s">
        <v>5910</v>
      </c>
      <c r="D5080" s="1" t="s">
        <v>8187</v>
      </c>
      <c r="F5080" s="1" t="s">
        <v>8506</v>
      </c>
      <c r="H5080" s="1" t="s">
        <v>8512</v>
      </c>
      <c r="J5080" s="1" t="s">
        <v>1067</v>
      </c>
      <c r="L5080" s="1" t="s">
        <v>1102</v>
      </c>
      <c r="N5080" s="1" t="s">
        <v>1103</v>
      </c>
      <c r="P5080" s="1" t="s">
        <v>3595</v>
      </c>
      <c r="Q5080" s="3">
        <v>0</v>
      </c>
      <c r="R5080" s="22" t="s">
        <v>2723</v>
      </c>
      <c r="T5080" s="3" t="s">
        <v>4868</v>
      </c>
      <c r="U5080" s="45">
        <v>35</v>
      </c>
      <c r="V5080" t="s">
        <v>8191</v>
      </c>
      <c r="W5080" s="1" t="str">
        <f>HYPERLINK("http://ictvonline.org/taxonomy/p/taxonomy-history?taxnode_id=201901941","ICTVonline=201901941")</f>
        <v>ICTVonline=201901941</v>
      </c>
    </row>
    <row r="5081" spans="1:23">
      <c r="A5081" s="3">
        <v>5080</v>
      </c>
      <c r="B5081" s="1" t="s">
        <v>5910</v>
      </c>
      <c r="D5081" s="1" t="s">
        <v>8187</v>
      </c>
      <c r="F5081" s="1" t="s">
        <v>8506</v>
      </c>
      <c r="H5081" s="1" t="s">
        <v>8512</v>
      </c>
      <c r="J5081" s="1" t="s">
        <v>1067</v>
      </c>
      <c r="L5081" s="1" t="s">
        <v>1102</v>
      </c>
      <c r="N5081" s="1" t="s">
        <v>1103</v>
      </c>
      <c r="P5081" s="1" t="s">
        <v>2289</v>
      </c>
      <c r="Q5081" s="3">
        <v>0</v>
      </c>
      <c r="R5081" s="22" t="s">
        <v>2723</v>
      </c>
      <c r="T5081" s="3" t="s">
        <v>4868</v>
      </c>
      <c r="U5081" s="45">
        <v>35</v>
      </c>
      <c r="V5081" t="s">
        <v>8191</v>
      </c>
      <c r="W5081" s="1" t="str">
        <f>HYPERLINK("http://ictvonline.org/taxonomy/p/taxonomy-history?taxnode_id=201901942","ICTVonline=201901942")</f>
        <v>ICTVonline=201901942</v>
      </c>
    </row>
    <row r="5082" spans="1:23">
      <c r="A5082" s="3">
        <v>5081</v>
      </c>
      <c r="B5082" s="1" t="s">
        <v>5910</v>
      </c>
      <c r="D5082" s="1" t="s">
        <v>8187</v>
      </c>
      <c r="F5082" s="1" t="s">
        <v>8506</v>
      </c>
      <c r="H5082" s="1" t="s">
        <v>8512</v>
      </c>
      <c r="J5082" s="1" t="s">
        <v>1067</v>
      </c>
      <c r="L5082" s="1" t="s">
        <v>1102</v>
      </c>
      <c r="N5082" s="1" t="s">
        <v>1103</v>
      </c>
      <c r="P5082" s="1" t="s">
        <v>1107</v>
      </c>
      <c r="Q5082" s="3">
        <v>0</v>
      </c>
      <c r="R5082" s="22" t="s">
        <v>2723</v>
      </c>
      <c r="T5082" s="3" t="s">
        <v>4868</v>
      </c>
      <c r="U5082" s="45">
        <v>35</v>
      </c>
      <c r="V5082" t="s">
        <v>8191</v>
      </c>
      <c r="W5082" s="1" t="str">
        <f>HYPERLINK("http://ictvonline.org/taxonomy/p/taxonomy-history?taxnode_id=201901943","ICTVonline=201901943")</f>
        <v>ICTVonline=201901943</v>
      </c>
    </row>
    <row r="5083" spans="1:23">
      <c r="A5083" s="3">
        <v>5082</v>
      </c>
      <c r="B5083" s="1" t="s">
        <v>5910</v>
      </c>
      <c r="D5083" s="1" t="s">
        <v>8187</v>
      </c>
      <c r="F5083" s="1" t="s">
        <v>8506</v>
      </c>
      <c r="H5083" s="1" t="s">
        <v>8512</v>
      </c>
      <c r="J5083" s="1" t="s">
        <v>1067</v>
      </c>
      <c r="L5083" s="1" t="s">
        <v>1102</v>
      </c>
      <c r="N5083" s="1" t="s">
        <v>1103</v>
      </c>
      <c r="P5083" s="1" t="s">
        <v>1108</v>
      </c>
      <c r="Q5083" s="3">
        <v>0</v>
      </c>
      <c r="R5083" s="22" t="s">
        <v>2723</v>
      </c>
      <c r="T5083" s="3" t="s">
        <v>4868</v>
      </c>
      <c r="U5083" s="45">
        <v>35</v>
      </c>
      <c r="V5083" t="s">
        <v>8191</v>
      </c>
      <c r="W5083" s="1" t="str">
        <f>HYPERLINK("http://ictvonline.org/taxonomy/p/taxonomy-history?taxnode_id=201901944","ICTVonline=201901944")</f>
        <v>ICTVonline=201901944</v>
      </c>
    </row>
    <row r="5084" spans="1:23">
      <c r="A5084" s="3">
        <v>5083</v>
      </c>
      <c r="B5084" s="1" t="s">
        <v>5910</v>
      </c>
      <c r="D5084" s="1" t="s">
        <v>8187</v>
      </c>
      <c r="F5084" s="1" t="s">
        <v>8506</v>
      </c>
      <c r="H5084" s="1" t="s">
        <v>8512</v>
      </c>
      <c r="J5084" s="1" t="s">
        <v>1067</v>
      </c>
      <c r="L5084" s="1" t="s">
        <v>1102</v>
      </c>
      <c r="N5084" s="1" t="s">
        <v>1103</v>
      </c>
      <c r="P5084" s="1" t="s">
        <v>3</v>
      </c>
      <c r="Q5084" s="3">
        <v>0</v>
      </c>
      <c r="R5084" s="22" t="s">
        <v>2723</v>
      </c>
      <c r="T5084" s="3" t="s">
        <v>4868</v>
      </c>
      <c r="U5084" s="45">
        <v>35</v>
      </c>
      <c r="V5084" t="s">
        <v>8191</v>
      </c>
      <c r="W5084" s="1" t="str">
        <f>HYPERLINK("http://ictvonline.org/taxonomy/p/taxonomy-history?taxnode_id=201901945","ICTVonline=201901945")</f>
        <v>ICTVonline=201901945</v>
      </c>
    </row>
    <row r="5085" spans="1:23">
      <c r="A5085" s="3">
        <v>5084</v>
      </c>
      <c r="B5085" s="1" t="s">
        <v>5910</v>
      </c>
      <c r="D5085" s="1" t="s">
        <v>8187</v>
      </c>
      <c r="F5085" s="1" t="s">
        <v>8506</v>
      </c>
      <c r="H5085" s="1" t="s">
        <v>8512</v>
      </c>
      <c r="J5085" s="1" t="s">
        <v>1067</v>
      </c>
      <c r="L5085" s="1" t="s">
        <v>1102</v>
      </c>
      <c r="N5085" s="1" t="s">
        <v>1103</v>
      </c>
      <c r="P5085" s="1" t="s">
        <v>3596</v>
      </c>
      <c r="Q5085" s="3">
        <v>0</v>
      </c>
      <c r="R5085" s="22" t="s">
        <v>2723</v>
      </c>
      <c r="T5085" s="3" t="s">
        <v>4868</v>
      </c>
      <c r="U5085" s="45">
        <v>35</v>
      </c>
      <c r="V5085" t="s">
        <v>8191</v>
      </c>
      <c r="W5085" s="1" t="str">
        <f>HYPERLINK("http://ictvonline.org/taxonomy/p/taxonomy-history?taxnode_id=201901946","ICTVonline=201901946")</f>
        <v>ICTVonline=201901946</v>
      </c>
    </row>
    <row r="5086" spans="1:23">
      <c r="A5086" s="3">
        <v>5085</v>
      </c>
      <c r="B5086" s="1" t="s">
        <v>5910</v>
      </c>
      <c r="D5086" s="1" t="s">
        <v>8187</v>
      </c>
      <c r="F5086" s="1" t="s">
        <v>8506</v>
      </c>
      <c r="H5086" s="1" t="s">
        <v>8512</v>
      </c>
      <c r="J5086" s="1" t="s">
        <v>1067</v>
      </c>
      <c r="L5086" s="1" t="s">
        <v>1102</v>
      </c>
      <c r="N5086" s="1" t="s">
        <v>1103</v>
      </c>
      <c r="P5086" s="1" t="s">
        <v>3597</v>
      </c>
      <c r="Q5086" s="3">
        <v>0</v>
      </c>
      <c r="R5086" s="22" t="s">
        <v>2723</v>
      </c>
      <c r="T5086" s="3" t="s">
        <v>4868</v>
      </c>
      <c r="U5086" s="45">
        <v>35</v>
      </c>
      <c r="V5086" t="s">
        <v>8191</v>
      </c>
      <c r="W5086" s="1" t="str">
        <f>HYPERLINK("http://ictvonline.org/taxonomy/p/taxonomy-history?taxnode_id=201901947","ICTVonline=201901947")</f>
        <v>ICTVonline=201901947</v>
      </c>
    </row>
    <row r="5087" spans="1:23">
      <c r="A5087" s="3">
        <v>5086</v>
      </c>
      <c r="B5087" s="1" t="s">
        <v>5910</v>
      </c>
      <c r="D5087" s="1" t="s">
        <v>8187</v>
      </c>
      <c r="F5087" s="1" t="s">
        <v>8506</v>
      </c>
      <c r="H5087" s="1" t="s">
        <v>8512</v>
      </c>
      <c r="J5087" s="1" t="s">
        <v>1067</v>
      </c>
      <c r="L5087" s="1" t="s">
        <v>1102</v>
      </c>
      <c r="N5087" s="1" t="s">
        <v>1103</v>
      </c>
      <c r="P5087" s="1" t="s">
        <v>5094</v>
      </c>
      <c r="Q5087" s="3">
        <v>0</v>
      </c>
      <c r="R5087" s="22" t="s">
        <v>2723</v>
      </c>
      <c r="T5087" s="3" t="s">
        <v>4868</v>
      </c>
      <c r="U5087" s="45">
        <v>35</v>
      </c>
      <c r="V5087" t="s">
        <v>8191</v>
      </c>
      <c r="W5087" s="1" t="str">
        <f>HYPERLINK("http://ictvonline.org/taxonomy/p/taxonomy-history?taxnode_id=201901948","ICTVonline=201901948")</f>
        <v>ICTVonline=201901948</v>
      </c>
    </row>
    <row r="5088" spans="1:23">
      <c r="A5088" s="3">
        <v>5087</v>
      </c>
      <c r="B5088" s="1" t="s">
        <v>5910</v>
      </c>
      <c r="D5088" s="1" t="s">
        <v>8187</v>
      </c>
      <c r="F5088" s="1" t="s">
        <v>8506</v>
      </c>
      <c r="H5088" s="1" t="s">
        <v>8512</v>
      </c>
      <c r="J5088" s="1" t="s">
        <v>1067</v>
      </c>
      <c r="L5088" s="1" t="s">
        <v>1109</v>
      </c>
      <c r="N5088" s="1" t="s">
        <v>6</v>
      </c>
      <c r="P5088" s="1" t="s">
        <v>5138</v>
      </c>
      <c r="Q5088" s="3">
        <v>0</v>
      </c>
      <c r="R5088" s="22" t="s">
        <v>2723</v>
      </c>
      <c r="T5088" s="3" t="s">
        <v>4868</v>
      </c>
      <c r="U5088" s="45">
        <v>35</v>
      </c>
      <c r="V5088" t="s">
        <v>8191</v>
      </c>
      <c r="W5088" s="1" t="str">
        <f>HYPERLINK("http://ictvonline.org/taxonomy/p/taxonomy-history?taxnode_id=201902166","ICTVonline=201902166")</f>
        <v>ICTVonline=201902166</v>
      </c>
    </row>
    <row r="5089" spans="1:23">
      <c r="A5089" s="3">
        <v>5088</v>
      </c>
      <c r="B5089" s="1" t="s">
        <v>5910</v>
      </c>
      <c r="D5089" s="1" t="s">
        <v>8187</v>
      </c>
      <c r="F5089" s="1" t="s">
        <v>8506</v>
      </c>
      <c r="H5089" s="1" t="s">
        <v>8512</v>
      </c>
      <c r="J5089" s="1" t="s">
        <v>1067</v>
      </c>
      <c r="L5089" s="1" t="s">
        <v>1109</v>
      </c>
      <c r="N5089" s="1" t="s">
        <v>6</v>
      </c>
      <c r="P5089" s="1" t="s">
        <v>7</v>
      </c>
      <c r="Q5089" s="3">
        <v>0</v>
      </c>
      <c r="R5089" s="22" t="s">
        <v>2723</v>
      </c>
      <c r="T5089" s="3" t="s">
        <v>4868</v>
      </c>
      <c r="U5089" s="45">
        <v>35</v>
      </c>
      <c r="V5089" t="s">
        <v>8191</v>
      </c>
      <c r="W5089" s="1" t="str">
        <f>HYPERLINK("http://ictvonline.org/taxonomy/p/taxonomy-history?taxnode_id=201902167","ICTVonline=201902167")</f>
        <v>ICTVonline=201902167</v>
      </c>
    </row>
    <row r="5090" spans="1:23">
      <c r="A5090" s="3">
        <v>5089</v>
      </c>
      <c r="B5090" s="1" t="s">
        <v>5910</v>
      </c>
      <c r="D5090" s="1" t="s">
        <v>8187</v>
      </c>
      <c r="F5090" s="1" t="s">
        <v>8506</v>
      </c>
      <c r="H5090" s="1" t="s">
        <v>8512</v>
      </c>
      <c r="J5090" s="1" t="s">
        <v>1067</v>
      </c>
      <c r="L5090" s="1" t="s">
        <v>1109</v>
      </c>
      <c r="N5090" s="1" t="s">
        <v>6</v>
      </c>
      <c r="P5090" s="1" t="s">
        <v>8</v>
      </c>
      <c r="Q5090" s="3">
        <v>1</v>
      </c>
      <c r="R5090" s="22" t="s">
        <v>2723</v>
      </c>
      <c r="T5090" s="3" t="s">
        <v>4868</v>
      </c>
      <c r="U5090" s="45">
        <v>35</v>
      </c>
      <c r="V5090" t="s">
        <v>8191</v>
      </c>
      <c r="W5090" s="1" t="str">
        <f>HYPERLINK("http://ictvonline.org/taxonomy/p/taxonomy-history?taxnode_id=201902168","ICTVonline=201902168")</f>
        <v>ICTVonline=201902168</v>
      </c>
    </row>
    <row r="5091" spans="1:23">
      <c r="A5091" s="3">
        <v>5090</v>
      </c>
      <c r="B5091" s="1" t="s">
        <v>5910</v>
      </c>
      <c r="D5091" s="1" t="s">
        <v>8187</v>
      </c>
      <c r="F5091" s="1" t="s">
        <v>8506</v>
      </c>
      <c r="H5091" s="1" t="s">
        <v>8512</v>
      </c>
      <c r="J5091" s="1" t="s">
        <v>1067</v>
      </c>
      <c r="L5091" s="1" t="s">
        <v>1109</v>
      </c>
      <c r="N5091" s="1" t="s">
        <v>6078</v>
      </c>
      <c r="P5091" s="1" t="s">
        <v>6079</v>
      </c>
      <c r="Q5091" s="3">
        <v>1</v>
      </c>
      <c r="R5091" s="22" t="s">
        <v>2723</v>
      </c>
      <c r="T5091" s="3" t="s">
        <v>4868</v>
      </c>
      <c r="U5091" s="45">
        <v>35</v>
      </c>
      <c r="V5091" t="s">
        <v>8191</v>
      </c>
      <c r="W5091" s="1" t="str">
        <f>HYPERLINK("http://ictvonline.org/taxonomy/p/taxonomy-history?taxnode_id=201906540","ICTVonline=201906540")</f>
        <v>ICTVonline=201906540</v>
      </c>
    </row>
    <row r="5092" spans="1:23">
      <c r="A5092" s="3">
        <v>5091</v>
      </c>
      <c r="B5092" s="1" t="s">
        <v>5910</v>
      </c>
      <c r="D5092" s="1" t="s">
        <v>8187</v>
      </c>
      <c r="F5092" s="1" t="s">
        <v>8506</v>
      </c>
      <c r="H5092" s="1" t="s">
        <v>8512</v>
      </c>
      <c r="J5092" s="1" t="s">
        <v>1067</v>
      </c>
      <c r="L5092" s="1" t="s">
        <v>1109</v>
      </c>
      <c r="N5092" s="1" t="s">
        <v>9</v>
      </c>
      <c r="P5092" s="1" t="s">
        <v>10</v>
      </c>
      <c r="Q5092" s="3">
        <v>1</v>
      </c>
      <c r="R5092" s="22" t="s">
        <v>2723</v>
      </c>
      <c r="T5092" s="3" t="s">
        <v>4868</v>
      </c>
      <c r="U5092" s="45">
        <v>35</v>
      </c>
      <c r="V5092" t="s">
        <v>8191</v>
      </c>
      <c r="W5092" s="1" t="str">
        <f>HYPERLINK("http://ictvonline.org/taxonomy/p/taxonomy-history?taxnode_id=201902170","ICTVonline=201902170")</f>
        <v>ICTVonline=201902170</v>
      </c>
    </row>
    <row r="5093" spans="1:23">
      <c r="A5093" s="3">
        <v>5092</v>
      </c>
      <c r="B5093" s="1" t="s">
        <v>5910</v>
      </c>
      <c r="D5093" s="1" t="s">
        <v>8187</v>
      </c>
      <c r="F5093" s="1" t="s">
        <v>8506</v>
      </c>
      <c r="H5093" s="1" t="s">
        <v>8512</v>
      </c>
      <c r="J5093" s="1" t="s">
        <v>1067</v>
      </c>
      <c r="L5093" s="1" t="s">
        <v>1109</v>
      </c>
      <c r="N5093" s="1" t="s">
        <v>6080</v>
      </c>
      <c r="P5093" s="1" t="s">
        <v>6081</v>
      </c>
      <c r="Q5093" s="3">
        <v>1</v>
      </c>
      <c r="R5093" s="22" t="s">
        <v>2723</v>
      </c>
      <c r="T5093" s="3" t="s">
        <v>4868</v>
      </c>
      <c r="U5093" s="45">
        <v>35</v>
      </c>
      <c r="V5093" t="s">
        <v>8191</v>
      </c>
      <c r="W5093" s="1" t="str">
        <f>HYPERLINK("http://ictvonline.org/taxonomy/p/taxonomy-history?taxnode_id=201906538","ICTVonline=201906538")</f>
        <v>ICTVonline=201906538</v>
      </c>
    </row>
    <row r="5094" spans="1:23">
      <c r="A5094" s="3">
        <v>5093</v>
      </c>
      <c r="B5094" s="1" t="s">
        <v>5910</v>
      </c>
      <c r="D5094" s="1" t="s">
        <v>8187</v>
      </c>
      <c r="F5094" s="1" t="s">
        <v>8506</v>
      </c>
      <c r="H5094" s="1" t="s">
        <v>8512</v>
      </c>
      <c r="J5094" s="1" t="s">
        <v>1067</v>
      </c>
      <c r="L5094" s="1" t="s">
        <v>1109</v>
      </c>
      <c r="N5094" s="1" t="s">
        <v>6080</v>
      </c>
      <c r="P5094" s="1" t="s">
        <v>6082</v>
      </c>
      <c r="Q5094" s="3">
        <v>0</v>
      </c>
      <c r="R5094" s="22" t="s">
        <v>2723</v>
      </c>
      <c r="T5094" s="3" t="s">
        <v>4868</v>
      </c>
      <c r="U5094" s="45">
        <v>35</v>
      </c>
      <c r="V5094" t="s">
        <v>8191</v>
      </c>
      <c r="W5094" s="1" t="str">
        <f>HYPERLINK("http://ictvonline.org/taxonomy/p/taxonomy-history?taxnode_id=201906536","ICTVonline=201906536")</f>
        <v>ICTVonline=201906536</v>
      </c>
    </row>
    <row r="5095" spans="1:23">
      <c r="A5095" s="3">
        <v>5094</v>
      </c>
      <c r="B5095" s="1" t="s">
        <v>5910</v>
      </c>
      <c r="D5095" s="1" t="s">
        <v>8187</v>
      </c>
      <c r="F5095" s="1" t="s">
        <v>8506</v>
      </c>
      <c r="H5095" s="1" t="s">
        <v>8512</v>
      </c>
      <c r="J5095" s="1" t="s">
        <v>1067</v>
      </c>
      <c r="L5095" s="1" t="s">
        <v>1109</v>
      </c>
      <c r="N5095" s="1" t="s">
        <v>6080</v>
      </c>
      <c r="P5095" s="1" t="s">
        <v>6083</v>
      </c>
      <c r="Q5095" s="3">
        <v>0</v>
      </c>
      <c r="R5095" s="22" t="s">
        <v>2723</v>
      </c>
      <c r="T5095" s="3" t="s">
        <v>4868</v>
      </c>
      <c r="U5095" s="45">
        <v>35</v>
      </c>
      <c r="V5095" t="s">
        <v>8191</v>
      </c>
      <c r="W5095" s="1" t="str">
        <f>HYPERLINK("http://ictvonline.org/taxonomy/p/taxonomy-history?taxnode_id=201906535","ICTVonline=201906535")</f>
        <v>ICTVonline=201906535</v>
      </c>
    </row>
    <row r="5096" spans="1:23">
      <c r="A5096" s="3">
        <v>5095</v>
      </c>
      <c r="B5096" s="1" t="s">
        <v>5910</v>
      </c>
      <c r="D5096" s="1" t="s">
        <v>8187</v>
      </c>
      <c r="F5096" s="1" t="s">
        <v>8506</v>
      </c>
      <c r="H5096" s="1" t="s">
        <v>8512</v>
      </c>
      <c r="J5096" s="1" t="s">
        <v>1067</v>
      </c>
      <c r="L5096" s="1" t="s">
        <v>1109</v>
      </c>
      <c r="N5096" s="1" t="s">
        <v>6080</v>
      </c>
      <c r="P5096" s="1" t="s">
        <v>6084</v>
      </c>
      <c r="Q5096" s="3">
        <v>0</v>
      </c>
      <c r="R5096" s="22" t="s">
        <v>2723</v>
      </c>
      <c r="T5096" s="3" t="s">
        <v>4868</v>
      </c>
      <c r="U5096" s="45">
        <v>35</v>
      </c>
      <c r="V5096" t="s">
        <v>8191</v>
      </c>
      <c r="W5096" s="1" t="str">
        <f>HYPERLINK("http://ictvonline.org/taxonomy/p/taxonomy-history?taxnode_id=201906537","ICTVonline=201906537")</f>
        <v>ICTVonline=201906537</v>
      </c>
    </row>
    <row r="5097" spans="1:23">
      <c r="A5097" s="3">
        <v>5096</v>
      </c>
      <c r="B5097" s="1" t="s">
        <v>5910</v>
      </c>
      <c r="D5097" s="1" t="s">
        <v>8187</v>
      </c>
      <c r="F5097" s="1" t="s">
        <v>8506</v>
      </c>
      <c r="H5097" s="1" t="s">
        <v>8512</v>
      </c>
      <c r="J5097" s="1" t="s">
        <v>1067</v>
      </c>
      <c r="L5097" s="1" t="s">
        <v>1109</v>
      </c>
      <c r="N5097" s="1" t="s">
        <v>1110</v>
      </c>
      <c r="P5097" s="1" t="s">
        <v>1111</v>
      </c>
      <c r="Q5097" s="3">
        <v>1</v>
      </c>
      <c r="R5097" s="22" t="s">
        <v>2723</v>
      </c>
      <c r="T5097" s="3" t="s">
        <v>4868</v>
      </c>
      <c r="U5097" s="45">
        <v>35</v>
      </c>
      <c r="V5097" t="s">
        <v>8191</v>
      </c>
      <c r="W5097" s="1" t="str">
        <f>HYPERLINK("http://ictvonline.org/taxonomy/p/taxonomy-history?taxnode_id=201901952","ICTVonline=201901952")</f>
        <v>ICTVonline=201901952</v>
      </c>
    </row>
    <row r="5098" spans="1:23">
      <c r="A5098" s="3">
        <v>5097</v>
      </c>
      <c r="B5098" s="1" t="s">
        <v>5910</v>
      </c>
      <c r="D5098" s="1" t="s">
        <v>8187</v>
      </c>
      <c r="F5098" s="1" t="s">
        <v>8506</v>
      </c>
      <c r="H5098" s="1" t="s">
        <v>8512</v>
      </c>
      <c r="J5098" s="1" t="s">
        <v>1067</v>
      </c>
      <c r="L5098" s="1" t="s">
        <v>1109</v>
      </c>
      <c r="N5098" s="1" t="s">
        <v>6085</v>
      </c>
      <c r="P5098" s="1" t="s">
        <v>6086</v>
      </c>
      <c r="Q5098" s="3">
        <v>0</v>
      </c>
      <c r="R5098" s="22" t="s">
        <v>2723</v>
      </c>
      <c r="T5098" s="3" t="s">
        <v>4868</v>
      </c>
      <c r="U5098" s="45">
        <v>35</v>
      </c>
      <c r="V5098" t="s">
        <v>8191</v>
      </c>
      <c r="W5098" s="1" t="str">
        <f>HYPERLINK("http://ictvonline.org/taxonomy/p/taxonomy-history?taxnode_id=201906551","ICTVonline=201906551")</f>
        <v>ICTVonline=201906551</v>
      </c>
    </row>
    <row r="5099" spans="1:23">
      <c r="A5099" s="3">
        <v>5098</v>
      </c>
      <c r="B5099" s="1" t="s">
        <v>5910</v>
      </c>
      <c r="D5099" s="1" t="s">
        <v>8187</v>
      </c>
      <c r="F5099" s="1" t="s">
        <v>8506</v>
      </c>
      <c r="H5099" s="1" t="s">
        <v>8512</v>
      </c>
      <c r="J5099" s="1" t="s">
        <v>1067</v>
      </c>
      <c r="L5099" s="1" t="s">
        <v>1109</v>
      </c>
      <c r="N5099" s="1" t="s">
        <v>6085</v>
      </c>
      <c r="P5099" s="1" t="s">
        <v>6087</v>
      </c>
      <c r="Q5099" s="3">
        <v>1</v>
      </c>
      <c r="R5099" s="22" t="s">
        <v>2723</v>
      </c>
      <c r="T5099" s="3" t="s">
        <v>4868</v>
      </c>
      <c r="U5099" s="45">
        <v>35</v>
      </c>
      <c r="V5099" t="s">
        <v>8191</v>
      </c>
      <c r="W5099" s="1" t="str">
        <f>HYPERLINK("http://ictvonline.org/taxonomy/p/taxonomy-history?taxnode_id=201906549","ICTVonline=201906549")</f>
        <v>ICTVonline=201906549</v>
      </c>
    </row>
    <row r="5100" spans="1:23">
      <c r="A5100" s="3">
        <v>5099</v>
      </c>
      <c r="B5100" s="1" t="s">
        <v>5910</v>
      </c>
      <c r="D5100" s="1" t="s">
        <v>8187</v>
      </c>
      <c r="F5100" s="1" t="s">
        <v>8506</v>
      </c>
      <c r="H5100" s="1" t="s">
        <v>8512</v>
      </c>
      <c r="J5100" s="1" t="s">
        <v>1067</v>
      </c>
      <c r="L5100" s="1" t="s">
        <v>1109</v>
      </c>
      <c r="N5100" s="1" t="s">
        <v>6085</v>
      </c>
      <c r="P5100" s="1" t="s">
        <v>6088</v>
      </c>
      <c r="Q5100" s="3">
        <v>0</v>
      </c>
      <c r="R5100" s="22" t="s">
        <v>2723</v>
      </c>
      <c r="T5100" s="3" t="s">
        <v>4868</v>
      </c>
      <c r="U5100" s="45">
        <v>35</v>
      </c>
      <c r="V5100" t="s">
        <v>8191</v>
      </c>
      <c r="W5100" s="1" t="str">
        <f>HYPERLINK("http://ictvonline.org/taxonomy/p/taxonomy-history?taxnode_id=201906552","ICTVonline=201906552")</f>
        <v>ICTVonline=201906552</v>
      </c>
    </row>
    <row r="5101" spans="1:23">
      <c r="A5101" s="3">
        <v>5100</v>
      </c>
      <c r="B5101" s="1" t="s">
        <v>5910</v>
      </c>
      <c r="D5101" s="1" t="s">
        <v>8187</v>
      </c>
      <c r="F5101" s="1" t="s">
        <v>8506</v>
      </c>
      <c r="H5101" s="1" t="s">
        <v>8512</v>
      </c>
      <c r="J5101" s="1" t="s">
        <v>1067</v>
      </c>
      <c r="L5101" s="1" t="s">
        <v>1109</v>
      </c>
      <c r="N5101" s="1" t="s">
        <v>6085</v>
      </c>
      <c r="P5101" s="1" t="s">
        <v>6089</v>
      </c>
      <c r="Q5101" s="3">
        <v>0</v>
      </c>
      <c r="R5101" s="22" t="s">
        <v>2723</v>
      </c>
      <c r="T5101" s="3" t="s">
        <v>4868</v>
      </c>
      <c r="U5101" s="45">
        <v>35</v>
      </c>
      <c r="V5101" t="s">
        <v>8191</v>
      </c>
      <c r="W5101" s="1" t="str">
        <f>HYPERLINK("http://ictvonline.org/taxonomy/p/taxonomy-history?taxnode_id=201906550","ICTVonline=201906550")</f>
        <v>ICTVonline=201906550</v>
      </c>
    </row>
    <row r="5102" spans="1:23">
      <c r="A5102" s="3">
        <v>5101</v>
      </c>
      <c r="B5102" s="1" t="s">
        <v>5910</v>
      </c>
      <c r="D5102" s="1" t="s">
        <v>8187</v>
      </c>
      <c r="F5102" s="1" t="s">
        <v>8506</v>
      </c>
      <c r="H5102" s="1" t="s">
        <v>8512</v>
      </c>
      <c r="J5102" s="1" t="s">
        <v>1067</v>
      </c>
      <c r="L5102" s="1" t="s">
        <v>1109</v>
      </c>
      <c r="N5102" s="1" t="s">
        <v>6090</v>
      </c>
      <c r="P5102" s="1" t="s">
        <v>6091</v>
      </c>
      <c r="Q5102" s="3">
        <v>0</v>
      </c>
      <c r="R5102" s="22" t="s">
        <v>2723</v>
      </c>
      <c r="T5102" s="3" t="s">
        <v>4868</v>
      </c>
      <c r="U5102" s="45">
        <v>35</v>
      </c>
      <c r="V5102" t="s">
        <v>8191</v>
      </c>
      <c r="W5102" s="1" t="str">
        <f>HYPERLINK("http://ictvonline.org/taxonomy/p/taxonomy-history?taxnode_id=201906542","ICTVonline=201906542")</f>
        <v>ICTVonline=201906542</v>
      </c>
    </row>
    <row r="5103" spans="1:23">
      <c r="A5103" s="3">
        <v>5102</v>
      </c>
      <c r="B5103" s="1" t="s">
        <v>5910</v>
      </c>
      <c r="D5103" s="1" t="s">
        <v>8187</v>
      </c>
      <c r="F5103" s="1" t="s">
        <v>8506</v>
      </c>
      <c r="H5103" s="1" t="s">
        <v>8512</v>
      </c>
      <c r="J5103" s="1" t="s">
        <v>1067</v>
      </c>
      <c r="L5103" s="1" t="s">
        <v>1109</v>
      </c>
      <c r="N5103" s="1" t="s">
        <v>6090</v>
      </c>
      <c r="P5103" s="1" t="s">
        <v>6092</v>
      </c>
      <c r="Q5103" s="3">
        <v>0</v>
      </c>
      <c r="R5103" s="22" t="s">
        <v>2723</v>
      </c>
      <c r="T5103" s="3" t="s">
        <v>4868</v>
      </c>
      <c r="U5103" s="45">
        <v>35</v>
      </c>
      <c r="V5103" t="s">
        <v>8191</v>
      </c>
      <c r="W5103" s="1" t="str">
        <f>HYPERLINK("http://ictvonline.org/taxonomy/p/taxonomy-history?taxnode_id=201906544","ICTVonline=201906544")</f>
        <v>ICTVonline=201906544</v>
      </c>
    </row>
    <row r="5104" spans="1:23">
      <c r="A5104" s="3">
        <v>5103</v>
      </c>
      <c r="B5104" s="1" t="s">
        <v>5910</v>
      </c>
      <c r="D5104" s="1" t="s">
        <v>8187</v>
      </c>
      <c r="F5104" s="1" t="s">
        <v>8506</v>
      </c>
      <c r="H5104" s="1" t="s">
        <v>8512</v>
      </c>
      <c r="J5104" s="1" t="s">
        <v>1067</v>
      </c>
      <c r="L5104" s="1" t="s">
        <v>1109</v>
      </c>
      <c r="N5104" s="1" t="s">
        <v>6090</v>
      </c>
      <c r="P5104" s="1" t="s">
        <v>6093</v>
      </c>
      <c r="Q5104" s="3">
        <v>0</v>
      </c>
      <c r="R5104" s="22" t="s">
        <v>2723</v>
      </c>
      <c r="T5104" s="3" t="s">
        <v>4868</v>
      </c>
      <c r="U5104" s="45">
        <v>35</v>
      </c>
      <c r="V5104" t="s">
        <v>8191</v>
      </c>
      <c r="W5104" s="1" t="str">
        <f>HYPERLINK("http://ictvonline.org/taxonomy/p/taxonomy-history?taxnode_id=201906547","ICTVonline=201906547")</f>
        <v>ICTVonline=201906547</v>
      </c>
    </row>
    <row r="5105" spans="1:23">
      <c r="A5105" s="3">
        <v>5104</v>
      </c>
      <c r="B5105" s="1" t="s">
        <v>5910</v>
      </c>
      <c r="D5105" s="1" t="s">
        <v>8187</v>
      </c>
      <c r="F5105" s="1" t="s">
        <v>8506</v>
      </c>
      <c r="H5105" s="1" t="s">
        <v>8512</v>
      </c>
      <c r="J5105" s="1" t="s">
        <v>1067</v>
      </c>
      <c r="L5105" s="1" t="s">
        <v>1109</v>
      </c>
      <c r="N5105" s="1" t="s">
        <v>6090</v>
      </c>
      <c r="P5105" s="1" t="s">
        <v>6094</v>
      </c>
      <c r="Q5105" s="3">
        <v>1</v>
      </c>
      <c r="R5105" s="22" t="s">
        <v>2723</v>
      </c>
      <c r="T5105" s="3" t="s">
        <v>4868</v>
      </c>
      <c r="U5105" s="45">
        <v>35</v>
      </c>
      <c r="V5105" t="s">
        <v>8191</v>
      </c>
      <c r="W5105" s="1" t="str">
        <f>HYPERLINK("http://ictvonline.org/taxonomy/p/taxonomy-history?taxnode_id=201906546","ICTVonline=201906546")</f>
        <v>ICTVonline=201906546</v>
      </c>
    </row>
    <row r="5106" spans="1:23">
      <c r="A5106" s="3">
        <v>5105</v>
      </c>
      <c r="B5106" s="1" t="s">
        <v>5910</v>
      </c>
      <c r="D5106" s="1" t="s">
        <v>8187</v>
      </c>
      <c r="F5106" s="1" t="s">
        <v>8506</v>
      </c>
      <c r="H5106" s="1" t="s">
        <v>8512</v>
      </c>
      <c r="J5106" s="1" t="s">
        <v>1067</v>
      </c>
      <c r="L5106" s="1" t="s">
        <v>1109</v>
      </c>
      <c r="N5106" s="1" t="s">
        <v>6090</v>
      </c>
      <c r="P5106" s="1" t="s">
        <v>6095</v>
      </c>
      <c r="Q5106" s="3">
        <v>0</v>
      </c>
      <c r="R5106" s="22" t="s">
        <v>2723</v>
      </c>
      <c r="T5106" s="3" t="s">
        <v>4868</v>
      </c>
      <c r="U5106" s="45">
        <v>35</v>
      </c>
      <c r="V5106" t="s">
        <v>8191</v>
      </c>
      <c r="W5106" s="1" t="str">
        <f>HYPERLINK("http://ictvonline.org/taxonomy/p/taxonomy-history?taxnode_id=201906545","ICTVonline=201906545")</f>
        <v>ICTVonline=201906545</v>
      </c>
    </row>
    <row r="5107" spans="1:23">
      <c r="A5107" s="3">
        <v>5106</v>
      </c>
      <c r="B5107" s="1" t="s">
        <v>5910</v>
      </c>
      <c r="D5107" s="1" t="s">
        <v>8187</v>
      </c>
      <c r="F5107" s="1" t="s">
        <v>8506</v>
      </c>
      <c r="H5107" s="1" t="s">
        <v>8512</v>
      </c>
      <c r="J5107" s="1" t="s">
        <v>1067</v>
      </c>
      <c r="L5107" s="1" t="s">
        <v>1109</v>
      </c>
      <c r="N5107" s="1" t="s">
        <v>6090</v>
      </c>
      <c r="P5107" s="1" t="s">
        <v>6096</v>
      </c>
      <c r="Q5107" s="3">
        <v>0</v>
      </c>
      <c r="R5107" s="22" t="s">
        <v>2723</v>
      </c>
      <c r="T5107" s="3" t="s">
        <v>4868</v>
      </c>
      <c r="U5107" s="45">
        <v>35</v>
      </c>
      <c r="V5107" t="s">
        <v>8191</v>
      </c>
      <c r="W5107" s="1" t="str">
        <f>HYPERLINK("http://ictvonline.org/taxonomy/p/taxonomy-history?taxnode_id=201906543","ICTVonline=201906543")</f>
        <v>ICTVonline=201906543</v>
      </c>
    </row>
    <row r="5108" spans="1:23">
      <c r="A5108" s="3">
        <v>5107</v>
      </c>
      <c r="B5108" s="1" t="s">
        <v>5910</v>
      </c>
      <c r="D5108" s="1" t="s">
        <v>8187</v>
      </c>
      <c r="F5108" s="1" t="s">
        <v>8506</v>
      </c>
      <c r="H5108" s="1" t="s">
        <v>8512</v>
      </c>
      <c r="J5108" s="1" t="s">
        <v>1067</v>
      </c>
      <c r="L5108" s="1" t="s">
        <v>1112</v>
      </c>
      <c r="N5108" s="1" t="s">
        <v>5095</v>
      </c>
      <c r="P5108" s="1" t="s">
        <v>5096</v>
      </c>
      <c r="Q5108" s="3">
        <v>1</v>
      </c>
      <c r="R5108" s="22" t="s">
        <v>2723</v>
      </c>
      <c r="T5108" s="3" t="s">
        <v>4868</v>
      </c>
      <c r="U5108" s="45">
        <v>35</v>
      </c>
      <c r="V5108" t="s">
        <v>8191</v>
      </c>
      <c r="W5108" s="1" t="str">
        <f>HYPERLINK("http://ictvonline.org/taxonomy/p/taxonomy-history?taxnode_id=201905589","ICTVonline=201905589")</f>
        <v>ICTVonline=201905589</v>
      </c>
    </row>
    <row r="5109" spans="1:23">
      <c r="A5109" s="3">
        <v>5108</v>
      </c>
      <c r="B5109" s="1" t="s">
        <v>5910</v>
      </c>
      <c r="D5109" s="1" t="s">
        <v>8187</v>
      </c>
      <c r="F5109" s="1" t="s">
        <v>8506</v>
      </c>
      <c r="H5109" s="1" t="s">
        <v>8512</v>
      </c>
      <c r="J5109" s="1" t="s">
        <v>1067</v>
      </c>
      <c r="L5109" s="1" t="s">
        <v>1112</v>
      </c>
      <c r="N5109" s="1" t="s">
        <v>6097</v>
      </c>
      <c r="P5109" s="1" t="s">
        <v>6098</v>
      </c>
      <c r="Q5109" s="3">
        <v>1</v>
      </c>
      <c r="R5109" s="22" t="s">
        <v>2723</v>
      </c>
      <c r="T5109" s="3" t="s">
        <v>4868</v>
      </c>
      <c r="U5109" s="45">
        <v>35</v>
      </c>
      <c r="V5109" t="s">
        <v>8191</v>
      </c>
      <c r="W5109" s="1" t="str">
        <f>HYPERLINK("http://ictvonline.org/taxonomy/p/taxonomy-history?taxnode_id=201906525","ICTVonline=201906525")</f>
        <v>ICTVonline=201906525</v>
      </c>
    </row>
    <row r="5110" spans="1:23">
      <c r="A5110" s="3">
        <v>5109</v>
      </c>
      <c r="B5110" s="1" t="s">
        <v>5910</v>
      </c>
      <c r="D5110" s="1" t="s">
        <v>8187</v>
      </c>
      <c r="F5110" s="1" t="s">
        <v>8506</v>
      </c>
      <c r="H5110" s="1" t="s">
        <v>8512</v>
      </c>
      <c r="J5110" s="1" t="s">
        <v>1067</v>
      </c>
      <c r="L5110" s="1" t="s">
        <v>1112</v>
      </c>
      <c r="N5110" s="1" t="s">
        <v>4524</v>
      </c>
      <c r="P5110" s="1" t="s">
        <v>4525</v>
      </c>
      <c r="Q5110" s="3">
        <v>1</v>
      </c>
      <c r="R5110" s="22" t="s">
        <v>2723</v>
      </c>
      <c r="T5110" s="3" t="s">
        <v>4868</v>
      </c>
      <c r="U5110" s="45">
        <v>35</v>
      </c>
      <c r="V5110" t="s">
        <v>8191</v>
      </c>
      <c r="W5110" s="1" t="str">
        <f>HYPERLINK("http://ictvonline.org/taxonomy/p/taxonomy-history?taxnode_id=201901956","ICTVonline=201901956")</f>
        <v>ICTVonline=201901956</v>
      </c>
    </row>
    <row r="5111" spans="1:23">
      <c r="A5111" s="3">
        <v>5110</v>
      </c>
      <c r="B5111" s="1" t="s">
        <v>5910</v>
      </c>
      <c r="D5111" s="1" t="s">
        <v>8187</v>
      </c>
      <c r="F5111" s="1" t="s">
        <v>8506</v>
      </c>
      <c r="H5111" s="1" t="s">
        <v>8512</v>
      </c>
      <c r="J5111" s="1" t="s">
        <v>1067</v>
      </c>
      <c r="L5111" s="1" t="s">
        <v>1112</v>
      </c>
      <c r="N5111" s="1" t="s">
        <v>6099</v>
      </c>
      <c r="P5111" s="1" t="s">
        <v>6100</v>
      </c>
      <c r="Q5111" s="3">
        <v>1</v>
      </c>
      <c r="R5111" s="22" t="s">
        <v>2723</v>
      </c>
      <c r="T5111" s="3" t="s">
        <v>4868</v>
      </c>
      <c r="U5111" s="45">
        <v>35</v>
      </c>
      <c r="V5111" t="s">
        <v>8191</v>
      </c>
      <c r="W5111" s="1" t="str">
        <f>HYPERLINK("http://ictvonline.org/taxonomy/p/taxonomy-history?taxnode_id=201902057","ICTVonline=201902057")</f>
        <v>ICTVonline=201902057</v>
      </c>
    </row>
    <row r="5112" spans="1:23">
      <c r="A5112" s="3">
        <v>5111</v>
      </c>
      <c r="B5112" s="1" t="s">
        <v>5910</v>
      </c>
      <c r="D5112" s="1" t="s">
        <v>8187</v>
      </c>
      <c r="F5112" s="1" t="s">
        <v>8506</v>
      </c>
      <c r="H5112" s="1" t="s">
        <v>8512</v>
      </c>
      <c r="J5112" s="1" t="s">
        <v>1067</v>
      </c>
      <c r="L5112" s="1" t="s">
        <v>1112</v>
      </c>
      <c r="N5112" s="1" t="s">
        <v>6099</v>
      </c>
      <c r="P5112" s="1" t="s">
        <v>8562</v>
      </c>
      <c r="Q5112" s="3">
        <v>0</v>
      </c>
      <c r="R5112" s="22" t="s">
        <v>2723</v>
      </c>
      <c r="T5112" s="3" t="s">
        <v>4866</v>
      </c>
      <c r="U5112" s="45">
        <v>35</v>
      </c>
      <c r="V5112" t="s">
        <v>8563</v>
      </c>
      <c r="W5112" s="1" t="str">
        <f>HYPERLINK("http://ictvonline.org/taxonomy/p/taxonomy-history?taxnode_id=201908674","ICTVonline=201908674")</f>
        <v>ICTVonline=201908674</v>
      </c>
    </row>
    <row r="5113" spans="1:23">
      <c r="A5113" s="3">
        <v>5112</v>
      </c>
      <c r="B5113" s="1" t="s">
        <v>5910</v>
      </c>
      <c r="D5113" s="1" t="s">
        <v>8187</v>
      </c>
      <c r="F5113" s="1" t="s">
        <v>8506</v>
      </c>
      <c r="H5113" s="1" t="s">
        <v>8512</v>
      </c>
      <c r="J5113" s="1" t="s">
        <v>1067</v>
      </c>
      <c r="L5113" s="1" t="s">
        <v>1112</v>
      </c>
      <c r="N5113" s="1" t="s">
        <v>1036</v>
      </c>
      <c r="P5113" s="1" t="s">
        <v>4</v>
      </c>
      <c r="Q5113" s="3">
        <v>0</v>
      </c>
      <c r="R5113" s="22" t="s">
        <v>2723</v>
      </c>
      <c r="T5113" s="3" t="s">
        <v>4868</v>
      </c>
      <c r="U5113" s="45">
        <v>35</v>
      </c>
      <c r="V5113" t="s">
        <v>8191</v>
      </c>
      <c r="W5113" s="1" t="str">
        <f>HYPERLINK("http://ictvonline.org/taxonomy/p/taxonomy-history?taxnode_id=201901958","ICTVonline=201901958")</f>
        <v>ICTVonline=201901958</v>
      </c>
    </row>
    <row r="5114" spans="1:23">
      <c r="A5114" s="3">
        <v>5113</v>
      </c>
      <c r="B5114" s="1" t="s">
        <v>5910</v>
      </c>
      <c r="D5114" s="1" t="s">
        <v>8187</v>
      </c>
      <c r="F5114" s="1" t="s">
        <v>8506</v>
      </c>
      <c r="H5114" s="1" t="s">
        <v>8512</v>
      </c>
      <c r="J5114" s="1" t="s">
        <v>1067</v>
      </c>
      <c r="L5114" s="1" t="s">
        <v>1112</v>
      </c>
      <c r="N5114" s="1" t="s">
        <v>1036</v>
      </c>
      <c r="P5114" s="1" t="s">
        <v>2116</v>
      </c>
      <c r="Q5114" s="3">
        <v>0</v>
      </c>
      <c r="R5114" s="22" t="s">
        <v>2723</v>
      </c>
      <c r="T5114" s="3" t="s">
        <v>4868</v>
      </c>
      <c r="U5114" s="45">
        <v>35</v>
      </c>
      <c r="V5114" t="s">
        <v>8191</v>
      </c>
      <c r="W5114" s="1" t="str">
        <f>HYPERLINK("http://ictvonline.org/taxonomy/p/taxonomy-history?taxnode_id=201901959","ICTVonline=201901959")</f>
        <v>ICTVonline=201901959</v>
      </c>
    </row>
    <row r="5115" spans="1:23">
      <c r="A5115" s="3">
        <v>5114</v>
      </c>
      <c r="B5115" s="1" t="s">
        <v>5910</v>
      </c>
      <c r="D5115" s="1" t="s">
        <v>8187</v>
      </c>
      <c r="F5115" s="1" t="s">
        <v>8506</v>
      </c>
      <c r="H5115" s="1" t="s">
        <v>8512</v>
      </c>
      <c r="J5115" s="1" t="s">
        <v>1067</v>
      </c>
      <c r="L5115" s="1" t="s">
        <v>1112</v>
      </c>
      <c r="N5115" s="1" t="s">
        <v>1036</v>
      </c>
      <c r="P5115" s="1" t="s">
        <v>705</v>
      </c>
      <c r="Q5115" s="3">
        <v>0</v>
      </c>
      <c r="R5115" s="22" t="s">
        <v>2723</v>
      </c>
      <c r="T5115" s="3" t="s">
        <v>4868</v>
      </c>
      <c r="U5115" s="45">
        <v>35</v>
      </c>
      <c r="V5115" t="s">
        <v>8191</v>
      </c>
      <c r="W5115" s="1" t="str">
        <f>HYPERLINK("http://ictvonline.org/taxonomy/p/taxonomy-history?taxnode_id=201901960","ICTVonline=201901960")</f>
        <v>ICTVonline=201901960</v>
      </c>
    </row>
    <row r="5116" spans="1:23">
      <c r="A5116" s="3">
        <v>5115</v>
      </c>
      <c r="B5116" s="1" t="s">
        <v>5910</v>
      </c>
      <c r="D5116" s="1" t="s">
        <v>8187</v>
      </c>
      <c r="F5116" s="1" t="s">
        <v>8506</v>
      </c>
      <c r="H5116" s="1" t="s">
        <v>8512</v>
      </c>
      <c r="J5116" s="1" t="s">
        <v>1067</v>
      </c>
      <c r="L5116" s="1" t="s">
        <v>1112</v>
      </c>
      <c r="N5116" s="1" t="s">
        <v>1036</v>
      </c>
      <c r="P5116" s="1" t="s">
        <v>1741</v>
      </c>
      <c r="Q5116" s="3">
        <v>1</v>
      </c>
      <c r="R5116" s="22" t="s">
        <v>2723</v>
      </c>
      <c r="T5116" s="3" t="s">
        <v>4868</v>
      </c>
      <c r="U5116" s="45">
        <v>35</v>
      </c>
      <c r="V5116" t="s">
        <v>8191</v>
      </c>
      <c r="W5116" s="1" t="str">
        <f>HYPERLINK("http://ictvonline.org/taxonomy/p/taxonomy-history?taxnode_id=201901961","ICTVonline=201901961")</f>
        <v>ICTVonline=201901961</v>
      </c>
    </row>
    <row r="5117" spans="1:23">
      <c r="A5117" s="3">
        <v>5116</v>
      </c>
      <c r="B5117" s="1" t="s">
        <v>5910</v>
      </c>
      <c r="D5117" s="1" t="s">
        <v>8187</v>
      </c>
      <c r="F5117" s="1" t="s">
        <v>8506</v>
      </c>
      <c r="H5117" s="1" t="s">
        <v>8512</v>
      </c>
      <c r="J5117" s="1" t="s">
        <v>1067</v>
      </c>
      <c r="L5117" s="1" t="s">
        <v>1112</v>
      </c>
      <c r="N5117" s="1" t="s">
        <v>2157</v>
      </c>
      <c r="P5117" s="1" t="s">
        <v>2158</v>
      </c>
      <c r="Q5117" s="3">
        <v>1</v>
      </c>
      <c r="R5117" s="22" t="s">
        <v>2723</v>
      </c>
      <c r="T5117" s="3" t="s">
        <v>4868</v>
      </c>
      <c r="U5117" s="45">
        <v>35</v>
      </c>
      <c r="V5117" t="s">
        <v>8191</v>
      </c>
      <c r="W5117" s="1" t="str">
        <f>HYPERLINK("http://ictvonline.org/taxonomy/p/taxonomy-history?taxnode_id=201901963","ICTVonline=201901963")</f>
        <v>ICTVonline=201901963</v>
      </c>
    </row>
    <row r="5118" spans="1:23">
      <c r="A5118" s="3">
        <v>5117</v>
      </c>
      <c r="B5118" s="1" t="s">
        <v>5910</v>
      </c>
      <c r="D5118" s="1" t="s">
        <v>8187</v>
      </c>
      <c r="F5118" s="1" t="s">
        <v>8506</v>
      </c>
      <c r="H5118" s="1" t="s">
        <v>8512</v>
      </c>
      <c r="J5118" s="1" t="s">
        <v>1067</v>
      </c>
      <c r="L5118" s="1" t="s">
        <v>1112</v>
      </c>
      <c r="N5118" s="1" t="s">
        <v>1072</v>
      </c>
      <c r="P5118" s="1" t="s">
        <v>2602</v>
      </c>
      <c r="Q5118" s="3">
        <v>1</v>
      </c>
      <c r="R5118" s="22" t="s">
        <v>2723</v>
      </c>
      <c r="T5118" s="3" t="s">
        <v>4868</v>
      </c>
      <c r="U5118" s="45">
        <v>35</v>
      </c>
      <c r="V5118" t="s">
        <v>8191</v>
      </c>
      <c r="W5118" s="1" t="str">
        <f>HYPERLINK("http://ictvonline.org/taxonomy/p/taxonomy-history?taxnode_id=201901965","ICTVonline=201901965")</f>
        <v>ICTVonline=201901965</v>
      </c>
    </row>
    <row r="5119" spans="1:23">
      <c r="A5119" s="3">
        <v>5118</v>
      </c>
      <c r="B5119" s="1" t="s">
        <v>5910</v>
      </c>
      <c r="D5119" s="1" t="s">
        <v>8187</v>
      </c>
      <c r="F5119" s="1" t="s">
        <v>8506</v>
      </c>
      <c r="H5119" s="1" t="s">
        <v>8512</v>
      </c>
      <c r="J5119" s="1" t="s">
        <v>1067</v>
      </c>
      <c r="L5119" s="1" t="s">
        <v>1112</v>
      </c>
      <c r="N5119" s="1" t="s">
        <v>2290</v>
      </c>
      <c r="P5119" s="1" t="s">
        <v>2291</v>
      </c>
      <c r="Q5119" s="3">
        <v>1</v>
      </c>
      <c r="R5119" s="22" t="s">
        <v>2723</v>
      </c>
      <c r="T5119" s="3" t="s">
        <v>4868</v>
      </c>
      <c r="U5119" s="45">
        <v>35</v>
      </c>
      <c r="V5119" t="s">
        <v>8191</v>
      </c>
      <c r="W5119" s="1" t="str">
        <f>HYPERLINK("http://ictvonline.org/taxonomy/p/taxonomy-history?taxnode_id=201901967","ICTVonline=201901967")</f>
        <v>ICTVonline=201901967</v>
      </c>
    </row>
    <row r="5120" spans="1:23">
      <c r="A5120" s="3">
        <v>5119</v>
      </c>
      <c r="B5120" s="1" t="s">
        <v>5910</v>
      </c>
      <c r="D5120" s="1" t="s">
        <v>8187</v>
      </c>
      <c r="F5120" s="1" t="s">
        <v>8506</v>
      </c>
      <c r="H5120" s="1" t="s">
        <v>8512</v>
      </c>
      <c r="J5120" s="1" t="s">
        <v>1067</v>
      </c>
      <c r="L5120" s="1" t="s">
        <v>1112</v>
      </c>
      <c r="N5120" s="1" t="s">
        <v>2290</v>
      </c>
      <c r="P5120" s="1" t="s">
        <v>4526</v>
      </c>
      <c r="Q5120" s="3">
        <v>0</v>
      </c>
      <c r="R5120" s="22" t="s">
        <v>2723</v>
      </c>
      <c r="T5120" s="3" t="s">
        <v>4868</v>
      </c>
      <c r="U5120" s="45">
        <v>35</v>
      </c>
      <c r="V5120" t="s">
        <v>8191</v>
      </c>
      <c r="W5120" s="1" t="str">
        <f>HYPERLINK("http://ictvonline.org/taxonomy/p/taxonomy-history?taxnode_id=201901968","ICTVonline=201901968")</f>
        <v>ICTVonline=201901968</v>
      </c>
    </row>
    <row r="5121" spans="1:23">
      <c r="A5121" s="3">
        <v>5120</v>
      </c>
      <c r="B5121" s="1" t="s">
        <v>5910</v>
      </c>
      <c r="D5121" s="1" t="s">
        <v>8187</v>
      </c>
      <c r="F5121" s="1" t="s">
        <v>8506</v>
      </c>
      <c r="H5121" s="1" t="s">
        <v>8512</v>
      </c>
      <c r="J5121" s="1" t="s">
        <v>1067</v>
      </c>
      <c r="L5121" s="1" t="s">
        <v>1112</v>
      </c>
      <c r="N5121" s="1" t="s">
        <v>2290</v>
      </c>
      <c r="P5121" s="1" t="s">
        <v>4527</v>
      </c>
      <c r="Q5121" s="3">
        <v>0</v>
      </c>
      <c r="R5121" s="22" t="s">
        <v>2723</v>
      </c>
      <c r="T5121" s="3" t="s">
        <v>4868</v>
      </c>
      <c r="U5121" s="45">
        <v>35</v>
      </c>
      <c r="V5121" t="s">
        <v>8191</v>
      </c>
      <c r="W5121" s="1" t="str">
        <f>HYPERLINK("http://ictvonline.org/taxonomy/p/taxonomy-history?taxnode_id=201901969","ICTVonline=201901969")</f>
        <v>ICTVonline=201901969</v>
      </c>
    </row>
    <row r="5122" spans="1:23">
      <c r="A5122" s="3">
        <v>5121</v>
      </c>
      <c r="B5122" s="1" t="s">
        <v>5910</v>
      </c>
      <c r="D5122" s="1" t="s">
        <v>8187</v>
      </c>
      <c r="F5122" s="1" t="s">
        <v>8506</v>
      </c>
      <c r="H5122" s="1" t="s">
        <v>8512</v>
      </c>
      <c r="J5122" s="1" t="s">
        <v>1067</v>
      </c>
      <c r="L5122" s="1" t="s">
        <v>1112</v>
      </c>
      <c r="N5122" s="1" t="s">
        <v>8564</v>
      </c>
      <c r="P5122" s="1" t="s">
        <v>8565</v>
      </c>
      <c r="Q5122" s="3">
        <v>1</v>
      </c>
      <c r="R5122" s="22" t="s">
        <v>2723</v>
      </c>
      <c r="T5122" s="3" t="s">
        <v>4866</v>
      </c>
      <c r="U5122" s="45">
        <v>35</v>
      </c>
      <c r="V5122" t="s">
        <v>8566</v>
      </c>
      <c r="W5122" s="1" t="str">
        <f>HYPERLINK("http://ictvonline.org/taxonomy/p/taxonomy-history?taxnode_id=201908697","ICTVonline=201908697")</f>
        <v>ICTVonline=201908697</v>
      </c>
    </row>
    <row r="5123" spans="1:23">
      <c r="A5123" s="3">
        <v>5122</v>
      </c>
      <c r="B5123" s="1" t="s">
        <v>5910</v>
      </c>
      <c r="D5123" s="1" t="s">
        <v>8187</v>
      </c>
      <c r="F5123" s="1" t="s">
        <v>8506</v>
      </c>
      <c r="H5123" s="1" t="s">
        <v>8512</v>
      </c>
      <c r="J5123" s="1" t="s">
        <v>1067</v>
      </c>
      <c r="L5123" s="1" t="s">
        <v>1112</v>
      </c>
      <c r="N5123" s="1" t="s">
        <v>8564</v>
      </c>
      <c r="P5123" s="1" t="s">
        <v>8567</v>
      </c>
      <c r="Q5123" s="3">
        <v>0</v>
      </c>
      <c r="R5123" s="22" t="s">
        <v>2723</v>
      </c>
      <c r="T5123" s="3" t="s">
        <v>4866</v>
      </c>
      <c r="U5123" s="45">
        <v>35</v>
      </c>
      <c r="V5123" t="s">
        <v>8566</v>
      </c>
      <c r="W5123" s="1" t="str">
        <f>HYPERLINK("http://ictvonline.org/taxonomy/p/taxonomy-history?taxnode_id=201908698","ICTVonline=201908698")</f>
        <v>ICTVonline=201908698</v>
      </c>
    </row>
    <row r="5124" spans="1:23">
      <c r="A5124" s="3">
        <v>5123</v>
      </c>
      <c r="B5124" s="1" t="s">
        <v>5910</v>
      </c>
      <c r="D5124" s="1" t="s">
        <v>8187</v>
      </c>
      <c r="F5124" s="1" t="s">
        <v>8506</v>
      </c>
      <c r="H5124" s="1" t="s">
        <v>8512</v>
      </c>
      <c r="J5124" s="1" t="s">
        <v>1067</v>
      </c>
      <c r="L5124" s="1" t="s">
        <v>1112</v>
      </c>
      <c r="N5124" s="1" t="s">
        <v>8564</v>
      </c>
      <c r="P5124" s="1" t="s">
        <v>8568</v>
      </c>
      <c r="Q5124" s="3">
        <v>0</v>
      </c>
      <c r="R5124" s="22" t="s">
        <v>2723</v>
      </c>
      <c r="T5124" s="3" t="s">
        <v>4866</v>
      </c>
      <c r="U5124" s="45">
        <v>35</v>
      </c>
      <c r="V5124" t="s">
        <v>8566</v>
      </c>
      <c r="W5124" s="1" t="str">
        <f>HYPERLINK("http://ictvonline.org/taxonomy/p/taxonomy-history?taxnode_id=201908699","ICTVonline=201908699")</f>
        <v>ICTVonline=201908699</v>
      </c>
    </row>
    <row r="5125" spans="1:23">
      <c r="A5125" s="3">
        <v>5124</v>
      </c>
      <c r="B5125" s="1" t="s">
        <v>5910</v>
      </c>
      <c r="D5125" s="1" t="s">
        <v>8187</v>
      </c>
      <c r="F5125" s="1" t="s">
        <v>8506</v>
      </c>
      <c r="H5125" s="1" t="s">
        <v>8512</v>
      </c>
      <c r="J5125" s="1" t="s">
        <v>1067</v>
      </c>
      <c r="L5125" s="1" t="s">
        <v>1112</v>
      </c>
      <c r="N5125" s="1" t="s">
        <v>5097</v>
      </c>
      <c r="P5125" s="1" t="s">
        <v>5098</v>
      </c>
      <c r="Q5125" s="3">
        <v>1</v>
      </c>
      <c r="R5125" s="22" t="s">
        <v>2723</v>
      </c>
      <c r="T5125" s="3" t="s">
        <v>4868</v>
      </c>
      <c r="U5125" s="45">
        <v>35</v>
      </c>
      <c r="V5125" t="s">
        <v>8191</v>
      </c>
      <c r="W5125" s="1" t="str">
        <f>HYPERLINK("http://ictvonline.org/taxonomy/p/taxonomy-history?taxnode_id=201905591","ICTVonline=201905591")</f>
        <v>ICTVonline=201905591</v>
      </c>
    </row>
    <row r="5126" spans="1:23">
      <c r="A5126" s="3">
        <v>5125</v>
      </c>
      <c r="B5126" s="1" t="s">
        <v>5910</v>
      </c>
      <c r="D5126" s="1" t="s">
        <v>8187</v>
      </c>
      <c r="F5126" s="1" t="s">
        <v>8506</v>
      </c>
      <c r="H5126" s="1" t="s">
        <v>8512</v>
      </c>
      <c r="J5126" s="1" t="s">
        <v>1067</v>
      </c>
      <c r="L5126" s="1" t="s">
        <v>1112</v>
      </c>
      <c r="N5126" s="1" t="s">
        <v>1742</v>
      </c>
      <c r="P5126" s="1" t="s">
        <v>2603</v>
      </c>
      <c r="Q5126" s="3">
        <v>1</v>
      </c>
      <c r="R5126" s="22" t="s">
        <v>2723</v>
      </c>
      <c r="T5126" s="3" t="s">
        <v>4868</v>
      </c>
      <c r="U5126" s="45">
        <v>35</v>
      </c>
      <c r="V5126" t="s">
        <v>8191</v>
      </c>
      <c r="W5126" s="1" t="str">
        <f>HYPERLINK("http://ictvonline.org/taxonomy/p/taxonomy-history?taxnode_id=201901971","ICTVonline=201901971")</f>
        <v>ICTVonline=201901971</v>
      </c>
    </row>
    <row r="5127" spans="1:23">
      <c r="A5127" s="3">
        <v>5126</v>
      </c>
      <c r="B5127" s="1" t="s">
        <v>5910</v>
      </c>
      <c r="D5127" s="1" t="s">
        <v>8187</v>
      </c>
      <c r="F5127" s="1" t="s">
        <v>8506</v>
      </c>
      <c r="H5127" s="1" t="s">
        <v>8512</v>
      </c>
      <c r="J5127" s="1" t="s">
        <v>1067</v>
      </c>
      <c r="L5127" s="1" t="s">
        <v>1112</v>
      </c>
      <c r="N5127" s="1" t="s">
        <v>1742</v>
      </c>
      <c r="P5127" s="1" t="s">
        <v>2604</v>
      </c>
      <c r="Q5127" s="3">
        <v>0</v>
      </c>
      <c r="R5127" s="22" t="s">
        <v>2723</v>
      </c>
      <c r="T5127" s="3" t="s">
        <v>4868</v>
      </c>
      <c r="U5127" s="45">
        <v>35</v>
      </c>
      <c r="V5127" t="s">
        <v>8191</v>
      </c>
      <c r="W5127" s="1" t="str">
        <f>HYPERLINK("http://ictvonline.org/taxonomy/p/taxonomy-history?taxnode_id=201901972","ICTVonline=201901972")</f>
        <v>ICTVonline=201901972</v>
      </c>
    </row>
    <row r="5128" spans="1:23">
      <c r="A5128" s="3">
        <v>5127</v>
      </c>
      <c r="B5128" s="1" t="s">
        <v>5910</v>
      </c>
      <c r="D5128" s="1" t="s">
        <v>8187</v>
      </c>
      <c r="F5128" s="1" t="s">
        <v>8506</v>
      </c>
      <c r="H5128" s="1" t="s">
        <v>8512</v>
      </c>
      <c r="J5128" s="1" t="s">
        <v>1067</v>
      </c>
      <c r="L5128" s="1" t="s">
        <v>1112</v>
      </c>
      <c r="N5128" s="1" t="s">
        <v>1742</v>
      </c>
      <c r="P5128" s="1" t="s">
        <v>2605</v>
      </c>
      <c r="Q5128" s="3">
        <v>0</v>
      </c>
      <c r="R5128" s="22" t="s">
        <v>2723</v>
      </c>
      <c r="T5128" s="3" t="s">
        <v>4868</v>
      </c>
      <c r="U5128" s="45">
        <v>35</v>
      </c>
      <c r="V5128" t="s">
        <v>8191</v>
      </c>
      <c r="W5128" s="1" t="str">
        <f>HYPERLINK("http://ictvonline.org/taxonomy/p/taxonomy-history?taxnode_id=201901973","ICTVonline=201901973")</f>
        <v>ICTVonline=201901973</v>
      </c>
    </row>
    <row r="5129" spans="1:23">
      <c r="A5129" s="3">
        <v>5128</v>
      </c>
      <c r="B5129" s="1" t="s">
        <v>5910</v>
      </c>
      <c r="D5129" s="1" t="s">
        <v>8187</v>
      </c>
      <c r="F5129" s="1" t="s">
        <v>8506</v>
      </c>
      <c r="H5129" s="1" t="s">
        <v>8512</v>
      </c>
      <c r="J5129" s="1" t="s">
        <v>1067</v>
      </c>
      <c r="L5129" s="1" t="s">
        <v>1112</v>
      </c>
      <c r="N5129" s="1" t="s">
        <v>1742</v>
      </c>
      <c r="P5129" s="1" t="s">
        <v>8569</v>
      </c>
      <c r="Q5129" s="3">
        <v>0</v>
      </c>
      <c r="R5129" s="22" t="s">
        <v>2723</v>
      </c>
      <c r="T5129" s="3" t="s">
        <v>4866</v>
      </c>
      <c r="U5129" s="45">
        <v>35</v>
      </c>
      <c r="V5129" t="s">
        <v>8570</v>
      </c>
      <c r="W5129" s="1" t="str">
        <f>HYPERLINK("http://ictvonline.org/taxonomy/p/taxonomy-history?taxnode_id=201907104","ICTVonline=201907104")</f>
        <v>ICTVonline=201907104</v>
      </c>
    </row>
    <row r="5130" spans="1:23">
      <c r="A5130" s="3">
        <v>5129</v>
      </c>
      <c r="B5130" s="1" t="s">
        <v>5910</v>
      </c>
      <c r="D5130" s="1" t="s">
        <v>8187</v>
      </c>
      <c r="F5130" s="1" t="s">
        <v>8506</v>
      </c>
      <c r="H5130" s="1" t="s">
        <v>8512</v>
      </c>
      <c r="J5130" s="1" t="s">
        <v>1067</v>
      </c>
      <c r="L5130" s="1" t="s">
        <v>1112</v>
      </c>
      <c r="N5130" s="1" t="s">
        <v>1742</v>
      </c>
      <c r="P5130" s="1" t="s">
        <v>8571</v>
      </c>
      <c r="Q5130" s="3">
        <v>0</v>
      </c>
      <c r="R5130" s="22" t="s">
        <v>2723</v>
      </c>
      <c r="T5130" s="3" t="s">
        <v>4866</v>
      </c>
      <c r="U5130" s="45">
        <v>35</v>
      </c>
      <c r="V5130" t="s">
        <v>8570</v>
      </c>
      <c r="W5130" s="1" t="str">
        <f>HYPERLINK("http://ictvonline.org/taxonomy/p/taxonomy-history?taxnode_id=201907105","ICTVonline=201907105")</f>
        <v>ICTVonline=201907105</v>
      </c>
    </row>
    <row r="5131" spans="1:23">
      <c r="A5131" s="3">
        <v>5130</v>
      </c>
      <c r="B5131" s="1" t="s">
        <v>5910</v>
      </c>
      <c r="D5131" s="1" t="s">
        <v>8187</v>
      </c>
      <c r="F5131" s="1" t="s">
        <v>8506</v>
      </c>
      <c r="H5131" s="1" t="s">
        <v>8512</v>
      </c>
      <c r="J5131" s="1" t="s">
        <v>1067</v>
      </c>
      <c r="L5131" s="1" t="s">
        <v>1112</v>
      </c>
      <c r="N5131" s="1" t="s">
        <v>1742</v>
      </c>
      <c r="P5131" s="1" t="s">
        <v>8572</v>
      </c>
      <c r="Q5131" s="3">
        <v>0</v>
      </c>
      <c r="R5131" s="22" t="s">
        <v>2723</v>
      </c>
      <c r="T5131" s="3" t="s">
        <v>4866</v>
      </c>
      <c r="U5131" s="45">
        <v>35</v>
      </c>
      <c r="V5131" t="s">
        <v>8570</v>
      </c>
      <c r="W5131" s="1" t="str">
        <f>HYPERLINK("http://ictvonline.org/taxonomy/p/taxonomy-history?taxnode_id=201907106","ICTVonline=201907106")</f>
        <v>ICTVonline=201907106</v>
      </c>
    </row>
    <row r="5132" spans="1:23">
      <c r="A5132" s="3">
        <v>5131</v>
      </c>
      <c r="B5132" s="1" t="s">
        <v>5910</v>
      </c>
      <c r="D5132" s="1" t="s">
        <v>8187</v>
      </c>
      <c r="F5132" s="1" t="s">
        <v>8506</v>
      </c>
      <c r="H5132" s="1" t="s">
        <v>8512</v>
      </c>
      <c r="J5132" s="1" t="s">
        <v>1067</v>
      </c>
      <c r="L5132" s="1" t="s">
        <v>1112</v>
      </c>
      <c r="N5132" s="1" t="s">
        <v>2159</v>
      </c>
      <c r="P5132" s="1" t="s">
        <v>2160</v>
      </c>
      <c r="Q5132" s="3">
        <v>1</v>
      </c>
      <c r="R5132" s="22" t="s">
        <v>2723</v>
      </c>
      <c r="T5132" s="3" t="s">
        <v>4868</v>
      </c>
      <c r="U5132" s="45">
        <v>35</v>
      </c>
      <c r="V5132" t="s">
        <v>8191</v>
      </c>
      <c r="W5132" s="1" t="str">
        <f>HYPERLINK("http://ictvonline.org/taxonomy/p/taxonomy-history?taxnode_id=201901975","ICTVonline=201901975")</f>
        <v>ICTVonline=201901975</v>
      </c>
    </row>
    <row r="5133" spans="1:23">
      <c r="A5133" s="3">
        <v>5132</v>
      </c>
      <c r="B5133" s="1" t="s">
        <v>5910</v>
      </c>
      <c r="D5133" s="1" t="s">
        <v>8187</v>
      </c>
      <c r="F5133" s="1" t="s">
        <v>8506</v>
      </c>
      <c r="H5133" s="1" t="s">
        <v>8512</v>
      </c>
      <c r="J5133" s="1" t="s">
        <v>1067</v>
      </c>
      <c r="L5133" s="1" t="s">
        <v>1112</v>
      </c>
      <c r="N5133" s="1" t="s">
        <v>2159</v>
      </c>
      <c r="P5133" s="1" t="s">
        <v>4528</v>
      </c>
      <c r="Q5133" s="3">
        <v>0</v>
      </c>
      <c r="R5133" s="22" t="s">
        <v>2723</v>
      </c>
      <c r="T5133" s="3" t="s">
        <v>4868</v>
      </c>
      <c r="U5133" s="45">
        <v>35</v>
      </c>
      <c r="V5133" t="s">
        <v>8191</v>
      </c>
      <c r="W5133" s="1" t="str">
        <f>HYPERLINK("http://ictvonline.org/taxonomy/p/taxonomy-history?taxnode_id=201901976","ICTVonline=201901976")</f>
        <v>ICTVonline=201901976</v>
      </c>
    </row>
    <row r="5134" spans="1:23">
      <c r="A5134" s="3">
        <v>5133</v>
      </c>
      <c r="B5134" s="1" t="s">
        <v>5910</v>
      </c>
      <c r="D5134" s="1" t="s">
        <v>8187</v>
      </c>
      <c r="F5134" s="1" t="s">
        <v>8506</v>
      </c>
      <c r="H5134" s="1" t="s">
        <v>8512</v>
      </c>
      <c r="J5134" s="1" t="s">
        <v>1067</v>
      </c>
      <c r="L5134" s="1" t="s">
        <v>1112</v>
      </c>
      <c r="N5134" s="1" t="s">
        <v>2159</v>
      </c>
      <c r="P5134" s="1" t="s">
        <v>4529</v>
      </c>
      <c r="Q5134" s="3">
        <v>0</v>
      </c>
      <c r="R5134" s="22" t="s">
        <v>2723</v>
      </c>
      <c r="T5134" s="3" t="s">
        <v>4868</v>
      </c>
      <c r="U5134" s="45">
        <v>35</v>
      </c>
      <c r="V5134" t="s">
        <v>8191</v>
      </c>
      <c r="W5134" s="1" t="str">
        <f>HYPERLINK("http://ictvonline.org/taxonomy/p/taxonomy-history?taxnode_id=201901977","ICTVonline=201901977")</f>
        <v>ICTVonline=201901977</v>
      </c>
    </row>
    <row r="5135" spans="1:23">
      <c r="A5135" s="3">
        <v>5134</v>
      </c>
      <c r="B5135" s="1" t="s">
        <v>5910</v>
      </c>
      <c r="D5135" s="1" t="s">
        <v>8187</v>
      </c>
      <c r="F5135" s="1" t="s">
        <v>8506</v>
      </c>
      <c r="H5135" s="1" t="s">
        <v>8512</v>
      </c>
      <c r="J5135" s="1" t="s">
        <v>1067</v>
      </c>
      <c r="L5135" s="1" t="s">
        <v>1112</v>
      </c>
      <c r="N5135" s="1" t="s">
        <v>2159</v>
      </c>
      <c r="P5135" s="1" t="s">
        <v>4530</v>
      </c>
      <c r="Q5135" s="3">
        <v>0</v>
      </c>
      <c r="R5135" s="22" t="s">
        <v>2723</v>
      </c>
      <c r="T5135" s="3" t="s">
        <v>4868</v>
      </c>
      <c r="U5135" s="45">
        <v>35</v>
      </c>
      <c r="V5135" t="s">
        <v>8191</v>
      </c>
      <c r="W5135" s="1" t="str">
        <f>HYPERLINK("http://ictvonline.org/taxonomy/p/taxonomy-history?taxnode_id=201901978","ICTVonline=201901978")</f>
        <v>ICTVonline=201901978</v>
      </c>
    </row>
    <row r="5136" spans="1:23">
      <c r="A5136" s="3">
        <v>5135</v>
      </c>
      <c r="B5136" s="1" t="s">
        <v>5910</v>
      </c>
      <c r="D5136" s="1" t="s">
        <v>8187</v>
      </c>
      <c r="F5136" s="1" t="s">
        <v>8506</v>
      </c>
      <c r="H5136" s="1" t="s">
        <v>8512</v>
      </c>
      <c r="J5136" s="1" t="s">
        <v>1067</v>
      </c>
      <c r="L5136" s="1" t="s">
        <v>1112</v>
      </c>
      <c r="N5136" s="1" t="s">
        <v>2159</v>
      </c>
      <c r="P5136" s="1" t="s">
        <v>4531</v>
      </c>
      <c r="Q5136" s="3">
        <v>0</v>
      </c>
      <c r="R5136" s="22" t="s">
        <v>2723</v>
      </c>
      <c r="T5136" s="3" t="s">
        <v>4868</v>
      </c>
      <c r="U5136" s="45">
        <v>35</v>
      </c>
      <c r="V5136" t="s">
        <v>8191</v>
      </c>
      <c r="W5136" s="1" t="str">
        <f>HYPERLINK("http://ictvonline.org/taxonomy/p/taxonomy-history?taxnode_id=201901979","ICTVonline=201901979")</f>
        <v>ICTVonline=201901979</v>
      </c>
    </row>
    <row r="5137" spans="1:23">
      <c r="A5137" s="3">
        <v>5136</v>
      </c>
      <c r="B5137" s="1" t="s">
        <v>5910</v>
      </c>
      <c r="D5137" s="1" t="s">
        <v>8187</v>
      </c>
      <c r="F5137" s="1" t="s">
        <v>8506</v>
      </c>
      <c r="H5137" s="1" t="s">
        <v>8512</v>
      </c>
      <c r="J5137" s="1" t="s">
        <v>1067</v>
      </c>
      <c r="L5137" s="1" t="s">
        <v>1112</v>
      </c>
      <c r="N5137" s="1" t="s">
        <v>8573</v>
      </c>
      <c r="P5137" s="1" t="s">
        <v>8574</v>
      </c>
      <c r="Q5137" s="3">
        <v>1</v>
      </c>
      <c r="R5137" s="22" t="s">
        <v>2723</v>
      </c>
      <c r="T5137" s="3" t="s">
        <v>4866</v>
      </c>
      <c r="U5137" s="45">
        <v>35</v>
      </c>
      <c r="V5137" t="s">
        <v>8575</v>
      </c>
      <c r="W5137" s="1" t="str">
        <f>HYPERLINK("http://ictvonline.org/taxonomy/p/taxonomy-history?taxnode_id=201907132","ICTVonline=201907132")</f>
        <v>ICTVonline=201907132</v>
      </c>
    </row>
    <row r="5138" spans="1:23">
      <c r="A5138" s="3">
        <v>5137</v>
      </c>
      <c r="B5138" s="1" t="s">
        <v>5910</v>
      </c>
      <c r="D5138" s="1" t="s">
        <v>8187</v>
      </c>
      <c r="F5138" s="1" t="s">
        <v>8506</v>
      </c>
      <c r="H5138" s="1" t="s">
        <v>8512</v>
      </c>
      <c r="J5138" s="1" t="s">
        <v>1067</v>
      </c>
      <c r="L5138" s="1" t="s">
        <v>1112</v>
      </c>
      <c r="N5138" s="1" t="s">
        <v>5099</v>
      </c>
      <c r="P5138" s="1" t="s">
        <v>5100</v>
      </c>
      <c r="Q5138" s="3">
        <v>0</v>
      </c>
      <c r="R5138" s="22" t="s">
        <v>2723</v>
      </c>
      <c r="T5138" s="3" t="s">
        <v>4868</v>
      </c>
      <c r="U5138" s="45">
        <v>35</v>
      </c>
      <c r="V5138" t="s">
        <v>8191</v>
      </c>
      <c r="W5138" s="1" t="str">
        <f>HYPERLINK("http://ictvonline.org/taxonomy/p/taxonomy-history?taxnode_id=201905593","ICTVonline=201905593")</f>
        <v>ICTVonline=201905593</v>
      </c>
    </row>
    <row r="5139" spans="1:23">
      <c r="A5139" s="3">
        <v>5138</v>
      </c>
      <c r="B5139" s="1" t="s">
        <v>5910</v>
      </c>
      <c r="D5139" s="1" t="s">
        <v>8187</v>
      </c>
      <c r="F5139" s="1" t="s">
        <v>8506</v>
      </c>
      <c r="H5139" s="1" t="s">
        <v>8512</v>
      </c>
      <c r="J5139" s="1" t="s">
        <v>1067</v>
      </c>
      <c r="L5139" s="1" t="s">
        <v>1112</v>
      </c>
      <c r="N5139" s="1" t="s">
        <v>5099</v>
      </c>
      <c r="P5139" s="1" t="s">
        <v>5101</v>
      </c>
      <c r="Q5139" s="3">
        <v>1</v>
      </c>
      <c r="R5139" s="22" t="s">
        <v>2723</v>
      </c>
      <c r="T5139" s="3" t="s">
        <v>4868</v>
      </c>
      <c r="U5139" s="45">
        <v>35</v>
      </c>
      <c r="V5139" t="s">
        <v>8191</v>
      </c>
      <c r="W5139" s="1" t="str">
        <f>HYPERLINK("http://ictvonline.org/taxonomy/p/taxonomy-history?taxnode_id=201905594","ICTVonline=201905594")</f>
        <v>ICTVonline=201905594</v>
      </c>
    </row>
    <row r="5140" spans="1:23">
      <c r="A5140" s="3">
        <v>5139</v>
      </c>
      <c r="B5140" s="1" t="s">
        <v>5910</v>
      </c>
      <c r="D5140" s="1" t="s">
        <v>8187</v>
      </c>
      <c r="F5140" s="1" t="s">
        <v>8506</v>
      </c>
      <c r="H5140" s="1" t="s">
        <v>8512</v>
      </c>
      <c r="J5140" s="1" t="s">
        <v>1067</v>
      </c>
      <c r="L5140" s="1" t="s">
        <v>1112</v>
      </c>
      <c r="N5140" s="1" t="s">
        <v>2161</v>
      </c>
      <c r="P5140" s="1" t="s">
        <v>2162</v>
      </c>
      <c r="Q5140" s="3">
        <v>1</v>
      </c>
      <c r="R5140" s="22" t="s">
        <v>2723</v>
      </c>
      <c r="T5140" s="3" t="s">
        <v>4868</v>
      </c>
      <c r="U5140" s="45">
        <v>35</v>
      </c>
      <c r="V5140" t="s">
        <v>8191</v>
      </c>
      <c r="W5140" s="1" t="str">
        <f>HYPERLINK("http://ictvonline.org/taxonomy/p/taxonomy-history?taxnode_id=201901981","ICTVonline=201901981")</f>
        <v>ICTVonline=201901981</v>
      </c>
    </row>
    <row r="5141" spans="1:23">
      <c r="A5141" s="3">
        <v>5140</v>
      </c>
      <c r="B5141" s="1" t="s">
        <v>5910</v>
      </c>
      <c r="D5141" s="1" t="s">
        <v>8187</v>
      </c>
      <c r="F5141" s="1" t="s">
        <v>8506</v>
      </c>
      <c r="H5141" s="1" t="s">
        <v>8512</v>
      </c>
      <c r="J5141" s="1" t="s">
        <v>1067</v>
      </c>
      <c r="L5141" s="1" t="s">
        <v>1112</v>
      </c>
      <c r="N5141" s="1" t="s">
        <v>2161</v>
      </c>
      <c r="P5141" s="1" t="s">
        <v>6101</v>
      </c>
      <c r="Q5141" s="3">
        <v>0</v>
      </c>
      <c r="R5141" s="22" t="s">
        <v>2723</v>
      </c>
      <c r="T5141" s="3" t="s">
        <v>4868</v>
      </c>
      <c r="U5141" s="45">
        <v>35</v>
      </c>
      <c r="V5141" t="s">
        <v>8191</v>
      </c>
      <c r="W5141" s="1" t="str">
        <f>HYPERLINK("http://ictvonline.org/taxonomy/p/taxonomy-history?taxnode_id=201906291","ICTVonline=201906291")</f>
        <v>ICTVonline=201906291</v>
      </c>
    </row>
    <row r="5142" spans="1:23">
      <c r="A5142" s="3">
        <v>5141</v>
      </c>
      <c r="B5142" s="1" t="s">
        <v>5910</v>
      </c>
      <c r="D5142" s="1" t="s">
        <v>8187</v>
      </c>
      <c r="F5142" s="1" t="s">
        <v>8506</v>
      </c>
      <c r="H5142" s="1" t="s">
        <v>8512</v>
      </c>
      <c r="J5142" s="1" t="s">
        <v>1067</v>
      </c>
      <c r="L5142" s="1" t="s">
        <v>1112</v>
      </c>
      <c r="N5142" s="1" t="s">
        <v>8576</v>
      </c>
      <c r="P5142" s="1" t="s">
        <v>8577</v>
      </c>
      <c r="Q5142" s="3">
        <v>1</v>
      </c>
      <c r="R5142" s="22" t="s">
        <v>2723</v>
      </c>
      <c r="T5142" s="3" t="s">
        <v>4866</v>
      </c>
      <c r="U5142" s="45">
        <v>35</v>
      </c>
      <c r="V5142" t="s">
        <v>8578</v>
      </c>
      <c r="W5142" s="1" t="str">
        <f>HYPERLINK("http://ictvonline.org/taxonomy/p/taxonomy-history?taxnode_id=201907188","ICTVonline=201907188")</f>
        <v>ICTVonline=201907188</v>
      </c>
    </row>
    <row r="5143" spans="1:23">
      <c r="A5143" s="3">
        <v>5142</v>
      </c>
      <c r="B5143" s="1" t="s">
        <v>5910</v>
      </c>
      <c r="D5143" s="1" t="s">
        <v>8187</v>
      </c>
      <c r="F5143" s="1" t="s">
        <v>8506</v>
      </c>
      <c r="H5143" s="1" t="s">
        <v>8512</v>
      </c>
      <c r="J5143" s="1" t="s">
        <v>1067</v>
      </c>
      <c r="L5143" s="1" t="s">
        <v>1112</v>
      </c>
      <c r="N5143" s="1" t="s">
        <v>8576</v>
      </c>
      <c r="P5143" s="1" t="s">
        <v>8579</v>
      </c>
      <c r="Q5143" s="3">
        <v>0</v>
      </c>
      <c r="R5143" s="22" t="s">
        <v>2723</v>
      </c>
      <c r="T5143" s="3" t="s">
        <v>4866</v>
      </c>
      <c r="U5143" s="45">
        <v>35</v>
      </c>
      <c r="V5143" t="s">
        <v>8578</v>
      </c>
      <c r="W5143" s="1" t="str">
        <f>HYPERLINK("http://ictvonline.org/taxonomy/p/taxonomy-history?taxnode_id=201907189","ICTVonline=201907189")</f>
        <v>ICTVonline=201907189</v>
      </c>
    </row>
    <row r="5144" spans="1:23">
      <c r="A5144" s="3">
        <v>5143</v>
      </c>
      <c r="B5144" s="1" t="s">
        <v>5910</v>
      </c>
      <c r="D5144" s="1" t="s">
        <v>8187</v>
      </c>
      <c r="F5144" s="1" t="s">
        <v>8506</v>
      </c>
      <c r="H5144" s="1" t="s">
        <v>8512</v>
      </c>
      <c r="J5144" s="1" t="s">
        <v>1067</v>
      </c>
      <c r="L5144" s="1" t="s">
        <v>1112</v>
      </c>
      <c r="N5144" s="1" t="s">
        <v>622</v>
      </c>
      <c r="P5144" s="1" t="s">
        <v>2163</v>
      </c>
      <c r="Q5144" s="3">
        <v>0</v>
      </c>
      <c r="R5144" s="22" t="s">
        <v>2723</v>
      </c>
      <c r="T5144" s="3" t="s">
        <v>4868</v>
      </c>
      <c r="U5144" s="45">
        <v>35</v>
      </c>
      <c r="V5144" t="s">
        <v>8191</v>
      </c>
      <c r="W5144" s="1" t="str">
        <f>HYPERLINK("http://ictvonline.org/taxonomy/p/taxonomy-history?taxnode_id=201901983","ICTVonline=201901983")</f>
        <v>ICTVonline=201901983</v>
      </c>
    </row>
    <row r="5145" spans="1:23">
      <c r="A5145" s="3">
        <v>5144</v>
      </c>
      <c r="B5145" s="1" t="s">
        <v>5910</v>
      </c>
      <c r="D5145" s="1" t="s">
        <v>8187</v>
      </c>
      <c r="F5145" s="1" t="s">
        <v>8506</v>
      </c>
      <c r="H5145" s="1" t="s">
        <v>8512</v>
      </c>
      <c r="J5145" s="1" t="s">
        <v>1067</v>
      </c>
      <c r="L5145" s="1" t="s">
        <v>1112</v>
      </c>
      <c r="N5145" s="1" t="s">
        <v>622</v>
      </c>
      <c r="P5145" s="1" t="s">
        <v>2164</v>
      </c>
      <c r="Q5145" s="3">
        <v>0</v>
      </c>
      <c r="R5145" s="22" t="s">
        <v>2723</v>
      </c>
      <c r="T5145" s="3" t="s">
        <v>4868</v>
      </c>
      <c r="U5145" s="45">
        <v>35</v>
      </c>
      <c r="V5145" t="s">
        <v>8191</v>
      </c>
      <c r="W5145" s="1" t="str">
        <f>HYPERLINK("http://ictvonline.org/taxonomy/p/taxonomy-history?taxnode_id=201901984","ICTVonline=201901984")</f>
        <v>ICTVonline=201901984</v>
      </c>
    </row>
    <row r="5146" spans="1:23">
      <c r="A5146" s="3">
        <v>5145</v>
      </c>
      <c r="B5146" s="1" t="s">
        <v>5910</v>
      </c>
      <c r="D5146" s="1" t="s">
        <v>8187</v>
      </c>
      <c r="F5146" s="1" t="s">
        <v>8506</v>
      </c>
      <c r="H5146" s="1" t="s">
        <v>8512</v>
      </c>
      <c r="J5146" s="1" t="s">
        <v>1067</v>
      </c>
      <c r="L5146" s="1" t="s">
        <v>1112</v>
      </c>
      <c r="N5146" s="1" t="s">
        <v>622</v>
      </c>
      <c r="P5146" s="1" t="s">
        <v>2165</v>
      </c>
      <c r="Q5146" s="3">
        <v>1</v>
      </c>
      <c r="R5146" s="22" t="s">
        <v>2723</v>
      </c>
      <c r="T5146" s="3" t="s">
        <v>4868</v>
      </c>
      <c r="U5146" s="45">
        <v>35</v>
      </c>
      <c r="V5146" t="s">
        <v>8191</v>
      </c>
      <c r="W5146" s="1" t="str">
        <f>HYPERLINK("http://ictvonline.org/taxonomy/p/taxonomy-history?taxnode_id=201901985","ICTVonline=201901985")</f>
        <v>ICTVonline=201901985</v>
      </c>
    </row>
    <row r="5147" spans="1:23">
      <c r="A5147" s="3">
        <v>5146</v>
      </c>
      <c r="B5147" s="1" t="s">
        <v>5910</v>
      </c>
      <c r="D5147" s="1" t="s">
        <v>8187</v>
      </c>
      <c r="F5147" s="1" t="s">
        <v>8506</v>
      </c>
      <c r="H5147" s="1" t="s">
        <v>8512</v>
      </c>
      <c r="J5147" s="1" t="s">
        <v>1067</v>
      </c>
      <c r="L5147" s="1" t="s">
        <v>1112</v>
      </c>
      <c r="N5147" s="1" t="s">
        <v>622</v>
      </c>
      <c r="P5147" s="1" t="s">
        <v>2166</v>
      </c>
      <c r="Q5147" s="3">
        <v>0</v>
      </c>
      <c r="R5147" s="22" t="s">
        <v>2723</v>
      </c>
      <c r="T5147" s="3" t="s">
        <v>4868</v>
      </c>
      <c r="U5147" s="45">
        <v>35</v>
      </c>
      <c r="V5147" t="s">
        <v>8191</v>
      </c>
      <c r="W5147" s="1" t="str">
        <f>HYPERLINK("http://ictvonline.org/taxonomy/p/taxonomy-history?taxnode_id=201901986","ICTVonline=201901986")</f>
        <v>ICTVonline=201901986</v>
      </c>
    </row>
    <row r="5148" spans="1:23">
      <c r="A5148" s="3">
        <v>5147</v>
      </c>
      <c r="B5148" s="1" t="s">
        <v>5910</v>
      </c>
      <c r="D5148" s="1" t="s">
        <v>8187</v>
      </c>
      <c r="F5148" s="1" t="s">
        <v>8506</v>
      </c>
      <c r="H5148" s="1" t="s">
        <v>8512</v>
      </c>
      <c r="J5148" s="1" t="s">
        <v>1067</v>
      </c>
      <c r="L5148" s="1" t="s">
        <v>1112</v>
      </c>
      <c r="N5148" s="1" t="s">
        <v>622</v>
      </c>
      <c r="P5148" s="1" t="s">
        <v>2167</v>
      </c>
      <c r="Q5148" s="3">
        <v>0</v>
      </c>
      <c r="R5148" s="22" t="s">
        <v>2723</v>
      </c>
      <c r="T5148" s="3" t="s">
        <v>4868</v>
      </c>
      <c r="U5148" s="45">
        <v>35</v>
      </c>
      <c r="V5148" t="s">
        <v>8191</v>
      </c>
      <c r="W5148" s="1" t="str">
        <f>HYPERLINK("http://ictvonline.org/taxonomy/p/taxonomy-history?taxnode_id=201901987","ICTVonline=201901987")</f>
        <v>ICTVonline=201901987</v>
      </c>
    </row>
    <row r="5149" spans="1:23">
      <c r="A5149" s="3">
        <v>5148</v>
      </c>
      <c r="B5149" s="1" t="s">
        <v>5910</v>
      </c>
      <c r="D5149" s="1" t="s">
        <v>8187</v>
      </c>
      <c r="F5149" s="1" t="s">
        <v>8506</v>
      </c>
      <c r="H5149" s="1" t="s">
        <v>8512</v>
      </c>
      <c r="J5149" s="1" t="s">
        <v>1067</v>
      </c>
      <c r="L5149" s="1" t="s">
        <v>1112</v>
      </c>
      <c r="N5149" s="1" t="s">
        <v>622</v>
      </c>
      <c r="P5149" s="1" t="s">
        <v>2168</v>
      </c>
      <c r="Q5149" s="3">
        <v>0</v>
      </c>
      <c r="R5149" s="22" t="s">
        <v>2723</v>
      </c>
      <c r="T5149" s="3" t="s">
        <v>4868</v>
      </c>
      <c r="U5149" s="45">
        <v>35</v>
      </c>
      <c r="V5149" t="s">
        <v>8191</v>
      </c>
      <c r="W5149" s="1" t="str">
        <f>HYPERLINK("http://ictvonline.org/taxonomy/p/taxonomy-history?taxnode_id=201901988","ICTVonline=201901988")</f>
        <v>ICTVonline=201901988</v>
      </c>
    </row>
    <row r="5150" spans="1:23">
      <c r="A5150" s="3">
        <v>5149</v>
      </c>
      <c r="B5150" s="1" t="s">
        <v>5910</v>
      </c>
      <c r="D5150" s="1" t="s">
        <v>8187</v>
      </c>
      <c r="F5150" s="1" t="s">
        <v>8506</v>
      </c>
      <c r="H5150" s="1" t="s">
        <v>8512</v>
      </c>
      <c r="J5150" s="1" t="s">
        <v>1067</v>
      </c>
      <c r="L5150" s="1" t="s">
        <v>1112</v>
      </c>
      <c r="N5150" s="1" t="s">
        <v>622</v>
      </c>
      <c r="P5150" s="1" t="s">
        <v>2169</v>
      </c>
      <c r="Q5150" s="3">
        <v>0</v>
      </c>
      <c r="R5150" s="22" t="s">
        <v>2723</v>
      </c>
      <c r="T5150" s="3" t="s">
        <v>4868</v>
      </c>
      <c r="U5150" s="45">
        <v>35</v>
      </c>
      <c r="V5150" t="s">
        <v>8191</v>
      </c>
      <c r="W5150" s="1" t="str">
        <f>HYPERLINK("http://ictvonline.org/taxonomy/p/taxonomy-history?taxnode_id=201901989","ICTVonline=201901989")</f>
        <v>ICTVonline=201901989</v>
      </c>
    </row>
    <row r="5151" spans="1:23">
      <c r="A5151" s="3">
        <v>5150</v>
      </c>
      <c r="B5151" s="1" t="s">
        <v>5910</v>
      </c>
      <c r="D5151" s="1" t="s">
        <v>8187</v>
      </c>
      <c r="F5151" s="1" t="s">
        <v>8506</v>
      </c>
      <c r="H5151" s="1" t="s">
        <v>8512</v>
      </c>
      <c r="J5151" s="1" t="s">
        <v>1067</v>
      </c>
      <c r="L5151" s="1" t="s">
        <v>1112</v>
      </c>
      <c r="N5151" s="1" t="s">
        <v>622</v>
      </c>
      <c r="P5151" s="1" t="s">
        <v>2170</v>
      </c>
      <c r="Q5151" s="3">
        <v>0</v>
      </c>
      <c r="R5151" s="22" t="s">
        <v>2723</v>
      </c>
      <c r="T5151" s="3" t="s">
        <v>4868</v>
      </c>
      <c r="U5151" s="45">
        <v>35</v>
      </c>
      <c r="V5151" t="s">
        <v>8191</v>
      </c>
      <c r="W5151" s="1" t="str">
        <f>HYPERLINK("http://ictvonline.org/taxonomy/p/taxonomy-history?taxnode_id=201901990","ICTVonline=201901990")</f>
        <v>ICTVonline=201901990</v>
      </c>
    </row>
    <row r="5152" spans="1:23">
      <c r="A5152" s="3">
        <v>5151</v>
      </c>
      <c r="B5152" s="1" t="s">
        <v>5910</v>
      </c>
      <c r="D5152" s="1" t="s">
        <v>8187</v>
      </c>
      <c r="F5152" s="1" t="s">
        <v>8506</v>
      </c>
      <c r="H5152" s="1" t="s">
        <v>8512</v>
      </c>
      <c r="J5152" s="1" t="s">
        <v>1067</v>
      </c>
      <c r="L5152" s="1" t="s">
        <v>1112</v>
      </c>
      <c r="N5152" s="1" t="s">
        <v>622</v>
      </c>
      <c r="P5152" s="1" t="s">
        <v>4532</v>
      </c>
      <c r="Q5152" s="3">
        <v>0</v>
      </c>
      <c r="R5152" s="22" t="s">
        <v>2723</v>
      </c>
      <c r="T5152" s="3" t="s">
        <v>4868</v>
      </c>
      <c r="U5152" s="45">
        <v>35</v>
      </c>
      <c r="V5152" t="s">
        <v>8191</v>
      </c>
      <c r="W5152" s="1" t="str">
        <f>HYPERLINK("http://ictvonline.org/taxonomy/p/taxonomy-history?taxnode_id=201901991","ICTVonline=201901991")</f>
        <v>ICTVonline=201901991</v>
      </c>
    </row>
    <row r="5153" spans="1:23">
      <c r="A5153" s="3">
        <v>5152</v>
      </c>
      <c r="B5153" s="1" t="s">
        <v>5910</v>
      </c>
      <c r="D5153" s="1" t="s">
        <v>8187</v>
      </c>
      <c r="F5153" s="1" t="s">
        <v>8506</v>
      </c>
      <c r="H5153" s="1" t="s">
        <v>8512</v>
      </c>
      <c r="J5153" s="1" t="s">
        <v>1067</v>
      </c>
      <c r="L5153" s="1" t="s">
        <v>1112</v>
      </c>
      <c r="N5153" s="1" t="s">
        <v>622</v>
      </c>
      <c r="P5153" s="1" t="s">
        <v>2171</v>
      </c>
      <c r="Q5153" s="3">
        <v>0</v>
      </c>
      <c r="R5153" s="22" t="s">
        <v>2723</v>
      </c>
      <c r="T5153" s="3" t="s">
        <v>4868</v>
      </c>
      <c r="U5153" s="45">
        <v>35</v>
      </c>
      <c r="V5153" t="s">
        <v>8191</v>
      </c>
      <c r="W5153" s="1" t="str">
        <f>HYPERLINK("http://ictvonline.org/taxonomy/p/taxonomy-history?taxnode_id=201901992","ICTVonline=201901992")</f>
        <v>ICTVonline=201901992</v>
      </c>
    </row>
    <row r="5154" spans="1:23">
      <c r="A5154" s="3">
        <v>5153</v>
      </c>
      <c r="B5154" s="1" t="s">
        <v>5910</v>
      </c>
      <c r="D5154" s="1" t="s">
        <v>8187</v>
      </c>
      <c r="F5154" s="1" t="s">
        <v>8506</v>
      </c>
      <c r="H5154" s="1" t="s">
        <v>8512</v>
      </c>
      <c r="J5154" s="1" t="s">
        <v>1067</v>
      </c>
      <c r="L5154" s="1" t="s">
        <v>1112</v>
      </c>
      <c r="N5154" s="1" t="s">
        <v>622</v>
      </c>
      <c r="P5154" s="1" t="s">
        <v>5102</v>
      </c>
      <c r="Q5154" s="3">
        <v>0</v>
      </c>
      <c r="R5154" s="22" t="s">
        <v>2723</v>
      </c>
      <c r="T5154" s="3" t="s">
        <v>4868</v>
      </c>
      <c r="U5154" s="45">
        <v>35</v>
      </c>
      <c r="V5154" t="s">
        <v>8191</v>
      </c>
      <c r="W5154" s="1" t="str">
        <f>HYPERLINK("http://ictvonline.org/taxonomy/p/taxonomy-history?taxnode_id=201905596","ICTVonline=201905596")</f>
        <v>ICTVonline=201905596</v>
      </c>
    </row>
    <row r="5155" spans="1:23">
      <c r="A5155" s="3">
        <v>5154</v>
      </c>
      <c r="B5155" s="1" t="s">
        <v>5910</v>
      </c>
      <c r="D5155" s="1" t="s">
        <v>8187</v>
      </c>
      <c r="F5155" s="1" t="s">
        <v>8506</v>
      </c>
      <c r="H5155" s="1" t="s">
        <v>8512</v>
      </c>
      <c r="J5155" s="1" t="s">
        <v>1067</v>
      </c>
      <c r="L5155" s="1" t="s">
        <v>1112</v>
      </c>
      <c r="N5155" s="1" t="s">
        <v>622</v>
      </c>
      <c r="P5155" s="1" t="s">
        <v>5103</v>
      </c>
      <c r="Q5155" s="3">
        <v>0</v>
      </c>
      <c r="R5155" s="22" t="s">
        <v>2723</v>
      </c>
      <c r="T5155" s="3" t="s">
        <v>4868</v>
      </c>
      <c r="U5155" s="45">
        <v>35</v>
      </c>
      <c r="V5155" t="s">
        <v>8191</v>
      </c>
      <c r="W5155" s="1" t="str">
        <f>HYPERLINK("http://ictvonline.org/taxonomy/p/taxonomy-history?taxnode_id=201905597","ICTVonline=201905597")</f>
        <v>ICTVonline=201905597</v>
      </c>
    </row>
    <row r="5156" spans="1:23">
      <c r="A5156" s="3">
        <v>5155</v>
      </c>
      <c r="B5156" s="1" t="s">
        <v>5910</v>
      </c>
      <c r="D5156" s="1" t="s">
        <v>8187</v>
      </c>
      <c r="F5156" s="1" t="s">
        <v>8506</v>
      </c>
      <c r="H5156" s="1" t="s">
        <v>8512</v>
      </c>
      <c r="J5156" s="1" t="s">
        <v>1067</v>
      </c>
      <c r="L5156" s="1" t="s">
        <v>1112</v>
      </c>
      <c r="N5156" s="1" t="s">
        <v>622</v>
      </c>
      <c r="P5156" s="1" t="s">
        <v>2172</v>
      </c>
      <c r="Q5156" s="3">
        <v>0</v>
      </c>
      <c r="R5156" s="22" t="s">
        <v>2723</v>
      </c>
      <c r="T5156" s="3" t="s">
        <v>4868</v>
      </c>
      <c r="U5156" s="45">
        <v>35</v>
      </c>
      <c r="V5156" t="s">
        <v>8191</v>
      </c>
      <c r="W5156" s="1" t="str">
        <f>HYPERLINK("http://ictvonline.org/taxonomy/p/taxonomy-history?taxnode_id=201901993","ICTVonline=201901993")</f>
        <v>ICTVonline=201901993</v>
      </c>
    </row>
    <row r="5157" spans="1:23">
      <c r="A5157" s="3">
        <v>5156</v>
      </c>
      <c r="B5157" s="1" t="s">
        <v>5910</v>
      </c>
      <c r="D5157" s="1" t="s">
        <v>8187</v>
      </c>
      <c r="F5157" s="1" t="s">
        <v>8506</v>
      </c>
      <c r="H5157" s="1" t="s">
        <v>8512</v>
      </c>
      <c r="J5157" s="1" t="s">
        <v>1067</v>
      </c>
      <c r="L5157" s="1" t="s">
        <v>1112</v>
      </c>
      <c r="N5157" s="1" t="s">
        <v>622</v>
      </c>
      <c r="P5157" s="1" t="s">
        <v>2173</v>
      </c>
      <c r="Q5157" s="3">
        <v>0</v>
      </c>
      <c r="R5157" s="22" t="s">
        <v>2723</v>
      </c>
      <c r="T5157" s="3" t="s">
        <v>4868</v>
      </c>
      <c r="U5157" s="45">
        <v>35</v>
      </c>
      <c r="V5157" t="s">
        <v>8191</v>
      </c>
      <c r="W5157" s="1" t="str">
        <f>HYPERLINK("http://ictvonline.org/taxonomy/p/taxonomy-history?taxnode_id=201901994","ICTVonline=201901994")</f>
        <v>ICTVonline=201901994</v>
      </c>
    </row>
    <row r="5158" spans="1:23">
      <c r="A5158" s="3">
        <v>5157</v>
      </c>
      <c r="B5158" s="1" t="s">
        <v>5910</v>
      </c>
      <c r="D5158" s="1" t="s">
        <v>8187</v>
      </c>
      <c r="F5158" s="1" t="s">
        <v>8506</v>
      </c>
      <c r="H5158" s="1" t="s">
        <v>8512</v>
      </c>
      <c r="J5158" s="1" t="s">
        <v>1067</v>
      </c>
      <c r="L5158" s="1" t="s">
        <v>1112</v>
      </c>
      <c r="N5158" s="1" t="s">
        <v>622</v>
      </c>
      <c r="P5158" s="1" t="s">
        <v>2174</v>
      </c>
      <c r="Q5158" s="3">
        <v>0</v>
      </c>
      <c r="R5158" s="22" t="s">
        <v>2723</v>
      </c>
      <c r="T5158" s="3" t="s">
        <v>4868</v>
      </c>
      <c r="U5158" s="45">
        <v>35</v>
      </c>
      <c r="V5158" t="s">
        <v>8191</v>
      </c>
      <c r="W5158" s="1" t="str">
        <f>HYPERLINK("http://ictvonline.org/taxonomy/p/taxonomy-history?taxnode_id=201901995","ICTVonline=201901995")</f>
        <v>ICTVonline=201901995</v>
      </c>
    </row>
    <row r="5159" spans="1:23">
      <c r="A5159" s="3">
        <v>5158</v>
      </c>
      <c r="B5159" s="1" t="s">
        <v>5910</v>
      </c>
      <c r="D5159" s="1" t="s">
        <v>8187</v>
      </c>
      <c r="F5159" s="1" t="s">
        <v>8506</v>
      </c>
      <c r="H5159" s="1" t="s">
        <v>8512</v>
      </c>
      <c r="J5159" s="1" t="s">
        <v>1067</v>
      </c>
      <c r="L5159" s="1" t="s">
        <v>1112</v>
      </c>
      <c r="N5159" s="1" t="s">
        <v>625</v>
      </c>
      <c r="P5159" s="1" t="s">
        <v>2606</v>
      </c>
      <c r="Q5159" s="3">
        <v>1</v>
      </c>
      <c r="R5159" s="22" t="s">
        <v>2723</v>
      </c>
      <c r="T5159" s="3" t="s">
        <v>4868</v>
      </c>
      <c r="U5159" s="45">
        <v>35</v>
      </c>
      <c r="V5159" t="s">
        <v>8191</v>
      </c>
      <c r="W5159" s="1" t="str">
        <f>HYPERLINK("http://ictvonline.org/taxonomy/p/taxonomy-history?taxnode_id=201901997","ICTVonline=201901997")</f>
        <v>ICTVonline=201901997</v>
      </c>
    </row>
    <row r="5160" spans="1:23">
      <c r="A5160" s="3">
        <v>5159</v>
      </c>
      <c r="B5160" s="1" t="s">
        <v>5910</v>
      </c>
      <c r="D5160" s="1" t="s">
        <v>8187</v>
      </c>
      <c r="F5160" s="1" t="s">
        <v>8506</v>
      </c>
      <c r="H5160" s="1" t="s">
        <v>8512</v>
      </c>
      <c r="J5160" s="1" t="s">
        <v>1067</v>
      </c>
      <c r="L5160" s="1" t="s">
        <v>1112</v>
      </c>
      <c r="N5160" s="1" t="s">
        <v>8580</v>
      </c>
      <c r="P5160" s="1" t="s">
        <v>8581</v>
      </c>
      <c r="Q5160" s="3">
        <v>1</v>
      </c>
      <c r="R5160" s="22" t="s">
        <v>2723</v>
      </c>
      <c r="T5160" s="3" t="s">
        <v>4866</v>
      </c>
      <c r="U5160" s="45">
        <v>35</v>
      </c>
      <c r="V5160" t="s">
        <v>8582</v>
      </c>
      <c r="W5160" s="1" t="str">
        <f>HYPERLINK("http://ictvonline.org/taxonomy/p/taxonomy-history?taxnode_id=201907254","ICTVonline=201907254")</f>
        <v>ICTVonline=201907254</v>
      </c>
    </row>
    <row r="5161" spans="1:23">
      <c r="A5161" s="3">
        <v>5160</v>
      </c>
      <c r="B5161" s="1" t="s">
        <v>5910</v>
      </c>
      <c r="D5161" s="1" t="s">
        <v>8187</v>
      </c>
      <c r="F5161" s="1" t="s">
        <v>8506</v>
      </c>
      <c r="H5161" s="1" t="s">
        <v>8512</v>
      </c>
      <c r="J5161" s="1" t="s">
        <v>1067</v>
      </c>
      <c r="L5161" s="1" t="s">
        <v>1112</v>
      </c>
      <c r="N5161" s="1" t="s">
        <v>8583</v>
      </c>
      <c r="P5161" s="1" t="s">
        <v>8584</v>
      </c>
      <c r="Q5161" s="3">
        <v>1</v>
      </c>
      <c r="R5161" s="22" t="s">
        <v>2723</v>
      </c>
      <c r="T5161" s="3" t="s">
        <v>4866</v>
      </c>
      <c r="U5161" s="45">
        <v>35</v>
      </c>
      <c r="V5161" t="s">
        <v>8585</v>
      </c>
      <c r="W5161" s="1" t="str">
        <f>HYPERLINK("http://ictvonline.org/taxonomy/p/taxonomy-history?taxnode_id=201907267","ICTVonline=201907267")</f>
        <v>ICTVonline=201907267</v>
      </c>
    </row>
    <row r="5162" spans="1:23">
      <c r="A5162" s="3">
        <v>5161</v>
      </c>
      <c r="B5162" s="1" t="s">
        <v>5910</v>
      </c>
      <c r="D5162" s="1" t="s">
        <v>8187</v>
      </c>
      <c r="F5162" s="1" t="s">
        <v>8506</v>
      </c>
      <c r="H5162" s="1" t="s">
        <v>8512</v>
      </c>
      <c r="J5162" s="1" t="s">
        <v>1067</v>
      </c>
      <c r="L5162" s="1" t="s">
        <v>1112</v>
      </c>
      <c r="N5162" s="1" t="s">
        <v>8583</v>
      </c>
      <c r="P5162" s="1" t="s">
        <v>8586</v>
      </c>
      <c r="Q5162" s="3">
        <v>0</v>
      </c>
      <c r="R5162" s="22" t="s">
        <v>2723</v>
      </c>
      <c r="T5162" s="3" t="s">
        <v>4866</v>
      </c>
      <c r="U5162" s="45">
        <v>35</v>
      </c>
      <c r="V5162" t="s">
        <v>8585</v>
      </c>
      <c r="W5162" s="1" t="str">
        <f>HYPERLINK("http://ictvonline.org/taxonomy/p/taxonomy-history?taxnode_id=201907268","ICTVonline=201907268")</f>
        <v>ICTVonline=201907268</v>
      </c>
    </row>
    <row r="5163" spans="1:23">
      <c r="A5163" s="3">
        <v>5162</v>
      </c>
      <c r="B5163" s="1" t="s">
        <v>5910</v>
      </c>
      <c r="D5163" s="1" t="s">
        <v>8187</v>
      </c>
      <c r="F5163" s="1" t="s">
        <v>8506</v>
      </c>
      <c r="H5163" s="1" t="s">
        <v>8512</v>
      </c>
      <c r="J5163" s="1" t="s">
        <v>1067</v>
      </c>
      <c r="L5163" s="1" t="s">
        <v>1112</v>
      </c>
      <c r="N5163" s="1" t="s">
        <v>8583</v>
      </c>
      <c r="P5163" s="1" t="s">
        <v>8587</v>
      </c>
      <c r="Q5163" s="3">
        <v>0</v>
      </c>
      <c r="R5163" s="22" t="s">
        <v>2723</v>
      </c>
      <c r="T5163" s="3" t="s">
        <v>4866</v>
      </c>
      <c r="U5163" s="45">
        <v>35</v>
      </c>
      <c r="V5163" t="s">
        <v>8585</v>
      </c>
      <c r="W5163" s="1" t="str">
        <f>HYPERLINK("http://ictvonline.org/taxonomy/p/taxonomy-history?taxnode_id=201907269","ICTVonline=201907269")</f>
        <v>ICTVonline=201907269</v>
      </c>
    </row>
    <row r="5164" spans="1:23">
      <c r="A5164" s="3">
        <v>5163</v>
      </c>
      <c r="B5164" s="1" t="s">
        <v>5910</v>
      </c>
      <c r="D5164" s="1" t="s">
        <v>8187</v>
      </c>
      <c r="F5164" s="1" t="s">
        <v>8506</v>
      </c>
      <c r="H5164" s="1" t="s">
        <v>8512</v>
      </c>
      <c r="J5164" s="1" t="s">
        <v>1067</v>
      </c>
      <c r="L5164" s="1" t="s">
        <v>1112</v>
      </c>
      <c r="N5164" s="1" t="s">
        <v>8583</v>
      </c>
      <c r="P5164" s="1" t="s">
        <v>8588</v>
      </c>
      <c r="Q5164" s="3">
        <v>0</v>
      </c>
      <c r="R5164" s="22" t="s">
        <v>2723</v>
      </c>
      <c r="T5164" s="3" t="s">
        <v>4866</v>
      </c>
      <c r="U5164" s="45">
        <v>35</v>
      </c>
      <c r="V5164" t="s">
        <v>8585</v>
      </c>
      <c r="W5164" s="1" t="str">
        <f>HYPERLINK("http://ictvonline.org/taxonomy/p/taxonomy-history?taxnode_id=201907270","ICTVonline=201907270")</f>
        <v>ICTVonline=201907270</v>
      </c>
    </row>
    <row r="5165" spans="1:23">
      <c r="A5165" s="3">
        <v>5164</v>
      </c>
      <c r="B5165" s="1" t="s">
        <v>5910</v>
      </c>
      <c r="D5165" s="1" t="s">
        <v>8187</v>
      </c>
      <c r="F5165" s="1" t="s">
        <v>8506</v>
      </c>
      <c r="H5165" s="1" t="s">
        <v>8512</v>
      </c>
      <c r="J5165" s="1" t="s">
        <v>1067</v>
      </c>
      <c r="L5165" s="1" t="s">
        <v>1112</v>
      </c>
      <c r="N5165" s="1" t="s">
        <v>8583</v>
      </c>
      <c r="P5165" s="1" t="s">
        <v>8589</v>
      </c>
      <c r="Q5165" s="3">
        <v>0</v>
      </c>
      <c r="R5165" s="22" t="s">
        <v>2723</v>
      </c>
      <c r="T5165" s="3" t="s">
        <v>4866</v>
      </c>
      <c r="U5165" s="45">
        <v>35</v>
      </c>
      <c r="V5165" t="s">
        <v>8585</v>
      </c>
      <c r="W5165" s="1" t="str">
        <f>HYPERLINK("http://ictvonline.org/taxonomy/p/taxonomy-history?taxnode_id=201907271","ICTVonline=201907271")</f>
        <v>ICTVonline=201907271</v>
      </c>
    </row>
    <row r="5166" spans="1:23">
      <c r="A5166" s="3">
        <v>5165</v>
      </c>
      <c r="B5166" s="1" t="s">
        <v>5910</v>
      </c>
      <c r="D5166" s="1" t="s">
        <v>8187</v>
      </c>
      <c r="F5166" s="1" t="s">
        <v>8506</v>
      </c>
      <c r="H5166" s="1" t="s">
        <v>8512</v>
      </c>
      <c r="J5166" s="1" t="s">
        <v>1067</v>
      </c>
      <c r="L5166" s="1" t="s">
        <v>1112</v>
      </c>
      <c r="N5166" s="1" t="s">
        <v>2292</v>
      </c>
      <c r="P5166" s="1" t="s">
        <v>2293</v>
      </c>
      <c r="Q5166" s="3">
        <v>1</v>
      </c>
      <c r="R5166" s="22" t="s">
        <v>2723</v>
      </c>
      <c r="T5166" s="3" t="s">
        <v>4868</v>
      </c>
      <c r="U5166" s="45">
        <v>35</v>
      </c>
      <c r="V5166" t="s">
        <v>8191</v>
      </c>
      <c r="W5166" s="1" t="str">
        <f>HYPERLINK("http://ictvonline.org/taxonomy/p/taxonomy-history?taxnode_id=201901999","ICTVonline=201901999")</f>
        <v>ICTVonline=201901999</v>
      </c>
    </row>
    <row r="5167" spans="1:23">
      <c r="A5167" s="3">
        <v>5166</v>
      </c>
      <c r="B5167" s="1" t="s">
        <v>5910</v>
      </c>
      <c r="D5167" s="1" t="s">
        <v>8187</v>
      </c>
      <c r="F5167" s="1" t="s">
        <v>8506</v>
      </c>
      <c r="H5167" s="1" t="s">
        <v>8512</v>
      </c>
      <c r="J5167" s="1" t="s">
        <v>1067</v>
      </c>
      <c r="L5167" s="1" t="s">
        <v>1112</v>
      </c>
      <c r="N5167" s="1" t="s">
        <v>8590</v>
      </c>
      <c r="P5167" s="1" t="s">
        <v>8591</v>
      </c>
      <c r="Q5167" s="3">
        <v>1</v>
      </c>
      <c r="R5167" s="22" t="s">
        <v>2723</v>
      </c>
      <c r="T5167" s="3" t="s">
        <v>4866</v>
      </c>
      <c r="U5167" s="45">
        <v>35</v>
      </c>
      <c r="V5167" t="s">
        <v>8575</v>
      </c>
      <c r="W5167" s="1" t="str">
        <f>HYPERLINK("http://ictvonline.org/taxonomy/p/taxonomy-history?taxnode_id=201907134","ICTVonline=201907134")</f>
        <v>ICTVonline=201907134</v>
      </c>
    </row>
    <row r="5168" spans="1:23">
      <c r="A5168" s="3">
        <v>5167</v>
      </c>
      <c r="B5168" s="1" t="s">
        <v>5910</v>
      </c>
      <c r="D5168" s="1" t="s">
        <v>8187</v>
      </c>
      <c r="F5168" s="1" t="s">
        <v>8506</v>
      </c>
      <c r="H5168" s="1" t="s">
        <v>8512</v>
      </c>
      <c r="J5168" s="1" t="s">
        <v>1067</v>
      </c>
      <c r="L5168" s="1" t="s">
        <v>1112</v>
      </c>
      <c r="N5168" s="1" t="s">
        <v>8592</v>
      </c>
      <c r="P5168" s="1" t="s">
        <v>8593</v>
      </c>
      <c r="Q5168" s="3">
        <v>1</v>
      </c>
      <c r="R5168" s="22" t="s">
        <v>2723</v>
      </c>
      <c r="T5168" s="3" t="s">
        <v>4866</v>
      </c>
      <c r="U5168" s="45">
        <v>35</v>
      </c>
      <c r="V5168" t="s">
        <v>8594</v>
      </c>
      <c r="W5168" s="1" t="str">
        <f>HYPERLINK("http://ictvonline.org/taxonomy/p/taxonomy-history?taxnode_id=201907284","ICTVonline=201907284")</f>
        <v>ICTVonline=201907284</v>
      </c>
    </row>
    <row r="5169" spans="1:23">
      <c r="A5169" s="3">
        <v>5168</v>
      </c>
      <c r="B5169" s="1" t="s">
        <v>5910</v>
      </c>
      <c r="D5169" s="1" t="s">
        <v>8187</v>
      </c>
      <c r="F5169" s="1" t="s">
        <v>8506</v>
      </c>
      <c r="H5169" s="1" t="s">
        <v>8512</v>
      </c>
      <c r="J5169" s="1" t="s">
        <v>1067</v>
      </c>
      <c r="L5169" s="1" t="s">
        <v>1112</v>
      </c>
      <c r="N5169" s="1" t="s">
        <v>8592</v>
      </c>
      <c r="P5169" s="1" t="s">
        <v>8595</v>
      </c>
      <c r="Q5169" s="3">
        <v>0</v>
      </c>
      <c r="R5169" s="22" t="s">
        <v>2723</v>
      </c>
      <c r="T5169" s="3" t="s">
        <v>4866</v>
      </c>
      <c r="U5169" s="45">
        <v>35</v>
      </c>
      <c r="V5169" t="s">
        <v>8594</v>
      </c>
      <c r="W5169" s="1" t="str">
        <f>HYPERLINK("http://ictvonline.org/taxonomy/p/taxonomy-history?taxnode_id=201907285","ICTVonline=201907285")</f>
        <v>ICTVonline=201907285</v>
      </c>
    </row>
    <row r="5170" spans="1:23">
      <c r="A5170" s="3">
        <v>5169</v>
      </c>
      <c r="B5170" s="1" t="s">
        <v>5910</v>
      </c>
      <c r="D5170" s="1" t="s">
        <v>8187</v>
      </c>
      <c r="F5170" s="1" t="s">
        <v>8506</v>
      </c>
      <c r="H5170" s="1" t="s">
        <v>8512</v>
      </c>
      <c r="J5170" s="1" t="s">
        <v>1067</v>
      </c>
      <c r="L5170" s="1" t="s">
        <v>1112</v>
      </c>
      <c r="N5170" s="1" t="s">
        <v>4533</v>
      </c>
      <c r="P5170" s="1" t="s">
        <v>4534</v>
      </c>
      <c r="Q5170" s="3">
        <v>1</v>
      </c>
      <c r="R5170" s="22" t="s">
        <v>2723</v>
      </c>
      <c r="T5170" s="3" t="s">
        <v>4868</v>
      </c>
      <c r="U5170" s="45">
        <v>35</v>
      </c>
      <c r="V5170" t="s">
        <v>8191</v>
      </c>
      <c r="W5170" s="1" t="str">
        <f>HYPERLINK("http://ictvonline.org/taxonomy/p/taxonomy-history?taxnode_id=201902001","ICTVonline=201902001")</f>
        <v>ICTVonline=201902001</v>
      </c>
    </row>
    <row r="5171" spans="1:23">
      <c r="A5171" s="3">
        <v>5170</v>
      </c>
      <c r="B5171" s="1" t="s">
        <v>5910</v>
      </c>
      <c r="D5171" s="1" t="s">
        <v>8187</v>
      </c>
      <c r="F5171" s="1" t="s">
        <v>8506</v>
      </c>
      <c r="H5171" s="1" t="s">
        <v>8512</v>
      </c>
      <c r="J5171" s="1" t="s">
        <v>1067</v>
      </c>
      <c r="L5171" s="1" t="s">
        <v>1112</v>
      </c>
      <c r="N5171" s="1" t="s">
        <v>8596</v>
      </c>
      <c r="P5171" s="1" t="s">
        <v>8597</v>
      </c>
      <c r="Q5171" s="3">
        <v>1</v>
      </c>
      <c r="R5171" s="22" t="s">
        <v>2723</v>
      </c>
      <c r="T5171" s="3" t="s">
        <v>4866</v>
      </c>
      <c r="U5171" s="45">
        <v>35</v>
      </c>
      <c r="V5171" t="s">
        <v>8598</v>
      </c>
      <c r="W5171" s="1" t="str">
        <f>HYPERLINK("http://ictvonline.org/taxonomy/p/taxonomy-history?taxnode_id=201907298","ICTVonline=201907298")</f>
        <v>ICTVonline=201907298</v>
      </c>
    </row>
    <row r="5172" spans="1:23">
      <c r="A5172" s="3">
        <v>5171</v>
      </c>
      <c r="B5172" s="1" t="s">
        <v>5910</v>
      </c>
      <c r="D5172" s="1" t="s">
        <v>8187</v>
      </c>
      <c r="F5172" s="1" t="s">
        <v>8506</v>
      </c>
      <c r="H5172" s="1" t="s">
        <v>8512</v>
      </c>
      <c r="J5172" s="1" t="s">
        <v>1067</v>
      </c>
      <c r="L5172" s="1" t="s">
        <v>1112</v>
      </c>
      <c r="N5172" s="1" t="s">
        <v>626</v>
      </c>
      <c r="P5172" s="1" t="s">
        <v>2607</v>
      </c>
      <c r="Q5172" s="3">
        <v>1</v>
      </c>
      <c r="R5172" s="22" t="s">
        <v>2723</v>
      </c>
      <c r="T5172" s="3" t="s">
        <v>4868</v>
      </c>
      <c r="U5172" s="45">
        <v>35</v>
      </c>
      <c r="V5172" t="s">
        <v>8191</v>
      </c>
      <c r="W5172" s="1" t="str">
        <f>HYPERLINK("http://ictvonline.org/taxonomy/p/taxonomy-history?taxnode_id=201902003","ICTVonline=201902003")</f>
        <v>ICTVonline=201902003</v>
      </c>
    </row>
    <row r="5173" spans="1:23">
      <c r="A5173" s="3">
        <v>5172</v>
      </c>
      <c r="B5173" s="1" t="s">
        <v>5910</v>
      </c>
      <c r="D5173" s="1" t="s">
        <v>8187</v>
      </c>
      <c r="F5173" s="1" t="s">
        <v>8506</v>
      </c>
      <c r="H5173" s="1" t="s">
        <v>8512</v>
      </c>
      <c r="J5173" s="1" t="s">
        <v>1067</v>
      </c>
      <c r="L5173" s="1" t="s">
        <v>1112</v>
      </c>
      <c r="N5173" s="1" t="s">
        <v>626</v>
      </c>
      <c r="P5173" s="1" t="s">
        <v>4535</v>
      </c>
      <c r="Q5173" s="3">
        <v>0</v>
      </c>
      <c r="R5173" s="22" t="s">
        <v>2723</v>
      </c>
      <c r="T5173" s="3" t="s">
        <v>4868</v>
      </c>
      <c r="U5173" s="45">
        <v>35</v>
      </c>
      <c r="V5173" t="s">
        <v>8191</v>
      </c>
      <c r="W5173" s="1" t="str">
        <f>HYPERLINK("http://ictvonline.org/taxonomy/p/taxonomy-history?taxnode_id=201902004","ICTVonline=201902004")</f>
        <v>ICTVonline=201902004</v>
      </c>
    </row>
    <row r="5174" spans="1:23">
      <c r="A5174" s="3">
        <v>5173</v>
      </c>
      <c r="B5174" s="1" t="s">
        <v>5910</v>
      </c>
      <c r="D5174" s="1" t="s">
        <v>8187</v>
      </c>
      <c r="F5174" s="1" t="s">
        <v>8506</v>
      </c>
      <c r="H5174" s="1" t="s">
        <v>8512</v>
      </c>
      <c r="J5174" s="1" t="s">
        <v>1067</v>
      </c>
      <c r="L5174" s="1" t="s">
        <v>1112</v>
      </c>
      <c r="N5174" s="1" t="s">
        <v>626</v>
      </c>
      <c r="P5174" s="1" t="s">
        <v>4536</v>
      </c>
      <c r="Q5174" s="3">
        <v>0</v>
      </c>
      <c r="R5174" s="22" t="s">
        <v>2723</v>
      </c>
      <c r="T5174" s="3" t="s">
        <v>4868</v>
      </c>
      <c r="U5174" s="45">
        <v>35</v>
      </c>
      <c r="V5174" t="s">
        <v>8191</v>
      </c>
      <c r="W5174" s="1" t="str">
        <f>HYPERLINK("http://ictvonline.org/taxonomy/p/taxonomy-history?taxnode_id=201902005","ICTVonline=201902005")</f>
        <v>ICTVonline=201902005</v>
      </c>
    </row>
    <row r="5175" spans="1:23">
      <c r="A5175" s="3">
        <v>5174</v>
      </c>
      <c r="B5175" s="1" t="s">
        <v>5910</v>
      </c>
      <c r="D5175" s="1" t="s">
        <v>8187</v>
      </c>
      <c r="F5175" s="1" t="s">
        <v>8506</v>
      </c>
      <c r="H5175" s="1" t="s">
        <v>8512</v>
      </c>
      <c r="J5175" s="1" t="s">
        <v>1067</v>
      </c>
      <c r="L5175" s="1" t="s">
        <v>1112</v>
      </c>
      <c r="N5175" s="1" t="s">
        <v>626</v>
      </c>
      <c r="P5175" s="1" t="s">
        <v>4537</v>
      </c>
      <c r="Q5175" s="3">
        <v>0</v>
      </c>
      <c r="R5175" s="22" t="s">
        <v>2723</v>
      </c>
      <c r="T5175" s="3" t="s">
        <v>4868</v>
      </c>
      <c r="U5175" s="45">
        <v>35</v>
      </c>
      <c r="V5175" t="s">
        <v>8191</v>
      </c>
      <c r="W5175" s="1" t="str">
        <f>HYPERLINK("http://ictvonline.org/taxonomy/p/taxonomy-history?taxnode_id=201902006","ICTVonline=201902006")</f>
        <v>ICTVonline=201902006</v>
      </c>
    </row>
    <row r="5176" spans="1:23">
      <c r="A5176" s="3">
        <v>5175</v>
      </c>
      <c r="B5176" s="1" t="s">
        <v>5910</v>
      </c>
      <c r="D5176" s="1" t="s">
        <v>8187</v>
      </c>
      <c r="F5176" s="1" t="s">
        <v>8506</v>
      </c>
      <c r="H5176" s="1" t="s">
        <v>8512</v>
      </c>
      <c r="J5176" s="1" t="s">
        <v>1067</v>
      </c>
      <c r="L5176" s="1" t="s">
        <v>1112</v>
      </c>
      <c r="N5176" s="1" t="s">
        <v>626</v>
      </c>
      <c r="P5176" s="1" t="s">
        <v>4538</v>
      </c>
      <c r="Q5176" s="3">
        <v>0</v>
      </c>
      <c r="R5176" s="22" t="s">
        <v>2723</v>
      </c>
      <c r="T5176" s="3" t="s">
        <v>4868</v>
      </c>
      <c r="U5176" s="45">
        <v>35</v>
      </c>
      <c r="V5176" t="s">
        <v>8191</v>
      </c>
      <c r="W5176" s="1" t="str">
        <f>HYPERLINK("http://ictvonline.org/taxonomy/p/taxonomy-history?taxnode_id=201902007","ICTVonline=201902007")</f>
        <v>ICTVonline=201902007</v>
      </c>
    </row>
    <row r="5177" spans="1:23">
      <c r="A5177" s="3">
        <v>5176</v>
      </c>
      <c r="B5177" s="1" t="s">
        <v>5910</v>
      </c>
      <c r="D5177" s="1" t="s">
        <v>8187</v>
      </c>
      <c r="F5177" s="1" t="s">
        <v>8506</v>
      </c>
      <c r="H5177" s="1" t="s">
        <v>8512</v>
      </c>
      <c r="J5177" s="1" t="s">
        <v>1067</v>
      </c>
      <c r="L5177" s="1" t="s">
        <v>1112</v>
      </c>
      <c r="N5177" s="1" t="s">
        <v>626</v>
      </c>
      <c r="P5177" s="1" t="s">
        <v>4539</v>
      </c>
      <c r="Q5177" s="3">
        <v>0</v>
      </c>
      <c r="R5177" s="22" t="s">
        <v>2723</v>
      </c>
      <c r="T5177" s="3" t="s">
        <v>4868</v>
      </c>
      <c r="U5177" s="45">
        <v>35</v>
      </c>
      <c r="V5177" t="s">
        <v>8191</v>
      </c>
      <c r="W5177" s="1" t="str">
        <f>HYPERLINK("http://ictvonline.org/taxonomy/p/taxonomy-history?taxnode_id=201902008","ICTVonline=201902008")</f>
        <v>ICTVonline=201902008</v>
      </c>
    </row>
    <row r="5178" spans="1:23">
      <c r="A5178" s="3">
        <v>5177</v>
      </c>
      <c r="B5178" s="1" t="s">
        <v>5910</v>
      </c>
      <c r="D5178" s="1" t="s">
        <v>8187</v>
      </c>
      <c r="F5178" s="1" t="s">
        <v>8506</v>
      </c>
      <c r="H5178" s="1" t="s">
        <v>8512</v>
      </c>
      <c r="J5178" s="1" t="s">
        <v>1067</v>
      </c>
      <c r="L5178" s="1" t="s">
        <v>1112</v>
      </c>
      <c r="N5178" s="1" t="s">
        <v>626</v>
      </c>
      <c r="P5178" s="1" t="s">
        <v>4540</v>
      </c>
      <c r="Q5178" s="3">
        <v>0</v>
      </c>
      <c r="R5178" s="22" t="s">
        <v>2723</v>
      </c>
      <c r="T5178" s="3" t="s">
        <v>4868</v>
      </c>
      <c r="U5178" s="45">
        <v>35</v>
      </c>
      <c r="V5178" t="s">
        <v>8191</v>
      </c>
      <c r="W5178" s="1" t="str">
        <f>HYPERLINK("http://ictvonline.org/taxonomy/p/taxonomy-history?taxnode_id=201902009","ICTVonline=201902009")</f>
        <v>ICTVonline=201902009</v>
      </c>
    </row>
    <row r="5179" spans="1:23">
      <c r="A5179" s="3">
        <v>5178</v>
      </c>
      <c r="B5179" s="1" t="s">
        <v>5910</v>
      </c>
      <c r="D5179" s="1" t="s">
        <v>8187</v>
      </c>
      <c r="F5179" s="1" t="s">
        <v>8506</v>
      </c>
      <c r="H5179" s="1" t="s">
        <v>8512</v>
      </c>
      <c r="J5179" s="1" t="s">
        <v>1067</v>
      </c>
      <c r="L5179" s="1" t="s">
        <v>1112</v>
      </c>
      <c r="N5179" s="1" t="s">
        <v>626</v>
      </c>
      <c r="P5179" s="1" t="s">
        <v>4541</v>
      </c>
      <c r="Q5179" s="3">
        <v>0</v>
      </c>
      <c r="R5179" s="22" t="s">
        <v>2723</v>
      </c>
      <c r="T5179" s="3" t="s">
        <v>4868</v>
      </c>
      <c r="U5179" s="45">
        <v>35</v>
      </c>
      <c r="V5179" t="s">
        <v>8191</v>
      </c>
      <c r="W5179" s="1" t="str">
        <f>HYPERLINK("http://ictvonline.org/taxonomy/p/taxonomy-history?taxnode_id=201902010","ICTVonline=201902010")</f>
        <v>ICTVonline=201902010</v>
      </c>
    </row>
    <row r="5180" spans="1:23">
      <c r="A5180" s="3">
        <v>5179</v>
      </c>
      <c r="B5180" s="1" t="s">
        <v>5910</v>
      </c>
      <c r="D5180" s="1" t="s">
        <v>8187</v>
      </c>
      <c r="F5180" s="1" t="s">
        <v>8506</v>
      </c>
      <c r="H5180" s="1" t="s">
        <v>8512</v>
      </c>
      <c r="J5180" s="1" t="s">
        <v>1067</v>
      </c>
      <c r="L5180" s="1" t="s">
        <v>1112</v>
      </c>
      <c r="N5180" s="1" t="s">
        <v>626</v>
      </c>
      <c r="P5180" s="1" t="s">
        <v>4542</v>
      </c>
      <c r="Q5180" s="3">
        <v>0</v>
      </c>
      <c r="R5180" s="22" t="s">
        <v>2723</v>
      </c>
      <c r="T5180" s="3" t="s">
        <v>4868</v>
      </c>
      <c r="U5180" s="45">
        <v>35</v>
      </c>
      <c r="V5180" t="s">
        <v>8191</v>
      </c>
      <c r="W5180" s="1" t="str">
        <f>HYPERLINK("http://ictvonline.org/taxonomy/p/taxonomy-history?taxnode_id=201902011","ICTVonline=201902011")</f>
        <v>ICTVonline=201902011</v>
      </c>
    </row>
    <row r="5181" spans="1:23">
      <c r="A5181" s="3">
        <v>5180</v>
      </c>
      <c r="B5181" s="1" t="s">
        <v>5910</v>
      </c>
      <c r="D5181" s="1" t="s">
        <v>8187</v>
      </c>
      <c r="F5181" s="1" t="s">
        <v>8506</v>
      </c>
      <c r="H5181" s="1" t="s">
        <v>8512</v>
      </c>
      <c r="J5181" s="1" t="s">
        <v>1067</v>
      </c>
      <c r="L5181" s="1" t="s">
        <v>1112</v>
      </c>
      <c r="N5181" s="1" t="s">
        <v>2294</v>
      </c>
      <c r="P5181" s="1" t="s">
        <v>2295</v>
      </c>
      <c r="Q5181" s="3">
        <v>1</v>
      </c>
      <c r="R5181" s="22" t="s">
        <v>2723</v>
      </c>
      <c r="T5181" s="3" t="s">
        <v>4868</v>
      </c>
      <c r="U5181" s="45">
        <v>35</v>
      </c>
      <c r="V5181" t="s">
        <v>8191</v>
      </c>
      <c r="W5181" s="1" t="str">
        <f>HYPERLINK("http://ictvonline.org/taxonomy/p/taxonomy-history?taxnode_id=201902013","ICTVonline=201902013")</f>
        <v>ICTVonline=201902013</v>
      </c>
    </row>
    <row r="5182" spans="1:23">
      <c r="A5182" s="3">
        <v>5181</v>
      </c>
      <c r="B5182" s="1" t="s">
        <v>5910</v>
      </c>
      <c r="D5182" s="1" t="s">
        <v>8187</v>
      </c>
      <c r="F5182" s="1" t="s">
        <v>8506</v>
      </c>
      <c r="H5182" s="1" t="s">
        <v>8512</v>
      </c>
      <c r="J5182" s="1" t="s">
        <v>1067</v>
      </c>
      <c r="L5182" s="1" t="s">
        <v>1112</v>
      </c>
      <c r="N5182" s="1" t="s">
        <v>627</v>
      </c>
      <c r="P5182" s="1" t="s">
        <v>2175</v>
      </c>
      <c r="Q5182" s="3">
        <v>1</v>
      </c>
      <c r="R5182" s="22" t="s">
        <v>2723</v>
      </c>
      <c r="T5182" s="3" t="s">
        <v>4868</v>
      </c>
      <c r="U5182" s="45">
        <v>35</v>
      </c>
      <c r="V5182" t="s">
        <v>8191</v>
      </c>
      <c r="W5182" s="1" t="str">
        <f>HYPERLINK("http://ictvonline.org/taxonomy/p/taxonomy-history?taxnode_id=201902015","ICTVonline=201902015")</f>
        <v>ICTVonline=201902015</v>
      </c>
    </row>
    <row r="5183" spans="1:23">
      <c r="A5183" s="3">
        <v>5182</v>
      </c>
      <c r="B5183" s="1" t="s">
        <v>5910</v>
      </c>
      <c r="D5183" s="1" t="s">
        <v>8187</v>
      </c>
      <c r="F5183" s="1" t="s">
        <v>8506</v>
      </c>
      <c r="H5183" s="1" t="s">
        <v>8512</v>
      </c>
      <c r="J5183" s="1" t="s">
        <v>1067</v>
      </c>
      <c r="L5183" s="1" t="s">
        <v>1112</v>
      </c>
      <c r="N5183" s="1" t="s">
        <v>627</v>
      </c>
      <c r="P5183" s="1" t="s">
        <v>2176</v>
      </c>
      <c r="Q5183" s="3">
        <v>0</v>
      </c>
      <c r="R5183" s="22" t="s">
        <v>2723</v>
      </c>
      <c r="T5183" s="3" t="s">
        <v>4868</v>
      </c>
      <c r="U5183" s="45">
        <v>35</v>
      </c>
      <c r="V5183" t="s">
        <v>8191</v>
      </c>
      <c r="W5183" s="1" t="str">
        <f>HYPERLINK("http://ictvonline.org/taxonomy/p/taxonomy-history?taxnode_id=201902016","ICTVonline=201902016")</f>
        <v>ICTVonline=201902016</v>
      </c>
    </row>
    <row r="5184" spans="1:23">
      <c r="A5184" s="3">
        <v>5183</v>
      </c>
      <c r="B5184" s="1" t="s">
        <v>5910</v>
      </c>
      <c r="D5184" s="1" t="s">
        <v>8187</v>
      </c>
      <c r="F5184" s="1" t="s">
        <v>8506</v>
      </c>
      <c r="H5184" s="1" t="s">
        <v>8512</v>
      </c>
      <c r="J5184" s="1" t="s">
        <v>1067</v>
      </c>
      <c r="L5184" s="1" t="s">
        <v>1112</v>
      </c>
      <c r="N5184" s="1" t="s">
        <v>627</v>
      </c>
      <c r="P5184" s="1" t="s">
        <v>2177</v>
      </c>
      <c r="Q5184" s="3">
        <v>0</v>
      </c>
      <c r="R5184" s="22" t="s">
        <v>2723</v>
      </c>
      <c r="T5184" s="3" t="s">
        <v>4868</v>
      </c>
      <c r="U5184" s="45">
        <v>35</v>
      </c>
      <c r="V5184" t="s">
        <v>8191</v>
      </c>
      <c r="W5184" s="1" t="str">
        <f>HYPERLINK("http://ictvonline.org/taxonomy/p/taxonomy-history?taxnode_id=201902017","ICTVonline=201902017")</f>
        <v>ICTVonline=201902017</v>
      </c>
    </row>
    <row r="5185" spans="1:23">
      <c r="A5185" s="3">
        <v>5184</v>
      </c>
      <c r="B5185" s="1" t="s">
        <v>5910</v>
      </c>
      <c r="D5185" s="1" t="s">
        <v>8187</v>
      </c>
      <c r="F5185" s="1" t="s">
        <v>8506</v>
      </c>
      <c r="H5185" s="1" t="s">
        <v>8512</v>
      </c>
      <c r="J5185" s="1" t="s">
        <v>1067</v>
      </c>
      <c r="L5185" s="1" t="s">
        <v>1112</v>
      </c>
      <c r="N5185" s="1" t="s">
        <v>627</v>
      </c>
      <c r="P5185" s="1" t="s">
        <v>4543</v>
      </c>
      <c r="Q5185" s="3">
        <v>0</v>
      </c>
      <c r="R5185" s="22" t="s">
        <v>2723</v>
      </c>
      <c r="T5185" s="3" t="s">
        <v>4868</v>
      </c>
      <c r="U5185" s="45">
        <v>35</v>
      </c>
      <c r="V5185" t="s">
        <v>8191</v>
      </c>
      <c r="W5185" s="1" t="str">
        <f>HYPERLINK("http://ictvonline.org/taxonomy/p/taxonomy-history?taxnode_id=201902018","ICTVonline=201902018")</f>
        <v>ICTVonline=201902018</v>
      </c>
    </row>
    <row r="5186" spans="1:23">
      <c r="A5186" s="3">
        <v>5185</v>
      </c>
      <c r="B5186" s="1" t="s">
        <v>5910</v>
      </c>
      <c r="D5186" s="1" t="s">
        <v>8187</v>
      </c>
      <c r="F5186" s="1" t="s">
        <v>8506</v>
      </c>
      <c r="H5186" s="1" t="s">
        <v>8512</v>
      </c>
      <c r="J5186" s="1" t="s">
        <v>1067</v>
      </c>
      <c r="L5186" s="1" t="s">
        <v>1112</v>
      </c>
      <c r="N5186" s="1" t="s">
        <v>627</v>
      </c>
      <c r="P5186" s="1" t="s">
        <v>4544</v>
      </c>
      <c r="Q5186" s="3">
        <v>0</v>
      </c>
      <c r="R5186" s="22" t="s">
        <v>2723</v>
      </c>
      <c r="T5186" s="3" t="s">
        <v>4868</v>
      </c>
      <c r="U5186" s="45">
        <v>35</v>
      </c>
      <c r="V5186" t="s">
        <v>8191</v>
      </c>
      <c r="W5186" s="1" t="str">
        <f>HYPERLINK("http://ictvonline.org/taxonomy/p/taxonomy-history?taxnode_id=201902019","ICTVonline=201902019")</f>
        <v>ICTVonline=201902019</v>
      </c>
    </row>
    <row r="5187" spans="1:23">
      <c r="A5187" s="3">
        <v>5186</v>
      </c>
      <c r="B5187" s="1" t="s">
        <v>5910</v>
      </c>
      <c r="D5187" s="1" t="s">
        <v>8187</v>
      </c>
      <c r="F5187" s="1" t="s">
        <v>8506</v>
      </c>
      <c r="H5187" s="1" t="s">
        <v>8512</v>
      </c>
      <c r="J5187" s="1" t="s">
        <v>1067</v>
      </c>
      <c r="L5187" s="1" t="s">
        <v>1112</v>
      </c>
      <c r="N5187" s="1" t="s">
        <v>627</v>
      </c>
      <c r="P5187" s="1" t="s">
        <v>4545</v>
      </c>
      <c r="Q5187" s="3">
        <v>0</v>
      </c>
      <c r="R5187" s="22" t="s">
        <v>2723</v>
      </c>
      <c r="T5187" s="3" t="s">
        <v>4868</v>
      </c>
      <c r="U5187" s="45">
        <v>35</v>
      </c>
      <c r="V5187" t="s">
        <v>8191</v>
      </c>
      <c r="W5187" s="1" t="str">
        <f>HYPERLINK("http://ictvonline.org/taxonomy/p/taxonomy-history?taxnode_id=201902020","ICTVonline=201902020")</f>
        <v>ICTVonline=201902020</v>
      </c>
    </row>
    <row r="5188" spans="1:23">
      <c r="A5188" s="3">
        <v>5187</v>
      </c>
      <c r="B5188" s="1" t="s">
        <v>5910</v>
      </c>
      <c r="D5188" s="1" t="s">
        <v>8187</v>
      </c>
      <c r="F5188" s="1" t="s">
        <v>8506</v>
      </c>
      <c r="H5188" s="1" t="s">
        <v>8512</v>
      </c>
      <c r="J5188" s="1" t="s">
        <v>1067</v>
      </c>
      <c r="L5188" s="1" t="s">
        <v>1112</v>
      </c>
      <c r="N5188" s="1" t="s">
        <v>2608</v>
      </c>
      <c r="P5188" s="1" t="s">
        <v>2609</v>
      </c>
      <c r="Q5188" s="3">
        <v>1</v>
      </c>
      <c r="R5188" s="22" t="s">
        <v>2723</v>
      </c>
      <c r="T5188" s="3" t="s">
        <v>4868</v>
      </c>
      <c r="U5188" s="45">
        <v>35</v>
      </c>
      <c r="V5188" t="s">
        <v>8191</v>
      </c>
      <c r="W5188" s="1" t="str">
        <f>HYPERLINK("http://ictvonline.org/taxonomy/p/taxonomy-history?taxnode_id=201902022","ICTVonline=201902022")</f>
        <v>ICTVonline=201902022</v>
      </c>
    </row>
    <row r="5189" spans="1:23">
      <c r="A5189" s="3">
        <v>5188</v>
      </c>
      <c r="B5189" s="1" t="s">
        <v>5910</v>
      </c>
      <c r="D5189" s="1" t="s">
        <v>8187</v>
      </c>
      <c r="F5189" s="1" t="s">
        <v>8506</v>
      </c>
      <c r="H5189" s="1" t="s">
        <v>8512</v>
      </c>
      <c r="J5189" s="1" t="s">
        <v>1067</v>
      </c>
      <c r="L5189" s="1" t="s">
        <v>1112</v>
      </c>
      <c r="N5189" s="1" t="s">
        <v>2608</v>
      </c>
      <c r="P5189" s="1" t="s">
        <v>5104</v>
      </c>
      <c r="Q5189" s="3">
        <v>0</v>
      </c>
      <c r="R5189" s="22" t="s">
        <v>2723</v>
      </c>
      <c r="T5189" s="3" t="s">
        <v>4868</v>
      </c>
      <c r="U5189" s="45">
        <v>35</v>
      </c>
      <c r="V5189" t="s">
        <v>8191</v>
      </c>
      <c r="W5189" s="1" t="str">
        <f>HYPERLINK("http://ictvonline.org/taxonomy/p/taxonomy-history?taxnode_id=201905598","ICTVonline=201905598")</f>
        <v>ICTVonline=201905598</v>
      </c>
    </row>
    <row r="5190" spans="1:23">
      <c r="A5190" s="3">
        <v>5189</v>
      </c>
      <c r="B5190" s="1" t="s">
        <v>5910</v>
      </c>
      <c r="D5190" s="1" t="s">
        <v>8187</v>
      </c>
      <c r="F5190" s="1" t="s">
        <v>8506</v>
      </c>
      <c r="H5190" s="1" t="s">
        <v>8512</v>
      </c>
      <c r="J5190" s="1" t="s">
        <v>1067</v>
      </c>
      <c r="L5190" s="1" t="s">
        <v>1112</v>
      </c>
      <c r="N5190" s="1" t="s">
        <v>2608</v>
      </c>
      <c r="P5190" s="1" t="s">
        <v>5105</v>
      </c>
      <c r="Q5190" s="3">
        <v>0</v>
      </c>
      <c r="R5190" s="22" t="s">
        <v>2723</v>
      </c>
      <c r="T5190" s="3" t="s">
        <v>4868</v>
      </c>
      <c r="U5190" s="45">
        <v>35</v>
      </c>
      <c r="V5190" t="s">
        <v>8191</v>
      </c>
      <c r="W5190" s="1" t="str">
        <f>HYPERLINK("http://ictvonline.org/taxonomy/p/taxonomy-history?taxnode_id=201905599","ICTVonline=201905599")</f>
        <v>ICTVonline=201905599</v>
      </c>
    </row>
    <row r="5191" spans="1:23">
      <c r="A5191" s="3">
        <v>5190</v>
      </c>
      <c r="B5191" s="1" t="s">
        <v>5910</v>
      </c>
      <c r="D5191" s="1" t="s">
        <v>8187</v>
      </c>
      <c r="F5191" s="1" t="s">
        <v>8506</v>
      </c>
      <c r="H5191" s="1" t="s">
        <v>8512</v>
      </c>
      <c r="J5191" s="1" t="s">
        <v>1067</v>
      </c>
      <c r="L5191" s="1" t="s">
        <v>1112</v>
      </c>
      <c r="N5191" s="1" t="s">
        <v>3598</v>
      </c>
      <c r="P5191" s="1" t="s">
        <v>3599</v>
      </c>
      <c r="Q5191" s="3">
        <v>1</v>
      </c>
      <c r="R5191" s="22" t="s">
        <v>2723</v>
      </c>
      <c r="T5191" s="3" t="s">
        <v>4868</v>
      </c>
      <c r="U5191" s="45">
        <v>35</v>
      </c>
      <c r="V5191" t="s">
        <v>8191</v>
      </c>
      <c r="W5191" s="1" t="str">
        <f>HYPERLINK("http://ictvonline.org/taxonomy/p/taxonomy-history?taxnode_id=201902024","ICTVonline=201902024")</f>
        <v>ICTVonline=201902024</v>
      </c>
    </row>
    <row r="5192" spans="1:23">
      <c r="A5192" s="3">
        <v>5191</v>
      </c>
      <c r="B5192" s="1" t="s">
        <v>5910</v>
      </c>
      <c r="D5192" s="1" t="s">
        <v>8187</v>
      </c>
      <c r="F5192" s="1" t="s">
        <v>8506</v>
      </c>
      <c r="H5192" s="1" t="s">
        <v>8512</v>
      </c>
      <c r="J5192" s="1" t="s">
        <v>1067</v>
      </c>
      <c r="L5192" s="1" t="s">
        <v>1112</v>
      </c>
      <c r="N5192" s="1" t="s">
        <v>3598</v>
      </c>
      <c r="P5192" s="1" t="s">
        <v>3600</v>
      </c>
      <c r="Q5192" s="3">
        <v>0</v>
      </c>
      <c r="R5192" s="22" t="s">
        <v>2723</v>
      </c>
      <c r="T5192" s="3" t="s">
        <v>4868</v>
      </c>
      <c r="U5192" s="45">
        <v>35</v>
      </c>
      <c r="V5192" t="s">
        <v>8191</v>
      </c>
      <c r="W5192" s="1" t="str">
        <f>HYPERLINK("http://ictvonline.org/taxonomy/p/taxonomy-history?taxnode_id=201902025","ICTVonline=201902025")</f>
        <v>ICTVonline=201902025</v>
      </c>
    </row>
    <row r="5193" spans="1:23">
      <c r="A5193" s="3">
        <v>5192</v>
      </c>
      <c r="B5193" s="1" t="s">
        <v>5910</v>
      </c>
      <c r="D5193" s="1" t="s">
        <v>8187</v>
      </c>
      <c r="F5193" s="1" t="s">
        <v>8506</v>
      </c>
      <c r="H5193" s="1" t="s">
        <v>8512</v>
      </c>
      <c r="J5193" s="1" t="s">
        <v>1067</v>
      </c>
      <c r="L5193" s="1" t="s">
        <v>1112</v>
      </c>
      <c r="N5193" s="1" t="s">
        <v>3598</v>
      </c>
      <c r="P5193" s="1" t="s">
        <v>3601</v>
      </c>
      <c r="Q5193" s="3">
        <v>0</v>
      </c>
      <c r="R5193" s="22" t="s">
        <v>2723</v>
      </c>
      <c r="T5193" s="3" t="s">
        <v>4868</v>
      </c>
      <c r="U5193" s="45">
        <v>35</v>
      </c>
      <c r="V5193" t="s">
        <v>8191</v>
      </c>
      <c r="W5193" s="1" t="str">
        <f>HYPERLINK("http://ictvonline.org/taxonomy/p/taxonomy-history?taxnode_id=201902026","ICTVonline=201902026")</f>
        <v>ICTVonline=201902026</v>
      </c>
    </row>
    <row r="5194" spans="1:23">
      <c r="A5194" s="3">
        <v>5193</v>
      </c>
      <c r="B5194" s="1" t="s">
        <v>5910</v>
      </c>
      <c r="D5194" s="1" t="s">
        <v>8187</v>
      </c>
      <c r="F5194" s="1" t="s">
        <v>8506</v>
      </c>
      <c r="H5194" s="1" t="s">
        <v>8512</v>
      </c>
      <c r="J5194" s="1" t="s">
        <v>1067</v>
      </c>
      <c r="L5194" s="1" t="s">
        <v>1112</v>
      </c>
      <c r="N5194" s="1" t="s">
        <v>6102</v>
      </c>
      <c r="P5194" s="1" t="s">
        <v>6103</v>
      </c>
      <c r="Q5194" s="3">
        <v>1</v>
      </c>
      <c r="R5194" s="22" t="s">
        <v>2723</v>
      </c>
      <c r="T5194" s="3" t="s">
        <v>4868</v>
      </c>
      <c r="U5194" s="45">
        <v>35</v>
      </c>
      <c r="V5194" t="s">
        <v>8191</v>
      </c>
      <c r="W5194" s="1" t="str">
        <f>HYPERLINK("http://ictvonline.org/taxonomy/p/taxonomy-history?taxnode_id=201906315","ICTVonline=201906315")</f>
        <v>ICTVonline=201906315</v>
      </c>
    </row>
    <row r="5195" spans="1:23">
      <c r="A5195" s="3">
        <v>5194</v>
      </c>
      <c r="B5195" s="1" t="s">
        <v>5910</v>
      </c>
      <c r="D5195" s="1" t="s">
        <v>8187</v>
      </c>
      <c r="F5195" s="1" t="s">
        <v>8506</v>
      </c>
      <c r="H5195" s="1" t="s">
        <v>8512</v>
      </c>
      <c r="J5195" s="1" t="s">
        <v>1067</v>
      </c>
      <c r="L5195" s="1" t="s">
        <v>1112</v>
      </c>
      <c r="N5195" s="1" t="s">
        <v>8599</v>
      </c>
      <c r="P5195" s="1" t="s">
        <v>8600</v>
      </c>
      <c r="Q5195" s="3">
        <v>1</v>
      </c>
      <c r="R5195" s="22" t="s">
        <v>2723</v>
      </c>
      <c r="T5195" s="3" t="s">
        <v>4866</v>
      </c>
      <c r="U5195" s="45">
        <v>35</v>
      </c>
      <c r="V5195" t="s">
        <v>8601</v>
      </c>
      <c r="W5195" s="1" t="str">
        <f>HYPERLINK("http://ictvonline.org/taxonomy/p/taxonomy-history?taxnode_id=201907359","ICTVonline=201907359")</f>
        <v>ICTVonline=201907359</v>
      </c>
    </row>
    <row r="5196" spans="1:23">
      <c r="A5196" s="3">
        <v>5195</v>
      </c>
      <c r="B5196" s="1" t="s">
        <v>5910</v>
      </c>
      <c r="D5196" s="1" t="s">
        <v>8187</v>
      </c>
      <c r="F5196" s="1" t="s">
        <v>8506</v>
      </c>
      <c r="H5196" s="1" t="s">
        <v>8512</v>
      </c>
      <c r="J5196" s="1" t="s">
        <v>1067</v>
      </c>
      <c r="L5196" s="1" t="s">
        <v>1112</v>
      </c>
      <c r="N5196" s="1" t="s">
        <v>6104</v>
      </c>
      <c r="P5196" s="1" t="s">
        <v>6105</v>
      </c>
      <c r="Q5196" s="3">
        <v>1</v>
      </c>
      <c r="R5196" s="22" t="s">
        <v>2723</v>
      </c>
      <c r="T5196" s="3" t="s">
        <v>4868</v>
      </c>
      <c r="U5196" s="45">
        <v>35</v>
      </c>
      <c r="V5196" t="s">
        <v>8191</v>
      </c>
      <c r="W5196" s="1" t="str">
        <f>HYPERLINK("http://ictvonline.org/taxonomy/p/taxonomy-history?taxnode_id=201906324","ICTVonline=201906324")</f>
        <v>ICTVonline=201906324</v>
      </c>
    </row>
    <row r="5197" spans="1:23">
      <c r="A5197" s="3">
        <v>5196</v>
      </c>
      <c r="B5197" s="1" t="s">
        <v>5910</v>
      </c>
      <c r="D5197" s="1" t="s">
        <v>8187</v>
      </c>
      <c r="F5197" s="1" t="s">
        <v>8506</v>
      </c>
      <c r="H5197" s="1" t="s">
        <v>8512</v>
      </c>
      <c r="J5197" s="1" t="s">
        <v>1067</v>
      </c>
      <c r="L5197" s="1" t="s">
        <v>1112</v>
      </c>
      <c r="N5197" s="1" t="s">
        <v>6104</v>
      </c>
      <c r="P5197" s="1" t="s">
        <v>6106</v>
      </c>
      <c r="Q5197" s="3">
        <v>0</v>
      </c>
      <c r="R5197" s="22" t="s">
        <v>2723</v>
      </c>
      <c r="T5197" s="3" t="s">
        <v>4868</v>
      </c>
      <c r="U5197" s="45">
        <v>35</v>
      </c>
      <c r="V5197" t="s">
        <v>8191</v>
      </c>
      <c r="W5197" s="1" t="str">
        <f>HYPERLINK("http://ictvonline.org/taxonomy/p/taxonomy-history?taxnode_id=201906325","ICTVonline=201906325")</f>
        <v>ICTVonline=201906325</v>
      </c>
    </row>
    <row r="5198" spans="1:23">
      <c r="A5198" s="3">
        <v>5197</v>
      </c>
      <c r="B5198" s="1" t="s">
        <v>5910</v>
      </c>
      <c r="D5198" s="1" t="s">
        <v>8187</v>
      </c>
      <c r="F5198" s="1" t="s">
        <v>8506</v>
      </c>
      <c r="H5198" s="1" t="s">
        <v>8512</v>
      </c>
      <c r="J5198" s="1" t="s">
        <v>1067</v>
      </c>
      <c r="L5198" s="1" t="s">
        <v>1112</v>
      </c>
      <c r="N5198" s="1" t="s">
        <v>2178</v>
      </c>
      <c r="P5198" s="1" t="s">
        <v>5106</v>
      </c>
      <c r="Q5198" s="3">
        <v>1</v>
      </c>
      <c r="R5198" s="22" t="s">
        <v>2723</v>
      </c>
      <c r="T5198" s="3" t="s">
        <v>4868</v>
      </c>
      <c r="U5198" s="45">
        <v>35</v>
      </c>
      <c r="V5198" t="s">
        <v>8191</v>
      </c>
      <c r="W5198" s="1" t="str">
        <f>HYPERLINK("http://ictvonline.org/taxonomy/p/taxonomy-history?taxnode_id=201902028","ICTVonline=201902028")</f>
        <v>ICTVonline=201902028</v>
      </c>
    </row>
    <row r="5199" spans="1:23">
      <c r="A5199" s="3">
        <v>5198</v>
      </c>
      <c r="B5199" s="1" t="s">
        <v>5910</v>
      </c>
      <c r="D5199" s="1" t="s">
        <v>8187</v>
      </c>
      <c r="F5199" s="1" t="s">
        <v>8506</v>
      </c>
      <c r="H5199" s="1" t="s">
        <v>8512</v>
      </c>
      <c r="J5199" s="1" t="s">
        <v>1067</v>
      </c>
      <c r="L5199" s="1" t="s">
        <v>1112</v>
      </c>
      <c r="N5199" s="1" t="s">
        <v>2178</v>
      </c>
      <c r="P5199" s="1" t="s">
        <v>5107</v>
      </c>
      <c r="Q5199" s="3">
        <v>0</v>
      </c>
      <c r="R5199" s="22" t="s">
        <v>2723</v>
      </c>
      <c r="T5199" s="3" t="s">
        <v>4868</v>
      </c>
      <c r="U5199" s="45">
        <v>35</v>
      </c>
      <c r="V5199" t="s">
        <v>8191</v>
      </c>
      <c r="W5199" s="1" t="str">
        <f>HYPERLINK("http://ictvonline.org/taxonomy/p/taxonomy-history?taxnode_id=201905600","ICTVonline=201905600")</f>
        <v>ICTVonline=201905600</v>
      </c>
    </row>
    <row r="5200" spans="1:23">
      <c r="A5200" s="3">
        <v>5199</v>
      </c>
      <c r="B5200" s="1" t="s">
        <v>5910</v>
      </c>
      <c r="D5200" s="1" t="s">
        <v>8187</v>
      </c>
      <c r="F5200" s="1" t="s">
        <v>8506</v>
      </c>
      <c r="H5200" s="1" t="s">
        <v>8512</v>
      </c>
      <c r="J5200" s="1" t="s">
        <v>1067</v>
      </c>
      <c r="L5200" s="1" t="s">
        <v>1112</v>
      </c>
      <c r="N5200" s="1" t="s">
        <v>2178</v>
      </c>
      <c r="P5200" s="1" t="s">
        <v>5108</v>
      </c>
      <c r="Q5200" s="3">
        <v>0</v>
      </c>
      <c r="R5200" s="22" t="s">
        <v>2723</v>
      </c>
      <c r="T5200" s="3" t="s">
        <v>4868</v>
      </c>
      <c r="U5200" s="45">
        <v>35</v>
      </c>
      <c r="V5200" t="s">
        <v>8191</v>
      </c>
      <c r="W5200" s="1" t="str">
        <f>HYPERLINK("http://ictvonline.org/taxonomy/p/taxonomy-history?taxnode_id=201905601","ICTVonline=201905601")</f>
        <v>ICTVonline=201905601</v>
      </c>
    </row>
    <row r="5201" spans="1:23">
      <c r="A5201" s="3">
        <v>5200</v>
      </c>
      <c r="B5201" s="1" t="s">
        <v>5910</v>
      </c>
      <c r="D5201" s="1" t="s">
        <v>8187</v>
      </c>
      <c r="F5201" s="1" t="s">
        <v>8506</v>
      </c>
      <c r="H5201" s="1" t="s">
        <v>8512</v>
      </c>
      <c r="J5201" s="1" t="s">
        <v>1067</v>
      </c>
      <c r="L5201" s="1" t="s">
        <v>1112</v>
      </c>
      <c r="N5201" s="1" t="s">
        <v>2178</v>
      </c>
      <c r="P5201" s="1" t="s">
        <v>5109</v>
      </c>
      <c r="Q5201" s="3">
        <v>0</v>
      </c>
      <c r="R5201" s="22" t="s">
        <v>2723</v>
      </c>
      <c r="T5201" s="3" t="s">
        <v>4868</v>
      </c>
      <c r="U5201" s="45">
        <v>35</v>
      </c>
      <c r="V5201" t="s">
        <v>8191</v>
      </c>
      <c r="W5201" s="1" t="str">
        <f>HYPERLINK("http://ictvonline.org/taxonomy/p/taxonomy-history?taxnode_id=201905602","ICTVonline=201905602")</f>
        <v>ICTVonline=201905602</v>
      </c>
    </row>
    <row r="5202" spans="1:23">
      <c r="A5202" s="3">
        <v>5201</v>
      </c>
      <c r="B5202" s="1" t="s">
        <v>5910</v>
      </c>
      <c r="D5202" s="1" t="s">
        <v>8187</v>
      </c>
      <c r="F5202" s="1" t="s">
        <v>8506</v>
      </c>
      <c r="H5202" s="1" t="s">
        <v>8512</v>
      </c>
      <c r="J5202" s="1" t="s">
        <v>1067</v>
      </c>
      <c r="L5202" s="1" t="s">
        <v>1112</v>
      </c>
      <c r="N5202" s="1" t="s">
        <v>2178</v>
      </c>
      <c r="P5202" s="1" t="s">
        <v>5110</v>
      </c>
      <c r="Q5202" s="3">
        <v>0</v>
      </c>
      <c r="R5202" s="22" t="s">
        <v>2723</v>
      </c>
      <c r="T5202" s="3" t="s">
        <v>4868</v>
      </c>
      <c r="U5202" s="45">
        <v>35</v>
      </c>
      <c r="V5202" t="s">
        <v>8191</v>
      </c>
      <c r="W5202" s="1" t="str">
        <f>HYPERLINK("http://ictvonline.org/taxonomy/p/taxonomy-history?taxnode_id=201905603","ICTVonline=201905603")</f>
        <v>ICTVonline=201905603</v>
      </c>
    </row>
    <row r="5203" spans="1:23">
      <c r="A5203" s="3">
        <v>5202</v>
      </c>
      <c r="B5203" s="1" t="s">
        <v>5910</v>
      </c>
      <c r="D5203" s="1" t="s">
        <v>8187</v>
      </c>
      <c r="F5203" s="1" t="s">
        <v>8506</v>
      </c>
      <c r="H5203" s="1" t="s">
        <v>8512</v>
      </c>
      <c r="J5203" s="1" t="s">
        <v>1067</v>
      </c>
      <c r="L5203" s="1" t="s">
        <v>1112</v>
      </c>
      <c r="N5203" s="1" t="s">
        <v>2296</v>
      </c>
      <c r="P5203" s="1" t="s">
        <v>2297</v>
      </c>
      <c r="Q5203" s="3">
        <v>1</v>
      </c>
      <c r="R5203" s="22" t="s">
        <v>2723</v>
      </c>
      <c r="T5203" s="3" t="s">
        <v>4868</v>
      </c>
      <c r="U5203" s="45">
        <v>35</v>
      </c>
      <c r="V5203" t="s">
        <v>8191</v>
      </c>
      <c r="W5203" s="1" t="str">
        <f>HYPERLINK("http://ictvonline.org/taxonomy/p/taxonomy-history?taxnode_id=201902030","ICTVonline=201902030")</f>
        <v>ICTVonline=201902030</v>
      </c>
    </row>
    <row r="5204" spans="1:23">
      <c r="A5204" s="3">
        <v>5203</v>
      </c>
      <c r="B5204" s="1" t="s">
        <v>5910</v>
      </c>
      <c r="D5204" s="1" t="s">
        <v>8187</v>
      </c>
      <c r="F5204" s="1" t="s">
        <v>8506</v>
      </c>
      <c r="H5204" s="1" t="s">
        <v>8512</v>
      </c>
      <c r="J5204" s="1" t="s">
        <v>1067</v>
      </c>
      <c r="L5204" s="1" t="s">
        <v>1112</v>
      </c>
      <c r="N5204" s="1" t="s">
        <v>2296</v>
      </c>
      <c r="P5204" s="1" t="s">
        <v>4546</v>
      </c>
      <c r="Q5204" s="3">
        <v>0</v>
      </c>
      <c r="R5204" s="22" t="s">
        <v>2723</v>
      </c>
      <c r="T5204" s="3" t="s">
        <v>4868</v>
      </c>
      <c r="U5204" s="45">
        <v>35</v>
      </c>
      <c r="V5204" t="s">
        <v>8191</v>
      </c>
      <c r="W5204" s="1" t="str">
        <f>HYPERLINK("http://ictvonline.org/taxonomy/p/taxonomy-history?taxnode_id=201902031","ICTVonline=201902031")</f>
        <v>ICTVonline=201902031</v>
      </c>
    </row>
    <row r="5205" spans="1:23">
      <c r="A5205" s="3">
        <v>5204</v>
      </c>
      <c r="B5205" s="1" t="s">
        <v>5910</v>
      </c>
      <c r="D5205" s="1" t="s">
        <v>8187</v>
      </c>
      <c r="F5205" s="1" t="s">
        <v>8506</v>
      </c>
      <c r="H5205" s="1" t="s">
        <v>8512</v>
      </c>
      <c r="J5205" s="1" t="s">
        <v>1067</v>
      </c>
      <c r="L5205" s="1" t="s">
        <v>1112</v>
      </c>
      <c r="N5205" s="1" t="s">
        <v>2296</v>
      </c>
      <c r="P5205" s="1" t="s">
        <v>4547</v>
      </c>
      <c r="Q5205" s="3">
        <v>0</v>
      </c>
      <c r="R5205" s="22" t="s">
        <v>2723</v>
      </c>
      <c r="T5205" s="3" t="s">
        <v>4868</v>
      </c>
      <c r="U5205" s="45">
        <v>35</v>
      </c>
      <c r="V5205" t="s">
        <v>8191</v>
      </c>
      <c r="W5205" s="1" t="str">
        <f>HYPERLINK("http://ictvonline.org/taxonomy/p/taxonomy-history?taxnode_id=201902032","ICTVonline=201902032")</f>
        <v>ICTVonline=201902032</v>
      </c>
    </row>
    <row r="5206" spans="1:23">
      <c r="A5206" s="3">
        <v>5205</v>
      </c>
      <c r="B5206" s="1" t="s">
        <v>5910</v>
      </c>
      <c r="D5206" s="1" t="s">
        <v>8187</v>
      </c>
      <c r="F5206" s="1" t="s">
        <v>8506</v>
      </c>
      <c r="H5206" s="1" t="s">
        <v>8512</v>
      </c>
      <c r="J5206" s="1" t="s">
        <v>1067</v>
      </c>
      <c r="L5206" s="1" t="s">
        <v>1112</v>
      </c>
      <c r="N5206" s="1" t="s">
        <v>2296</v>
      </c>
      <c r="P5206" s="1" t="s">
        <v>6107</v>
      </c>
      <c r="Q5206" s="3">
        <v>0</v>
      </c>
      <c r="R5206" s="22" t="s">
        <v>2723</v>
      </c>
      <c r="T5206" s="3" t="s">
        <v>4868</v>
      </c>
      <c r="U5206" s="45">
        <v>35</v>
      </c>
      <c r="V5206" t="s">
        <v>8191</v>
      </c>
      <c r="W5206" s="1" t="str">
        <f>HYPERLINK("http://ictvonline.org/taxonomy/p/taxonomy-history?taxnode_id=201906330","ICTVonline=201906330")</f>
        <v>ICTVonline=201906330</v>
      </c>
    </row>
    <row r="5207" spans="1:23">
      <c r="A5207" s="3">
        <v>5206</v>
      </c>
      <c r="B5207" s="1" t="s">
        <v>5910</v>
      </c>
      <c r="D5207" s="1" t="s">
        <v>8187</v>
      </c>
      <c r="F5207" s="1" t="s">
        <v>8506</v>
      </c>
      <c r="H5207" s="1" t="s">
        <v>8512</v>
      </c>
      <c r="J5207" s="1" t="s">
        <v>1067</v>
      </c>
      <c r="L5207" s="1" t="s">
        <v>1112</v>
      </c>
      <c r="N5207" s="1" t="s">
        <v>2298</v>
      </c>
      <c r="P5207" s="1" t="s">
        <v>2299</v>
      </c>
      <c r="Q5207" s="3">
        <v>1</v>
      </c>
      <c r="R5207" s="22" t="s">
        <v>2723</v>
      </c>
      <c r="T5207" s="3" t="s">
        <v>4868</v>
      </c>
      <c r="U5207" s="45">
        <v>35</v>
      </c>
      <c r="V5207" t="s">
        <v>8191</v>
      </c>
      <c r="W5207" s="1" t="str">
        <f>HYPERLINK("http://ictvonline.org/taxonomy/p/taxonomy-history?taxnode_id=201902034","ICTVonline=201902034")</f>
        <v>ICTVonline=201902034</v>
      </c>
    </row>
    <row r="5208" spans="1:23">
      <c r="A5208" s="3">
        <v>5207</v>
      </c>
      <c r="B5208" s="1" t="s">
        <v>5910</v>
      </c>
      <c r="D5208" s="1" t="s">
        <v>8187</v>
      </c>
      <c r="F5208" s="1" t="s">
        <v>8506</v>
      </c>
      <c r="H5208" s="1" t="s">
        <v>8512</v>
      </c>
      <c r="J5208" s="1" t="s">
        <v>1067</v>
      </c>
      <c r="L5208" s="1" t="s">
        <v>1112</v>
      </c>
      <c r="N5208" s="1" t="s">
        <v>2298</v>
      </c>
      <c r="P5208" s="1" t="s">
        <v>8602</v>
      </c>
      <c r="Q5208" s="3">
        <v>0</v>
      </c>
      <c r="R5208" s="22" t="s">
        <v>2723</v>
      </c>
      <c r="T5208" s="3" t="s">
        <v>4866</v>
      </c>
      <c r="U5208" s="45">
        <v>35</v>
      </c>
      <c r="V5208" t="s">
        <v>8603</v>
      </c>
      <c r="W5208" s="1" t="str">
        <f>HYPERLINK("http://ictvonline.org/taxonomy/p/taxonomy-history?taxnode_id=201907369","ICTVonline=201907369")</f>
        <v>ICTVonline=201907369</v>
      </c>
    </row>
    <row r="5209" spans="1:23">
      <c r="A5209" s="3">
        <v>5208</v>
      </c>
      <c r="B5209" s="1" t="s">
        <v>5910</v>
      </c>
      <c r="D5209" s="1" t="s">
        <v>8187</v>
      </c>
      <c r="F5209" s="1" t="s">
        <v>8506</v>
      </c>
      <c r="H5209" s="1" t="s">
        <v>8512</v>
      </c>
      <c r="J5209" s="1" t="s">
        <v>1067</v>
      </c>
      <c r="L5209" s="1" t="s">
        <v>1112</v>
      </c>
      <c r="N5209" s="1" t="s">
        <v>8604</v>
      </c>
      <c r="P5209" s="1" t="s">
        <v>8605</v>
      </c>
      <c r="Q5209" s="3">
        <v>1</v>
      </c>
      <c r="R5209" s="22" t="s">
        <v>2723</v>
      </c>
      <c r="T5209" s="3" t="s">
        <v>4866</v>
      </c>
      <c r="U5209" s="45">
        <v>35</v>
      </c>
      <c r="V5209" t="s">
        <v>8606</v>
      </c>
      <c r="W5209" s="1" t="str">
        <f>HYPERLINK("http://ictvonline.org/taxonomy/p/taxonomy-history?taxnode_id=201907398","ICTVonline=201907398")</f>
        <v>ICTVonline=201907398</v>
      </c>
    </row>
    <row r="5210" spans="1:23">
      <c r="A5210" s="3">
        <v>5209</v>
      </c>
      <c r="B5210" s="1" t="s">
        <v>5910</v>
      </c>
      <c r="D5210" s="1" t="s">
        <v>8187</v>
      </c>
      <c r="F5210" s="1" t="s">
        <v>8506</v>
      </c>
      <c r="H5210" s="1" t="s">
        <v>8512</v>
      </c>
      <c r="J5210" s="1" t="s">
        <v>1067</v>
      </c>
      <c r="L5210" s="1" t="s">
        <v>1112</v>
      </c>
      <c r="N5210" s="1" t="s">
        <v>8607</v>
      </c>
      <c r="P5210" s="1" t="s">
        <v>8608</v>
      </c>
      <c r="Q5210" s="3">
        <v>1</v>
      </c>
      <c r="R5210" s="22" t="s">
        <v>2723</v>
      </c>
      <c r="T5210" s="3" t="s">
        <v>4866</v>
      </c>
      <c r="U5210" s="45">
        <v>35</v>
      </c>
      <c r="V5210" t="s">
        <v>8598</v>
      </c>
      <c r="W5210" s="1" t="str">
        <f>HYPERLINK("http://ictvonline.org/taxonomy/p/taxonomy-history?taxnode_id=201907300","ICTVonline=201907300")</f>
        <v>ICTVonline=201907300</v>
      </c>
    </row>
    <row r="5211" spans="1:23">
      <c r="A5211" s="3">
        <v>5210</v>
      </c>
      <c r="B5211" s="1" t="s">
        <v>5910</v>
      </c>
      <c r="D5211" s="1" t="s">
        <v>8187</v>
      </c>
      <c r="F5211" s="1" t="s">
        <v>8506</v>
      </c>
      <c r="H5211" s="1" t="s">
        <v>8512</v>
      </c>
      <c r="J5211" s="1" t="s">
        <v>1067</v>
      </c>
      <c r="L5211" s="1" t="s">
        <v>1112</v>
      </c>
      <c r="N5211" s="1" t="s">
        <v>5111</v>
      </c>
      <c r="P5211" s="1" t="s">
        <v>5112</v>
      </c>
      <c r="Q5211" s="3">
        <v>1</v>
      </c>
      <c r="R5211" s="22" t="s">
        <v>2723</v>
      </c>
      <c r="T5211" s="3" t="s">
        <v>4868</v>
      </c>
      <c r="U5211" s="45">
        <v>35</v>
      </c>
      <c r="V5211" t="s">
        <v>8191</v>
      </c>
      <c r="W5211" s="1" t="str">
        <f>HYPERLINK("http://ictvonline.org/taxonomy/p/taxonomy-history?taxnode_id=201905604","ICTVonline=201905604")</f>
        <v>ICTVonline=201905604</v>
      </c>
    </row>
    <row r="5212" spans="1:23">
      <c r="A5212" s="3">
        <v>5211</v>
      </c>
      <c r="B5212" s="1" t="s">
        <v>5910</v>
      </c>
      <c r="D5212" s="1" t="s">
        <v>8187</v>
      </c>
      <c r="F5212" s="1" t="s">
        <v>8506</v>
      </c>
      <c r="H5212" s="1" t="s">
        <v>8512</v>
      </c>
      <c r="J5212" s="1" t="s">
        <v>1067</v>
      </c>
      <c r="L5212" s="1" t="s">
        <v>1112</v>
      </c>
      <c r="N5212" s="1" t="s">
        <v>2300</v>
      </c>
      <c r="P5212" s="1" t="s">
        <v>2301</v>
      </c>
      <c r="Q5212" s="3">
        <v>1</v>
      </c>
      <c r="R5212" s="22" t="s">
        <v>2723</v>
      </c>
      <c r="T5212" s="3" t="s">
        <v>4868</v>
      </c>
      <c r="U5212" s="45">
        <v>35</v>
      </c>
      <c r="V5212" t="s">
        <v>8191</v>
      </c>
      <c r="W5212" s="1" t="str">
        <f>HYPERLINK("http://ictvonline.org/taxonomy/p/taxonomy-history?taxnode_id=201902036","ICTVonline=201902036")</f>
        <v>ICTVonline=201902036</v>
      </c>
    </row>
    <row r="5213" spans="1:23">
      <c r="A5213" s="3">
        <v>5212</v>
      </c>
      <c r="B5213" s="1" t="s">
        <v>5910</v>
      </c>
      <c r="D5213" s="1" t="s">
        <v>8187</v>
      </c>
      <c r="F5213" s="1" t="s">
        <v>8506</v>
      </c>
      <c r="H5213" s="1" t="s">
        <v>8512</v>
      </c>
      <c r="J5213" s="1" t="s">
        <v>1067</v>
      </c>
      <c r="L5213" s="1" t="s">
        <v>1112</v>
      </c>
      <c r="N5213" s="1" t="s">
        <v>8609</v>
      </c>
      <c r="P5213" s="1" t="s">
        <v>8610</v>
      </c>
      <c r="Q5213" s="3">
        <v>1</v>
      </c>
      <c r="R5213" s="22" t="s">
        <v>2723</v>
      </c>
      <c r="T5213" s="3" t="s">
        <v>4866</v>
      </c>
      <c r="U5213" s="45">
        <v>35</v>
      </c>
      <c r="V5213" t="s">
        <v>8611</v>
      </c>
      <c r="W5213" s="1" t="str">
        <f>HYPERLINK("http://ictvonline.org/taxonomy/p/taxonomy-history?taxnode_id=201907410","ICTVonline=201907410")</f>
        <v>ICTVonline=201907410</v>
      </c>
    </row>
    <row r="5214" spans="1:23">
      <c r="A5214" s="3">
        <v>5213</v>
      </c>
      <c r="B5214" s="1" t="s">
        <v>5910</v>
      </c>
      <c r="D5214" s="1" t="s">
        <v>8187</v>
      </c>
      <c r="F5214" s="1" t="s">
        <v>8506</v>
      </c>
      <c r="H5214" s="1" t="s">
        <v>8512</v>
      </c>
      <c r="J5214" s="1" t="s">
        <v>1067</v>
      </c>
      <c r="L5214" s="1" t="s">
        <v>1112</v>
      </c>
      <c r="N5214" s="1" t="s">
        <v>8609</v>
      </c>
      <c r="P5214" s="1" t="s">
        <v>8612</v>
      </c>
      <c r="Q5214" s="3">
        <v>0</v>
      </c>
      <c r="R5214" s="22" t="s">
        <v>2723</v>
      </c>
      <c r="T5214" s="3" t="s">
        <v>4866</v>
      </c>
      <c r="U5214" s="45">
        <v>35</v>
      </c>
      <c r="V5214" t="s">
        <v>8611</v>
      </c>
      <c r="W5214" s="1" t="str">
        <f>HYPERLINK("http://ictvonline.org/taxonomy/p/taxonomy-history?taxnode_id=201907411","ICTVonline=201907411")</f>
        <v>ICTVonline=201907411</v>
      </c>
    </row>
    <row r="5215" spans="1:23">
      <c r="A5215" s="3">
        <v>5214</v>
      </c>
      <c r="B5215" s="1" t="s">
        <v>5910</v>
      </c>
      <c r="D5215" s="1" t="s">
        <v>8187</v>
      </c>
      <c r="F5215" s="1" t="s">
        <v>8506</v>
      </c>
      <c r="H5215" s="1" t="s">
        <v>8512</v>
      </c>
      <c r="J5215" s="1" t="s">
        <v>1067</v>
      </c>
      <c r="L5215" s="1" t="s">
        <v>1112</v>
      </c>
      <c r="N5215" s="1" t="s">
        <v>8609</v>
      </c>
      <c r="P5215" s="1" t="s">
        <v>8613</v>
      </c>
      <c r="Q5215" s="3">
        <v>0</v>
      </c>
      <c r="R5215" s="22" t="s">
        <v>2723</v>
      </c>
      <c r="T5215" s="3" t="s">
        <v>4866</v>
      </c>
      <c r="U5215" s="45">
        <v>35</v>
      </c>
      <c r="V5215" t="s">
        <v>8611</v>
      </c>
      <c r="W5215" s="1" t="str">
        <f>HYPERLINK("http://ictvonline.org/taxonomy/p/taxonomy-history?taxnode_id=201907412","ICTVonline=201907412")</f>
        <v>ICTVonline=201907412</v>
      </c>
    </row>
    <row r="5216" spans="1:23">
      <c r="A5216" s="3">
        <v>5215</v>
      </c>
      <c r="B5216" s="1" t="s">
        <v>5910</v>
      </c>
      <c r="D5216" s="1" t="s">
        <v>8187</v>
      </c>
      <c r="F5216" s="1" t="s">
        <v>8506</v>
      </c>
      <c r="H5216" s="1" t="s">
        <v>8512</v>
      </c>
      <c r="J5216" s="1" t="s">
        <v>1067</v>
      </c>
      <c r="L5216" s="1" t="s">
        <v>1112</v>
      </c>
      <c r="N5216" s="1" t="s">
        <v>963</v>
      </c>
      <c r="P5216" s="1" t="s">
        <v>2610</v>
      </c>
      <c r="Q5216" s="3">
        <v>1</v>
      </c>
      <c r="R5216" s="22" t="s">
        <v>2723</v>
      </c>
      <c r="T5216" s="3" t="s">
        <v>4868</v>
      </c>
      <c r="U5216" s="45">
        <v>35</v>
      </c>
      <c r="V5216" t="s">
        <v>8191</v>
      </c>
      <c r="W5216" s="1" t="str">
        <f>HYPERLINK("http://ictvonline.org/taxonomy/p/taxonomy-history?taxnode_id=201902038","ICTVonline=201902038")</f>
        <v>ICTVonline=201902038</v>
      </c>
    </row>
    <row r="5217" spans="1:23">
      <c r="A5217" s="3">
        <v>5216</v>
      </c>
      <c r="B5217" s="1" t="s">
        <v>5910</v>
      </c>
      <c r="D5217" s="1" t="s">
        <v>8187</v>
      </c>
      <c r="F5217" s="1" t="s">
        <v>8506</v>
      </c>
      <c r="H5217" s="1" t="s">
        <v>8512</v>
      </c>
      <c r="J5217" s="1" t="s">
        <v>1067</v>
      </c>
      <c r="L5217" s="1" t="s">
        <v>1112</v>
      </c>
      <c r="N5217" s="1" t="s">
        <v>963</v>
      </c>
      <c r="P5217" s="1" t="s">
        <v>2611</v>
      </c>
      <c r="Q5217" s="3">
        <v>0</v>
      </c>
      <c r="R5217" s="22" t="s">
        <v>2723</v>
      </c>
      <c r="T5217" s="3" t="s">
        <v>4868</v>
      </c>
      <c r="U5217" s="45">
        <v>35</v>
      </c>
      <c r="V5217" t="s">
        <v>8191</v>
      </c>
      <c r="W5217" s="1" t="str">
        <f>HYPERLINK("http://ictvonline.org/taxonomy/p/taxonomy-history?taxnode_id=201902039","ICTVonline=201902039")</f>
        <v>ICTVonline=201902039</v>
      </c>
    </row>
    <row r="5218" spans="1:23">
      <c r="A5218" s="3">
        <v>5217</v>
      </c>
      <c r="B5218" s="1" t="s">
        <v>5910</v>
      </c>
      <c r="D5218" s="1" t="s">
        <v>8187</v>
      </c>
      <c r="F5218" s="1" t="s">
        <v>8506</v>
      </c>
      <c r="H5218" s="1" t="s">
        <v>8512</v>
      </c>
      <c r="J5218" s="1" t="s">
        <v>1067</v>
      </c>
      <c r="L5218" s="1" t="s">
        <v>1112</v>
      </c>
      <c r="N5218" s="1" t="s">
        <v>963</v>
      </c>
      <c r="P5218" s="1" t="s">
        <v>4548</v>
      </c>
      <c r="Q5218" s="3">
        <v>0</v>
      </c>
      <c r="R5218" s="22" t="s">
        <v>2723</v>
      </c>
      <c r="T5218" s="3" t="s">
        <v>4868</v>
      </c>
      <c r="U5218" s="45">
        <v>35</v>
      </c>
      <c r="V5218" t="s">
        <v>8191</v>
      </c>
      <c r="W5218" s="1" t="str">
        <f>HYPERLINK("http://ictvonline.org/taxonomy/p/taxonomy-history?taxnode_id=201902040","ICTVonline=201902040")</f>
        <v>ICTVonline=201902040</v>
      </c>
    </row>
    <row r="5219" spans="1:23">
      <c r="A5219" s="3">
        <v>5218</v>
      </c>
      <c r="B5219" s="1" t="s">
        <v>5910</v>
      </c>
      <c r="D5219" s="1" t="s">
        <v>8187</v>
      </c>
      <c r="F5219" s="1" t="s">
        <v>8506</v>
      </c>
      <c r="H5219" s="1" t="s">
        <v>8512</v>
      </c>
      <c r="J5219" s="1" t="s">
        <v>1067</v>
      </c>
      <c r="L5219" s="1" t="s">
        <v>1112</v>
      </c>
      <c r="N5219" s="1" t="s">
        <v>963</v>
      </c>
      <c r="P5219" s="1" t="s">
        <v>4549</v>
      </c>
      <c r="Q5219" s="3">
        <v>0</v>
      </c>
      <c r="R5219" s="22" t="s">
        <v>2723</v>
      </c>
      <c r="T5219" s="3" t="s">
        <v>4868</v>
      </c>
      <c r="U5219" s="45">
        <v>35</v>
      </c>
      <c r="V5219" t="s">
        <v>8191</v>
      </c>
      <c r="W5219" s="1" t="str">
        <f>HYPERLINK("http://ictvonline.org/taxonomy/p/taxonomy-history?taxnode_id=201902041","ICTVonline=201902041")</f>
        <v>ICTVonline=201902041</v>
      </c>
    </row>
    <row r="5220" spans="1:23">
      <c r="A5220" s="3">
        <v>5219</v>
      </c>
      <c r="B5220" s="1" t="s">
        <v>5910</v>
      </c>
      <c r="D5220" s="1" t="s">
        <v>8187</v>
      </c>
      <c r="F5220" s="1" t="s">
        <v>8506</v>
      </c>
      <c r="H5220" s="1" t="s">
        <v>8512</v>
      </c>
      <c r="J5220" s="1" t="s">
        <v>1067</v>
      </c>
      <c r="L5220" s="1" t="s">
        <v>1112</v>
      </c>
      <c r="N5220" s="1" t="s">
        <v>963</v>
      </c>
      <c r="P5220" s="1" t="s">
        <v>8614</v>
      </c>
      <c r="Q5220" s="3">
        <v>0</v>
      </c>
      <c r="R5220" s="22" t="s">
        <v>2723</v>
      </c>
      <c r="T5220" s="3" t="s">
        <v>4866</v>
      </c>
      <c r="U5220" s="45">
        <v>35</v>
      </c>
      <c r="V5220" t="s">
        <v>8615</v>
      </c>
      <c r="W5220" s="1" t="str">
        <f>HYPERLINK("http://ictvonline.org/taxonomy/p/taxonomy-history?taxnode_id=201907418","ICTVonline=201907418")</f>
        <v>ICTVonline=201907418</v>
      </c>
    </row>
    <row r="5221" spans="1:23">
      <c r="A5221" s="3">
        <v>5220</v>
      </c>
      <c r="B5221" s="1" t="s">
        <v>5910</v>
      </c>
      <c r="D5221" s="1" t="s">
        <v>8187</v>
      </c>
      <c r="F5221" s="1" t="s">
        <v>8506</v>
      </c>
      <c r="H5221" s="1" t="s">
        <v>8512</v>
      </c>
      <c r="J5221" s="1" t="s">
        <v>1067</v>
      </c>
      <c r="L5221" s="1" t="s">
        <v>1112</v>
      </c>
      <c r="N5221" s="1" t="s">
        <v>963</v>
      </c>
      <c r="P5221" s="1" t="s">
        <v>8616</v>
      </c>
      <c r="Q5221" s="3">
        <v>0</v>
      </c>
      <c r="R5221" s="22" t="s">
        <v>2723</v>
      </c>
      <c r="T5221" s="3" t="s">
        <v>4866</v>
      </c>
      <c r="U5221" s="45">
        <v>35</v>
      </c>
      <c r="V5221" t="s">
        <v>8615</v>
      </c>
      <c r="W5221" s="1" t="str">
        <f>HYPERLINK("http://ictvonline.org/taxonomy/p/taxonomy-history?taxnode_id=201907419","ICTVonline=201907419")</f>
        <v>ICTVonline=201907419</v>
      </c>
    </row>
    <row r="5222" spans="1:23">
      <c r="A5222" s="3">
        <v>5221</v>
      </c>
      <c r="B5222" s="1" t="s">
        <v>5910</v>
      </c>
      <c r="D5222" s="1" t="s">
        <v>8187</v>
      </c>
      <c r="F5222" s="1" t="s">
        <v>8506</v>
      </c>
      <c r="H5222" s="1" t="s">
        <v>8512</v>
      </c>
      <c r="J5222" s="1" t="s">
        <v>1067</v>
      </c>
      <c r="L5222" s="1" t="s">
        <v>1112</v>
      </c>
      <c r="N5222" s="1" t="s">
        <v>2302</v>
      </c>
      <c r="P5222" s="1" t="s">
        <v>2303</v>
      </c>
      <c r="Q5222" s="3">
        <v>1</v>
      </c>
      <c r="R5222" s="22" t="s">
        <v>2723</v>
      </c>
      <c r="T5222" s="3" t="s">
        <v>4868</v>
      </c>
      <c r="U5222" s="45">
        <v>35</v>
      </c>
      <c r="V5222" t="s">
        <v>8191</v>
      </c>
      <c r="W5222" s="1" t="str">
        <f>HYPERLINK("http://ictvonline.org/taxonomy/p/taxonomy-history?taxnode_id=201902043","ICTVonline=201902043")</f>
        <v>ICTVonline=201902043</v>
      </c>
    </row>
    <row r="5223" spans="1:23">
      <c r="A5223" s="3">
        <v>5222</v>
      </c>
      <c r="B5223" s="1" t="s">
        <v>5910</v>
      </c>
      <c r="D5223" s="1" t="s">
        <v>8187</v>
      </c>
      <c r="F5223" s="1" t="s">
        <v>8506</v>
      </c>
      <c r="H5223" s="1" t="s">
        <v>8512</v>
      </c>
      <c r="J5223" s="1" t="s">
        <v>1067</v>
      </c>
      <c r="L5223" s="1" t="s">
        <v>1112</v>
      </c>
      <c r="N5223" s="1" t="s">
        <v>2304</v>
      </c>
      <c r="P5223" s="1" t="s">
        <v>2305</v>
      </c>
      <c r="Q5223" s="3">
        <v>1</v>
      </c>
      <c r="R5223" s="22" t="s">
        <v>2723</v>
      </c>
      <c r="T5223" s="3" t="s">
        <v>4868</v>
      </c>
      <c r="U5223" s="45">
        <v>35</v>
      </c>
      <c r="V5223" t="s">
        <v>8191</v>
      </c>
      <c r="W5223" s="1" t="str">
        <f>HYPERLINK("http://ictvonline.org/taxonomy/p/taxonomy-history?taxnode_id=201902045","ICTVonline=201902045")</f>
        <v>ICTVonline=201902045</v>
      </c>
    </row>
    <row r="5224" spans="1:23">
      <c r="A5224" s="3">
        <v>5223</v>
      </c>
      <c r="B5224" s="1" t="s">
        <v>5910</v>
      </c>
      <c r="D5224" s="1" t="s">
        <v>8187</v>
      </c>
      <c r="F5224" s="1" t="s">
        <v>8506</v>
      </c>
      <c r="H5224" s="1" t="s">
        <v>8512</v>
      </c>
      <c r="J5224" s="1" t="s">
        <v>1067</v>
      </c>
      <c r="L5224" s="1" t="s">
        <v>1112</v>
      </c>
      <c r="N5224" s="1" t="s">
        <v>2304</v>
      </c>
      <c r="P5224" s="1" t="s">
        <v>6108</v>
      </c>
      <c r="Q5224" s="3">
        <v>0</v>
      </c>
      <c r="R5224" s="22" t="s">
        <v>2723</v>
      </c>
      <c r="T5224" s="3" t="s">
        <v>4868</v>
      </c>
      <c r="U5224" s="45">
        <v>35</v>
      </c>
      <c r="V5224" t="s">
        <v>8191</v>
      </c>
      <c r="W5224" s="1" t="str">
        <f>HYPERLINK("http://ictvonline.org/taxonomy/p/taxonomy-history?taxnode_id=201906340","ICTVonline=201906340")</f>
        <v>ICTVonline=201906340</v>
      </c>
    </row>
    <row r="5225" spans="1:23">
      <c r="A5225" s="3">
        <v>5224</v>
      </c>
      <c r="B5225" s="1" t="s">
        <v>5910</v>
      </c>
      <c r="D5225" s="1" t="s">
        <v>8187</v>
      </c>
      <c r="F5225" s="1" t="s">
        <v>8506</v>
      </c>
      <c r="H5225" s="1" t="s">
        <v>8512</v>
      </c>
      <c r="J5225" s="1" t="s">
        <v>1067</v>
      </c>
      <c r="L5225" s="1" t="s">
        <v>1112</v>
      </c>
      <c r="N5225" s="1" t="s">
        <v>8617</v>
      </c>
      <c r="P5225" s="1" t="s">
        <v>8618</v>
      </c>
      <c r="Q5225" s="3">
        <v>1</v>
      </c>
      <c r="R5225" s="22" t="s">
        <v>2723</v>
      </c>
      <c r="T5225" s="3" t="s">
        <v>4866</v>
      </c>
      <c r="U5225" s="45">
        <v>35</v>
      </c>
      <c r="V5225" t="s">
        <v>8598</v>
      </c>
      <c r="W5225" s="1" t="str">
        <f>HYPERLINK("http://ictvonline.org/taxonomy/p/taxonomy-history?taxnode_id=201907302","ICTVonline=201907302")</f>
        <v>ICTVonline=201907302</v>
      </c>
    </row>
    <row r="5226" spans="1:23">
      <c r="A5226" s="3">
        <v>5225</v>
      </c>
      <c r="B5226" s="1" t="s">
        <v>5910</v>
      </c>
      <c r="D5226" s="1" t="s">
        <v>8187</v>
      </c>
      <c r="F5226" s="1" t="s">
        <v>8506</v>
      </c>
      <c r="H5226" s="1" t="s">
        <v>8512</v>
      </c>
      <c r="J5226" s="1" t="s">
        <v>1067</v>
      </c>
      <c r="L5226" s="1" t="s">
        <v>1112</v>
      </c>
      <c r="N5226" s="1" t="s">
        <v>6109</v>
      </c>
      <c r="P5226" s="1" t="s">
        <v>6110</v>
      </c>
      <c r="Q5226" s="3">
        <v>1</v>
      </c>
      <c r="R5226" s="22" t="s">
        <v>2723</v>
      </c>
      <c r="T5226" s="3" t="s">
        <v>4868</v>
      </c>
      <c r="U5226" s="45">
        <v>35</v>
      </c>
      <c r="V5226" t="s">
        <v>8191</v>
      </c>
      <c r="W5226" s="1" t="str">
        <f>HYPERLINK("http://ictvonline.org/taxonomy/p/taxonomy-history?taxnode_id=201906392","ICTVonline=201906392")</f>
        <v>ICTVonline=201906392</v>
      </c>
    </row>
    <row r="5227" spans="1:23">
      <c r="A5227" s="3">
        <v>5226</v>
      </c>
      <c r="B5227" s="1" t="s">
        <v>5910</v>
      </c>
      <c r="D5227" s="1" t="s">
        <v>8187</v>
      </c>
      <c r="F5227" s="1" t="s">
        <v>8506</v>
      </c>
      <c r="H5227" s="1" t="s">
        <v>8512</v>
      </c>
      <c r="J5227" s="1" t="s">
        <v>1067</v>
      </c>
      <c r="L5227" s="1" t="s">
        <v>1112</v>
      </c>
      <c r="N5227" s="1" t="s">
        <v>3602</v>
      </c>
      <c r="P5227" s="1" t="s">
        <v>3603</v>
      </c>
      <c r="Q5227" s="3">
        <v>1</v>
      </c>
      <c r="R5227" s="22" t="s">
        <v>2723</v>
      </c>
      <c r="T5227" s="3" t="s">
        <v>4868</v>
      </c>
      <c r="U5227" s="45">
        <v>35</v>
      </c>
      <c r="V5227" t="s">
        <v>8191</v>
      </c>
      <c r="W5227" s="1" t="str">
        <f>HYPERLINK("http://ictvonline.org/taxonomy/p/taxonomy-history?taxnode_id=201902047","ICTVonline=201902047")</f>
        <v>ICTVonline=201902047</v>
      </c>
    </row>
    <row r="5228" spans="1:23">
      <c r="A5228" s="3">
        <v>5227</v>
      </c>
      <c r="B5228" s="1" t="s">
        <v>5910</v>
      </c>
      <c r="D5228" s="1" t="s">
        <v>8187</v>
      </c>
      <c r="F5228" s="1" t="s">
        <v>8506</v>
      </c>
      <c r="H5228" s="1" t="s">
        <v>8512</v>
      </c>
      <c r="J5228" s="1" t="s">
        <v>1067</v>
      </c>
      <c r="L5228" s="1" t="s">
        <v>1112</v>
      </c>
      <c r="N5228" s="1" t="s">
        <v>3602</v>
      </c>
      <c r="P5228" s="1" t="s">
        <v>8619</v>
      </c>
      <c r="Q5228" s="3">
        <v>0</v>
      </c>
      <c r="R5228" s="22" t="s">
        <v>2723</v>
      </c>
      <c r="T5228" s="3" t="s">
        <v>4866</v>
      </c>
      <c r="U5228" s="45">
        <v>35</v>
      </c>
      <c r="V5228" t="s">
        <v>8620</v>
      </c>
      <c r="W5228" s="1" t="str">
        <f>HYPERLINK("http://ictvonline.org/taxonomy/p/taxonomy-history?taxnode_id=201907428","ICTVonline=201907428")</f>
        <v>ICTVonline=201907428</v>
      </c>
    </row>
    <row r="5229" spans="1:23">
      <c r="A5229" s="3">
        <v>5228</v>
      </c>
      <c r="B5229" s="1" t="s">
        <v>5910</v>
      </c>
      <c r="D5229" s="1" t="s">
        <v>8187</v>
      </c>
      <c r="F5229" s="1" t="s">
        <v>8506</v>
      </c>
      <c r="H5229" s="1" t="s">
        <v>8512</v>
      </c>
      <c r="J5229" s="1" t="s">
        <v>1067</v>
      </c>
      <c r="L5229" s="1" t="s">
        <v>1112</v>
      </c>
      <c r="N5229" s="1" t="s">
        <v>4550</v>
      </c>
      <c r="P5229" s="1" t="s">
        <v>4551</v>
      </c>
      <c r="Q5229" s="3">
        <v>1</v>
      </c>
      <c r="R5229" s="22" t="s">
        <v>2723</v>
      </c>
      <c r="T5229" s="3" t="s">
        <v>4868</v>
      </c>
      <c r="U5229" s="45">
        <v>35</v>
      </c>
      <c r="V5229" t="s">
        <v>8191</v>
      </c>
      <c r="W5229" s="1" t="str">
        <f>HYPERLINK("http://ictvonline.org/taxonomy/p/taxonomy-history?taxnode_id=201902049","ICTVonline=201902049")</f>
        <v>ICTVonline=201902049</v>
      </c>
    </row>
    <row r="5230" spans="1:23">
      <c r="A5230" s="3">
        <v>5229</v>
      </c>
      <c r="B5230" s="1" t="s">
        <v>5910</v>
      </c>
      <c r="D5230" s="1" t="s">
        <v>8187</v>
      </c>
      <c r="F5230" s="1" t="s">
        <v>8506</v>
      </c>
      <c r="H5230" s="1" t="s">
        <v>8512</v>
      </c>
      <c r="J5230" s="1" t="s">
        <v>1067</v>
      </c>
      <c r="L5230" s="1" t="s">
        <v>1112</v>
      </c>
      <c r="N5230" s="1" t="s">
        <v>4550</v>
      </c>
      <c r="P5230" s="1" t="s">
        <v>6111</v>
      </c>
      <c r="Q5230" s="3">
        <v>0</v>
      </c>
      <c r="R5230" s="22" t="s">
        <v>2723</v>
      </c>
      <c r="T5230" s="3" t="s">
        <v>4868</v>
      </c>
      <c r="U5230" s="45">
        <v>35</v>
      </c>
      <c r="V5230" t="s">
        <v>8191</v>
      </c>
      <c r="W5230" s="1" t="str">
        <f>HYPERLINK("http://ictvonline.org/taxonomy/p/taxonomy-history?taxnode_id=201906420","ICTVonline=201906420")</f>
        <v>ICTVonline=201906420</v>
      </c>
    </row>
    <row r="5231" spans="1:23">
      <c r="A5231" s="3">
        <v>5230</v>
      </c>
      <c r="B5231" s="1" t="s">
        <v>5910</v>
      </c>
      <c r="D5231" s="1" t="s">
        <v>8187</v>
      </c>
      <c r="F5231" s="1" t="s">
        <v>8506</v>
      </c>
      <c r="H5231" s="1" t="s">
        <v>8512</v>
      </c>
      <c r="J5231" s="1" t="s">
        <v>1067</v>
      </c>
      <c r="L5231" s="1" t="s">
        <v>1112</v>
      </c>
      <c r="N5231" s="1" t="s">
        <v>4550</v>
      </c>
      <c r="P5231" s="1" t="s">
        <v>6112</v>
      </c>
      <c r="Q5231" s="3">
        <v>0</v>
      </c>
      <c r="R5231" s="22" t="s">
        <v>2723</v>
      </c>
      <c r="T5231" s="3" t="s">
        <v>4868</v>
      </c>
      <c r="U5231" s="45">
        <v>35</v>
      </c>
      <c r="V5231" t="s">
        <v>8191</v>
      </c>
      <c r="W5231" s="1" t="str">
        <f>HYPERLINK("http://ictvonline.org/taxonomy/p/taxonomy-history?taxnode_id=201906421","ICTVonline=201906421")</f>
        <v>ICTVonline=201906421</v>
      </c>
    </row>
    <row r="5232" spans="1:23">
      <c r="A5232" s="3">
        <v>5231</v>
      </c>
      <c r="B5232" s="1" t="s">
        <v>5910</v>
      </c>
      <c r="D5232" s="1" t="s">
        <v>8187</v>
      </c>
      <c r="F5232" s="1" t="s">
        <v>8506</v>
      </c>
      <c r="H5232" s="1" t="s">
        <v>8512</v>
      </c>
      <c r="J5232" s="1" t="s">
        <v>1067</v>
      </c>
      <c r="L5232" s="1" t="s">
        <v>1112</v>
      </c>
      <c r="N5232" s="1" t="s">
        <v>4550</v>
      </c>
      <c r="P5232" s="1" t="s">
        <v>6113</v>
      </c>
      <c r="Q5232" s="3">
        <v>0</v>
      </c>
      <c r="R5232" s="22" t="s">
        <v>2723</v>
      </c>
      <c r="T5232" s="3" t="s">
        <v>4868</v>
      </c>
      <c r="U5232" s="45">
        <v>35</v>
      </c>
      <c r="V5232" t="s">
        <v>8191</v>
      </c>
      <c r="W5232" s="1" t="str">
        <f>HYPERLINK("http://ictvonline.org/taxonomy/p/taxonomy-history?taxnode_id=201906422","ICTVonline=201906422")</f>
        <v>ICTVonline=201906422</v>
      </c>
    </row>
    <row r="5233" spans="1:23">
      <c r="A5233" s="3">
        <v>5232</v>
      </c>
      <c r="B5233" s="1" t="s">
        <v>5910</v>
      </c>
      <c r="D5233" s="1" t="s">
        <v>8187</v>
      </c>
      <c r="F5233" s="1" t="s">
        <v>8506</v>
      </c>
      <c r="H5233" s="1" t="s">
        <v>8512</v>
      </c>
      <c r="J5233" s="1" t="s">
        <v>1067</v>
      </c>
      <c r="L5233" s="1" t="s">
        <v>1112</v>
      </c>
      <c r="N5233" s="1" t="s">
        <v>6114</v>
      </c>
      <c r="P5233" s="1" t="s">
        <v>6115</v>
      </c>
      <c r="Q5233" s="3">
        <v>1</v>
      </c>
      <c r="R5233" s="22" t="s">
        <v>2723</v>
      </c>
      <c r="T5233" s="3" t="s">
        <v>4868</v>
      </c>
      <c r="U5233" s="45">
        <v>35</v>
      </c>
      <c r="V5233" t="s">
        <v>8191</v>
      </c>
      <c r="W5233" s="1" t="str">
        <f>HYPERLINK("http://ictvonline.org/taxonomy/p/taxonomy-history?taxnode_id=201906441","ICTVonline=201906441")</f>
        <v>ICTVonline=201906441</v>
      </c>
    </row>
    <row r="5234" spans="1:23">
      <c r="A5234" s="3">
        <v>5233</v>
      </c>
      <c r="B5234" s="1" t="s">
        <v>5910</v>
      </c>
      <c r="D5234" s="1" t="s">
        <v>8187</v>
      </c>
      <c r="F5234" s="1" t="s">
        <v>8506</v>
      </c>
      <c r="H5234" s="1" t="s">
        <v>8512</v>
      </c>
      <c r="J5234" s="1" t="s">
        <v>1067</v>
      </c>
      <c r="L5234" s="1" t="s">
        <v>1112</v>
      </c>
      <c r="N5234" s="1" t="s">
        <v>6114</v>
      </c>
      <c r="P5234" s="1" t="s">
        <v>6116</v>
      </c>
      <c r="Q5234" s="3">
        <v>0</v>
      </c>
      <c r="R5234" s="22" t="s">
        <v>2723</v>
      </c>
      <c r="T5234" s="3" t="s">
        <v>4868</v>
      </c>
      <c r="U5234" s="45">
        <v>35</v>
      </c>
      <c r="V5234" t="s">
        <v>8191</v>
      </c>
      <c r="W5234" s="1" t="str">
        <f>HYPERLINK("http://ictvonline.org/taxonomy/p/taxonomy-history?taxnode_id=201906442","ICTVonline=201906442")</f>
        <v>ICTVonline=201906442</v>
      </c>
    </row>
    <row r="5235" spans="1:23">
      <c r="A5235" s="3">
        <v>5234</v>
      </c>
      <c r="B5235" s="1" t="s">
        <v>5910</v>
      </c>
      <c r="D5235" s="1" t="s">
        <v>8187</v>
      </c>
      <c r="F5235" s="1" t="s">
        <v>8506</v>
      </c>
      <c r="H5235" s="1" t="s">
        <v>8512</v>
      </c>
      <c r="J5235" s="1" t="s">
        <v>1067</v>
      </c>
      <c r="L5235" s="1" t="s">
        <v>1112</v>
      </c>
      <c r="N5235" s="1" t="s">
        <v>6114</v>
      </c>
      <c r="P5235" s="1" t="s">
        <v>8621</v>
      </c>
      <c r="Q5235" s="3">
        <v>0</v>
      </c>
      <c r="R5235" s="22" t="s">
        <v>2723</v>
      </c>
      <c r="T5235" s="3" t="s">
        <v>4866</v>
      </c>
      <c r="U5235" s="45">
        <v>35</v>
      </c>
      <c r="V5235" t="s">
        <v>8622</v>
      </c>
      <c r="W5235" s="1" t="str">
        <f>HYPERLINK("http://ictvonline.org/taxonomy/p/taxonomy-history?taxnode_id=201907439","ICTVonline=201907439")</f>
        <v>ICTVonline=201907439</v>
      </c>
    </row>
    <row r="5236" spans="1:23">
      <c r="A5236" s="3">
        <v>5235</v>
      </c>
      <c r="B5236" s="1" t="s">
        <v>5910</v>
      </c>
      <c r="D5236" s="1" t="s">
        <v>8187</v>
      </c>
      <c r="F5236" s="1" t="s">
        <v>8506</v>
      </c>
      <c r="H5236" s="1" t="s">
        <v>8512</v>
      </c>
      <c r="J5236" s="1" t="s">
        <v>1067</v>
      </c>
      <c r="L5236" s="1" t="s">
        <v>1112</v>
      </c>
      <c r="N5236" s="1" t="s">
        <v>8623</v>
      </c>
      <c r="P5236" s="1" t="s">
        <v>8624</v>
      </c>
      <c r="Q5236" s="3">
        <v>1</v>
      </c>
      <c r="R5236" s="22" t="s">
        <v>2723</v>
      </c>
      <c r="T5236" s="3" t="s">
        <v>4866</v>
      </c>
      <c r="U5236" s="45">
        <v>35</v>
      </c>
      <c r="V5236" t="s">
        <v>8625</v>
      </c>
      <c r="W5236" s="1" t="str">
        <f>HYPERLINK("http://ictvonline.org/taxonomy/p/taxonomy-history?taxnode_id=201907446","ICTVonline=201907446")</f>
        <v>ICTVonline=201907446</v>
      </c>
    </row>
    <row r="5237" spans="1:23">
      <c r="A5237" s="3">
        <v>5236</v>
      </c>
      <c r="B5237" s="1" t="s">
        <v>5910</v>
      </c>
      <c r="D5237" s="1" t="s">
        <v>8187</v>
      </c>
      <c r="F5237" s="1" t="s">
        <v>8506</v>
      </c>
      <c r="H5237" s="1" t="s">
        <v>8512</v>
      </c>
      <c r="J5237" s="1" t="s">
        <v>1067</v>
      </c>
      <c r="L5237" s="1" t="s">
        <v>1112</v>
      </c>
      <c r="N5237" s="1" t="s">
        <v>2306</v>
      </c>
      <c r="P5237" s="1" t="s">
        <v>2307</v>
      </c>
      <c r="Q5237" s="3">
        <v>1</v>
      </c>
      <c r="R5237" s="22" t="s">
        <v>2723</v>
      </c>
      <c r="T5237" s="3" t="s">
        <v>4868</v>
      </c>
      <c r="U5237" s="45">
        <v>35</v>
      </c>
      <c r="V5237" t="s">
        <v>8191</v>
      </c>
      <c r="W5237" s="1" t="str">
        <f>HYPERLINK("http://ictvonline.org/taxonomy/p/taxonomy-history?taxnode_id=201902051","ICTVonline=201902051")</f>
        <v>ICTVonline=201902051</v>
      </c>
    </row>
    <row r="5238" spans="1:23">
      <c r="A5238" s="3">
        <v>5237</v>
      </c>
      <c r="B5238" s="1" t="s">
        <v>5910</v>
      </c>
      <c r="D5238" s="1" t="s">
        <v>8187</v>
      </c>
      <c r="F5238" s="1" t="s">
        <v>8506</v>
      </c>
      <c r="H5238" s="1" t="s">
        <v>8512</v>
      </c>
      <c r="J5238" s="1" t="s">
        <v>1067</v>
      </c>
      <c r="L5238" s="1" t="s">
        <v>1112</v>
      </c>
      <c r="N5238" s="1" t="s">
        <v>2306</v>
      </c>
      <c r="P5238" s="1" t="s">
        <v>6117</v>
      </c>
      <c r="Q5238" s="3">
        <v>0</v>
      </c>
      <c r="R5238" s="22" t="s">
        <v>2723</v>
      </c>
      <c r="T5238" s="3" t="s">
        <v>4868</v>
      </c>
      <c r="U5238" s="45">
        <v>35</v>
      </c>
      <c r="V5238" t="s">
        <v>8191</v>
      </c>
      <c r="W5238" s="1" t="str">
        <f>HYPERLINK("http://ictvonline.org/taxonomy/p/taxonomy-history?taxnode_id=201906477","ICTVonline=201906477")</f>
        <v>ICTVonline=201906477</v>
      </c>
    </row>
    <row r="5239" spans="1:23">
      <c r="A5239" s="3">
        <v>5238</v>
      </c>
      <c r="B5239" s="1" t="s">
        <v>5910</v>
      </c>
      <c r="D5239" s="1" t="s">
        <v>8187</v>
      </c>
      <c r="F5239" s="1" t="s">
        <v>8506</v>
      </c>
      <c r="H5239" s="1" t="s">
        <v>8512</v>
      </c>
      <c r="J5239" s="1" t="s">
        <v>1067</v>
      </c>
      <c r="L5239" s="1" t="s">
        <v>1112</v>
      </c>
      <c r="N5239" s="1" t="s">
        <v>2306</v>
      </c>
      <c r="P5239" s="1" t="s">
        <v>6118</v>
      </c>
      <c r="Q5239" s="3">
        <v>0</v>
      </c>
      <c r="R5239" s="22" t="s">
        <v>2723</v>
      </c>
      <c r="T5239" s="3" t="s">
        <v>4868</v>
      </c>
      <c r="U5239" s="45">
        <v>35</v>
      </c>
      <c r="V5239" t="s">
        <v>8191</v>
      </c>
      <c r="W5239" s="1" t="str">
        <f>HYPERLINK("http://ictvonline.org/taxonomy/p/taxonomy-history?taxnode_id=201906478","ICTVonline=201906478")</f>
        <v>ICTVonline=201906478</v>
      </c>
    </row>
    <row r="5240" spans="1:23">
      <c r="A5240" s="3">
        <v>5239</v>
      </c>
      <c r="B5240" s="1" t="s">
        <v>5910</v>
      </c>
      <c r="D5240" s="1" t="s">
        <v>8187</v>
      </c>
      <c r="F5240" s="1" t="s">
        <v>8506</v>
      </c>
      <c r="H5240" s="1" t="s">
        <v>8512</v>
      </c>
      <c r="J5240" s="1" t="s">
        <v>1067</v>
      </c>
      <c r="L5240" s="1" t="s">
        <v>1112</v>
      </c>
      <c r="N5240" s="1" t="s">
        <v>2612</v>
      </c>
      <c r="P5240" s="1" t="s">
        <v>2613</v>
      </c>
      <c r="Q5240" s="3">
        <v>1</v>
      </c>
      <c r="R5240" s="22" t="s">
        <v>2723</v>
      </c>
      <c r="T5240" s="3" t="s">
        <v>4868</v>
      </c>
      <c r="U5240" s="45">
        <v>35</v>
      </c>
      <c r="V5240" t="s">
        <v>8191</v>
      </c>
      <c r="W5240" s="1" t="str">
        <f>HYPERLINK("http://ictvonline.org/taxonomy/p/taxonomy-history?taxnode_id=201902053","ICTVonline=201902053")</f>
        <v>ICTVonline=201902053</v>
      </c>
    </row>
    <row r="5241" spans="1:23">
      <c r="A5241" s="3">
        <v>5240</v>
      </c>
      <c r="B5241" s="1" t="s">
        <v>5910</v>
      </c>
      <c r="D5241" s="1" t="s">
        <v>8187</v>
      </c>
      <c r="F5241" s="1" t="s">
        <v>8506</v>
      </c>
      <c r="H5241" s="1" t="s">
        <v>8512</v>
      </c>
      <c r="J5241" s="1" t="s">
        <v>1067</v>
      </c>
      <c r="L5241" s="1" t="s">
        <v>1112</v>
      </c>
      <c r="N5241" s="1" t="s">
        <v>2179</v>
      </c>
      <c r="P5241" s="1" t="s">
        <v>2180</v>
      </c>
      <c r="Q5241" s="3">
        <v>1</v>
      </c>
      <c r="R5241" s="22" t="s">
        <v>2723</v>
      </c>
      <c r="T5241" s="3" t="s">
        <v>4868</v>
      </c>
      <c r="U5241" s="45">
        <v>35</v>
      </c>
      <c r="V5241" t="s">
        <v>8191</v>
      </c>
      <c r="W5241" s="1" t="str">
        <f>HYPERLINK("http://ictvonline.org/taxonomy/p/taxonomy-history?taxnode_id=201902055","ICTVonline=201902055")</f>
        <v>ICTVonline=201902055</v>
      </c>
    </row>
    <row r="5242" spans="1:23">
      <c r="A5242" s="3">
        <v>5241</v>
      </c>
      <c r="B5242" s="1" t="s">
        <v>5910</v>
      </c>
      <c r="D5242" s="1" t="s">
        <v>8187</v>
      </c>
      <c r="F5242" s="1" t="s">
        <v>8506</v>
      </c>
      <c r="H5242" s="1" t="s">
        <v>8512</v>
      </c>
      <c r="J5242" s="1" t="s">
        <v>1067</v>
      </c>
      <c r="L5242" s="1" t="s">
        <v>1112</v>
      </c>
      <c r="N5242" s="1" t="s">
        <v>1070</v>
      </c>
      <c r="P5242" s="1" t="s">
        <v>2614</v>
      </c>
      <c r="Q5242" s="3">
        <v>1</v>
      </c>
      <c r="R5242" s="22" t="s">
        <v>2723</v>
      </c>
      <c r="T5242" s="3" t="s">
        <v>4868</v>
      </c>
      <c r="U5242" s="45">
        <v>35</v>
      </c>
      <c r="V5242" t="s">
        <v>8191</v>
      </c>
      <c r="W5242" s="1" t="str">
        <f>HYPERLINK("http://ictvonline.org/taxonomy/p/taxonomy-history?taxnode_id=201902058","ICTVonline=201902058")</f>
        <v>ICTVonline=201902058</v>
      </c>
    </row>
    <row r="5243" spans="1:23">
      <c r="A5243" s="3">
        <v>5242</v>
      </c>
      <c r="B5243" s="1" t="s">
        <v>5910</v>
      </c>
      <c r="D5243" s="1" t="s">
        <v>8187</v>
      </c>
      <c r="F5243" s="1" t="s">
        <v>8506</v>
      </c>
      <c r="H5243" s="1" t="s">
        <v>8512</v>
      </c>
      <c r="J5243" s="1" t="s">
        <v>1067</v>
      </c>
      <c r="L5243" s="1" t="s">
        <v>1112</v>
      </c>
      <c r="N5243" s="1" t="s">
        <v>1070</v>
      </c>
      <c r="P5243" s="1" t="s">
        <v>2615</v>
      </c>
      <c r="Q5243" s="3">
        <v>0</v>
      </c>
      <c r="R5243" s="22" t="s">
        <v>2723</v>
      </c>
      <c r="T5243" s="3" t="s">
        <v>4868</v>
      </c>
      <c r="U5243" s="45">
        <v>35</v>
      </c>
      <c r="V5243" t="s">
        <v>8191</v>
      </c>
      <c r="W5243" s="1" t="str">
        <f>HYPERLINK("http://ictvonline.org/taxonomy/p/taxonomy-history?taxnode_id=201902059","ICTVonline=201902059")</f>
        <v>ICTVonline=201902059</v>
      </c>
    </row>
    <row r="5244" spans="1:23">
      <c r="A5244" s="3">
        <v>5243</v>
      </c>
      <c r="B5244" s="1" t="s">
        <v>5910</v>
      </c>
      <c r="D5244" s="1" t="s">
        <v>8187</v>
      </c>
      <c r="F5244" s="1" t="s">
        <v>8506</v>
      </c>
      <c r="H5244" s="1" t="s">
        <v>8512</v>
      </c>
      <c r="J5244" s="1" t="s">
        <v>1067</v>
      </c>
      <c r="L5244" s="1" t="s">
        <v>1112</v>
      </c>
      <c r="N5244" s="1" t="s">
        <v>994</v>
      </c>
      <c r="P5244" s="1" t="s">
        <v>2616</v>
      </c>
      <c r="Q5244" s="3">
        <v>1</v>
      </c>
      <c r="R5244" s="22" t="s">
        <v>2723</v>
      </c>
      <c r="T5244" s="3" t="s">
        <v>4868</v>
      </c>
      <c r="U5244" s="45">
        <v>35</v>
      </c>
      <c r="V5244" t="s">
        <v>8191</v>
      </c>
      <c r="W5244" s="1" t="str">
        <f>HYPERLINK("http://ictvonline.org/taxonomy/p/taxonomy-history?taxnode_id=201902061","ICTVonline=201902061")</f>
        <v>ICTVonline=201902061</v>
      </c>
    </row>
    <row r="5245" spans="1:23">
      <c r="A5245" s="3">
        <v>5244</v>
      </c>
      <c r="B5245" s="1" t="s">
        <v>5910</v>
      </c>
      <c r="D5245" s="1" t="s">
        <v>8187</v>
      </c>
      <c r="F5245" s="1" t="s">
        <v>8506</v>
      </c>
      <c r="H5245" s="1" t="s">
        <v>8512</v>
      </c>
      <c r="J5245" s="1" t="s">
        <v>1067</v>
      </c>
      <c r="L5245" s="1" t="s">
        <v>1112</v>
      </c>
      <c r="N5245" s="1" t="s">
        <v>5113</v>
      </c>
      <c r="P5245" s="1" t="s">
        <v>5114</v>
      </c>
      <c r="Q5245" s="3">
        <v>1</v>
      </c>
      <c r="R5245" s="22" t="s">
        <v>2723</v>
      </c>
      <c r="T5245" s="3" t="s">
        <v>4868</v>
      </c>
      <c r="U5245" s="45">
        <v>35</v>
      </c>
      <c r="V5245" t="s">
        <v>8191</v>
      </c>
      <c r="W5245" s="1" t="str">
        <f>HYPERLINK("http://ictvonline.org/taxonomy/p/taxonomy-history?taxnode_id=201905606","ICTVonline=201905606")</f>
        <v>ICTVonline=201905606</v>
      </c>
    </row>
    <row r="5246" spans="1:23">
      <c r="A5246" s="3">
        <v>5245</v>
      </c>
      <c r="B5246" s="1" t="s">
        <v>5910</v>
      </c>
      <c r="D5246" s="1" t="s">
        <v>8187</v>
      </c>
      <c r="F5246" s="1" t="s">
        <v>8506</v>
      </c>
      <c r="H5246" s="1" t="s">
        <v>8512</v>
      </c>
      <c r="J5246" s="1" t="s">
        <v>1067</v>
      </c>
      <c r="L5246" s="1" t="s">
        <v>1112</v>
      </c>
      <c r="N5246" s="1" t="s">
        <v>2617</v>
      </c>
      <c r="P5246" s="1" t="s">
        <v>2618</v>
      </c>
      <c r="Q5246" s="3">
        <v>1</v>
      </c>
      <c r="R5246" s="22" t="s">
        <v>2723</v>
      </c>
      <c r="T5246" s="3" t="s">
        <v>4868</v>
      </c>
      <c r="U5246" s="45">
        <v>35</v>
      </c>
      <c r="V5246" t="s">
        <v>8191</v>
      </c>
      <c r="W5246" s="1" t="str">
        <f>HYPERLINK("http://ictvonline.org/taxonomy/p/taxonomy-history?taxnode_id=201902063","ICTVonline=201902063")</f>
        <v>ICTVonline=201902063</v>
      </c>
    </row>
    <row r="5247" spans="1:23">
      <c r="A5247" s="3">
        <v>5246</v>
      </c>
      <c r="B5247" s="1" t="s">
        <v>5910</v>
      </c>
      <c r="D5247" s="1" t="s">
        <v>8187</v>
      </c>
      <c r="F5247" s="1" t="s">
        <v>8506</v>
      </c>
      <c r="H5247" s="1" t="s">
        <v>8512</v>
      </c>
      <c r="J5247" s="1" t="s">
        <v>1067</v>
      </c>
      <c r="L5247" s="1" t="s">
        <v>1112</v>
      </c>
      <c r="N5247" s="1" t="s">
        <v>8626</v>
      </c>
      <c r="P5247" s="1" t="s">
        <v>8627</v>
      </c>
      <c r="Q5247" s="3">
        <v>1</v>
      </c>
      <c r="R5247" s="22" t="s">
        <v>2723</v>
      </c>
      <c r="T5247" s="3" t="s">
        <v>4866</v>
      </c>
      <c r="U5247" s="45">
        <v>35</v>
      </c>
      <c r="V5247" t="s">
        <v>8598</v>
      </c>
      <c r="W5247" s="1" t="str">
        <f>HYPERLINK("http://ictvonline.org/taxonomy/p/taxonomy-history?taxnode_id=201907304","ICTVonline=201907304")</f>
        <v>ICTVonline=201907304</v>
      </c>
    </row>
    <row r="5248" spans="1:23">
      <c r="A5248" s="3">
        <v>5247</v>
      </c>
      <c r="B5248" s="1" t="s">
        <v>5910</v>
      </c>
      <c r="D5248" s="1" t="s">
        <v>8187</v>
      </c>
      <c r="F5248" s="1" t="s">
        <v>8506</v>
      </c>
      <c r="H5248" s="1" t="s">
        <v>8512</v>
      </c>
      <c r="J5248" s="1" t="s">
        <v>1067</v>
      </c>
      <c r="L5248" s="1" t="s">
        <v>1112</v>
      </c>
      <c r="N5248" s="1" t="s">
        <v>964</v>
      </c>
      <c r="P5248" s="1" t="s">
        <v>2619</v>
      </c>
      <c r="Q5248" s="3">
        <v>1</v>
      </c>
      <c r="R5248" s="22" t="s">
        <v>2723</v>
      </c>
      <c r="T5248" s="3" t="s">
        <v>4868</v>
      </c>
      <c r="U5248" s="45">
        <v>35</v>
      </c>
      <c r="V5248" t="s">
        <v>8191</v>
      </c>
      <c r="W5248" s="1" t="str">
        <f>HYPERLINK("http://ictvonline.org/taxonomy/p/taxonomy-history?taxnode_id=201902065","ICTVonline=201902065")</f>
        <v>ICTVonline=201902065</v>
      </c>
    </row>
    <row r="5249" spans="1:23">
      <c r="A5249" s="3">
        <v>5248</v>
      </c>
      <c r="B5249" s="1" t="s">
        <v>5910</v>
      </c>
      <c r="D5249" s="1" t="s">
        <v>8187</v>
      </c>
      <c r="F5249" s="1" t="s">
        <v>8506</v>
      </c>
      <c r="H5249" s="1" t="s">
        <v>8512</v>
      </c>
      <c r="J5249" s="1" t="s">
        <v>1067</v>
      </c>
      <c r="L5249" s="1" t="s">
        <v>1112</v>
      </c>
      <c r="N5249" s="1" t="s">
        <v>964</v>
      </c>
      <c r="P5249" s="1" t="s">
        <v>8628</v>
      </c>
      <c r="Q5249" s="3">
        <v>0</v>
      </c>
      <c r="R5249" s="22" t="s">
        <v>2723</v>
      </c>
      <c r="T5249" s="3" t="s">
        <v>4866</v>
      </c>
      <c r="U5249" s="45">
        <v>35</v>
      </c>
      <c r="V5249" t="s">
        <v>8629</v>
      </c>
      <c r="W5249" s="1" t="str">
        <f>HYPERLINK("http://ictvonline.org/taxonomy/p/taxonomy-history?taxnode_id=201907451","ICTVonline=201907451")</f>
        <v>ICTVonline=201907451</v>
      </c>
    </row>
    <row r="5250" spans="1:23">
      <c r="A5250" s="3">
        <v>5249</v>
      </c>
      <c r="B5250" s="1" t="s">
        <v>5910</v>
      </c>
      <c r="D5250" s="1" t="s">
        <v>8187</v>
      </c>
      <c r="F5250" s="1" t="s">
        <v>8506</v>
      </c>
      <c r="H5250" s="1" t="s">
        <v>8512</v>
      </c>
      <c r="J5250" s="1" t="s">
        <v>1067</v>
      </c>
      <c r="L5250" s="1" t="s">
        <v>1112</v>
      </c>
      <c r="N5250" s="1" t="s">
        <v>4552</v>
      </c>
      <c r="P5250" s="1" t="s">
        <v>4553</v>
      </c>
      <c r="Q5250" s="3">
        <v>1</v>
      </c>
      <c r="R5250" s="22" t="s">
        <v>2723</v>
      </c>
      <c r="T5250" s="3" t="s">
        <v>4868</v>
      </c>
      <c r="U5250" s="45">
        <v>35</v>
      </c>
      <c r="V5250" t="s">
        <v>8191</v>
      </c>
      <c r="W5250" s="1" t="str">
        <f>HYPERLINK("http://ictvonline.org/taxonomy/p/taxonomy-history?taxnode_id=201902067","ICTVonline=201902067")</f>
        <v>ICTVonline=201902067</v>
      </c>
    </row>
    <row r="5251" spans="1:23">
      <c r="A5251" s="3">
        <v>5250</v>
      </c>
      <c r="B5251" s="1" t="s">
        <v>5910</v>
      </c>
      <c r="D5251" s="1" t="s">
        <v>8187</v>
      </c>
      <c r="F5251" s="1" t="s">
        <v>8506</v>
      </c>
      <c r="H5251" s="1" t="s">
        <v>8512</v>
      </c>
      <c r="J5251" s="1" t="s">
        <v>1067</v>
      </c>
      <c r="L5251" s="1" t="s">
        <v>1112</v>
      </c>
      <c r="N5251" s="1" t="s">
        <v>6119</v>
      </c>
      <c r="P5251" s="1" t="s">
        <v>6120</v>
      </c>
      <c r="Q5251" s="3">
        <v>1</v>
      </c>
      <c r="R5251" s="22" t="s">
        <v>2723</v>
      </c>
      <c r="T5251" s="3" t="s">
        <v>4868</v>
      </c>
      <c r="U5251" s="45">
        <v>35</v>
      </c>
      <c r="V5251" t="s">
        <v>8191</v>
      </c>
      <c r="W5251" s="1" t="str">
        <f>HYPERLINK("http://ictvonline.org/taxonomy/p/taxonomy-history?taxnode_id=201906483","ICTVonline=201906483")</f>
        <v>ICTVonline=201906483</v>
      </c>
    </row>
    <row r="5252" spans="1:23">
      <c r="A5252" s="3">
        <v>5251</v>
      </c>
      <c r="B5252" s="1" t="s">
        <v>5910</v>
      </c>
      <c r="D5252" s="1" t="s">
        <v>8187</v>
      </c>
      <c r="F5252" s="1" t="s">
        <v>8506</v>
      </c>
      <c r="H5252" s="1" t="s">
        <v>8512</v>
      </c>
      <c r="J5252" s="1" t="s">
        <v>1067</v>
      </c>
      <c r="L5252" s="1" t="s">
        <v>1112</v>
      </c>
      <c r="N5252" s="1" t="s">
        <v>995</v>
      </c>
      <c r="P5252" s="1" t="s">
        <v>2620</v>
      </c>
      <c r="Q5252" s="3">
        <v>1</v>
      </c>
      <c r="R5252" s="22" t="s">
        <v>2723</v>
      </c>
      <c r="T5252" s="3" t="s">
        <v>4868</v>
      </c>
      <c r="U5252" s="45">
        <v>35</v>
      </c>
      <c r="V5252" t="s">
        <v>8191</v>
      </c>
      <c r="W5252" s="1" t="str">
        <f>HYPERLINK("http://ictvonline.org/taxonomy/p/taxonomy-history?taxnode_id=201902069","ICTVonline=201902069")</f>
        <v>ICTVonline=201902069</v>
      </c>
    </row>
    <row r="5253" spans="1:23">
      <c r="A5253" s="3">
        <v>5252</v>
      </c>
      <c r="B5253" s="1" t="s">
        <v>5910</v>
      </c>
      <c r="D5253" s="1" t="s">
        <v>8187</v>
      </c>
      <c r="F5253" s="1" t="s">
        <v>8506</v>
      </c>
      <c r="H5253" s="1" t="s">
        <v>8512</v>
      </c>
      <c r="J5253" s="1" t="s">
        <v>1067</v>
      </c>
      <c r="L5253" s="1" t="s">
        <v>1112</v>
      </c>
      <c r="N5253" s="1" t="s">
        <v>995</v>
      </c>
      <c r="P5253" s="1" t="s">
        <v>8630</v>
      </c>
      <c r="Q5253" s="3">
        <v>0</v>
      </c>
      <c r="R5253" s="22" t="s">
        <v>2723</v>
      </c>
      <c r="T5253" s="3" t="s">
        <v>4866</v>
      </c>
      <c r="U5253" s="45">
        <v>35</v>
      </c>
      <c r="V5253" t="s">
        <v>8631</v>
      </c>
      <c r="W5253" s="1" t="str">
        <f>HYPERLINK("http://ictvonline.org/taxonomy/p/taxonomy-history?taxnode_id=201907458","ICTVonline=201907458")</f>
        <v>ICTVonline=201907458</v>
      </c>
    </row>
    <row r="5254" spans="1:23">
      <c r="A5254" s="3">
        <v>5253</v>
      </c>
      <c r="B5254" s="1" t="s">
        <v>5910</v>
      </c>
      <c r="D5254" s="1" t="s">
        <v>8187</v>
      </c>
      <c r="F5254" s="1" t="s">
        <v>8506</v>
      </c>
      <c r="H5254" s="1" t="s">
        <v>8512</v>
      </c>
      <c r="J5254" s="1" t="s">
        <v>1067</v>
      </c>
      <c r="L5254" s="1" t="s">
        <v>1112</v>
      </c>
      <c r="N5254" s="1" t="s">
        <v>8632</v>
      </c>
      <c r="P5254" s="1" t="s">
        <v>8633</v>
      </c>
      <c r="Q5254" s="3">
        <v>1</v>
      </c>
      <c r="R5254" s="22" t="s">
        <v>2723</v>
      </c>
      <c r="T5254" s="3" t="s">
        <v>4866</v>
      </c>
      <c r="U5254" s="45">
        <v>35</v>
      </c>
      <c r="V5254" t="s">
        <v>8598</v>
      </c>
      <c r="W5254" s="1" t="str">
        <f>HYPERLINK("http://ictvonline.org/taxonomy/p/taxonomy-history?taxnode_id=201907306","ICTVonline=201907306")</f>
        <v>ICTVonline=201907306</v>
      </c>
    </row>
    <row r="5255" spans="1:23">
      <c r="A5255" s="3">
        <v>5254</v>
      </c>
      <c r="B5255" s="1" t="s">
        <v>5910</v>
      </c>
      <c r="D5255" s="1" t="s">
        <v>8187</v>
      </c>
      <c r="F5255" s="1" t="s">
        <v>8506</v>
      </c>
      <c r="H5255" s="1" t="s">
        <v>8512</v>
      </c>
      <c r="J5255" s="1" t="s">
        <v>1067</v>
      </c>
      <c r="L5255" s="1" t="s">
        <v>5115</v>
      </c>
      <c r="N5255" s="1" t="s">
        <v>5116</v>
      </c>
      <c r="P5255" s="1" t="s">
        <v>5117</v>
      </c>
      <c r="Q5255" s="3">
        <v>1</v>
      </c>
      <c r="R5255" s="22" t="s">
        <v>2723</v>
      </c>
      <c r="T5255" s="3" t="s">
        <v>4868</v>
      </c>
      <c r="U5255" s="45">
        <v>35</v>
      </c>
      <c r="V5255" t="s">
        <v>8191</v>
      </c>
      <c r="W5255" s="1" t="str">
        <f>HYPERLINK("http://ictvonline.org/taxonomy/p/taxonomy-history?taxnode_id=201905608","ICTVonline=201905608")</f>
        <v>ICTVonline=201905608</v>
      </c>
    </row>
    <row r="5256" spans="1:23">
      <c r="A5256" s="3">
        <v>5255</v>
      </c>
      <c r="B5256" s="1" t="s">
        <v>5910</v>
      </c>
      <c r="D5256" s="1" t="s">
        <v>8187</v>
      </c>
      <c r="F5256" s="1" t="s">
        <v>8506</v>
      </c>
      <c r="H5256" s="1" t="s">
        <v>8512</v>
      </c>
      <c r="J5256" s="1" t="s">
        <v>1067</v>
      </c>
      <c r="L5256" s="1" t="s">
        <v>5115</v>
      </c>
      <c r="N5256" s="1" t="s">
        <v>5116</v>
      </c>
      <c r="P5256" s="1" t="s">
        <v>5118</v>
      </c>
      <c r="Q5256" s="3">
        <v>0</v>
      </c>
      <c r="R5256" s="22" t="s">
        <v>2723</v>
      </c>
      <c r="T5256" s="3" t="s">
        <v>4868</v>
      </c>
      <c r="U5256" s="45">
        <v>35</v>
      </c>
      <c r="V5256" t="s">
        <v>8191</v>
      </c>
      <c r="W5256" s="1" t="str">
        <f>HYPERLINK("http://ictvonline.org/taxonomy/p/taxonomy-history?taxnode_id=201905609","ICTVonline=201905609")</f>
        <v>ICTVonline=201905609</v>
      </c>
    </row>
    <row r="5257" spans="1:23">
      <c r="A5257" s="3">
        <v>5256</v>
      </c>
      <c r="B5257" s="1" t="s">
        <v>5910</v>
      </c>
      <c r="D5257" s="1" t="s">
        <v>8187</v>
      </c>
      <c r="F5257" s="1" t="s">
        <v>8506</v>
      </c>
      <c r="H5257" s="1" t="s">
        <v>8512</v>
      </c>
      <c r="J5257" s="1" t="s">
        <v>1067</v>
      </c>
      <c r="L5257" s="1" t="s">
        <v>5115</v>
      </c>
      <c r="N5257" s="1" t="s">
        <v>5119</v>
      </c>
      <c r="P5257" s="1" t="s">
        <v>5120</v>
      </c>
      <c r="Q5257" s="3">
        <v>1</v>
      </c>
      <c r="R5257" s="22" t="s">
        <v>2723</v>
      </c>
      <c r="T5257" s="3" t="s">
        <v>4868</v>
      </c>
      <c r="U5257" s="45">
        <v>35</v>
      </c>
      <c r="V5257" t="s">
        <v>8191</v>
      </c>
      <c r="W5257" s="1" t="str">
        <f>HYPERLINK("http://ictvonline.org/taxonomy/p/taxonomy-history?taxnode_id=201905611","ICTVonline=201905611")</f>
        <v>ICTVonline=201905611</v>
      </c>
    </row>
    <row r="5258" spans="1:23">
      <c r="A5258" s="3">
        <v>5257</v>
      </c>
      <c r="B5258" s="1" t="s">
        <v>5910</v>
      </c>
      <c r="D5258" s="1" t="s">
        <v>8187</v>
      </c>
      <c r="F5258" s="1" t="s">
        <v>8506</v>
      </c>
      <c r="H5258" s="1" t="s">
        <v>8512</v>
      </c>
      <c r="J5258" s="1" t="s">
        <v>1067</v>
      </c>
      <c r="L5258" s="1" t="s">
        <v>5115</v>
      </c>
      <c r="N5258" s="1" t="s">
        <v>5121</v>
      </c>
      <c r="P5258" s="1" t="s">
        <v>5122</v>
      </c>
      <c r="Q5258" s="3">
        <v>0</v>
      </c>
      <c r="R5258" s="22" t="s">
        <v>2723</v>
      </c>
      <c r="T5258" s="3" t="s">
        <v>4868</v>
      </c>
      <c r="U5258" s="45">
        <v>35</v>
      </c>
      <c r="V5258" t="s">
        <v>8191</v>
      </c>
      <c r="W5258" s="1" t="str">
        <f>HYPERLINK("http://ictvonline.org/taxonomy/p/taxonomy-history?taxnode_id=201905613","ICTVonline=201905613")</f>
        <v>ICTVonline=201905613</v>
      </c>
    </row>
    <row r="5259" spans="1:23">
      <c r="A5259" s="3">
        <v>5258</v>
      </c>
      <c r="B5259" s="1" t="s">
        <v>5910</v>
      </c>
      <c r="D5259" s="1" t="s">
        <v>8187</v>
      </c>
      <c r="F5259" s="1" t="s">
        <v>8506</v>
      </c>
      <c r="H5259" s="1" t="s">
        <v>8512</v>
      </c>
      <c r="J5259" s="1" t="s">
        <v>1067</v>
      </c>
      <c r="L5259" s="1" t="s">
        <v>5115</v>
      </c>
      <c r="N5259" s="1" t="s">
        <v>5121</v>
      </c>
      <c r="P5259" s="1" t="s">
        <v>5123</v>
      </c>
      <c r="Q5259" s="3">
        <v>0</v>
      </c>
      <c r="R5259" s="22" t="s">
        <v>2723</v>
      </c>
      <c r="T5259" s="3" t="s">
        <v>4868</v>
      </c>
      <c r="U5259" s="45">
        <v>35</v>
      </c>
      <c r="V5259" t="s">
        <v>8191</v>
      </c>
      <c r="W5259" s="1" t="str">
        <f>HYPERLINK("http://ictvonline.org/taxonomy/p/taxonomy-history?taxnode_id=201905614","ICTVonline=201905614")</f>
        <v>ICTVonline=201905614</v>
      </c>
    </row>
    <row r="5260" spans="1:23">
      <c r="A5260" s="3">
        <v>5259</v>
      </c>
      <c r="B5260" s="1" t="s">
        <v>5910</v>
      </c>
      <c r="D5260" s="1" t="s">
        <v>8187</v>
      </c>
      <c r="F5260" s="1" t="s">
        <v>8506</v>
      </c>
      <c r="H5260" s="1" t="s">
        <v>8512</v>
      </c>
      <c r="J5260" s="1" t="s">
        <v>1067</v>
      </c>
      <c r="L5260" s="1" t="s">
        <v>5115</v>
      </c>
      <c r="N5260" s="1" t="s">
        <v>5121</v>
      </c>
      <c r="P5260" s="1" t="s">
        <v>5124</v>
      </c>
      <c r="Q5260" s="3">
        <v>0</v>
      </c>
      <c r="R5260" s="22" t="s">
        <v>2723</v>
      </c>
      <c r="T5260" s="3" t="s">
        <v>4868</v>
      </c>
      <c r="U5260" s="45">
        <v>35</v>
      </c>
      <c r="V5260" t="s">
        <v>8191</v>
      </c>
      <c r="W5260" s="1" t="str">
        <f>HYPERLINK("http://ictvonline.org/taxonomy/p/taxonomy-history?taxnode_id=201905615","ICTVonline=201905615")</f>
        <v>ICTVonline=201905615</v>
      </c>
    </row>
    <row r="5261" spans="1:23">
      <c r="A5261" s="3">
        <v>5260</v>
      </c>
      <c r="B5261" s="1" t="s">
        <v>5910</v>
      </c>
      <c r="D5261" s="1" t="s">
        <v>8187</v>
      </c>
      <c r="F5261" s="1" t="s">
        <v>8506</v>
      </c>
      <c r="H5261" s="1" t="s">
        <v>8512</v>
      </c>
      <c r="J5261" s="1" t="s">
        <v>1067</v>
      </c>
      <c r="L5261" s="1" t="s">
        <v>5115</v>
      </c>
      <c r="N5261" s="1" t="s">
        <v>5121</v>
      </c>
      <c r="P5261" s="1" t="s">
        <v>5125</v>
      </c>
      <c r="Q5261" s="3">
        <v>0</v>
      </c>
      <c r="R5261" s="22" t="s">
        <v>2723</v>
      </c>
      <c r="T5261" s="3" t="s">
        <v>4868</v>
      </c>
      <c r="U5261" s="45">
        <v>35</v>
      </c>
      <c r="V5261" t="s">
        <v>8191</v>
      </c>
      <c r="W5261" s="1" t="str">
        <f>HYPERLINK("http://ictvonline.org/taxonomy/p/taxonomy-history?taxnode_id=201905616","ICTVonline=201905616")</f>
        <v>ICTVonline=201905616</v>
      </c>
    </row>
    <row r="5262" spans="1:23">
      <c r="A5262" s="3">
        <v>5261</v>
      </c>
      <c r="B5262" s="1" t="s">
        <v>5910</v>
      </c>
      <c r="D5262" s="1" t="s">
        <v>8187</v>
      </c>
      <c r="F5262" s="1" t="s">
        <v>8506</v>
      </c>
      <c r="H5262" s="1" t="s">
        <v>8512</v>
      </c>
      <c r="J5262" s="1" t="s">
        <v>1067</v>
      </c>
      <c r="L5262" s="1" t="s">
        <v>5115</v>
      </c>
      <c r="N5262" s="1" t="s">
        <v>5121</v>
      </c>
      <c r="P5262" s="1" t="s">
        <v>5126</v>
      </c>
      <c r="Q5262" s="3">
        <v>0</v>
      </c>
      <c r="R5262" s="22" t="s">
        <v>2723</v>
      </c>
      <c r="T5262" s="3" t="s">
        <v>4868</v>
      </c>
      <c r="U5262" s="45">
        <v>35</v>
      </c>
      <c r="V5262" t="s">
        <v>8191</v>
      </c>
      <c r="W5262" s="1" t="str">
        <f>HYPERLINK("http://ictvonline.org/taxonomy/p/taxonomy-history?taxnode_id=201905617","ICTVonline=201905617")</f>
        <v>ICTVonline=201905617</v>
      </c>
    </row>
    <row r="5263" spans="1:23">
      <c r="A5263" s="3">
        <v>5262</v>
      </c>
      <c r="B5263" s="1" t="s">
        <v>5910</v>
      </c>
      <c r="D5263" s="1" t="s">
        <v>8187</v>
      </c>
      <c r="F5263" s="1" t="s">
        <v>8506</v>
      </c>
      <c r="H5263" s="1" t="s">
        <v>8512</v>
      </c>
      <c r="J5263" s="1" t="s">
        <v>1067</v>
      </c>
      <c r="L5263" s="1" t="s">
        <v>5115</v>
      </c>
      <c r="N5263" s="1" t="s">
        <v>5121</v>
      </c>
      <c r="P5263" s="1" t="s">
        <v>5127</v>
      </c>
      <c r="Q5263" s="3">
        <v>0</v>
      </c>
      <c r="R5263" s="22" t="s">
        <v>2723</v>
      </c>
      <c r="T5263" s="3" t="s">
        <v>4868</v>
      </c>
      <c r="U5263" s="45">
        <v>35</v>
      </c>
      <c r="V5263" t="s">
        <v>8191</v>
      </c>
      <c r="W5263" s="1" t="str">
        <f>HYPERLINK("http://ictvonline.org/taxonomy/p/taxonomy-history?taxnode_id=201905618","ICTVonline=201905618")</f>
        <v>ICTVonline=201905618</v>
      </c>
    </row>
    <row r="5264" spans="1:23">
      <c r="A5264" s="3">
        <v>5263</v>
      </c>
      <c r="B5264" s="1" t="s">
        <v>5910</v>
      </c>
      <c r="D5264" s="1" t="s">
        <v>8187</v>
      </c>
      <c r="F5264" s="1" t="s">
        <v>8506</v>
      </c>
      <c r="H5264" s="1" t="s">
        <v>8512</v>
      </c>
      <c r="J5264" s="1" t="s">
        <v>1067</v>
      </c>
      <c r="L5264" s="1" t="s">
        <v>5115</v>
      </c>
      <c r="N5264" s="1" t="s">
        <v>5121</v>
      </c>
      <c r="P5264" s="1" t="s">
        <v>5128</v>
      </c>
      <c r="Q5264" s="3">
        <v>0</v>
      </c>
      <c r="R5264" s="22" t="s">
        <v>2723</v>
      </c>
      <c r="T5264" s="3" t="s">
        <v>4868</v>
      </c>
      <c r="U5264" s="45">
        <v>35</v>
      </c>
      <c r="V5264" t="s">
        <v>8191</v>
      </c>
      <c r="W5264" s="1" t="str">
        <f>HYPERLINK("http://ictvonline.org/taxonomy/p/taxonomy-history?taxnode_id=201905619","ICTVonline=201905619")</f>
        <v>ICTVonline=201905619</v>
      </c>
    </row>
    <row r="5265" spans="1:23">
      <c r="A5265" s="3">
        <v>5264</v>
      </c>
      <c r="B5265" s="1" t="s">
        <v>5910</v>
      </c>
      <c r="D5265" s="1" t="s">
        <v>8187</v>
      </c>
      <c r="F5265" s="1" t="s">
        <v>8506</v>
      </c>
      <c r="H5265" s="1" t="s">
        <v>8512</v>
      </c>
      <c r="J5265" s="1" t="s">
        <v>1067</v>
      </c>
      <c r="L5265" s="1" t="s">
        <v>5115</v>
      </c>
      <c r="N5265" s="1" t="s">
        <v>5121</v>
      </c>
      <c r="P5265" s="1" t="s">
        <v>5129</v>
      </c>
      <c r="Q5265" s="3">
        <v>0</v>
      </c>
      <c r="R5265" s="22" t="s">
        <v>2723</v>
      </c>
      <c r="T5265" s="3" t="s">
        <v>4868</v>
      </c>
      <c r="U5265" s="45">
        <v>35</v>
      </c>
      <c r="V5265" t="s">
        <v>8191</v>
      </c>
      <c r="W5265" s="1" t="str">
        <f>HYPERLINK("http://ictvonline.org/taxonomy/p/taxonomy-history?taxnode_id=201905620","ICTVonline=201905620")</f>
        <v>ICTVonline=201905620</v>
      </c>
    </row>
    <row r="5266" spans="1:23">
      <c r="A5266" s="3">
        <v>5265</v>
      </c>
      <c r="B5266" s="1" t="s">
        <v>5910</v>
      </c>
      <c r="D5266" s="1" t="s">
        <v>8187</v>
      </c>
      <c r="F5266" s="1" t="s">
        <v>8506</v>
      </c>
      <c r="H5266" s="1" t="s">
        <v>8512</v>
      </c>
      <c r="J5266" s="1" t="s">
        <v>1067</v>
      </c>
      <c r="L5266" s="1" t="s">
        <v>5115</v>
      </c>
      <c r="N5266" s="1" t="s">
        <v>5121</v>
      </c>
      <c r="P5266" s="1" t="s">
        <v>5130</v>
      </c>
      <c r="Q5266" s="3">
        <v>0</v>
      </c>
      <c r="R5266" s="22" t="s">
        <v>2723</v>
      </c>
      <c r="T5266" s="3" t="s">
        <v>4868</v>
      </c>
      <c r="U5266" s="45">
        <v>35</v>
      </c>
      <c r="V5266" t="s">
        <v>8191</v>
      </c>
      <c r="W5266" s="1" t="str">
        <f>HYPERLINK("http://ictvonline.org/taxonomy/p/taxonomy-history?taxnode_id=201905621","ICTVonline=201905621")</f>
        <v>ICTVonline=201905621</v>
      </c>
    </row>
    <row r="5267" spans="1:23">
      <c r="A5267" s="3">
        <v>5266</v>
      </c>
      <c r="B5267" s="1" t="s">
        <v>5910</v>
      </c>
      <c r="D5267" s="1" t="s">
        <v>8187</v>
      </c>
      <c r="F5267" s="1" t="s">
        <v>8506</v>
      </c>
      <c r="H5267" s="1" t="s">
        <v>8512</v>
      </c>
      <c r="J5267" s="1" t="s">
        <v>1067</v>
      </c>
      <c r="L5267" s="1" t="s">
        <v>5115</v>
      </c>
      <c r="N5267" s="1" t="s">
        <v>5121</v>
      </c>
      <c r="P5267" s="1" t="s">
        <v>5131</v>
      </c>
      <c r="Q5267" s="3">
        <v>1</v>
      </c>
      <c r="R5267" s="22" t="s">
        <v>2723</v>
      </c>
      <c r="T5267" s="3" t="s">
        <v>4868</v>
      </c>
      <c r="U5267" s="45">
        <v>35</v>
      </c>
      <c r="V5267" t="s">
        <v>8191</v>
      </c>
      <c r="W5267" s="1" t="str">
        <f>HYPERLINK("http://ictvonline.org/taxonomy/p/taxonomy-history?taxnode_id=201905622","ICTVonline=201905622")</f>
        <v>ICTVonline=201905622</v>
      </c>
    </row>
    <row r="5268" spans="1:23">
      <c r="A5268" s="3">
        <v>5267</v>
      </c>
      <c r="B5268" s="1" t="s">
        <v>5910</v>
      </c>
      <c r="D5268" s="1" t="s">
        <v>8187</v>
      </c>
      <c r="F5268" s="1" t="s">
        <v>8506</v>
      </c>
      <c r="H5268" s="1" t="s">
        <v>8512</v>
      </c>
      <c r="J5268" s="1" t="s">
        <v>1067</v>
      </c>
      <c r="L5268" s="1" t="s">
        <v>5115</v>
      </c>
      <c r="N5268" s="1" t="s">
        <v>5121</v>
      </c>
      <c r="P5268" s="1" t="s">
        <v>5132</v>
      </c>
      <c r="Q5268" s="3">
        <v>0</v>
      </c>
      <c r="R5268" s="22" t="s">
        <v>2723</v>
      </c>
      <c r="T5268" s="3" t="s">
        <v>4868</v>
      </c>
      <c r="U5268" s="45">
        <v>35</v>
      </c>
      <c r="V5268" t="s">
        <v>8191</v>
      </c>
      <c r="W5268" s="1" t="str">
        <f>HYPERLINK("http://ictvonline.org/taxonomy/p/taxonomy-history?taxnode_id=201905623","ICTVonline=201905623")</f>
        <v>ICTVonline=201905623</v>
      </c>
    </row>
    <row r="5269" spans="1:23">
      <c r="A5269" s="3">
        <v>5268</v>
      </c>
      <c r="B5269" s="1" t="s">
        <v>5910</v>
      </c>
      <c r="D5269" s="1" t="s">
        <v>8187</v>
      </c>
      <c r="F5269" s="1" t="s">
        <v>8506</v>
      </c>
      <c r="H5269" s="1" t="s">
        <v>8512</v>
      </c>
      <c r="J5269" s="1" t="s">
        <v>1067</v>
      </c>
      <c r="L5269" s="1" t="s">
        <v>1986</v>
      </c>
      <c r="M5269" s="1" t="s">
        <v>1875</v>
      </c>
      <c r="N5269" s="1" t="s">
        <v>1872</v>
      </c>
      <c r="P5269" s="1" t="s">
        <v>685</v>
      </c>
      <c r="Q5269" s="3">
        <v>0</v>
      </c>
      <c r="R5269" s="22" t="s">
        <v>2723</v>
      </c>
      <c r="T5269" s="3" t="s">
        <v>4868</v>
      </c>
      <c r="U5269" s="45">
        <v>35</v>
      </c>
      <c r="V5269" t="s">
        <v>8191</v>
      </c>
      <c r="W5269" s="1" t="str">
        <f>HYPERLINK("http://ictvonline.org/taxonomy/p/taxonomy-history?taxnode_id=201902073","ICTVonline=201902073")</f>
        <v>ICTVonline=201902073</v>
      </c>
    </row>
    <row r="5270" spans="1:23">
      <c r="A5270" s="3">
        <v>5269</v>
      </c>
      <c r="B5270" s="1" t="s">
        <v>5910</v>
      </c>
      <c r="D5270" s="1" t="s">
        <v>8187</v>
      </c>
      <c r="F5270" s="1" t="s">
        <v>8506</v>
      </c>
      <c r="H5270" s="1" t="s">
        <v>8512</v>
      </c>
      <c r="J5270" s="1" t="s">
        <v>1067</v>
      </c>
      <c r="L5270" s="1" t="s">
        <v>1986</v>
      </c>
      <c r="M5270" s="1" t="s">
        <v>1875</v>
      </c>
      <c r="N5270" s="1" t="s">
        <v>1872</v>
      </c>
      <c r="P5270" s="1" t="s">
        <v>686</v>
      </c>
      <c r="Q5270" s="3">
        <v>0</v>
      </c>
      <c r="R5270" s="22" t="s">
        <v>2723</v>
      </c>
      <c r="T5270" s="3" t="s">
        <v>4868</v>
      </c>
      <c r="U5270" s="45">
        <v>35</v>
      </c>
      <c r="V5270" t="s">
        <v>8191</v>
      </c>
      <c r="W5270" s="1" t="str">
        <f>HYPERLINK("http://ictvonline.org/taxonomy/p/taxonomy-history?taxnode_id=201902074","ICTVonline=201902074")</f>
        <v>ICTVonline=201902074</v>
      </c>
    </row>
    <row r="5271" spans="1:23">
      <c r="A5271" s="3">
        <v>5270</v>
      </c>
      <c r="B5271" s="1" t="s">
        <v>5910</v>
      </c>
      <c r="D5271" s="1" t="s">
        <v>8187</v>
      </c>
      <c r="F5271" s="1" t="s">
        <v>8506</v>
      </c>
      <c r="H5271" s="1" t="s">
        <v>8512</v>
      </c>
      <c r="J5271" s="1" t="s">
        <v>1067</v>
      </c>
      <c r="L5271" s="1" t="s">
        <v>1986</v>
      </c>
      <c r="M5271" s="1" t="s">
        <v>1875</v>
      </c>
      <c r="N5271" s="1" t="s">
        <v>1872</v>
      </c>
      <c r="P5271" s="1" t="s">
        <v>687</v>
      </c>
      <c r="Q5271" s="3">
        <v>0</v>
      </c>
      <c r="R5271" s="22" t="s">
        <v>2723</v>
      </c>
      <c r="T5271" s="3" t="s">
        <v>4868</v>
      </c>
      <c r="U5271" s="45">
        <v>35</v>
      </c>
      <c r="V5271" t="s">
        <v>8191</v>
      </c>
      <c r="W5271" s="1" t="str">
        <f>HYPERLINK("http://ictvonline.org/taxonomy/p/taxonomy-history?taxnode_id=201902075","ICTVonline=201902075")</f>
        <v>ICTVonline=201902075</v>
      </c>
    </row>
    <row r="5272" spans="1:23">
      <c r="A5272" s="3">
        <v>5271</v>
      </c>
      <c r="B5272" s="1" t="s">
        <v>5910</v>
      </c>
      <c r="D5272" s="1" t="s">
        <v>8187</v>
      </c>
      <c r="F5272" s="1" t="s">
        <v>8506</v>
      </c>
      <c r="H5272" s="1" t="s">
        <v>8512</v>
      </c>
      <c r="J5272" s="1" t="s">
        <v>1067</v>
      </c>
      <c r="L5272" s="1" t="s">
        <v>1986</v>
      </c>
      <c r="M5272" s="1" t="s">
        <v>1875</v>
      </c>
      <c r="N5272" s="1" t="s">
        <v>1872</v>
      </c>
      <c r="P5272" s="1" t="s">
        <v>688</v>
      </c>
      <c r="Q5272" s="3">
        <v>0</v>
      </c>
      <c r="R5272" s="22" t="s">
        <v>2723</v>
      </c>
      <c r="T5272" s="3" t="s">
        <v>4868</v>
      </c>
      <c r="U5272" s="45">
        <v>35</v>
      </c>
      <c r="V5272" t="s">
        <v>8191</v>
      </c>
      <c r="W5272" s="1" t="str">
        <f>HYPERLINK("http://ictvonline.org/taxonomy/p/taxonomy-history?taxnode_id=201902076","ICTVonline=201902076")</f>
        <v>ICTVonline=201902076</v>
      </c>
    </row>
    <row r="5273" spans="1:23">
      <c r="A5273" s="3">
        <v>5272</v>
      </c>
      <c r="B5273" s="1" t="s">
        <v>5910</v>
      </c>
      <c r="D5273" s="1" t="s">
        <v>8187</v>
      </c>
      <c r="F5273" s="1" t="s">
        <v>8506</v>
      </c>
      <c r="H5273" s="1" t="s">
        <v>8512</v>
      </c>
      <c r="J5273" s="1" t="s">
        <v>1067</v>
      </c>
      <c r="L5273" s="1" t="s">
        <v>1986</v>
      </c>
      <c r="M5273" s="1" t="s">
        <v>1875</v>
      </c>
      <c r="N5273" s="1" t="s">
        <v>1872</v>
      </c>
      <c r="P5273" s="1" t="s">
        <v>1068</v>
      </c>
      <c r="Q5273" s="3">
        <v>0</v>
      </c>
      <c r="R5273" s="22" t="s">
        <v>2723</v>
      </c>
      <c r="T5273" s="3" t="s">
        <v>4868</v>
      </c>
      <c r="U5273" s="45">
        <v>35</v>
      </c>
      <c r="V5273" t="s">
        <v>8191</v>
      </c>
      <c r="W5273" s="1" t="str">
        <f>HYPERLINK("http://ictvonline.org/taxonomy/p/taxonomy-history?taxnode_id=201902077","ICTVonline=201902077")</f>
        <v>ICTVonline=201902077</v>
      </c>
    </row>
    <row r="5274" spans="1:23">
      <c r="A5274" s="3">
        <v>5273</v>
      </c>
      <c r="B5274" s="1" t="s">
        <v>5910</v>
      </c>
      <c r="D5274" s="1" t="s">
        <v>8187</v>
      </c>
      <c r="F5274" s="1" t="s">
        <v>8506</v>
      </c>
      <c r="H5274" s="1" t="s">
        <v>8512</v>
      </c>
      <c r="J5274" s="1" t="s">
        <v>1067</v>
      </c>
      <c r="L5274" s="1" t="s">
        <v>1986</v>
      </c>
      <c r="M5274" s="1" t="s">
        <v>1875</v>
      </c>
      <c r="N5274" s="1" t="s">
        <v>1872</v>
      </c>
      <c r="P5274" s="1" t="s">
        <v>1069</v>
      </c>
      <c r="Q5274" s="3">
        <v>1</v>
      </c>
      <c r="R5274" s="22" t="s">
        <v>2723</v>
      </c>
      <c r="T5274" s="3" t="s">
        <v>4868</v>
      </c>
      <c r="U5274" s="45">
        <v>35</v>
      </c>
      <c r="V5274" t="s">
        <v>8191</v>
      </c>
      <c r="W5274" s="1" t="str">
        <f>HYPERLINK("http://ictvonline.org/taxonomy/p/taxonomy-history?taxnode_id=201902078","ICTVonline=201902078")</f>
        <v>ICTVonline=201902078</v>
      </c>
    </row>
    <row r="5275" spans="1:23">
      <c r="A5275" s="3">
        <v>5274</v>
      </c>
      <c r="B5275" s="1" t="s">
        <v>5910</v>
      </c>
      <c r="D5275" s="1" t="s">
        <v>8187</v>
      </c>
      <c r="F5275" s="1" t="s">
        <v>8506</v>
      </c>
      <c r="H5275" s="1" t="s">
        <v>8512</v>
      </c>
      <c r="J5275" s="1" t="s">
        <v>1067</v>
      </c>
      <c r="L5275" s="1" t="s">
        <v>1986</v>
      </c>
      <c r="M5275" s="1" t="s">
        <v>1875</v>
      </c>
      <c r="N5275" s="1" t="s">
        <v>1872</v>
      </c>
      <c r="P5275" s="1" t="s">
        <v>689</v>
      </c>
      <c r="Q5275" s="3">
        <v>0</v>
      </c>
      <c r="R5275" s="22" t="s">
        <v>2723</v>
      </c>
      <c r="T5275" s="3" t="s">
        <v>4868</v>
      </c>
      <c r="U5275" s="45">
        <v>35</v>
      </c>
      <c r="V5275" t="s">
        <v>8191</v>
      </c>
      <c r="W5275" s="1" t="str">
        <f>HYPERLINK("http://ictvonline.org/taxonomy/p/taxonomy-history?taxnode_id=201902079","ICTVonline=201902079")</f>
        <v>ICTVonline=201902079</v>
      </c>
    </row>
    <row r="5276" spans="1:23">
      <c r="A5276" s="3">
        <v>5275</v>
      </c>
      <c r="B5276" s="1" t="s">
        <v>5910</v>
      </c>
      <c r="D5276" s="1" t="s">
        <v>8187</v>
      </c>
      <c r="F5276" s="1" t="s">
        <v>8506</v>
      </c>
      <c r="H5276" s="1" t="s">
        <v>8512</v>
      </c>
      <c r="J5276" s="1" t="s">
        <v>1067</v>
      </c>
      <c r="L5276" s="1" t="s">
        <v>1986</v>
      </c>
      <c r="M5276" s="1" t="s">
        <v>1875</v>
      </c>
      <c r="N5276" s="1" t="s">
        <v>1872</v>
      </c>
      <c r="P5276" s="1" t="s">
        <v>1146</v>
      </c>
      <c r="Q5276" s="3">
        <v>0</v>
      </c>
      <c r="R5276" s="22" t="s">
        <v>2723</v>
      </c>
      <c r="T5276" s="3" t="s">
        <v>4868</v>
      </c>
      <c r="U5276" s="45">
        <v>35</v>
      </c>
      <c r="V5276" t="s">
        <v>8191</v>
      </c>
      <c r="W5276" s="1" t="str">
        <f>HYPERLINK("http://ictvonline.org/taxonomy/p/taxonomy-history?taxnode_id=201902080","ICTVonline=201902080")</f>
        <v>ICTVonline=201902080</v>
      </c>
    </row>
    <row r="5277" spans="1:23">
      <c r="A5277" s="3">
        <v>5276</v>
      </c>
      <c r="B5277" s="1" t="s">
        <v>5910</v>
      </c>
      <c r="D5277" s="1" t="s">
        <v>8187</v>
      </c>
      <c r="F5277" s="1" t="s">
        <v>8506</v>
      </c>
      <c r="H5277" s="1" t="s">
        <v>8512</v>
      </c>
      <c r="J5277" s="1" t="s">
        <v>1067</v>
      </c>
      <c r="L5277" s="1" t="s">
        <v>1986</v>
      </c>
      <c r="M5277" s="1" t="s">
        <v>1875</v>
      </c>
      <c r="N5277" s="1" t="s">
        <v>1872</v>
      </c>
      <c r="P5277" s="1" t="s">
        <v>1147</v>
      </c>
      <c r="Q5277" s="3">
        <v>0</v>
      </c>
      <c r="R5277" s="22" t="s">
        <v>2723</v>
      </c>
      <c r="T5277" s="3" t="s">
        <v>4868</v>
      </c>
      <c r="U5277" s="45">
        <v>35</v>
      </c>
      <c r="V5277" t="s">
        <v>8191</v>
      </c>
      <c r="W5277" s="1" t="str">
        <f>HYPERLINK("http://ictvonline.org/taxonomy/p/taxonomy-history?taxnode_id=201902081","ICTVonline=201902081")</f>
        <v>ICTVonline=201902081</v>
      </c>
    </row>
    <row r="5278" spans="1:23">
      <c r="A5278" s="3">
        <v>5277</v>
      </c>
      <c r="B5278" s="1" t="s">
        <v>5910</v>
      </c>
      <c r="D5278" s="1" t="s">
        <v>8187</v>
      </c>
      <c r="F5278" s="1" t="s">
        <v>8506</v>
      </c>
      <c r="H5278" s="1" t="s">
        <v>8512</v>
      </c>
      <c r="J5278" s="1" t="s">
        <v>1067</v>
      </c>
      <c r="L5278" s="1" t="s">
        <v>1986</v>
      </c>
      <c r="M5278" s="1" t="s">
        <v>1875</v>
      </c>
      <c r="N5278" s="1" t="s">
        <v>1872</v>
      </c>
      <c r="P5278" s="1" t="s">
        <v>1348</v>
      </c>
      <c r="Q5278" s="3">
        <v>0</v>
      </c>
      <c r="R5278" s="22" t="s">
        <v>2723</v>
      </c>
      <c r="T5278" s="3" t="s">
        <v>4868</v>
      </c>
      <c r="U5278" s="45">
        <v>35</v>
      </c>
      <c r="V5278" t="s">
        <v>8191</v>
      </c>
      <c r="W5278" s="1" t="str">
        <f>HYPERLINK("http://ictvonline.org/taxonomy/p/taxonomy-history?taxnode_id=201902082","ICTVonline=201902082")</f>
        <v>ICTVonline=201902082</v>
      </c>
    </row>
    <row r="5279" spans="1:23">
      <c r="A5279" s="3">
        <v>5278</v>
      </c>
      <c r="B5279" s="1" t="s">
        <v>5910</v>
      </c>
      <c r="D5279" s="1" t="s">
        <v>8187</v>
      </c>
      <c r="F5279" s="1" t="s">
        <v>8506</v>
      </c>
      <c r="H5279" s="1" t="s">
        <v>8512</v>
      </c>
      <c r="J5279" s="1" t="s">
        <v>1067</v>
      </c>
      <c r="L5279" s="1" t="s">
        <v>1986</v>
      </c>
      <c r="M5279" s="1" t="s">
        <v>1875</v>
      </c>
      <c r="N5279" s="1" t="s">
        <v>1872</v>
      </c>
      <c r="P5279" s="1" t="s">
        <v>904</v>
      </c>
      <c r="Q5279" s="3">
        <v>0</v>
      </c>
      <c r="R5279" s="22" t="s">
        <v>2723</v>
      </c>
      <c r="T5279" s="3" t="s">
        <v>4868</v>
      </c>
      <c r="U5279" s="45">
        <v>35</v>
      </c>
      <c r="V5279" t="s">
        <v>8191</v>
      </c>
      <c r="W5279" s="1" t="str">
        <f>HYPERLINK("http://ictvonline.org/taxonomy/p/taxonomy-history?taxnode_id=201902083","ICTVonline=201902083")</f>
        <v>ICTVonline=201902083</v>
      </c>
    </row>
    <row r="5280" spans="1:23">
      <c r="A5280" s="3">
        <v>5279</v>
      </c>
      <c r="B5280" s="1" t="s">
        <v>5910</v>
      </c>
      <c r="D5280" s="1" t="s">
        <v>8187</v>
      </c>
      <c r="F5280" s="1" t="s">
        <v>8506</v>
      </c>
      <c r="H5280" s="1" t="s">
        <v>8512</v>
      </c>
      <c r="J5280" s="1" t="s">
        <v>1067</v>
      </c>
      <c r="L5280" s="1" t="s">
        <v>1986</v>
      </c>
      <c r="M5280" s="1" t="s">
        <v>1875</v>
      </c>
      <c r="N5280" s="1" t="s">
        <v>1872</v>
      </c>
      <c r="P5280" s="1" t="s">
        <v>905</v>
      </c>
      <c r="Q5280" s="3">
        <v>0</v>
      </c>
      <c r="R5280" s="22" t="s">
        <v>2723</v>
      </c>
      <c r="T5280" s="3" t="s">
        <v>4868</v>
      </c>
      <c r="U5280" s="45">
        <v>35</v>
      </c>
      <c r="V5280" t="s">
        <v>8191</v>
      </c>
      <c r="W5280" s="1" t="str">
        <f>HYPERLINK("http://ictvonline.org/taxonomy/p/taxonomy-history?taxnode_id=201902084","ICTVonline=201902084")</f>
        <v>ICTVonline=201902084</v>
      </c>
    </row>
    <row r="5281" spans="1:23">
      <c r="A5281" s="3">
        <v>5280</v>
      </c>
      <c r="B5281" s="1" t="s">
        <v>5910</v>
      </c>
      <c r="D5281" s="1" t="s">
        <v>8187</v>
      </c>
      <c r="F5281" s="1" t="s">
        <v>8506</v>
      </c>
      <c r="H5281" s="1" t="s">
        <v>8512</v>
      </c>
      <c r="J5281" s="1" t="s">
        <v>1067</v>
      </c>
      <c r="L5281" s="1" t="s">
        <v>1986</v>
      </c>
      <c r="M5281" s="1" t="s">
        <v>1875</v>
      </c>
      <c r="N5281" s="1" t="s">
        <v>1872</v>
      </c>
      <c r="P5281" s="1" t="s">
        <v>1350</v>
      </c>
      <c r="Q5281" s="3">
        <v>0</v>
      </c>
      <c r="R5281" s="22" t="s">
        <v>2723</v>
      </c>
      <c r="T5281" s="3" t="s">
        <v>4868</v>
      </c>
      <c r="U5281" s="45">
        <v>35</v>
      </c>
      <c r="V5281" t="s">
        <v>8191</v>
      </c>
      <c r="W5281" s="1" t="str">
        <f>HYPERLINK("http://ictvonline.org/taxonomy/p/taxonomy-history?taxnode_id=201902085","ICTVonline=201902085")</f>
        <v>ICTVonline=201902085</v>
      </c>
    </row>
    <row r="5282" spans="1:23">
      <c r="A5282" s="3">
        <v>5281</v>
      </c>
      <c r="B5282" s="1" t="s">
        <v>5910</v>
      </c>
      <c r="D5282" s="1" t="s">
        <v>8187</v>
      </c>
      <c r="F5282" s="1" t="s">
        <v>8506</v>
      </c>
      <c r="H5282" s="1" t="s">
        <v>8512</v>
      </c>
      <c r="J5282" s="1" t="s">
        <v>1067</v>
      </c>
      <c r="L5282" s="1" t="s">
        <v>1986</v>
      </c>
      <c r="M5282" s="1" t="s">
        <v>1875</v>
      </c>
      <c r="N5282" s="1" t="s">
        <v>1872</v>
      </c>
      <c r="P5282" s="1" t="s">
        <v>571</v>
      </c>
      <c r="Q5282" s="3">
        <v>0</v>
      </c>
      <c r="R5282" s="22" t="s">
        <v>2723</v>
      </c>
      <c r="T5282" s="3" t="s">
        <v>4868</v>
      </c>
      <c r="U5282" s="45">
        <v>35</v>
      </c>
      <c r="V5282" t="s">
        <v>8191</v>
      </c>
      <c r="W5282" s="1" t="str">
        <f>HYPERLINK("http://ictvonline.org/taxonomy/p/taxonomy-history?taxnode_id=201902086","ICTVonline=201902086")</f>
        <v>ICTVonline=201902086</v>
      </c>
    </row>
    <row r="5283" spans="1:23">
      <c r="A5283" s="3">
        <v>5282</v>
      </c>
      <c r="B5283" s="1" t="s">
        <v>5910</v>
      </c>
      <c r="D5283" s="1" t="s">
        <v>8187</v>
      </c>
      <c r="F5283" s="1" t="s">
        <v>8506</v>
      </c>
      <c r="H5283" s="1" t="s">
        <v>8512</v>
      </c>
      <c r="J5283" s="1" t="s">
        <v>1067</v>
      </c>
      <c r="L5283" s="1" t="s">
        <v>1986</v>
      </c>
      <c r="M5283" s="1" t="s">
        <v>1875</v>
      </c>
      <c r="N5283" s="1" t="s">
        <v>1872</v>
      </c>
      <c r="P5283" s="1" t="s">
        <v>572</v>
      </c>
      <c r="Q5283" s="3">
        <v>0</v>
      </c>
      <c r="R5283" s="22" t="s">
        <v>2723</v>
      </c>
      <c r="T5283" s="3" t="s">
        <v>4868</v>
      </c>
      <c r="U5283" s="45">
        <v>35</v>
      </c>
      <c r="V5283" t="s">
        <v>8191</v>
      </c>
      <c r="W5283" s="1" t="str">
        <f>HYPERLINK("http://ictvonline.org/taxonomy/p/taxonomy-history?taxnode_id=201902087","ICTVonline=201902087")</f>
        <v>ICTVonline=201902087</v>
      </c>
    </row>
    <row r="5284" spans="1:23">
      <c r="A5284" s="3">
        <v>5283</v>
      </c>
      <c r="B5284" s="1" t="s">
        <v>5910</v>
      </c>
      <c r="D5284" s="1" t="s">
        <v>8187</v>
      </c>
      <c r="F5284" s="1" t="s">
        <v>8506</v>
      </c>
      <c r="H5284" s="1" t="s">
        <v>8512</v>
      </c>
      <c r="J5284" s="1" t="s">
        <v>1067</v>
      </c>
      <c r="L5284" s="1" t="s">
        <v>1986</v>
      </c>
      <c r="M5284" s="1" t="s">
        <v>1875</v>
      </c>
      <c r="N5284" s="1" t="s">
        <v>1873</v>
      </c>
      <c r="P5284" s="1" t="s">
        <v>573</v>
      </c>
      <c r="Q5284" s="3">
        <v>1</v>
      </c>
      <c r="R5284" s="22" t="s">
        <v>2723</v>
      </c>
      <c r="T5284" s="3" t="s">
        <v>4868</v>
      </c>
      <c r="U5284" s="45">
        <v>35</v>
      </c>
      <c r="V5284" t="s">
        <v>8191</v>
      </c>
      <c r="W5284" s="1" t="str">
        <f>HYPERLINK("http://ictvonline.org/taxonomy/p/taxonomy-history?taxnode_id=201902089","ICTVonline=201902089")</f>
        <v>ICTVonline=201902089</v>
      </c>
    </row>
    <row r="5285" spans="1:23">
      <c r="A5285" s="3">
        <v>5284</v>
      </c>
      <c r="B5285" s="1" t="s">
        <v>5910</v>
      </c>
      <c r="D5285" s="1" t="s">
        <v>8187</v>
      </c>
      <c r="F5285" s="1" t="s">
        <v>8506</v>
      </c>
      <c r="H5285" s="1" t="s">
        <v>8512</v>
      </c>
      <c r="J5285" s="1" t="s">
        <v>1067</v>
      </c>
      <c r="L5285" s="1" t="s">
        <v>1986</v>
      </c>
      <c r="M5285" s="1" t="s">
        <v>1875</v>
      </c>
      <c r="N5285" s="1" t="s">
        <v>1873</v>
      </c>
      <c r="P5285" s="1" t="s">
        <v>574</v>
      </c>
      <c r="Q5285" s="3">
        <v>0</v>
      </c>
      <c r="R5285" s="22" t="s">
        <v>2723</v>
      </c>
      <c r="T5285" s="3" t="s">
        <v>4868</v>
      </c>
      <c r="U5285" s="45">
        <v>35</v>
      </c>
      <c r="V5285" t="s">
        <v>8191</v>
      </c>
      <c r="W5285" s="1" t="str">
        <f>HYPERLINK("http://ictvonline.org/taxonomy/p/taxonomy-history?taxnode_id=201902090","ICTVonline=201902090")</f>
        <v>ICTVonline=201902090</v>
      </c>
    </row>
    <row r="5286" spans="1:23">
      <c r="A5286" s="3">
        <v>5285</v>
      </c>
      <c r="B5286" s="1" t="s">
        <v>5910</v>
      </c>
      <c r="D5286" s="1" t="s">
        <v>8187</v>
      </c>
      <c r="F5286" s="1" t="s">
        <v>8506</v>
      </c>
      <c r="H5286" s="1" t="s">
        <v>8512</v>
      </c>
      <c r="J5286" s="1" t="s">
        <v>1067</v>
      </c>
      <c r="L5286" s="1" t="s">
        <v>1986</v>
      </c>
      <c r="M5286" s="1" t="s">
        <v>1875</v>
      </c>
      <c r="N5286" s="1" t="s">
        <v>1873</v>
      </c>
      <c r="P5286" s="1" t="s">
        <v>2181</v>
      </c>
      <c r="Q5286" s="3">
        <v>0</v>
      </c>
      <c r="R5286" s="22" t="s">
        <v>2723</v>
      </c>
      <c r="T5286" s="3" t="s">
        <v>4868</v>
      </c>
      <c r="U5286" s="45">
        <v>35</v>
      </c>
      <c r="V5286" t="s">
        <v>8191</v>
      </c>
      <c r="W5286" s="1" t="str">
        <f>HYPERLINK("http://ictvonline.org/taxonomy/p/taxonomy-history?taxnode_id=201902091","ICTVonline=201902091")</f>
        <v>ICTVonline=201902091</v>
      </c>
    </row>
    <row r="5287" spans="1:23">
      <c r="A5287" s="3">
        <v>5286</v>
      </c>
      <c r="B5287" s="1" t="s">
        <v>5910</v>
      </c>
      <c r="D5287" s="1" t="s">
        <v>8187</v>
      </c>
      <c r="F5287" s="1" t="s">
        <v>8506</v>
      </c>
      <c r="H5287" s="1" t="s">
        <v>8512</v>
      </c>
      <c r="J5287" s="1" t="s">
        <v>1067</v>
      </c>
      <c r="L5287" s="1" t="s">
        <v>1986</v>
      </c>
      <c r="M5287" s="1" t="s">
        <v>1875</v>
      </c>
      <c r="N5287" s="1" t="s">
        <v>1873</v>
      </c>
      <c r="P5287" s="1" t="s">
        <v>575</v>
      </c>
      <c r="Q5287" s="3">
        <v>0</v>
      </c>
      <c r="R5287" s="22" t="s">
        <v>2723</v>
      </c>
      <c r="T5287" s="3" t="s">
        <v>4868</v>
      </c>
      <c r="U5287" s="45">
        <v>35</v>
      </c>
      <c r="V5287" t="s">
        <v>8191</v>
      </c>
      <c r="W5287" s="1" t="str">
        <f>HYPERLINK("http://ictvonline.org/taxonomy/p/taxonomy-history?taxnode_id=201902092","ICTVonline=201902092")</f>
        <v>ICTVonline=201902092</v>
      </c>
    </row>
    <row r="5288" spans="1:23">
      <c r="A5288" s="3">
        <v>5287</v>
      </c>
      <c r="B5288" s="1" t="s">
        <v>5910</v>
      </c>
      <c r="D5288" s="1" t="s">
        <v>8187</v>
      </c>
      <c r="F5288" s="1" t="s">
        <v>8506</v>
      </c>
      <c r="H5288" s="1" t="s">
        <v>8512</v>
      </c>
      <c r="J5288" s="1" t="s">
        <v>1067</v>
      </c>
      <c r="L5288" s="1" t="s">
        <v>1986</v>
      </c>
      <c r="M5288" s="1" t="s">
        <v>1875</v>
      </c>
      <c r="N5288" s="1" t="s">
        <v>1873</v>
      </c>
      <c r="P5288" s="1" t="s">
        <v>5133</v>
      </c>
      <c r="Q5288" s="3">
        <v>0</v>
      </c>
      <c r="R5288" s="22" t="s">
        <v>2723</v>
      </c>
      <c r="T5288" s="3" t="s">
        <v>4868</v>
      </c>
      <c r="U5288" s="45">
        <v>35</v>
      </c>
      <c r="V5288" t="s">
        <v>8191</v>
      </c>
      <c r="W5288" s="1" t="str">
        <f>HYPERLINK("http://ictvonline.org/taxonomy/p/taxonomy-history?taxnode_id=201905626","ICTVonline=201905626")</f>
        <v>ICTVonline=201905626</v>
      </c>
    </row>
    <row r="5289" spans="1:23">
      <c r="A5289" s="3">
        <v>5288</v>
      </c>
      <c r="B5289" s="1" t="s">
        <v>5910</v>
      </c>
      <c r="D5289" s="1" t="s">
        <v>8187</v>
      </c>
      <c r="F5289" s="1" t="s">
        <v>8506</v>
      </c>
      <c r="H5289" s="1" t="s">
        <v>8512</v>
      </c>
      <c r="J5289" s="1" t="s">
        <v>1067</v>
      </c>
      <c r="L5289" s="1" t="s">
        <v>1986</v>
      </c>
      <c r="M5289" s="1" t="s">
        <v>1875</v>
      </c>
      <c r="N5289" s="1" t="s">
        <v>1873</v>
      </c>
      <c r="P5289" s="1" t="s">
        <v>910</v>
      </c>
      <c r="Q5289" s="3">
        <v>0</v>
      </c>
      <c r="R5289" s="22" t="s">
        <v>2723</v>
      </c>
      <c r="T5289" s="3" t="s">
        <v>4868</v>
      </c>
      <c r="U5289" s="45">
        <v>35</v>
      </c>
      <c r="V5289" t="s">
        <v>8191</v>
      </c>
      <c r="W5289" s="1" t="str">
        <f>HYPERLINK("http://ictvonline.org/taxonomy/p/taxonomy-history?taxnode_id=201902093","ICTVonline=201902093")</f>
        <v>ICTVonline=201902093</v>
      </c>
    </row>
    <row r="5290" spans="1:23">
      <c r="A5290" s="3">
        <v>5289</v>
      </c>
      <c r="B5290" s="1" t="s">
        <v>5910</v>
      </c>
      <c r="D5290" s="1" t="s">
        <v>8187</v>
      </c>
      <c r="F5290" s="1" t="s">
        <v>8506</v>
      </c>
      <c r="H5290" s="1" t="s">
        <v>8512</v>
      </c>
      <c r="J5290" s="1" t="s">
        <v>1067</v>
      </c>
      <c r="L5290" s="1" t="s">
        <v>1986</v>
      </c>
      <c r="M5290" s="1" t="s">
        <v>1875</v>
      </c>
      <c r="N5290" s="1" t="s">
        <v>1873</v>
      </c>
      <c r="P5290" s="1" t="s">
        <v>5134</v>
      </c>
      <c r="Q5290" s="3">
        <v>0</v>
      </c>
      <c r="R5290" s="22" t="s">
        <v>2723</v>
      </c>
      <c r="T5290" s="3" t="s">
        <v>4868</v>
      </c>
      <c r="U5290" s="45">
        <v>35</v>
      </c>
      <c r="V5290" t="s">
        <v>8191</v>
      </c>
      <c r="W5290" s="1" t="str">
        <f>HYPERLINK("http://ictvonline.org/taxonomy/p/taxonomy-history?taxnode_id=201905627","ICTVonline=201905627")</f>
        <v>ICTVonline=201905627</v>
      </c>
    </row>
    <row r="5291" spans="1:23">
      <c r="A5291" s="3">
        <v>5290</v>
      </c>
      <c r="B5291" s="1" t="s">
        <v>5910</v>
      </c>
      <c r="D5291" s="1" t="s">
        <v>8187</v>
      </c>
      <c r="F5291" s="1" t="s">
        <v>8506</v>
      </c>
      <c r="H5291" s="1" t="s">
        <v>8512</v>
      </c>
      <c r="J5291" s="1" t="s">
        <v>1067</v>
      </c>
      <c r="L5291" s="1" t="s">
        <v>1986</v>
      </c>
      <c r="M5291" s="1" t="s">
        <v>1875</v>
      </c>
      <c r="N5291" s="1" t="s">
        <v>1874</v>
      </c>
      <c r="P5291" s="1" t="s">
        <v>3604</v>
      </c>
      <c r="Q5291" s="3">
        <v>0</v>
      </c>
      <c r="R5291" s="22" t="s">
        <v>2723</v>
      </c>
      <c r="T5291" s="3" t="s">
        <v>4868</v>
      </c>
      <c r="U5291" s="45">
        <v>35</v>
      </c>
      <c r="V5291" t="s">
        <v>8191</v>
      </c>
      <c r="W5291" s="1" t="str">
        <f>HYPERLINK("http://ictvonline.org/taxonomy/p/taxonomy-history?taxnode_id=201902095","ICTVonline=201902095")</f>
        <v>ICTVonline=201902095</v>
      </c>
    </row>
    <row r="5292" spans="1:23">
      <c r="A5292" s="3">
        <v>5291</v>
      </c>
      <c r="B5292" s="1" t="s">
        <v>5910</v>
      </c>
      <c r="D5292" s="1" t="s">
        <v>8187</v>
      </c>
      <c r="F5292" s="1" t="s">
        <v>8506</v>
      </c>
      <c r="H5292" s="1" t="s">
        <v>8512</v>
      </c>
      <c r="J5292" s="1" t="s">
        <v>1067</v>
      </c>
      <c r="L5292" s="1" t="s">
        <v>1986</v>
      </c>
      <c r="M5292" s="1" t="s">
        <v>1875</v>
      </c>
      <c r="N5292" s="1" t="s">
        <v>1874</v>
      </c>
      <c r="P5292" s="1" t="s">
        <v>911</v>
      </c>
      <c r="Q5292" s="3">
        <v>0</v>
      </c>
      <c r="R5292" s="22" t="s">
        <v>2723</v>
      </c>
      <c r="T5292" s="3" t="s">
        <v>4868</v>
      </c>
      <c r="U5292" s="45">
        <v>35</v>
      </c>
      <c r="V5292" t="s">
        <v>8191</v>
      </c>
      <c r="W5292" s="1" t="str">
        <f>HYPERLINK("http://ictvonline.org/taxonomy/p/taxonomy-history?taxnode_id=201902096","ICTVonline=201902096")</f>
        <v>ICTVonline=201902096</v>
      </c>
    </row>
    <row r="5293" spans="1:23">
      <c r="A5293" s="3">
        <v>5292</v>
      </c>
      <c r="B5293" s="1" t="s">
        <v>5910</v>
      </c>
      <c r="D5293" s="1" t="s">
        <v>8187</v>
      </c>
      <c r="F5293" s="1" t="s">
        <v>8506</v>
      </c>
      <c r="H5293" s="1" t="s">
        <v>8512</v>
      </c>
      <c r="J5293" s="1" t="s">
        <v>1067</v>
      </c>
      <c r="L5293" s="1" t="s">
        <v>1986</v>
      </c>
      <c r="M5293" s="1" t="s">
        <v>1875</v>
      </c>
      <c r="N5293" s="1" t="s">
        <v>1874</v>
      </c>
      <c r="P5293" s="1" t="s">
        <v>912</v>
      </c>
      <c r="Q5293" s="3">
        <v>0</v>
      </c>
      <c r="R5293" s="22" t="s">
        <v>2723</v>
      </c>
      <c r="T5293" s="3" t="s">
        <v>4868</v>
      </c>
      <c r="U5293" s="45">
        <v>35</v>
      </c>
      <c r="V5293" t="s">
        <v>8191</v>
      </c>
      <c r="W5293" s="1" t="str">
        <f>HYPERLINK("http://ictvonline.org/taxonomy/p/taxonomy-history?taxnode_id=201902097","ICTVonline=201902097")</f>
        <v>ICTVonline=201902097</v>
      </c>
    </row>
    <row r="5294" spans="1:23">
      <c r="A5294" s="3">
        <v>5293</v>
      </c>
      <c r="B5294" s="1" t="s">
        <v>5910</v>
      </c>
      <c r="D5294" s="1" t="s">
        <v>8187</v>
      </c>
      <c r="F5294" s="1" t="s">
        <v>8506</v>
      </c>
      <c r="H5294" s="1" t="s">
        <v>8512</v>
      </c>
      <c r="J5294" s="1" t="s">
        <v>1067</v>
      </c>
      <c r="L5294" s="1" t="s">
        <v>1986</v>
      </c>
      <c r="M5294" s="1" t="s">
        <v>1875</v>
      </c>
      <c r="N5294" s="1" t="s">
        <v>1874</v>
      </c>
      <c r="P5294" s="1" t="s">
        <v>913</v>
      </c>
      <c r="Q5294" s="3">
        <v>0</v>
      </c>
      <c r="R5294" s="22" t="s">
        <v>2723</v>
      </c>
      <c r="T5294" s="3" t="s">
        <v>4868</v>
      </c>
      <c r="U5294" s="45">
        <v>35</v>
      </c>
      <c r="V5294" t="s">
        <v>8191</v>
      </c>
      <c r="W5294" s="1" t="str">
        <f>HYPERLINK("http://ictvonline.org/taxonomy/p/taxonomy-history?taxnode_id=201902098","ICTVonline=201902098")</f>
        <v>ICTVonline=201902098</v>
      </c>
    </row>
    <row r="5295" spans="1:23">
      <c r="A5295" s="3">
        <v>5294</v>
      </c>
      <c r="B5295" s="1" t="s">
        <v>5910</v>
      </c>
      <c r="D5295" s="1" t="s">
        <v>8187</v>
      </c>
      <c r="F5295" s="1" t="s">
        <v>8506</v>
      </c>
      <c r="H5295" s="1" t="s">
        <v>8512</v>
      </c>
      <c r="J5295" s="1" t="s">
        <v>1067</v>
      </c>
      <c r="L5295" s="1" t="s">
        <v>1986</v>
      </c>
      <c r="M5295" s="1" t="s">
        <v>1875</v>
      </c>
      <c r="N5295" s="1" t="s">
        <v>1874</v>
      </c>
      <c r="P5295" s="1" t="s">
        <v>577</v>
      </c>
      <c r="Q5295" s="3">
        <v>0</v>
      </c>
      <c r="R5295" s="22" t="s">
        <v>2723</v>
      </c>
      <c r="T5295" s="3" t="s">
        <v>4868</v>
      </c>
      <c r="U5295" s="45">
        <v>35</v>
      </c>
      <c r="V5295" t="s">
        <v>8191</v>
      </c>
      <c r="W5295" s="1" t="str">
        <f>HYPERLINK("http://ictvonline.org/taxonomy/p/taxonomy-history?taxnode_id=201902099","ICTVonline=201902099")</f>
        <v>ICTVonline=201902099</v>
      </c>
    </row>
    <row r="5296" spans="1:23">
      <c r="A5296" s="3">
        <v>5295</v>
      </c>
      <c r="B5296" s="1" t="s">
        <v>5910</v>
      </c>
      <c r="D5296" s="1" t="s">
        <v>8187</v>
      </c>
      <c r="F5296" s="1" t="s">
        <v>8506</v>
      </c>
      <c r="H5296" s="1" t="s">
        <v>8512</v>
      </c>
      <c r="J5296" s="1" t="s">
        <v>1067</v>
      </c>
      <c r="L5296" s="1" t="s">
        <v>1986</v>
      </c>
      <c r="M5296" s="1" t="s">
        <v>1875</v>
      </c>
      <c r="N5296" s="1" t="s">
        <v>1874</v>
      </c>
      <c r="P5296" s="1" t="s">
        <v>578</v>
      </c>
      <c r="Q5296" s="3">
        <v>0</v>
      </c>
      <c r="R5296" s="22" t="s">
        <v>2723</v>
      </c>
      <c r="T5296" s="3" t="s">
        <v>4868</v>
      </c>
      <c r="U5296" s="45">
        <v>35</v>
      </c>
      <c r="V5296" t="s">
        <v>8191</v>
      </c>
      <c r="W5296" s="1" t="str">
        <f>HYPERLINK("http://ictvonline.org/taxonomy/p/taxonomy-history?taxnode_id=201902100","ICTVonline=201902100")</f>
        <v>ICTVonline=201902100</v>
      </c>
    </row>
    <row r="5297" spans="1:23">
      <c r="A5297" s="3">
        <v>5296</v>
      </c>
      <c r="B5297" s="1" t="s">
        <v>5910</v>
      </c>
      <c r="D5297" s="1" t="s">
        <v>8187</v>
      </c>
      <c r="F5297" s="1" t="s">
        <v>8506</v>
      </c>
      <c r="H5297" s="1" t="s">
        <v>8512</v>
      </c>
      <c r="J5297" s="1" t="s">
        <v>1067</v>
      </c>
      <c r="L5297" s="1" t="s">
        <v>1986</v>
      </c>
      <c r="M5297" s="1" t="s">
        <v>1875</v>
      </c>
      <c r="N5297" s="1" t="s">
        <v>1874</v>
      </c>
      <c r="P5297" s="1" t="s">
        <v>579</v>
      </c>
      <c r="Q5297" s="3">
        <v>0</v>
      </c>
      <c r="R5297" s="22" t="s">
        <v>2723</v>
      </c>
      <c r="T5297" s="3" t="s">
        <v>4868</v>
      </c>
      <c r="U5297" s="45">
        <v>35</v>
      </c>
      <c r="V5297" t="s">
        <v>8191</v>
      </c>
      <c r="W5297" s="1" t="str">
        <f>HYPERLINK("http://ictvonline.org/taxonomy/p/taxonomy-history?taxnode_id=201902101","ICTVonline=201902101")</f>
        <v>ICTVonline=201902101</v>
      </c>
    </row>
    <row r="5298" spans="1:23">
      <c r="A5298" s="3">
        <v>5297</v>
      </c>
      <c r="B5298" s="1" t="s">
        <v>5910</v>
      </c>
      <c r="D5298" s="1" t="s">
        <v>8187</v>
      </c>
      <c r="F5298" s="1" t="s">
        <v>8506</v>
      </c>
      <c r="H5298" s="1" t="s">
        <v>8512</v>
      </c>
      <c r="J5298" s="1" t="s">
        <v>1067</v>
      </c>
      <c r="L5298" s="1" t="s">
        <v>1986</v>
      </c>
      <c r="M5298" s="1" t="s">
        <v>1875</v>
      </c>
      <c r="N5298" s="1" t="s">
        <v>1874</v>
      </c>
      <c r="P5298" s="1" t="s">
        <v>580</v>
      </c>
      <c r="Q5298" s="3">
        <v>0</v>
      </c>
      <c r="R5298" s="22" t="s">
        <v>2723</v>
      </c>
      <c r="T5298" s="3" t="s">
        <v>4868</v>
      </c>
      <c r="U5298" s="45">
        <v>35</v>
      </c>
      <c r="V5298" t="s">
        <v>8191</v>
      </c>
      <c r="W5298" s="1" t="str">
        <f>HYPERLINK("http://ictvonline.org/taxonomy/p/taxonomy-history?taxnode_id=201902102","ICTVonline=201902102")</f>
        <v>ICTVonline=201902102</v>
      </c>
    </row>
    <row r="5299" spans="1:23">
      <c r="A5299" s="3">
        <v>5298</v>
      </c>
      <c r="B5299" s="1" t="s">
        <v>5910</v>
      </c>
      <c r="D5299" s="1" t="s">
        <v>8187</v>
      </c>
      <c r="F5299" s="1" t="s">
        <v>8506</v>
      </c>
      <c r="H5299" s="1" t="s">
        <v>8512</v>
      </c>
      <c r="J5299" s="1" t="s">
        <v>1067</v>
      </c>
      <c r="L5299" s="1" t="s">
        <v>1986</v>
      </c>
      <c r="M5299" s="1" t="s">
        <v>1875</v>
      </c>
      <c r="N5299" s="1" t="s">
        <v>1874</v>
      </c>
      <c r="P5299" s="1" t="s">
        <v>581</v>
      </c>
      <c r="Q5299" s="3">
        <v>0</v>
      </c>
      <c r="R5299" s="22" t="s">
        <v>2723</v>
      </c>
      <c r="T5299" s="3" t="s">
        <v>4868</v>
      </c>
      <c r="U5299" s="45">
        <v>35</v>
      </c>
      <c r="V5299" t="s">
        <v>8191</v>
      </c>
      <c r="W5299" s="1" t="str">
        <f>HYPERLINK("http://ictvonline.org/taxonomy/p/taxonomy-history?taxnode_id=201902103","ICTVonline=201902103")</f>
        <v>ICTVonline=201902103</v>
      </c>
    </row>
    <row r="5300" spans="1:23">
      <c r="A5300" s="3">
        <v>5299</v>
      </c>
      <c r="B5300" s="1" t="s">
        <v>5910</v>
      </c>
      <c r="D5300" s="1" t="s">
        <v>8187</v>
      </c>
      <c r="F5300" s="1" t="s">
        <v>8506</v>
      </c>
      <c r="H5300" s="1" t="s">
        <v>8512</v>
      </c>
      <c r="J5300" s="1" t="s">
        <v>1067</v>
      </c>
      <c r="L5300" s="1" t="s">
        <v>1986</v>
      </c>
      <c r="M5300" s="1" t="s">
        <v>1875</v>
      </c>
      <c r="N5300" s="1" t="s">
        <v>1874</v>
      </c>
      <c r="P5300" s="1" t="s">
        <v>2182</v>
      </c>
      <c r="Q5300" s="3">
        <v>0</v>
      </c>
      <c r="R5300" s="22" t="s">
        <v>2723</v>
      </c>
      <c r="T5300" s="3" t="s">
        <v>4868</v>
      </c>
      <c r="U5300" s="45">
        <v>35</v>
      </c>
      <c r="V5300" t="s">
        <v>8191</v>
      </c>
      <c r="W5300" s="1" t="str">
        <f>HYPERLINK("http://ictvonline.org/taxonomy/p/taxonomy-history?taxnode_id=201902104","ICTVonline=201902104")</f>
        <v>ICTVonline=201902104</v>
      </c>
    </row>
    <row r="5301" spans="1:23">
      <c r="A5301" s="3">
        <v>5300</v>
      </c>
      <c r="B5301" s="1" t="s">
        <v>5910</v>
      </c>
      <c r="D5301" s="1" t="s">
        <v>8187</v>
      </c>
      <c r="F5301" s="1" t="s">
        <v>8506</v>
      </c>
      <c r="H5301" s="1" t="s">
        <v>8512</v>
      </c>
      <c r="J5301" s="1" t="s">
        <v>1067</v>
      </c>
      <c r="L5301" s="1" t="s">
        <v>1986</v>
      </c>
      <c r="M5301" s="1" t="s">
        <v>1875</v>
      </c>
      <c r="N5301" s="1" t="s">
        <v>1874</v>
      </c>
      <c r="P5301" s="1" t="s">
        <v>582</v>
      </c>
      <c r="Q5301" s="3">
        <v>0</v>
      </c>
      <c r="R5301" s="22" t="s">
        <v>2723</v>
      </c>
      <c r="T5301" s="3" t="s">
        <v>4868</v>
      </c>
      <c r="U5301" s="45">
        <v>35</v>
      </c>
      <c r="V5301" t="s">
        <v>8191</v>
      </c>
      <c r="W5301" s="1" t="str">
        <f>HYPERLINK("http://ictvonline.org/taxonomy/p/taxonomy-history?taxnode_id=201902105","ICTVonline=201902105")</f>
        <v>ICTVonline=201902105</v>
      </c>
    </row>
    <row r="5302" spans="1:23">
      <c r="A5302" s="3">
        <v>5301</v>
      </c>
      <c r="B5302" s="1" t="s">
        <v>5910</v>
      </c>
      <c r="D5302" s="1" t="s">
        <v>8187</v>
      </c>
      <c r="F5302" s="1" t="s">
        <v>8506</v>
      </c>
      <c r="H5302" s="1" t="s">
        <v>8512</v>
      </c>
      <c r="J5302" s="1" t="s">
        <v>1067</v>
      </c>
      <c r="L5302" s="1" t="s">
        <v>1986</v>
      </c>
      <c r="M5302" s="1" t="s">
        <v>1875</v>
      </c>
      <c r="N5302" s="1" t="s">
        <v>1874</v>
      </c>
      <c r="P5302" s="1" t="s">
        <v>583</v>
      </c>
      <c r="Q5302" s="3">
        <v>0</v>
      </c>
      <c r="R5302" s="22" t="s">
        <v>2723</v>
      </c>
      <c r="T5302" s="3" t="s">
        <v>4868</v>
      </c>
      <c r="U5302" s="45">
        <v>35</v>
      </c>
      <c r="V5302" t="s">
        <v>8191</v>
      </c>
      <c r="W5302" s="1" t="str">
        <f>HYPERLINK("http://ictvonline.org/taxonomy/p/taxonomy-history?taxnode_id=201902106","ICTVonline=201902106")</f>
        <v>ICTVonline=201902106</v>
      </c>
    </row>
    <row r="5303" spans="1:23">
      <c r="A5303" s="3">
        <v>5302</v>
      </c>
      <c r="B5303" s="1" t="s">
        <v>5910</v>
      </c>
      <c r="D5303" s="1" t="s">
        <v>8187</v>
      </c>
      <c r="F5303" s="1" t="s">
        <v>8506</v>
      </c>
      <c r="H5303" s="1" t="s">
        <v>8512</v>
      </c>
      <c r="J5303" s="1" t="s">
        <v>1067</v>
      </c>
      <c r="L5303" s="1" t="s">
        <v>1986</v>
      </c>
      <c r="M5303" s="1" t="s">
        <v>1875</v>
      </c>
      <c r="N5303" s="1" t="s">
        <v>1874</v>
      </c>
      <c r="P5303" s="1" t="s">
        <v>584</v>
      </c>
      <c r="Q5303" s="3">
        <v>0</v>
      </c>
      <c r="R5303" s="22" t="s">
        <v>2723</v>
      </c>
      <c r="T5303" s="3" t="s">
        <v>4868</v>
      </c>
      <c r="U5303" s="45">
        <v>35</v>
      </c>
      <c r="V5303" t="s">
        <v>8191</v>
      </c>
      <c r="W5303" s="1" t="str">
        <f>HYPERLINK("http://ictvonline.org/taxonomy/p/taxonomy-history?taxnode_id=201902107","ICTVonline=201902107")</f>
        <v>ICTVonline=201902107</v>
      </c>
    </row>
    <row r="5304" spans="1:23">
      <c r="A5304" s="3">
        <v>5303</v>
      </c>
      <c r="B5304" s="1" t="s">
        <v>5910</v>
      </c>
      <c r="D5304" s="1" t="s">
        <v>8187</v>
      </c>
      <c r="F5304" s="1" t="s">
        <v>8506</v>
      </c>
      <c r="H5304" s="1" t="s">
        <v>8512</v>
      </c>
      <c r="J5304" s="1" t="s">
        <v>1067</v>
      </c>
      <c r="L5304" s="1" t="s">
        <v>1986</v>
      </c>
      <c r="M5304" s="1" t="s">
        <v>1875</v>
      </c>
      <c r="N5304" s="1" t="s">
        <v>1874</v>
      </c>
      <c r="P5304" s="1" t="s">
        <v>1715</v>
      </c>
      <c r="Q5304" s="3">
        <v>0</v>
      </c>
      <c r="R5304" s="22" t="s">
        <v>2723</v>
      </c>
      <c r="T5304" s="3" t="s">
        <v>4868</v>
      </c>
      <c r="U5304" s="45">
        <v>35</v>
      </c>
      <c r="V5304" t="s">
        <v>8191</v>
      </c>
      <c r="W5304" s="1" t="str">
        <f>HYPERLINK("http://ictvonline.org/taxonomy/p/taxonomy-history?taxnode_id=201902108","ICTVonline=201902108")</f>
        <v>ICTVonline=201902108</v>
      </c>
    </row>
    <row r="5305" spans="1:23">
      <c r="A5305" s="3">
        <v>5304</v>
      </c>
      <c r="B5305" s="1" t="s">
        <v>5910</v>
      </c>
      <c r="D5305" s="1" t="s">
        <v>8187</v>
      </c>
      <c r="F5305" s="1" t="s">
        <v>8506</v>
      </c>
      <c r="H5305" s="1" t="s">
        <v>8512</v>
      </c>
      <c r="J5305" s="1" t="s">
        <v>1067</v>
      </c>
      <c r="L5305" s="1" t="s">
        <v>1986</v>
      </c>
      <c r="M5305" s="1" t="s">
        <v>1875</v>
      </c>
      <c r="N5305" s="1" t="s">
        <v>1874</v>
      </c>
      <c r="P5305" s="1" t="s">
        <v>1716</v>
      </c>
      <c r="Q5305" s="3">
        <v>0</v>
      </c>
      <c r="R5305" s="22" t="s">
        <v>2723</v>
      </c>
      <c r="T5305" s="3" t="s">
        <v>4868</v>
      </c>
      <c r="U5305" s="45">
        <v>35</v>
      </c>
      <c r="V5305" t="s">
        <v>8191</v>
      </c>
      <c r="W5305" s="1" t="str">
        <f>HYPERLINK("http://ictvonline.org/taxonomy/p/taxonomy-history?taxnode_id=201902109","ICTVonline=201902109")</f>
        <v>ICTVonline=201902109</v>
      </c>
    </row>
    <row r="5306" spans="1:23">
      <c r="A5306" s="3">
        <v>5305</v>
      </c>
      <c r="B5306" s="1" t="s">
        <v>5910</v>
      </c>
      <c r="D5306" s="1" t="s">
        <v>8187</v>
      </c>
      <c r="F5306" s="1" t="s">
        <v>8506</v>
      </c>
      <c r="H5306" s="1" t="s">
        <v>8512</v>
      </c>
      <c r="J5306" s="1" t="s">
        <v>1067</v>
      </c>
      <c r="L5306" s="1" t="s">
        <v>1986</v>
      </c>
      <c r="M5306" s="1" t="s">
        <v>1875</v>
      </c>
      <c r="N5306" s="1" t="s">
        <v>1874</v>
      </c>
      <c r="P5306" s="1" t="s">
        <v>1717</v>
      </c>
      <c r="Q5306" s="3">
        <v>0</v>
      </c>
      <c r="R5306" s="22" t="s">
        <v>2723</v>
      </c>
      <c r="T5306" s="3" t="s">
        <v>4868</v>
      </c>
      <c r="U5306" s="45">
        <v>35</v>
      </c>
      <c r="V5306" t="s">
        <v>8191</v>
      </c>
      <c r="W5306" s="1" t="str">
        <f>HYPERLINK("http://ictvonline.org/taxonomy/p/taxonomy-history?taxnode_id=201902110","ICTVonline=201902110")</f>
        <v>ICTVonline=201902110</v>
      </c>
    </row>
    <row r="5307" spans="1:23">
      <c r="A5307" s="3">
        <v>5306</v>
      </c>
      <c r="B5307" s="1" t="s">
        <v>5910</v>
      </c>
      <c r="D5307" s="1" t="s">
        <v>8187</v>
      </c>
      <c r="F5307" s="1" t="s">
        <v>8506</v>
      </c>
      <c r="H5307" s="1" t="s">
        <v>8512</v>
      </c>
      <c r="J5307" s="1" t="s">
        <v>1067</v>
      </c>
      <c r="L5307" s="1" t="s">
        <v>1986</v>
      </c>
      <c r="M5307" s="1" t="s">
        <v>1875</v>
      </c>
      <c r="N5307" s="1" t="s">
        <v>1874</v>
      </c>
      <c r="P5307" s="1" t="s">
        <v>1718</v>
      </c>
      <c r="Q5307" s="3">
        <v>0</v>
      </c>
      <c r="R5307" s="22" t="s">
        <v>2723</v>
      </c>
      <c r="T5307" s="3" t="s">
        <v>4868</v>
      </c>
      <c r="U5307" s="45">
        <v>35</v>
      </c>
      <c r="V5307" t="s">
        <v>8191</v>
      </c>
      <c r="W5307" s="1" t="str">
        <f>HYPERLINK("http://ictvonline.org/taxonomy/p/taxonomy-history?taxnode_id=201902111","ICTVonline=201902111")</f>
        <v>ICTVonline=201902111</v>
      </c>
    </row>
    <row r="5308" spans="1:23">
      <c r="A5308" s="3">
        <v>5307</v>
      </c>
      <c r="B5308" s="1" t="s">
        <v>5910</v>
      </c>
      <c r="D5308" s="1" t="s">
        <v>8187</v>
      </c>
      <c r="F5308" s="1" t="s">
        <v>8506</v>
      </c>
      <c r="H5308" s="1" t="s">
        <v>8512</v>
      </c>
      <c r="J5308" s="1" t="s">
        <v>1067</v>
      </c>
      <c r="L5308" s="1" t="s">
        <v>1986</v>
      </c>
      <c r="M5308" s="1" t="s">
        <v>1875</v>
      </c>
      <c r="N5308" s="1" t="s">
        <v>1874</v>
      </c>
      <c r="P5308" s="1" t="s">
        <v>1719</v>
      </c>
      <c r="Q5308" s="3">
        <v>0</v>
      </c>
      <c r="R5308" s="22" t="s">
        <v>2723</v>
      </c>
      <c r="T5308" s="3" t="s">
        <v>4868</v>
      </c>
      <c r="U5308" s="45">
        <v>35</v>
      </c>
      <c r="V5308" t="s">
        <v>8191</v>
      </c>
      <c r="W5308" s="1" t="str">
        <f>HYPERLINK("http://ictvonline.org/taxonomy/p/taxonomy-history?taxnode_id=201902112","ICTVonline=201902112")</f>
        <v>ICTVonline=201902112</v>
      </c>
    </row>
    <row r="5309" spans="1:23">
      <c r="A5309" s="3">
        <v>5308</v>
      </c>
      <c r="B5309" s="1" t="s">
        <v>5910</v>
      </c>
      <c r="D5309" s="1" t="s">
        <v>8187</v>
      </c>
      <c r="F5309" s="1" t="s">
        <v>8506</v>
      </c>
      <c r="H5309" s="1" t="s">
        <v>8512</v>
      </c>
      <c r="J5309" s="1" t="s">
        <v>1067</v>
      </c>
      <c r="L5309" s="1" t="s">
        <v>1986</v>
      </c>
      <c r="M5309" s="1" t="s">
        <v>1875</v>
      </c>
      <c r="N5309" s="1" t="s">
        <v>1874</v>
      </c>
      <c r="P5309" s="1" t="s">
        <v>1720</v>
      </c>
      <c r="Q5309" s="3">
        <v>0</v>
      </c>
      <c r="R5309" s="22" t="s">
        <v>2723</v>
      </c>
      <c r="T5309" s="3" t="s">
        <v>4868</v>
      </c>
      <c r="U5309" s="45">
        <v>35</v>
      </c>
      <c r="V5309" t="s">
        <v>8191</v>
      </c>
      <c r="W5309" s="1" t="str">
        <f>HYPERLINK("http://ictvonline.org/taxonomy/p/taxonomy-history?taxnode_id=201902113","ICTVonline=201902113")</f>
        <v>ICTVonline=201902113</v>
      </c>
    </row>
    <row r="5310" spans="1:23">
      <c r="A5310" s="3">
        <v>5309</v>
      </c>
      <c r="B5310" s="1" t="s">
        <v>5910</v>
      </c>
      <c r="D5310" s="1" t="s">
        <v>8187</v>
      </c>
      <c r="F5310" s="1" t="s">
        <v>8506</v>
      </c>
      <c r="H5310" s="1" t="s">
        <v>8512</v>
      </c>
      <c r="J5310" s="1" t="s">
        <v>1067</v>
      </c>
      <c r="L5310" s="1" t="s">
        <v>1986</v>
      </c>
      <c r="M5310" s="1" t="s">
        <v>1875</v>
      </c>
      <c r="N5310" s="1" t="s">
        <v>1874</v>
      </c>
      <c r="P5310" s="1" t="s">
        <v>1721</v>
      </c>
      <c r="Q5310" s="3">
        <v>0</v>
      </c>
      <c r="R5310" s="22" t="s">
        <v>2723</v>
      </c>
      <c r="T5310" s="3" t="s">
        <v>4868</v>
      </c>
      <c r="U5310" s="45">
        <v>35</v>
      </c>
      <c r="V5310" t="s">
        <v>8191</v>
      </c>
      <c r="W5310" s="1" t="str">
        <f>HYPERLINK("http://ictvonline.org/taxonomy/p/taxonomy-history?taxnode_id=201902114","ICTVonline=201902114")</f>
        <v>ICTVonline=201902114</v>
      </c>
    </row>
    <row r="5311" spans="1:23">
      <c r="A5311" s="3">
        <v>5310</v>
      </c>
      <c r="B5311" s="1" t="s">
        <v>5910</v>
      </c>
      <c r="D5311" s="1" t="s">
        <v>8187</v>
      </c>
      <c r="F5311" s="1" t="s">
        <v>8506</v>
      </c>
      <c r="H5311" s="1" t="s">
        <v>8512</v>
      </c>
      <c r="J5311" s="1" t="s">
        <v>1067</v>
      </c>
      <c r="L5311" s="1" t="s">
        <v>1986</v>
      </c>
      <c r="M5311" s="1" t="s">
        <v>1875</v>
      </c>
      <c r="N5311" s="1" t="s">
        <v>1874</v>
      </c>
      <c r="P5311" s="1" t="s">
        <v>1722</v>
      </c>
      <c r="Q5311" s="3">
        <v>0</v>
      </c>
      <c r="R5311" s="22" t="s">
        <v>2723</v>
      </c>
      <c r="T5311" s="3" t="s">
        <v>4868</v>
      </c>
      <c r="U5311" s="45">
        <v>35</v>
      </c>
      <c r="V5311" t="s">
        <v>8191</v>
      </c>
      <c r="W5311" s="1" t="str">
        <f>HYPERLINK("http://ictvonline.org/taxonomy/p/taxonomy-history?taxnode_id=201902115","ICTVonline=201902115")</f>
        <v>ICTVonline=201902115</v>
      </c>
    </row>
    <row r="5312" spans="1:23">
      <c r="A5312" s="3">
        <v>5311</v>
      </c>
      <c r="B5312" s="1" t="s">
        <v>5910</v>
      </c>
      <c r="D5312" s="1" t="s">
        <v>8187</v>
      </c>
      <c r="F5312" s="1" t="s">
        <v>8506</v>
      </c>
      <c r="H5312" s="1" t="s">
        <v>8512</v>
      </c>
      <c r="J5312" s="1" t="s">
        <v>1067</v>
      </c>
      <c r="L5312" s="1" t="s">
        <v>1986</v>
      </c>
      <c r="M5312" s="1" t="s">
        <v>1875</v>
      </c>
      <c r="N5312" s="1" t="s">
        <v>1874</v>
      </c>
      <c r="P5312" s="1" t="s">
        <v>1723</v>
      </c>
      <c r="Q5312" s="3">
        <v>0</v>
      </c>
      <c r="R5312" s="22" t="s">
        <v>2723</v>
      </c>
      <c r="T5312" s="3" t="s">
        <v>4868</v>
      </c>
      <c r="U5312" s="45">
        <v>35</v>
      </c>
      <c r="V5312" t="s">
        <v>8191</v>
      </c>
      <c r="W5312" s="1" t="str">
        <f>HYPERLINK("http://ictvonline.org/taxonomy/p/taxonomy-history?taxnode_id=201902116","ICTVonline=201902116")</f>
        <v>ICTVonline=201902116</v>
      </c>
    </row>
    <row r="5313" spans="1:23">
      <c r="A5313" s="3">
        <v>5312</v>
      </c>
      <c r="B5313" s="1" t="s">
        <v>5910</v>
      </c>
      <c r="D5313" s="1" t="s">
        <v>8187</v>
      </c>
      <c r="F5313" s="1" t="s">
        <v>8506</v>
      </c>
      <c r="H5313" s="1" t="s">
        <v>8512</v>
      </c>
      <c r="J5313" s="1" t="s">
        <v>1067</v>
      </c>
      <c r="L5313" s="1" t="s">
        <v>1986</v>
      </c>
      <c r="M5313" s="1" t="s">
        <v>1875</v>
      </c>
      <c r="N5313" s="1" t="s">
        <v>1874</v>
      </c>
      <c r="P5313" s="1" t="s">
        <v>1724</v>
      </c>
      <c r="Q5313" s="3">
        <v>0</v>
      </c>
      <c r="R5313" s="22" t="s">
        <v>2723</v>
      </c>
      <c r="T5313" s="3" t="s">
        <v>4868</v>
      </c>
      <c r="U5313" s="45">
        <v>35</v>
      </c>
      <c r="V5313" t="s">
        <v>8191</v>
      </c>
      <c r="W5313" s="1" t="str">
        <f>HYPERLINK("http://ictvonline.org/taxonomy/p/taxonomy-history?taxnode_id=201902117","ICTVonline=201902117")</f>
        <v>ICTVonline=201902117</v>
      </c>
    </row>
    <row r="5314" spans="1:23">
      <c r="A5314" s="3">
        <v>5313</v>
      </c>
      <c r="B5314" s="1" t="s">
        <v>5910</v>
      </c>
      <c r="D5314" s="1" t="s">
        <v>8187</v>
      </c>
      <c r="F5314" s="1" t="s">
        <v>8506</v>
      </c>
      <c r="H5314" s="1" t="s">
        <v>8512</v>
      </c>
      <c r="J5314" s="1" t="s">
        <v>1067</v>
      </c>
      <c r="L5314" s="1" t="s">
        <v>1986</v>
      </c>
      <c r="M5314" s="1" t="s">
        <v>1875</v>
      </c>
      <c r="N5314" s="1" t="s">
        <v>1874</v>
      </c>
      <c r="P5314" s="1" t="s">
        <v>1725</v>
      </c>
      <c r="Q5314" s="3">
        <v>0</v>
      </c>
      <c r="R5314" s="22" t="s">
        <v>2723</v>
      </c>
      <c r="T5314" s="3" t="s">
        <v>4868</v>
      </c>
      <c r="U5314" s="45">
        <v>35</v>
      </c>
      <c r="V5314" t="s">
        <v>8191</v>
      </c>
      <c r="W5314" s="1" t="str">
        <f>HYPERLINK("http://ictvonline.org/taxonomy/p/taxonomy-history?taxnode_id=201902118","ICTVonline=201902118")</f>
        <v>ICTVonline=201902118</v>
      </c>
    </row>
    <row r="5315" spans="1:23">
      <c r="A5315" s="3">
        <v>5314</v>
      </c>
      <c r="B5315" s="1" t="s">
        <v>5910</v>
      </c>
      <c r="D5315" s="1" t="s">
        <v>8187</v>
      </c>
      <c r="F5315" s="1" t="s">
        <v>8506</v>
      </c>
      <c r="H5315" s="1" t="s">
        <v>8512</v>
      </c>
      <c r="J5315" s="1" t="s">
        <v>1067</v>
      </c>
      <c r="L5315" s="1" t="s">
        <v>1986</v>
      </c>
      <c r="M5315" s="1" t="s">
        <v>1875</v>
      </c>
      <c r="N5315" s="1" t="s">
        <v>1874</v>
      </c>
      <c r="P5315" s="1" t="s">
        <v>1726</v>
      </c>
      <c r="Q5315" s="3">
        <v>0</v>
      </c>
      <c r="R5315" s="22" t="s">
        <v>2723</v>
      </c>
      <c r="T5315" s="3" t="s">
        <v>4868</v>
      </c>
      <c r="U5315" s="45">
        <v>35</v>
      </c>
      <c r="V5315" t="s">
        <v>8191</v>
      </c>
      <c r="W5315" s="1" t="str">
        <f>HYPERLINK("http://ictvonline.org/taxonomy/p/taxonomy-history?taxnode_id=201902119","ICTVonline=201902119")</f>
        <v>ICTVonline=201902119</v>
      </c>
    </row>
    <row r="5316" spans="1:23">
      <c r="A5316" s="3">
        <v>5315</v>
      </c>
      <c r="B5316" s="1" t="s">
        <v>5910</v>
      </c>
      <c r="D5316" s="1" t="s">
        <v>8187</v>
      </c>
      <c r="F5316" s="1" t="s">
        <v>8506</v>
      </c>
      <c r="H5316" s="1" t="s">
        <v>8512</v>
      </c>
      <c r="J5316" s="1" t="s">
        <v>1067</v>
      </c>
      <c r="L5316" s="1" t="s">
        <v>1986</v>
      </c>
      <c r="M5316" s="1" t="s">
        <v>1875</v>
      </c>
      <c r="N5316" s="1" t="s">
        <v>1874</v>
      </c>
      <c r="P5316" s="1" t="s">
        <v>1727</v>
      </c>
      <c r="Q5316" s="3">
        <v>0</v>
      </c>
      <c r="R5316" s="22" t="s">
        <v>2723</v>
      </c>
      <c r="T5316" s="3" t="s">
        <v>4868</v>
      </c>
      <c r="U5316" s="45">
        <v>35</v>
      </c>
      <c r="V5316" t="s">
        <v>8191</v>
      </c>
      <c r="W5316" s="1" t="str">
        <f>HYPERLINK("http://ictvonline.org/taxonomy/p/taxonomy-history?taxnode_id=201902120","ICTVonline=201902120")</f>
        <v>ICTVonline=201902120</v>
      </c>
    </row>
    <row r="5317" spans="1:23">
      <c r="A5317" s="3">
        <v>5316</v>
      </c>
      <c r="B5317" s="1" t="s">
        <v>5910</v>
      </c>
      <c r="D5317" s="1" t="s">
        <v>8187</v>
      </c>
      <c r="F5317" s="1" t="s">
        <v>8506</v>
      </c>
      <c r="H5317" s="1" t="s">
        <v>8512</v>
      </c>
      <c r="J5317" s="1" t="s">
        <v>1067</v>
      </c>
      <c r="L5317" s="1" t="s">
        <v>1986</v>
      </c>
      <c r="M5317" s="1" t="s">
        <v>1875</v>
      </c>
      <c r="N5317" s="1" t="s">
        <v>1874</v>
      </c>
      <c r="P5317" s="1" t="s">
        <v>5</v>
      </c>
      <c r="Q5317" s="3">
        <v>0</v>
      </c>
      <c r="R5317" s="22" t="s">
        <v>2723</v>
      </c>
      <c r="T5317" s="3" t="s">
        <v>4868</v>
      </c>
      <c r="U5317" s="45">
        <v>35</v>
      </c>
      <c r="V5317" t="s">
        <v>8191</v>
      </c>
      <c r="W5317" s="1" t="str">
        <f>HYPERLINK("http://ictvonline.org/taxonomy/p/taxonomy-history?taxnode_id=201902121","ICTVonline=201902121")</f>
        <v>ICTVonline=201902121</v>
      </c>
    </row>
    <row r="5318" spans="1:23">
      <c r="A5318" s="3">
        <v>5317</v>
      </c>
      <c r="B5318" s="1" t="s">
        <v>5910</v>
      </c>
      <c r="D5318" s="1" t="s">
        <v>8187</v>
      </c>
      <c r="F5318" s="1" t="s">
        <v>8506</v>
      </c>
      <c r="H5318" s="1" t="s">
        <v>8512</v>
      </c>
      <c r="J5318" s="1" t="s">
        <v>1067</v>
      </c>
      <c r="L5318" s="1" t="s">
        <v>1986</v>
      </c>
      <c r="M5318" s="1" t="s">
        <v>1875</v>
      </c>
      <c r="N5318" s="1" t="s">
        <v>1874</v>
      </c>
      <c r="P5318" s="1" t="s">
        <v>3605</v>
      </c>
      <c r="Q5318" s="3">
        <v>0</v>
      </c>
      <c r="R5318" s="22" t="s">
        <v>2723</v>
      </c>
      <c r="T5318" s="3" t="s">
        <v>4868</v>
      </c>
      <c r="U5318" s="45">
        <v>35</v>
      </c>
      <c r="V5318" t="s">
        <v>8191</v>
      </c>
      <c r="W5318" s="1" t="str">
        <f>HYPERLINK("http://ictvonline.org/taxonomy/p/taxonomy-history?taxnode_id=201902122","ICTVonline=201902122")</f>
        <v>ICTVonline=201902122</v>
      </c>
    </row>
    <row r="5319" spans="1:23">
      <c r="A5319" s="3">
        <v>5318</v>
      </c>
      <c r="B5319" s="1" t="s">
        <v>5910</v>
      </c>
      <c r="D5319" s="1" t="s">
        <v>8187</v>
      </c>
      <c r="F5319" s="1" t="s">
        <v>8506</v>
      </c>
      <c r="H5319" s="1" t="s">
        <v>8512</v>
      </c>
      <c r="J5319" s="1" t="s">
        <v>1067</v>
      </c>
      <c r="L5319" s="1" t="s">
        <v>1986</v>
      </c>
      <c r="M5319" s="1" t="s">
        <v>1875</v>
      </c>
      <c r="N5319" s="1" t="s">
        <v>1874</v>
      </c>
      <c r="P5319" s="1" t="s">
        <v>1728</v>
      </c>
      <c r="Q5319" s="3">
        <v>0</v>
      </c>
      <c r="R5319" s="22" t="s">
        <v>2723</v>
      </c>
      <c r="T5319" s="3" t="s">
        <v>4868</v>
      </c>
      <c r="U5319" s="45">
        <v>35</v>
      </c>
      <c r="V5319" t="s">
        <v>8191</v>
      </c>
      <c r="W5319" s="1" t="str">
        <f>HYPERLINK("http://ictvonline.org/taxonomy/p/taxonomy-history?taxnode_id=201902123","ICTVonline=201902123")</f>
        <v>ICTVonline=201902123</v>
      </c>
    </row>
    <row r="5320" spans="1:23">
      <c r="A5320" s="3">
        <v>5319</v>
      </c>
      <c r="B5320" s="1" t="s">
        <v>5910</v>
      </c>
      <c r="D5320" s="1" t="s">
        <v>8187</v>
      </c>
      <c r="F5320" s="1" t="s">
        <v>8506</v>
      </c>
      <c r="H5320" s="1" t="s">
        <v>8512</v>
      </c>
      <c r="J5320" s="1" t="s">
        <v>1067</v>
      </c>
      <c r="L5320" s="1" t="s">
        <v>1986</v>
      </c>
      <c r="M5320" s="1" t="s">
        <v>1875</v>
      </c>
      <c r="N5320" s="1" t="s">
        <v>1874</v>
      </c>
      <c r="P5320" s="1" t="s">
        <v>1729</v>
      </c>
      <c r="Q5320" s="3">
        <v>0</v>
      </c>
      <c r="R5320" s="22" t="s">
        <v>2723</v>
      </c>
      <c r="T5320" s="3" t="s">
        <v>4868</v>
      </c>
      <c r="U5320" s="45">
        <v>35</v>
      </c>
      <c r="V5320" t="s">
        <v>8191</v>
      </c>
      <c r="W5320" s="1" t="str">
        <f>HYPERLINK("http://ictvonline.org/taxonomy/p/taxonomy-history?taxnode_id=201902124","ICTVonline=201902124")</f>
        <v>ICTVonline=201902124</v>
      </c>
    </row>
    <row r="5321" spans="1:23">
      <c r="A5321" s="3">
        <v>5320</v>
      </c>
      <c r="B5321" s="1" t="s">
        <v>5910</v>
      </c>
      <c r="D5321" s="1" t="s">
        <v>8187</v>
      </c>
      <c r="F5321" s="1" t="s">
        <v>8506</v>
      </c>
      <c r="H5321" s="1" t="s">
        <v>8512</v>
      </c>
      <c r="J5321" s="1" t="s">
        <v>1067</v>
      </c>
      <c r="L5321" s="1" t="s">
        <v>1986</v>
      </c>
      <c r="M5321" s="1" t="s">
        <v>1875</v>
      </c>
      <c r="N5321" s="1" t="s">
        <v>1874</v>
      </c>
      <c r="P5321" s="1" t="s">
        <v>1406</v>
      </c>
      <c r="Q5321" s="3">
        <v>0</v>
      </c>
      <c r="R5321" s="22" t="s">
        <v>2723</v>
      </c>
      <c r="T5321" s="3" t="s">
        <v>4868</v>
      </c>
      <c r="U5321" s="45">
        <v>35</v>
      </c>
      <c r="V5321" t="s">
        <v>8191</v>
      </c>
      <c r="W5321" s="1" t="str">
        <f>HYPERLINK("http://ictvonline.org/taxonomy/p/taxonomy-history?taxnode_id=201902125","ICTVonline=201902125")</f>
        <v>ICTVonline=201902125</v>
      </c>
    </row>
    <row r="5322" spans="1:23">
      <c r="A5322" s="3">
        <v>5321</v>
      </c>
      <c r="B5322" s="1" t="s">
        <v>5910</v>
      </c>
      <c r="D5322" s="1" t="s">
        <v>8187</v>
      </c>
      <c r="F5322" s="1" t="s">
        <v>8506</v>
      </c>
      <c r="H5322" s="1" t="s">
        <v>8512</v>
      </c>
      <c r="J5322" s="1" t="s">
        <v>1067</v>
      </c>
      <c r="L5322" s="1" t="s">
        <v>1986</v>
      </c>
      <c r="M5322" s="1" t="s">
        <v>1875</v>
      </c>
      <c r="N5322" s="1" t="s">
        <v>1874</v>
      </c>
      <c r="P5322" s="1" t="s">
        <v>1407</v>
      </c>
      <c r="Q5322" s="3">
        <v>0</v>
      </c>
      <c r="R5322" s="22" t="s">
        <v>2723</v>
      </c>
      <c r="T5322" s="3" t="s">
        <v>4868</v>
      </c>
      <c r="U5322" s="45">
        <v>35</v>
      </c>
      <c r="V5322" t="s">
        <v>8191</v>
      </c>
      <c r="W5322" s="1" t="str">
        <f>HYPERLINK("http://ictvonline.org/taxonomy/p/taxonomy-history?taxnode_id=201902126","ICTVonline=201902126")</f>
        <v>ICTVonline=201902126</v>
      </c>
    </row>
    <row r="5323" spans="1:23">
      <c r="A5323" s="3">
        <v>5322</v>
      </c>
      <c r="B5323" s="1" t="s">
        <v>5910</v>
      </c>
      <c r="D5323" s="1" t="s">
        <v>8187</v>
      </c>
      <c r="F5323" s="1" t="s">
        <v>8506</v>
      </c>
      <c r="H5323" s="1" t="s">
        <v>8512</v>
      </c>
      <c r="J5323" s="1" t="s">
        <v>1067</v>
      </c>
      <c r="L5323" s="1" t="s">
        <v>1986</v>
      </c>
      <c r="M5323" s="1" t="s">
        <v>1875</v>
      </c>
      <c r="N5323" s="1" t="s">
        <v>1874</v>
      </c>
      <c r="P5323" s="1" t="s">
        <v>1408</v>
      </c>
      <c r="Q5323" s="3">
        <v>0</v>
      </c>
      <c r="R5323" s="22" t="s">
        <v>2723</v>
      </c>
      <c r="T5323" s="3" t="s">
        <v>4868</v>
      </c>
      <c r="U5323" s="45">
        <v>35</v>
      </c>
      <c r="V5323" t="s">
        <v>8191</v>
      </c>
      <c r="W5323" s="1" t="str">
        <f>HYPERLINK("http://ictvonline.org/taxonomy/p/taxonomy-history?taxnode_id=201902127","ICTVonline=201902127")</f>
        <v>ICTVonline=201902127</v>
      </c>
    </row>
    <row r="5324" spans="1:23">
      <c r="A5324" s="3">
        <v>5323</v>
      </c>
      <c r="B5324" s="1" t="s">
        <v>5910</v>
      </c>
      <c r="D5324" s="1" t="s">
        <v>8187</v>
      </c>
      <c r="F5324" s="1" t="s">
        <v>8506</v>
      </c>
      <c r="H5324" s="1" t="s">
        <v>8512</v>
      </c>
      <c r="J5324" s="1" t="s">
        <v>1067</v>
      </c>
      <c r="L5324" s="1" t="s">
        <v>1986</v>
      </c>
      <c r="M5324" s="1" t="s">
        <v>1875</v>
      </c>
      <c r="N5324" s="1" t="s">
        <v>1874</v>
      </c>
      <c r="P5324" s="1" t="s">
        <v>5135</v>
      </c>
      <c r="Q5324" s="3">
        <v>0</v>
      </c>
      <c r="R5324" s="22" t="s">
        <v>2723</v>
      </c>
      <c r="T5324" s="3" t="s">
        <v>4868</v>
      </c>
      <c r="U5324" s="45">
        <v>35</v>
      </c>
      <c r="V5324" t="s">
        <v>8191</v>
      </c>
      <c r="W5324" s="1" t="str">
        <f>HYPERLINK("http://ictvonline.org/taxonomy/p/taxonomy-history?taxnode_id=201905628","ICTVonline=201905628")</f>
        <v>ICTVonline=201905628</v>
      </c>
    </row>
    <row r="5325" spans="1:23">
      <c r="A5325" s="3">
        <v>5324</v>
      </c>
      <c r="B5325" s="1" t="s">
        <v>5910</v>
      </c>
      <c r="D5325" s="1" t="s">
        <v>8187</v>
      </c>
      <c r="F5325" s="1" t="s">
        <v>8506</v>
      </c>
      <c r="H5325" s="1" t="s">
        <v>8512</v>
      </c>
      <c r="J5325" s="1" t="s">
        <v>1067</v>
      </c>
      <c r="L5325" s="1" t="s">
        <v>1986</v>
      </c>
      <c r="M5325" s="1" t="s">
        <v>1875</v>
      </c>
      <c r="N5325" s="1" t="s">
        <v>1874</v>
      </c>
      <c r="P5325" s="1" t="s">
        <v>1409</v>
      </c>
      <c r="Q5325" s="3">
        <v>0</v>
      </c>
      <c r="R5325" s="22" t="s">
        <v>2723</v>
      </c>
      <c r="T5325" s="3" t="s">
        <v>4868</v>
      </c>
      <c r="U5325" s="45">
        <v>35</v>
      </c>
      <c r="V5325" t="s">
        <v>8191</v>
      </c>
      <c r="W5325" s="1" t="str">
        <f>HYPERLINK("http://ictvonline.org/taxonomy/p/taxonomy-history?taxnode_id=201902128","ICTVonline=201902128")</f>
        <v>ICTVonline=201902128</v>
      </c>
    </row>
    <row r="5326" spans="1:23">
      <c r="A5326" s="3">
        <v>5325</v>
      </c>
      <c r="B5326" s="1" t="s">
        <v>5910</v>
      </c>
      <c r="D5326" s="1" t="s">
        <v>8187</v>
      </c>
      <c r="F5326" s="1" t="s">
        <v>8506</v>
      </c>
      <c r="H5326" s="1" t="s">
        <v>8512</v>
      </c>
      <c r="J5326" s="1" t="s">
        <v>1067</v>
      </c>
      <c r="L5326" s="1" t="s">
        <v>1986</v>
      </c>
      <c r="M5326" s="1" t="s">
        <v>1875</v>
      </c>
      <c r="N5326" s="1" t="s">
        <v>1874</v>
      </c>
      <c r="P5326" s="1" t="s">
        <v>1410</v>
      </c>
      <c r="Q5326" s="3">
        <v>0</v>
      </c>
      <c r="R5326" s="22" t="s">
        <v>2723</v>
      </c>
      <c r="T5326" s="3" t="s">
        <v>4868</v>
      </c>
      <c r="U5326" s="45">
        <v>35</v>
      </c>
      <c r="V5326" t="s">
        <v>8191</v>
      </c>
      <c r="W5326" s="1" t="str">
        <f>HYPERLINK("http://ictvonline.org/taxonomy/p/taxonomy-history?taxnode_id=201902129","ICTVonline=201902129")</f>
        <v>ICTVonline=201902129</v>
      </c>
    </row>
    <row r="5327" spans="1:23">
      <c r="A5327" s="3">
        <v>5326</v>
      </c>
      <c r="B5327" s="1" t="s">
        <v>5910</v>
      </c>
      <c r="D5327" s="1" t="s">
        <v>8187</v>
      </c>
      <c r="F5327" s="1" t="s">
        <v>8506</v>
      </c>
      <c r="H5327" s="1" t="s">
        <v>8512</v>
      </c>
      <c r="J5327" s="1" t="s">
        <v>1067</v>
      </c>
      <c r="L5327" s="1" t="s">
        <v>1986</v>
      </c>
      <c r="M5327" s="1" t="s">
        <v>1875</v>
      </c>
      <c r="N5327" s="1" t="s">
        <v>1874</v>
      </c>
      <c r="P5327" s="1" t="s">
        <v>5136</v>
      </c>
      <c r="Q5327" s="3">
        <v>0</v>
      </c>
      <c r="R5327" s="22" t="s">
        <v>2723</v>
      </c>
      <c r="T5327" s="3" t="s">
        <v>4868</v>
      </c>
      <c r="U5327" s="45">
        <v>35</v>
      </c>
      <c r="V5327" t="s">
        <v>8191</v>
      </c>
      <c r="W5327" s="1" t="str">
        <f>HYPERLINK("http://ictvonline.org/taxonomy/p/taxonomy-history?taxnode_id=201905629","ICTVonline=201905629")</f>
        <v>ICTVonline=201905629</v>
      </c>
    </row>
    <row r="5328" spans="1:23">
      <c r="A5328" s="3">
        <v>5327</v>
      </c>
      <c r="B5328" s="1" t="s">
        <v>5910</v>
      </c>
      <c r="D5328" s="1" t="s">
        <v>8187</v>
      </c>
      <c r="F5328" s="1" t="s">
        <v>8506</v>
      </c>
      <c r="H5328" s="1" t="s">
        <v>8512</v>
      </c>
      <c r="J5328" s="1" t="s">
        <v>1067</v>
      </c>
      <c r="L5328" s="1" t="s">
        <v>1986</v>
      </c>
      <c r="M5328" s="1" t="s">
        <v>1875</v>
      </c>
      <c r="N5328" s="1" t="s">
        <v>1874</v>
      </c>
      <c r="P5328" s="1" t="s">
        <v>1414</v>
      </c>
      <c r="Q5328" s="3">
        <v>1</v>
      </c>
      <c r="R5328" s="22" t="s">
        <v>2723</v>
      </c>
      <c r="T5328" s="3" t="s">
        <v>4868</v>
      </c>
      <c r="U5328" s="45">
        <v>35</v>
      </c>
      <c r="V5328" t="s">
        <v>8191</v>
      </c>
      <c r="W5328" s="1" t="str">
        <f>HYPERLINK("http://ictvonline.org/taxonomy/p/taxonomy-history?taxnode_id=201902130","ICTVonline=201902130")</f>
        <v>ICTVonline=201902130</v>
      </c>
    </row>
    <row r="5329" spans="1:23">
      <c r="A5329" s="3">
        <v>5328</v>
      </c>
      <c r="B5329" s="1" t="s">
        <v>5910</v>
      </c>
      <c r="D5329" s="1" t="s">
        <v>8187</v>
      </c>
      <c r="F5329" s="1" t="s">
        <v>8506</v>
      </c>
      <c r="H5329" s="1" t="s">
        <v>8512</v>
      </c>
      <c r="J5329" s="1" t="s">
        <v>1067</v>
      </c>
      <c r="L5329" s="1" t="s">
        <v>1986</v>
      </c>
      <c r="M5329" s="1" t="s">
        <v>1875</v>
      </c>
      <c r="N5329" s="1" t="s">
        <v>1874</v>
      </c>
      <c r="P5329" s="1" t="s">
        <v>1415</v>
      </c>
      <c r="Q5329" s="3">
        <v>0</v>
      </c>
      <c r="R5329" s="22" t="s">
        <v>2723</v>
      </c>
      <c r="T5329" s="3" t="s">
        <v>4868</v>
      </c>
      <c r="U5329" s="45">
        <v>35</v>
      </c>
      <c r="V5329" t="s">
        <v>8191</v>
      </c>
      <c r="W5329" s="1" t="str">
        <f>HYPERLINK("http://ictvonline.org/taxonomy/p/taxonomy-history?taxnode_id=201902131","ICTVonline=201902131")</f>
        <v>ICTVonline=201902131</v>
      </c>
    </row>
    <row r="5330" spans="1:23">
      <c r="A5330" s="3">
        <v>5329</v>
      </c>
      <c r="B5330" s="1" t="s">
        <v>5910</v>
      </c>
      <c r="D5330" s="1" t="s">
        <v>8187</v>
      </c>
      <c r="F5330" s="1" t="s">
        <v>8506</v>
      </c>
      <c r="H5330" s="1" t="s">
        <v>8512</v>
      </c>
      <c r="J5330" s="1" t="s">
        <v>1067</v>
      </c>
      <c r="L5330" s="1" t="s">
        <v>1986</v>
      </c>
      <c r="M5330" s="1" t="s">
        <v>1875</v>
      </c>
      <c r="N5330" s="1" t="s">
        <v>1874</v>
      </c>
      <c r="P5330" s="1" t="s">
        <v>1416</v>
      </c>
      <c r="Q5330" s="3">
        <v>0</v>
      </c>
      <c r="R5330" s="22" t="s">
        <v>2723</v>
      </c>
      <c r="T5330" s="3" t="s">
        <v>4868</v>
      </c>
      <c r="U5330" s="45">
        <v>35</v>
      </c>
      <c r="V5330" t="s">
        <v>8191</v>
      </c>
      <c r="W5330" s="1" t="str">
        <f>HYPERLINK("http://ictvonline.org/taxonomy/p/taxonomy-history?taxnode_id=201902132","ICTVonline=201902132")</f>
        <v>ICTVonline=201902132</v>
      </c>
    </row>
    <row r="5331" spans="1:23">
      <c r="A5331" s="3">
        <v>5330</v>
      </c>
      <c r="B5331" s="1" t="s">
        <v>5910</v>
      </c>
      <c r="D5331" s="1" t="s">
        <v>8187</v>
      </c>
      <c r="F5331" s="1" t="s">
        <v>8506</v>
      </c>
      <c r="H5331" s="1" t="s">
        <v>8512</v>
      </c>
      <c r="J5331" s="1" t="s">
        <v>1067</v>
      </c>
      <c r="L5331" s="1" t="s">
        <v>1986</v>
      </c>
      <c r="N5331" s="1" t="s">
        <v>635</v>
      </c>
      <c r="P5331" s="1" t="s">
        <v>636</v>
      </c>
      <c r="Q5331" s="3">
        <v>0</v>
      </c>
      <c r="R5331" s="22" t="s">
        <v>2723</v>
      </c>
      <c r="T5331" s="3" t="s">
        <v>4868</v>
      </c>
      <c r="U5331" s="45">
        <v>35</v>
      </c>
      <c r="V5331" t="s">
        <v>8191</v>
      </c>
      <c r="W5331" s="1" t="str">
        <f>HYPERLINK("http://ictvonline.org/taxonomy/p/taxonomy-history?taxnode_id=201902135","ICTVonline=201902135")</f>
        <v>ICTVonline=201902135</v>
      </c>
    </row>
    <row r="5332" spans="1:23">
      <c r="A5332" s="3">
        <v>5331</v>
      </c>
      <c r="B5332" s="1" t="s">
        <v>5910</v>
      </c>
      <c r="D5332" s="1" t="s">
        <v>8187</v>
      </c>
      <c r="F5332" s="1" t="s">
        <v>8506</v>
      </c>
      <c r="H5332" s="1" t="s">
        <v>8512</v>
      </c>
      <c r="J5332" s="1" t="s">
        <v>1067</v>
      </c>
      <c r="L5332" s="1" t="s">
        <v>1986</v>
      </c>
      <c r="N5332" s="1" t="s">
        <v>635</v>
      </c>
      <c r="P5332" s="1" t="s">
        <v>2308</v>
      </c>
      <c r="Q5332" s="3">
        <v>0</v>
      </c>
      <c r="R5332" s="22" t="s">
        <v>2723</v>
      </c>
      <c r="T5332" s="3" t="s">
        <v>4868</v>
      </c>
      <c r="U5332" s="45">
        <v>35</v>
      </c>
      <c r="V5332" t="s">
        <v>8191</v>
      </c>
      <c r="W5332" s="1" t="str">
        <f>HYPERLINK("http://ictvonline.org/taxonomy/p/taxonomy-history?taxnode_id=201902136","ICTVonline=201902136")</f>
        <v>ICTVonline=201902136</v>
      </c>
    </row>
    <row r="5333" spans="1:23">
      <c r="A5333" s="3">
        <v>5332</v>
      </c>
      <c r="B5333" s="1" t="s">
        <v>5910</v>
      </c>
      <c r="D5333" s="1" t="s">
        <v>8187</v>
      </c>
      <c r="F5333" s="1" t="s">
        <v>8506</v>
      </c>
      <c r="H5333" s="1" t="s">
        <v>8512</v>
      </c>
      <c r="J5333" s="1" t="s">
        <v>1067</v>
      </c>
      <c r="L5333" s="1" t="s">
        <v>1986</v>
      </c>
      <c r="N5333" s="1" t="s">
        <v>635</v>
      </c>
      <c r="P5333" s="1" t="s">
        <v>637</v>
      </c>
      <c r="Q5333" s="3">
        <v>1</v>
      </c>
      <c r="R5333" s="22" t="s">
        <v>2723</v>
      </c>
      <c r="T5333" s="3" t="s">
        <v>4868</v>
      </c>
      <c r="U5333" s="45">
        <v>35</v>
      </c>
      <c r="V5333" t="s">
        <v>8191</v>
      </c>
      <c r="W5333" s="1" t="str">
        <f>HYPERLINK("http://ictvonline.org/taxonomy/p/taxonomy-history?taxnode_id=201902137","ICTVonline=201902137")</f>
        <v>ICTVonline=201902137</v>
      </c>
    </row>
    <row r="5334" spans="1:23">
      <c r="A5334" s="3">
        <v>5333</v>
      </c>
      <c r="B5334" s="1" t="s">
        <v>5910</v>
      </c>
      <c r="D5334" s="1" t="s">
        <v>8187</v>
      </c>
      <c r="F5334" s="1" t="s">
        <v>8506</v>
      </c>
      <c r="H5334" s="1" t="s">
        <v>8512</v>
      </c>
      <c r="J5334" s="1" t="s">
        <v>1067</v>
      </c>
      <c r="L5334" s="1" t="s">
        <v>1986</v>
      </c>
      <c r="N5334" s="1" t="s">
        <v>635</v>
      </c>
      <c r="P5334" s="1" t="s">
        <v>4554</v>
      </c>
      <c r="Q5334" s="3">
        <v>0</v>
      </c>
      <c r="R5334" s="22" t="s">
        <v>2723</v>
      </c>
      <c r="T5334" s="3" t="s">
        <v>4868</v>
      </c>
      <c r="U5334" s="45">
        <v>35</v>
      </c>
      <c r="V5334" t="s">
        <v>8191</v>
      </c>
      <c r="W5334" s="1" t="str">
        <f>HYPERLINK("http://ictvonline.org/taxonomy/p/taxonomy-history?taxnode_id=201902138","ICTVonline=201902138")</f>
        <v>ICTVonline=201902138</v>
      </c>
    </row>
    <row r="5335" spans="1:23">
      <c r="A5335" s="3">
        <v>5334</v>
      </c>
      <c r="B5335" s="1" t="s">
        <v>5910</v>
      </c>
      <c r="D5335" s="1" t="s">
        <v>8187</v>
      </c>
      <c r="F5335" s="1" t="s">
        <v>8506</v>
      </c>
      <c r="H5335" s="1" t="s">
        <v>8512</v>
      </c>
      <c r="J5335" s="1" t="s">
        <v>1067</v>
      </c>
      <c r="L5335" s="1" t="s">
        <v>1986</v>
      </c>
      <c r="N5335" s="1" t="s">
        <v>635</v>
      </c>
      <c r="P5335" s="1" t="s">
        <v>638</v>
      </c>
      <c r="Q5335" s="3">
        <v>0</v>
      </c>
      <c r="R5335" s="22" t="s">
        <v>2723</v>
      </c>
      <c r="T5335" s="3" t="s">
        <v>4868</v>
      </c>
      <c r="U5335" s="45">
        <v>35</v>
      </c>
      <c r="V5335" t="s">
        <v>8191</v>
      </c>
      <c r="W5335" s="1" t="str">
        <f>HYPERLINK("http://ictvonline.org/taxonomy/p/taxonomy-history?taxnode_id=201902139","ICTVonline=201902139")</f>
        <v>ICTVonline=201902139</v>
      </c>
    </row>
    <row r="5336" spans="1:23">
      <c r="A5336" s="3">
        <v>5335</v>
      </c>
      <c r="B5336" s="1" t="s">
        <v>5910</v>
      </c>
      <c r="D5336" s="1" t="s">
        <v>8187</v>
      </c>
      <c r="F5336" s="1" t="s">
        <v>8506</v>
      </c>
      <c r="H5336" s="1" t="s">
        <v>8512</v>
      </c>
      <c r="J5336" s="1" t="s">
        <v>1067</v>
      </c>
      <c r="L5336" s="1" t="s">
        <v>1986</v>
      </c>
      <c r="N5336" s="1" t="s">
        <v>1765</v>
      </c>
      <c r="O5336" s="1" t="s">
        <v>8634</v>
      </c>
      <c r="P5336" s="1" t="s">
        <v>4556</v>
      </c>
      <c r="Q5336" s="3">
        <v>0</v>
      </c>
      <c r="R5336" s="22" t="s">
        <v>2723</v>
      </c>
      <c r="T5336" s="3" t="s">
        <v>4868</v>
      </c>
      <c r="U5336" s="45">
        <v>35</v>
      </c>
      <c r="V5336" t="s">
        <v>8635</v>
      </c>
      <c r="W5336" s="1" t="str">
        <f>HYPERLINK("http://ictvonline.org/taxonomy/p/taxonomy-history?taxnode_id=201902155","ICTVonline=201902155")</f>
        <v>ICTVonline=201902155</v>
      </c>
    </row>
    <row r="5337" spans="1:23">
      <c r="A5337" s="3">
        <v>5336</v>
      </c>
      <c r="B5337" s="1" t="s">
        <v>5910</v>
      </c>
      <c r="D5337" s="1" t="s">
        <v>8187</v>
      </c>
      <c r="F5337" s="1" t="s">
        <v>8506</v>
      </c>
      <c r="H5337" s="1" t="s">
        <v>8512</v>
      </c>
      <c r="J5337" s="1" t="s">
        <v>1067</v>
      </c>
      <c r="L5337" s="1" t="s">
        <v>1986</v>
      </c>
      <c r="N5337" s="1" t="s">
        <v>1765</v>
      </c>
      <c r="O5337" s="1" t="s">
        <v>8634</v>
      </c>
      <c r="P5337" s="1" t="s">
        <v>5137</v>
      </c>
      <c r="Q5337" s="3">
        <v>0</v>
      </c>
      <c r="R5337" s="22" t="s">
        <v>2723</v>
      </c>
      <c r="T5337" s="3" t="s">
        <v>4868</v>
      </c>
      <c r="U5337" s="45">
        <v>35</v>
      </c>
      <c r="V5337" t="s">
        <v>8635</v>
      </c>
      <c r="W5337" s="1" t="str">
        <f>HYPERLINK("http://ictvonline.org/taxonomy/p/taxonomy-history?taxnode_id=201905630","ICTVonline=201905630")</f>
        <v>ICTVonline=201905630</v>
      </c>
    </row>
    <row r="5338" spans="1:23">
      <c r="A5338" s="3">
        <v>5337</v>
      </c>
      <c r="B5338" s="1" t="s">
        <v>5910</v>
      </c>
      <c r="D5338" s="1" t="s">
        <v>8187</v>
      </c>
      <c r="F5338" s="1" t="s">
        <v>8506</v>
      </c>
      <c r="H5338" s="1" t="s">
        <v>8512</v>
      </c>
      <c r="J5338" s="1" t="s">
        <v>1067</v>
      </c>
      <c r="L5338" s="1" t="s">
        <v>1986</v>
      </c>
      <c r="N5338" s="1" t="s">
        <v>1765</v>
      </c>
      <c r="O5338" s="1" t="s">
        <v>8636</v>
      </c>
      <c r="P5338" s="1" t="s">
        <v>1766</v>
      </c>
      <c r="Q5338" s="3">
        <v>1</v>
      </c>
      <c r="R5338" s="22" t="s">
        <v>2723</v>
      </c>
      <c r="T5338" s="3" t="s">
        <v>4868</v>
      </c>
      <c r="U5338" s="45">
        <v>35</v>
      </c>
      <c r="V5338" t="s">
        <v>8635</v>
      </c>
      <c r="W5338" s="1" t="str">
        <f>HYPERLINK("http://ictvonline.org/taxonomy/p/taxonomy-history?taxnode_id=201902141","ICTVonline=201902141")</f>
        <v>ICTVonline=201902141</v>
      </c>
    </row>
    <row r="5339" spans="1:23">
      <c r="A5339" s="3">
        <v>5338</v>
      </c>
      <c r="B5339" s="1" t="s">
        <v>5910</v>
      </c>
      <c r="D5339" s="1" t="s">
        <v>8187</v>
      </c>
      <c r="F5339" s="1" t="s">
        <v>8506</v>
      </c>
      <c r="H5339" s="1" t="s">
        <v>8512</v>
      </c>
      <c r="J5339" s="1" t="s">
        <v>1067</v>
      </c>
      <c r="L5339" s="1" t="s">
        <v>1986</v>
      </c>
      <c r="N5339" s="1" t="s">
        <v>1765</v>
      </c>
      <c r="O5339" s="1" t="s">
        <v>8637</v>
      </c>
      <c r="P5339" s="1" t="s">
        <v>2132</v>
      </c>
      <c r="Q5339" s="3">
        <v>0</v>
      </c>
      <c r="R5339" s="22" t="s">
        <v>2723</v>
      </c>
      <c r="T5339" s="3" t="s">
        <v>4868</v>
      </c>
      <c r="U5339" s="45">
        <v>35</v>
      </c>
      <c r="V5339" t="s">
        <v>8635</v>
      </c>
      <c r="W5339" s="1" t="str">
        <f>HYPERLINK("http://ictvonline.org/taxonomy/p/taxonomy-history?taxnode_id=201902154","ICTVonline=201902154")</f>
        <v>ICTVonline=201902154</v>
      </c>
    </row>
    <row r="5340" spans="1:23">
      <c r="A5340" s="3">
        <v>5339</v>
      </c>
      <c r="B5340" s="1" t="s">
        <v>5910</v>
      </c>
      <c r="D5340" s="1" t="s">
        <v>8187</v>
      </c>
      <c r="F5340" s="1" t="s">
        <v>8506</v>
      </c>
      <c r="H5340" s="1" t="s">
        <v>8512</v>
      </c>
      <c r="J5340" s="1" t="s">
        <v>1067</v>
      </c>
      <c r="L5340" s="1" t="s">
        <v>1986</v>
      </c>
      <c r="N5340" s="1" t="s">
        <v>1765</v>
      </c>
      <c r="O5340" s="1" t="s">
        <v>8637</v>
      </c>
      <c r="P5340" s="1" t="s">
        <v>1768</v>
      </c>
      <c r="Q5340" s="3">
        <v>0</v>
      </c>
      <c r="R5340" s="22" t="s">
        <v>2723</v>
      </c>
      <c r="T5340" s="3" t="s">
        <v>4868</v>
      </c>
      <c r="U5340" s="45">
        <v>35</v>
      </c>
      <c r="V5340" t="s">
        <v>8635</v>
      </c>
      <c r="W5340" s="1" t="str">
        <f>HYPERLINK("http://ictvonline.org/taxonomy/p/taxonomy-history?taxnode_id=201902157","ICTVonline=201902157")</f>
        <v>ICTVonline=201902157</v>
      </c>
    </row>
    <row r="5341" spans="1:23">
      <c r="A5341" s="3">
        <v>5340</v>
      </c>
      <c r="B5341" s="1" t="s">
        <v>5910</v>
      </c>
      <c r="D5341" s="1" t="s">
        <v>8187</v>
      </c>
      <c r="F5341" s="1" t="s">
        <v>8506</v>
      </c>
      <c r="H5341" s="1" t="s">
        <v>8512</v>
      </c>
      <c r="J5341" s="1" t="s">
        <v>1067</v>
      </c>
      <c r="L5341" s="1" t="s">
        <v>1986</v>
      </c>
      <c r="N5341" s="1" t="s">
        <v>631</v>
      </c>
      <c r="P5341" s="1" t="s">
        <v>2131</v>
      </c>
      <c r="Q5341" s="3">
        <v>0</v>
      </c>
      <c r="R5341" s="22" t="s">
        <v>2723</v>
      </c>
      <c r="T5341" s="3" t="s">
        <v>4868</v>
      </c>
      <c r="U5341" s="45">
        <v>35</v>
      </c>
      <c r="V5341" t="s">
        <v>8191</v>
      </c>
      <c r="W5341" s="1" t="str">
        <f>HYPERLINK("http://ictvonline.org/taxonomy/p/taxonomy-history?taxnode_id=201902143","ICTVonline=201902143")</f>
        <v>ICTVonline=201902143</v>
      </c>
    </row>
    <row r="5342" spans="1:23">
      <c r="A5342" s="3">
        <v>5341</v>
      </c>
      <c r="B5342" s="1" t="s">
        <v>5910</v>
      </c>
      <c r="D5342" s="1" t="s">
        <v>8187</v>
      </c>
      <c r="F5342" s="1" t="s">
        <v>8506</v>
      </c>
      <c r="H5342" s="1" t="s">
        <v>8512</v>
      </c>
      <c r="J5342" s="1" t="s">
        <v>1067</v>
      </c>
      <c r="L5342" s="1" t="s">
        <v>1986</v>
      </c>
      <c r="N5342" s="1" t="s">
        <v>631</v>
      </c>
      <c r="P5342" s="1" t="s">
        <v>632</v>
      </c>
      <c r="Q5342" s="3">
        <v>0</v>
      </c>
      <c r="R5342" s="22" t="s">
        <v>2723</v>
      </c>
      <c r="T5342" s="3" t="s">
        <v>4868</v>
      </c>
      <c r="U5342" s="45">
        <v>35</v>
      </c>
      <c r="V5342" t="s">
        <v>8191</v>
      </c>
      <c r="W5342" s="1" t="str">
        <f>HYPERLINK("http://ictvonline.org/taxonomy/p/taxonomy-history?taxnode_id=201902144","ICTVonline=201902144")</f>
        <v>ICTVonline=201902144</v>
      </c>
    </row>
    <row r="5343" spans="1:23">
      <c r="A5343" s="3">
        <v>5342</v>
      </c>
      <c r="B5343" s="1" t="s">
        <v>5910</v>
      </c>
      <c r="D5343" s="1" t="s">
        <v>8187</v>
      </c>
      <c r="F5343" s="1" t="s">
        <v>8506</v>
      </c>
      <c r="H5343" s="1" t="s">
        <v>8512</v>
      </c>
      <c r="J5343" s="1" t="s">
        <v>1067</v>
      </c>
      <c r="L5343" s="1" t="s">
        <v>1986</v>
      </c>
      <c r="N5343" s="1" t="s">
        <v>631</v>
      </c>
      <c r="P5343" s="1" t="s">
        <v>1499</v>
      </c>
      <c r="Q5343" s="3">
        <v>1</v>
      </c>
      <c r="R5343" s="22" t="s">
        <v>2723</v>
      </c>
      <c r="T5343" s="3" t="s">
        <v>4868</v>
      </c>
      <c r="U5343" s="45">
        <v>35</v>
      </c>
      <c r="V5343" t="s">
        <v>8191</v>
      </c>
      <c r="W5343" s="1" t="str">
        <f>HYPERLINK("http://ictvonline.org/taxonomy/p/taxonomy-history?taxnode_id=201902145","ICTVonline=201902145")</f>
        <v>ICTVonline=201902145</v>
      </c>
    </row>
    <row r="5344" spans="1:23">
      <c r="A5344" s="3">
        <v>5343</v>
      </c>
      <c r="B5344" s="1" t="s">
        <v>5910</v>
      </c>
      <c r="D5344" s="1" t="s">
        <v>8187</v>
      </c>
      <c r="F5344" s="1" t="s">
        <v>8506</v>
      </c>
      <c r="H5344" s="1" t="s">
        <v>8512</v>
      </c>
      <c r="J5344" s="1" t="s">
        <v>1067</v>
      </c>
      <c r="L5344" s="1" t="s">
        <v>1986</v>
      </c>
      <c r="N5344" s="1" t="s">
        <v>1983</v>
      </c>
      <c r="P5344" s="1" t="s">
        <v>3606</v>
      </c>
      <c r="Q5344" s="3">
        <v>0</v>
      </c>
      <c r="R5344" s="22" t="s">
        <v>2723</v>
      </c>
      <c r="T5344" s="3" t="s">
        <v>4868</v>
      </c>
      <c r="U5344" s="45">
        <v>35</v>
      </c>
      <c r="V5344" t="s">
        <v>8191</v>
      </c>
      <c r="W5344" s="1" t="str">
        <f>HYPERLINK("http://ictvonline.org/taxonomy/p/taxonomy-history?taxnode_id=201902147","ICTVonline=201902147")</f>
        <v>ICTVonline=201902147</v>
      </c>
    </row>
    <row r="5345" spans="1:23">
      <c r="A5345" s="3">
        <v>5344</v>
      </c>
      <c r="B5345" s="1" t="s">
        <v>5910</v>
      </c>
      <c r="D5345" s="1" t="s">
        <v>8187</v>
      </c>
      <c r="F5345" s="1" t="s">
        <v>8506</v>
      </c>
      <c r="H5345" s="1" t="s">
        <v>8512</v>
      </c>
      <c r="J5345" s="1" t="s">
        <v>1067</v>
      </c>
      <c r="L5345" s="1" t="s">
        <v>1986</v>
      </c>
      <c r="N5345" s="1" t="s">
        <v>1983</v>
      </c>
      <c r="P5345" s="1" t="s">
        <v>2621</v>
      </c>
      <c r="Q5345" s="3">
        <v>0</v>
      </c>
      <c r="R5345" s="22" t="s">
        <v>2723</v>
      </c>
      <c r="T5345" s="3" t="s">
        <v>4868</v>
      </c>
      <c r="U5345" s="45">
        <v>35</v>
      </c>
      <c r="V5345" t="s">
        <v>8191</v>
      </c>
      <c r="W5345" s="1" t="str">
        <f>HYPERLINK("http://ictvonline.org/taxonomy/p/taxonomy-history?taxnode_id=201902148","ICTVonline=201902148")</f>
        <v>ICTVonline=201902148</v>
      </c>
    </row>
    <row r="5346" spans="1:23">
      <c r="A5346" s="3">
        <v>5345</v>
      </c>
      <c r="B5346" s="1" t="s">
        <v>5910</v>
      </c>
      <c r="D5346" s="1" t="s">
        <v>8187</v>
      </c>
      <c r="F5346" s="1" t="s">
        <v>8506</v>
      </c>
      <c r="H5346" s="1" t="s">
        <v>8512</v>
      </c>
      <c r="J5346" s="1" t="s">
        <v>1067</v>
      </c>
      <c r="L5346" s="1" t="s">
        <v>1986</v>
      </c>
      <c r="N5346" s="1" t="s">
        <v>1983</v>
      </c>
      <c r="P5346" s="1" t="s">
        <v>3607</v>
      </c>
      <c r="Q5346" s="3">
        <v>0</v>
      </c>
      <c r="R5346" s="22" t="s">
        <v>2723</v>
      </c>
      <c r="T5346" s="3" t="s">
        <v>4868</v>
      </c>
      <c r="U5346" s="45">
        <v>35</v>
      </c>
      <c r="V5346" t="s">
        <v>8191</v>
      </c>
      <c r="W5346" s="1" t="str">
        <f>HYPERLINK("http://ictvonline.org/taxonomy/p/taxonomy-history?taxnode_id=201902149","ICTVonline=201902149")</f>
        <v>ICTVonline=201902149</v>
      </c>
    </row>
    <row r="5347" spans="1:23">
      <c r="A5347" s="3">
        <v>5346</v>
      </c>
      <c r="B5347" s="1" t="s">
        <v>5910</v>
      </c>
      <c r="D5347" s="1" t="s">
        <v>8187</v>
      </c>
      <c r="F5347" s="1" t="s">
        <v>8506</v>
      </c>
      <c r="H5347" s="1" t="s">
        <v>8512</v>
      </c>
      <c r="J5347" s="1" t="s">
        <v>1067</v>
      </c>
      <c r="L5347" s="1" t="s">
        <v>1986</v>
      </c>
      <c r="N5347" s="1" t="s">
        <v>1983</v>
      </c>
      <c r="P5347" s="1" t="s">
        <v>4555</v>
      </c>
      <c r="Q5347" s="3">
        <v>0</v>
      </c>
      <c r="R5347" s="22" t="s">
        <v>2723</v>
      </c>
      <c r="T5347" s="3" t="s">
        <v>4868</v>
      </c>
      <c r="U5347" s="45">
        <v>35</v>
      </c>
      <c r="V5347" t="s">
        <v>8191</v>
      </c>
      <c r="W5347" s="1" t="str">
        <f>HYPERLINK("http://ictvonline.org/taxonomy/p/taxonomy-history?taxnode_id=201902150","ICTVonline=201902150")</f>
        <v>ICTVonline=201902150</v>
      </c>
    </row>
    <row r="5348" spans="1:23">
      <c r="A5348" s="3">
        <v>5347</v>
      </c>
      <c r="B5348" s="1" t="s">
        <v>5910</v>
      </c>
      <c r="D5348" s="1" t="s">
        <v>8187</v>
      </c>
      <c r="F5348" s="1" t="s">
        <v>8506</v>
      </c>
      <c r="H5348" s="1" t="s">
        <v>8512</v>
      </c>
      <c r="J5348" s="1" t="s">
        <v>1067</v>
      </c>
      <c r="L5348" s="1" t="s">
        <v>1986</v>
      </c>
      <c r="N5348" s="1" t="s">
        <v>1983</v>
      </c>
      <c r="P5348" s="1" t="s">
        <v>1985</v>
      </c>
      <c r="Q5348" s="3">
        <v>0</v>
      </c>
      <c r="R5348" s="22" t="s">
        <v>2723</v>
      </c>
      <c r="T5348" s="3" t="s">
        <v>4868</v>
      </c>
      <c r="U5348" s="45">
        <v>35</v>
      </c>
      <c r="V5348" t="s">
        <v>8191</v>
      </c>
      <c r="W5348" s="1" t="str">
        <f>HYPERLINK("http://ictvonline.org/taxonomy/p/taxonomy-history?taxnode_id=201902151","ICTVonline=201902151")</f>
        <v>ICTVonline=201902151</v>
      </c>
    </row>
    <row r="5349" spans="1:23">
      <c r="A5349" s="3">
        <v>5348</v>
      </c>
      <c r="B5349" s="1" t="s">
        <v>5910</v>
      </c>
      <c r="D5349" s="1" t="s">
        <v>8187</v>
      </c>
      <c r="F5349" s="1" t="s">
        <v>8506</v>
      </c>
      <c r="H5349" s="1" t="s">
        <v>8512</v>
      </c>
      <c r="J5349" s="1" t="s">
        <v>1067</v>
      </c>
      <c r="L5349" s="1" t="s">
        <v>1986</v>
      </c>
      <c r="N5349" s="1" t="s">
        <v>1983</v>
      </c>
      <c r="P5349" s="1" t="s">
        <v>1984</v>
      </c>
      <c r="Q5349" s="3">
        <v>1</v>
      </c>
      <c r="R5349" s="22" t="s">
        <v>2723</v>
      </c>
      <c r="T5349" s="3" t="s">
        <v>4868</v>
      </c>
      <c r="U5349" s="45">
        <v>35</v>
      </c>
      <c r="V5349" t="s">
        <v>8191</v>
      </c>
      <c r="W5349" s="1" t="str">
        <f>HYPERLINK("http://ictvonline.org/taxonomy/p/taxonomy-history?taxnode_id=201902152","ICTVonline=201902152")</f>
        <v>ICTVonline=201902152</v>
      </c>
    </row>
    <row r="5350" spans="1:23">
      <c r="A5350" s="3">
        <v>5349</v>
      </c>
      <c r="B5350" s="1" t="s">
        <v>5910</v>
      </c>
      <c r="D5350" s="1" t="s">
        <v>8187</v>
      </c>
      <c r="F5350" s="1" t="s">
        <v>8506</v>
      </c>
      <c r="H5350" s="1" t="s">
        <v>8512</v>
      </c>
      <c r="J5350" s="1" t="s">
        <v>1067</v>
      </c>
      <c r="L5350" s="1" t="s">
        <v>1986</v>
      </c>
      <c r="N5350" s="1" t="s">
        <v>1871</v>
      </c>
      <c r="P5350" s="1" t="s">
        <v>633</v>
      </c>
      <c r="Q5350" s="3">
        <v>0</v>
      </c>
      <c r="R5350" s="22" t="s">
        <v>2723</v>
      </c>
      <c r="T5350" s="3" t="s">
        <v>4868</v>
      </c>
      <c r="U5350" s="45">
        <v>35</v>
      </c>
      <c r="V5350" t="s">
        <v>8191</v>
      </c>
      <c r="W5350" s="1" t="str">
        <f>HYPERLINK("http://ictvonline.org/taxonomy/p/taxonomy-history?taxnode_id=201902159","ICTVonline=201902159")</f>
        <v>ICTVonline=201902159</v>
      </c>
    </row>
    <row r="5351" spans="1:23">
      <c r="A5351" s="3">
        <v>5350</v>
      </c>
      <c r="B5351" s="1" t="s">
        <v>5910</v>
      </c>
      <c r="D5351" s="1" t="s">
        <v>8187</v>
      </c>
      <c r="F5351" s="1" t="s">
        <v>8506</v>
      </c>
      <c r="H5351" s="1" t="s">
        <v>8512</v>
      </c>
      <c r="J5351" s="1" t="s">
        <v>1067</v>
      </c>
      <c r="L5351" s="1" t="s">
        <v>1986</v>
      </c>
      <c r="N5351" s="1" t="s">
        <v>1871</v>
      </c>
      <c r="P5351" s="1" t="s">
        <v>4557</v>
      </c>
      <c r="Q5351" s="3">
        <v>0</v>
      </c>
      <c r="R5351" s="22" t="s">
        <v>2723</v>
      </c>
      <c r="T5351" s="3" t="s">
        <v>4868</v>
      </c>
      <c r="U5351" s="45">
        <v>35</v>
      </c>
      <c r="V5351" t="s">
        <v>8191</v>
      </c>
      <c r="W5351" s="1" t="str">
        <f>HYPERLINK("http://ictvonline.org/taxonomy/p/taxonomy-history?taxnode_id=201902160","ICTVonline=201902160")</f>
        <v>ICTVonline=201902160</v>
      </c>
    </row>
    <row r="5352" spans="1:23">
      <c r="A5352" s="3">
        <v>5351</v>
      </c>
      <c r="B5352" s="1" t="s">
        <v>5910</v>
      </c>
      <c r="D5352" s="1" t="s">
        <v>8187</v>
      </c>
      <c r="F5352" s="1" t="s">
        <v>8506</v>
      </c>
      <c r="H5352" s="1" t="s">
        <v>8512</v>
      </c>
      <c r="J5352" s="1" t="s">
        <v>1067</v>
      </c>
      <c r="L5352" s="1" t="s">
        <v>1986</v>
      </c>
      <c r="N5352" s="1" t="s">
        <v>1871</v>
      </c>
      <c r="P5352" s="1" t="s">
        <v>634</v>
      </c>
      <c r="Q5352" s="3">
        <v>0</v>
      </c>
      <c r="R5352" s="22" t="s">
        <v>2723</v>
      </c>
      <c r="T5352" s="3" t="s">
        <v>4868</v>
      </c>
      <c r="U5352" s="45">
        <v>35</v>
      </c>
      <c r="V5352" t="s">
        <v>8191</v>
      </c>
      <c r="W5352" s="1" t="str">
        <f>HYPERLINK("http://ictvonline.org/taxonomy/p/taxonomy-history?taxnode_id=201902161","ICTVonline=201902161")</f>
        <v>ICTVonline=201902161</v>
      </c>
    </row>
    <row r="5353" spans="1:23">
      <c r="A5353" s="3">
        <v>5352</v>
      </c>
      <c r="B5353" s="1" t="s">
        <v>5910</v>
      </c>
      <c r="D5353" s="1" t="s">
        <v>8187</v>
      </c>
      <c r="F5353" s="1" t="s">
        <v>8506</v>
      </c>
      <c r="H5353" s="1" t="s">
        <v>8512</v>
      </c>
      <c r="J5353" s="1" t="s">
        <v>1067</v>
      </c>
      <c r="L5353" s="1" t="s">
        <v>1986</v>
      </c>
      <c r="N5353" s="1" t="s">
        <v>1871</v>
      </c>
      <c r="P5353" s="1" t="s">
        <v>1500</v>
      </c>
      <c r="Q5353" s="3">
        <v>1</v>
      </c>
      <c r="R5353" s="22" t="s">
        <v>2723</v>
      </c>
      <c r="T5353" s="3" t="s">
        <v>4868</v>
      </c>
      <c r="U5353" s="45">
        <v>35</v>
      </c>
      <c r="V5353" t="s">
        <v>8191</v>
      </c>
      <c r="W5353" s="1" t="str">
        <f>HYPERLINK("http://ictvonline.org/taxonomy/p/taxonomy-history?taxnode_id=201902162","ICTVonline=201902162")</f>
        <v>ICTVonline=201902162</v>
      </c>
    </row>
    <row r="5354" spans="1:23">
      <c r="A5354" s="3">
        <v>5353</v>
      </c>
      <c r="B5354" s="1" t="s">
        <v>5910</v>
      </c>
      <c r="D5354" s="1" t="s">
        <v>8187</v>
      </c>
      <c r="F5354" s="1" t="s">
        <v>8506</v>
      </c>
      <c r="H5354" s="1" t="s">
        <v>8512</v>
      </c>
      <c r="J5354" s="1" t="s">
        <v>1067</v>
      </c>
      <c r="L5354" s="1" t="s">
        <v>1986</v>
      </c>
      <c r="P5354" s="1" t="s">
        <v>1767</v>
      </c>
      <c r="Q5354" s="3">
        <v>0</v>
      </c>
      <c r="R5354" s="22" t="s">
        <v>2723</v>
      </c>
      <c r="T5354" s="3" t="s">
        <v>4868</v>
      </c>
      <c r="U5354" s="45">
        <v>35</v>
      </c>
      <c r="V5354" t="s">
        <v>8191</v>
      </c>
      <c r="W5354" s="1" t="str">
        <f>HYPERLINK("http://ictvonline.org/taxonomy/p/taxonomy-history?taxnode_id=201902156","ICTVonline=201902156")</f>
        <v>ICTVonline=201902156</v>
      </c>
    </row>
    <row r="5355" spans="1:23">
      <c r="A5355" s="3">
        <v>5354</v>
      </c>
      <c r="B5355" s="1" t="s">
        <v>5910</v>
      </c>
      <c r="D5355" s="1" t="s">
        <v>8187</v>
      </c>
      <c r="F5355" s="1" t="s">
        <v>8506</v>
      </c>
      <c r="H5355" s="1" t="s">
        <v>8512</v>
      </c>
      <c r="J5355" s="1" t="s">
        <v>1067</v>
      </c>
      <c r="L5355" s="1" t="s">
        <v>4774</v>
      </c>
      <c r="N5355" s="1" t="s">
        <v>4775</v>
      </c>
      <c r="P5355" s="1" t="s">
        <v>4776</v>
      </c>
      <c r="Q5355" s="3">
        <v>1</v>
      </c>
      <c r="R5355" s="22" t="s">
        <v>2723</v>
      </c>
      <c r="T5355" s="3" t="s">
        <v>4868</v>
      </c>
      <c r="U5355" s="45">
        <v>35</v>
      </c>
      <c r="V5355" t="s">
        <v>8191</v>
      </c>
      <c r="W5355" s="1" t="str">
        <f>HYPERLINK("http://ictvonline.org/taxonomy/p/taxonomy-history?taxnode_id=201905051","ICTVonline=201905051")</f>
        <v>ICTVonline=201905051</v>
      </c>
    </row>
    <row r="5356" spans="1:23">
      <c r="A5356" s="3">
        <v>5355</v>
      </c>
      <c r="B5356" s="1" t="s">
        <v>5910</v>
      </c>
      <c r="D5356" s="1" t="s">
        <v>8187</v>
      </c>
      <c r="F5356" s="1" t="s">
        <v>8506</v>
      </c>
      <c r="H5356" s="1" t="s">
        <v>8512</v>
      </c>
      <c r="J5356" s="1" t="s">
        <v>1067</v>
      </c>
      <c r="L5356" s="1" t="s">
        <v>4774</v>
      </c>
      <c r="N5356" s="1" t="s">
        <v>4777</v>
      </c>
      <c r="P5356" s="1" t="s">
        <v>4778</v>
      </c>
      <c r="Q5356" s="3">
        <v>1</v>
      </c>
      <c r="R5356" s="22" t="s">
        <v>2723</v>
      </c>
      <c r="T5356" s="3" t="s">
        <v>4868</v>
      </c>
      <c r="U5356" s="45">
        <v>35</v>
      </c>
      <c r="V5356" t="s">
        <v>8191</v>
      </c>
      <c r="W5356" s="1" t="str">
        <f>HYPERLINK("http://ictvonline.org/taxonomy/p/taxonomy-history?taxnode_id=201905053","ICTVonline=201905053")</f>
        <v>ICTVonline=201905053</v>
      </c>
    </row>
    <row r="5357" spans="1:23">
      <c r="A5357" s="3">
        <v>5356</v>
      </c>
      <c r="B5357" s="1" t="s">
        <v>5910</v>
      </c>
      <c r="D5357" s="1" t="s">
        <v>8187</v>
      </c>
      <c r="F5357" s="1" t="s">
        <v>8506</v>
      </c>
      <c r="H5357" s="1" t="s">
        <v>8512</v>
      </c>
      <c r="J5357" s="1" t="s">
        <v>8638</v>
      </c>
      <c r="L5357" s="1" t="s">
        <v>19</v>
      </c>
      <c r="N5357" s="1" t="s">
        <v>20</v>
      </c>
      <c r="P5357" s="1" t="s">
        <v>21</v>
      </c>
      <c r="Q5357" s="3">
        <v>1</v>
      </c>
      <c r="R5357" s="22" t="s">
        <v>2723</v>
      </c>
      <c r="T5357" s="3" t="s">
        <v>4868</v>
      </c>
      <c r="U5357" s="45">
        <v>35</v>
      </c>
      <c r="V5357" t="s">
        <v>8191</v>
      </c>
      <c r="W5357" s="1" t="str">
        <f>HYPERLINK("http://ictvonline.org/taxonomy/p/taxonomy-history?taxnode_id=201902473","ICTVonline=201902473")</f>
        <v>ICTVonline=201902473</v>
      </c>
    </row>
    <row r="5358" spans="1:23">
      <c r="A5358" s="3">
        <v>5357</v>
      </c>
      <c r="B5358" s="1" t="s">
        <v>5910</v>
      </c>
      <c r="D5358" s="1" t="s">
        <v>8187</v>
      </c>
      <c r="F5358" s="1" t="s">
        <v>8506</v>
      </c>
      <c r="H5358" s="1" t="s">
        <v>8512</v>
      </c>
      <c r="J5358" s="1" t="s">
        <v>8638</v>
      </c>
      <c r="L5358" s="1" t="s">
        <v>1754</v>
      </c>
      <c r="N5358" s="1" t="s">
        <v>1755</v>
      </c>
      <c r="P5358" s="1" t="s">
        <v>1756</v>
      </c>
      <c r="Q5358" s="3">
        <v>1</v>
      </c>
      <c r="R5358" s="22" t="s">
        <v>2723</v>
      </c>
      <c r="T5358" s="3" t="s">
        <v>4868</v>
      </c>
      <c r="U5358" s="45">
        <v>35</v>
      </c>
      <c r="V5358" t="s">
        <v>8191</v>
      </c>
      <c r="W5358" s="1" t="str">
        <f>HYPERLINK("http://ictvonline.org/taxonomy/p/taxonomy-history?taxnode_id=201902729","ICTVonline=201902729")</f>
        <v>ICTVonline=201902729</v>
      </c>
    </row>
    <row r="5359" spans="1:23">
      <c r="A5359" s="3">
        <v>5358</v>
      </c>
      <c r="B5359" s="1" t="s">
        <v>5910</v>
      </c>
      <c r="D5359" s="1" t="s">
        <v>8187</v>
      </c>
      <c r="F5359" s="1" t="s">
        <v>8506</v>
      </c>
      <c r="H5359" s="1" t="s">
        <v>8512</v>
      </c>
      <c r="J5359" s="1" t="s">
        <v>8638</v>
      </c>
      <c r="L5359" s="1" t="s">
        <v>5562</v>
      </c>
      <c r="N5359" s="1" t="s">
        <v>395</v>
      </c>
      <c r="P5359" s="1" t="s">
        <v>396</v>
      </c>
      <c r="Q5359" s="3">
        <v>1</v>
      </c>
      <c r="R5359" s="22" t="s">
        <v>2723</v>
      </c>
      <c r="T5359" s="3" t="s">
        <v>4868</v>
      </c>
      <c r="U5359" s="45">
        <v>35</v>
      </c>
      <c r="V5359" t="s">
        <v>8191</v>
      </c>
      <c r="W5359" s="1" t="str">
        <f>HYPERLINK("http://ictvonline.org/taxonomy/p/taxonomy-history?taxnode_id=201905362","ICTVonline=201905362")</f>
        <v>ICTVonline=201905362</v>
      </c>
    </row>
    <row r="5360" spans="1:23">
      <c r="A5360" s="3">
        <v>5359</v>
      </c>
      <c r="B5360" s="1" t="s">
        <v>5910</v>
      </c>
      <c r="D5360" s="1" t="s">
        <v>8187</v>
      </c>
      <c r="F5360" s="1" t="s">
        <v>8506</v>
      </c>
      <c r="H5360" s="1" t="s">
        <v>8512</v>
      </c>
      <c r="J5360" s="1" t="s">
        <v>8638</v>
      </c>
      <c r="L5360" s="1" t="s">
        <v>5562</v>
      </c>
      <c r="N5360" s="1" t="s">
        <v>1002</v>
      </c>
      <c r="P5360" s="1" t="s">
        <v>3985</v>
      </c>
      <c r="Q5360" s="3">
        <v>0</v>
      </c>
      <c r="R5360" s="22" t="s">
        <v>2723</v>
      </c>
      <c r="T5360" s="3" t="s">
        <v>4868</v>
      </c>
      <c r="U5360" s="45">
        <v>35</v>
      </c>
      <c r="V5360" t="s">
        <v>8191</v>
      </c>
      <c r="W5360" s="1" t="str">
        <f>HYPERLINK("http://ictvonline.org/taxonomy/p/taxonomy-history?taxnode_id=201905371","ICTVonline=201905371")</f>
        <v>ICTVonline=201905371</v>
      </c>
    </row>
    <row r="5361" spans="1:23">
      <c r="A5361" s="3">
        <v>5360</v>
      </c>
      <c r="B5361" s="1" t="s">
        <v>5910</v>
      </c>
      <c r="D5361" s="1" t="s">
        <v>8187</v>
      </c>
      <c r="F5361" s="1" t="s">
        <v>8506</v>
      </c>
      <c r="H5361" s="1" t="s">
        <v>8512</v>
      </c>
      <c r="J5361" s="1" t="s">
        <v>8638</v>
      </c>
      <c r="L5361" s="1" t="s">
        <v>5562</v>
      </c>
      <c r="N5361" s="1" t="s">
        <v>1002</v>
      </c>
      <c r="P5361" s="1" t="s">
        <v>1003</v>
      </c>
      <c r="Q5361" s="3">
        <v>0</v>
      </c>
      <c r="R5361" s="22" t="s">
        <v>2723</v>
      </c>
      <c r="T5361" s="3" t="s">
        <v>4868</v>
      </c>
      <c r="U5361" s="45">
        <v>35</v>
      </c>
      <c r="V5361" t="s">
        <v>8191</v>
      </c>
      <c r="W5361" s="1" t="str">
        <f>HYPERLINK("http://ictvonline.org/taxonomy/p/taxonomy-history?taxnode_id=201905372","ICTVonline=201905372")</f>
        <v>ICTVonline=201905372</v>
      </c>
    </row>
    <row r="5362" spans="1:23">
      <c r="A5362" s="3">
        <v>5361</v>
      </c>
      <c r="B5362" s="1" t="s">
        <v>5910</v>
      </c>
      <c r="D5362" s="1" t="s">
        <v>8187</v>
      </c>
      <c r="F5362" s="1" t="s">
        <v>8506</v>
      </c>
      <c r="H5362" s="1" t="s">
        <v>8512</v>
      </c>
      <c r="J5362" s="1" t="s">
        <v>8638</v>
      </c>
      <c r="L5362" s="1" t="s">
        <v>5562</v>
      </c>
      <c r="N5362" s="1" t="s">
        <v>1002</v>
      </c>
      <c r="P5362" s="1" t="s">
        <v>1004</v>
      </c>
      <c r="Q5362" s="3">
        <v>0</v>
      </c>
      <c r="R5362" s="22" t="s">
        <v>2723</v>
      </c>
      <c r="T5362" s="3" t="s">
        <v>4868</v>
      </c>
      <c r="U5362" s="45">
        <v>35</v>
      </c>
      <c r="V5362" t="s">
        <v>8191</v>
      </c>
      <c r="W5362" s="1" t="str">
        <f>HYPERLINK("http://ictvonline.org/taxonomy/p/taxonomy-history?taxnode_id=201905373","ICTVonline=201905373")</f>
        <v>ICTVonline=201905373</v>
      </c>
    </row>
    <row r="5363" spans="1:23">
      <c r="A5363" s="3">
        <v>5362</v>
      </c>
      <c r="B5363" s="1" t="s">
        <v>5910</v>
      </c>
      <c r="D5363" s="1" t="s">
        <v>8187</v>
      </c>
      <c r="F5363" s="1" t="s">
        <v>8506</v>
      </c>
      <c r="H5363" s="1" t="s">
        <v>8512</v>
      </c>
      <c r="J5363" s="1" t="s">
        <v>8638</v>
      </c>
      <c r="L5363" s="1" t="s">
        <v>5562</v>
      </c>
      <c r="N5363" s="1" t="s">
        <v>1002</v>
      </c>
      <c r="P5363" s="1" t="s">
        <v>3986</v>
      </c>
      <c r="Q5363" s="3">
        <v>0</v>
      </c>
      <c r="R5363" s="22" t="s">
        <v>2723</v>
      </c>
      <c r="T5363" s="3" t="s">
        <v>4868</v>
      </c>
      <c r="U5363" s="45">
        <v>35</v>
      </c>
      <c r="V5363" t="s">
        <v>8191</v>
      </c>
      <c r="W5363" s="1" t="str">
        <f>HYPERLINK("http://ictvonline.org/taxonomy/p/taxonomy-history?taxnode_id=201905374","ICTVonline=201905374")</f>
        <v>ICTVonline=201905374</v>
      </c>
    </row>
    <row r="5364" spans="1:23">
      <c r="A5364" s="3">
        <v>5363</v>
      </c>
      <c r="B5364" s="1" t="s">
        <v>5910</v>
      </c>
      <c r="D5364" s="1" t="s">
        <v>8187</v>
      </c>
      <c r="F5364" s="1" t="s">
        <v>8506</v>
      </c>
      <c r="H5364" s="1" t="s">
        <v>8512</v>
      </c>
      <c r="J5364" s="1" t="s">
        <v>8638</v>
      </c>
      <c r="L5364" s="1" t="s">
        <v>5562</v>
      </c>
      <c r="N5364" s="1" t="s">
        <v>1002</v>
      </c>
      <c r="P5364" s="1" t="s">
        <v>213</v>
      </c>
      <c r="Q5364" s="3">
        <v>0</v>
      </c>
      <c r="R5364" s="22" t="s">
        <v>2723</v>
      </c>
      <c r="T5364" s="3" t="s">
        <v>4868</v>
      </c>
      <c r="U5364" s="45">
        <v>35</v>
      </c>
      <c r="V5364" t="s">
        <v>8191</v>
      </c>
      <c r="W5364" s="1" t="str">
        <f>HYPERLINK("http://ictvonline.org/taxonomy/p/taxonomy-history?taxnode_id=201905375","ICTVonline=201905375")</f>
        <v>ICTVonline=201905375</v>
      </c>
    </row>
    <row r="5365" spans="1:23">
      <c r="A5365" s="3">
        <v>5364</v>
      </c>
      <c r="B5365" s="1" t="s">
        <v>5910</v>
      </c>
      <c r="D5365" s="1" t="s">
        <v>8187</v>
      </c>
      <c r="F5365" s="1" t="s">
        <v>8506</v>
      </c>
      <c r="H5365" s="1" t="s">
        <v>8512</v>
      </c>
      <c r="J5365" s="1" t="s">
        <v>8638</v>
      </c>
      <c r="L5365" s="1" t="s">
        <v>5562</v>
      </c>
      <c r="N5365" s="1" t="s">
        <v>1002</v>
      </c>
      <c r="P5365" s="1" t="s">
        <v>1005</v>
      </c>
      <c r="Q5365" s="3">
        <v>0</v>
      </c>
      <c r="R5365" s="22" t="s">
        <v>2723</v>
      </c>
      <c r="T5365" s="3" t="s">
        <v>4868</v>
      </c>
      <c r="U5365" s="45">
        <v>35</v>
      </c>
      <c r="V5365" t="s">
        <v>8191</v>
      </c>
      <c r="W5365" s="1" t="str">
        <f>HYPERLINK("http://ictvonline.org/taxonomy/p/taxonomy-history?taxnode_id=201905376","ICTVonline=201905376")</f>
        <v>ICTVonline=201905376</v>
      </c>
    </row>
    <row r="5366" spans="1:23">
      <c r="A5366" s="3">
        <v>5365</v>
      </c>
      <c r="B5366" s="1" t="s">
        <v>5910</v>
      </c>
      <c r="D5366" s="1" t="s">
        <v>8187</v>
      </c>
      <c r="F5366" s="1" t="s">
        <v>8506</v>
      </c>
      <c r="H5366" s="1" t="s">
        <v>8512</v>
      </c>
      <c r="J5366" s="1" t="s">
        <v>8638</v>
      </c>
      <c r="L5366" s="1" t="s">
        <v>5562</v>
      </c>
      <c r="N5366" s="1" t="s">
        <v>1002</v>
      </c>
      <c r="P5366" s="1" t="s">
        <v>3987</v>
      </c>
      <c r="Q5366" s="3">
        <v>0</v>
      </c>
      <c r="R5366" s="22" t="s">
        <v>2723</v>
      </c>
      <c r="T5366" s="3" t="s">
        <v>4868</v>
      </c>
      <c r="U5366" s="45">
        <v>35</v>
      </c>
      <c r="V5366" t="s">
        <v>8191</v>
      </c>
      <c r="W5366" s="1" t="str">
        <f>HYPERLINK("http://ictvonline.org/taxonomy/p/taxonomy-history?taxnode_id=201905377","ICTVonline=201905377")</f>
        <v>ICTVonline=201905377</v>
      </c>
    </row>
    <row r="5367" spans="1:23">
      <c r="A5367" s="3">
        <v>5366</v>
      </c>
      <c r="B5367" s="1" t="s">
        <v>5910</v>
      </c>
      <c r="D5367" s="1" t="s">
        <v>8187</v>
      </c>
      <c r="F5367" s="1" t="s">
        <v>8506</v>
      </c>
      <c r="H5367" s="1" t="s">
        <v>8512</v>
      </c>
      <c r="J5367" s="1" t="s">
        <v>8638</v>
      </c>
      <c r="L5367" s="1" t="s">
        <v>5562</v>
      </c>
      <c r="N5367" s="1" t="s">
        <v>1002</v>
      </c>
      <c r="P5367" s="1" t="s">
        <v>1006</v>
      </c>
      <c r="Q5367" s="3">
        <v>0</v>
      </c>
      <c r="R5367" s="22" t="s">
        <v>2723</v>
      </c>
      <c r="T5367" s="3" t="s">
        <v>4868</v>
      </c>
      <c r="U5367" s="45">
        <v>35</v>
      </c>
      <c r="V5367" t="s">
        <v>8191</v>
      </c>
      <c r="W5367" s="1" t="str">
        <f>HYPERLINK("http://ictvonline.org/taxonomy/p/taxonomy-history?taxnode_id=201905378","ICTVonline=201905378")</f>
        <v>ICTVonline=201905378</v>
      </c>
    </row>
    <row r="5368" spans="1:23">
      <c r="A5368" s="3">
        <v>5367</v>
      </c>
      <c r="B5368" s="1" t="s">
        <v>5910</v>
      </c>
      <c r="D5368" s="1" t="s">
        <v>8187</v>
      </c>
      <c r="F5368" s="1" t="s">
        <v>8506</v>
      </c>
      <c r="H5368" s="1" t="s">
        <v>8512</v>
      </c>
      <c r="J5368" s="1" t="s">
        <v>8638</v>
      </c>
      <c r="L5368" s="1" t="s">
        <v>5562</v>
      </c>
      <c r="N5368" s="1" t="s">
        <v>1002</v>
      </c>
      <c r="P5368" s="1" t="s">
        <v>3988</v>
      </c>
      <c r="Q5368" s="3">
        <v>0</v>
      </c>
      <c r="R5368" s="22" t="s">
        <v>2723</v>
      </c>
      <c r="T5368" s="3" t="s">
        <v>4868</v>
      </c>
      <c r="U5368" s="45">
        <v>35</v>
      </c>
      <c r="V5368" t="s">
        <v>8191</v>
      </c>
      <c r="W5368" s="1" t="str">
        <f>HYPERLINK("http://ictvonline.org/taxonomy/p/taxonomy-history?taxnode_id=201905379","ICTVonline=201905379")</f>
        <v>ICTVonline=201905379</v>
      </c>
    </row>
    <row r="5369" spans="1:23">
      <c r="A5369" s="3">
        <v>5368</v>
      </c>
      <c r="B5369" s="1" t="s">
        <v>5910</v>
      </c>
      <c r="D5369" s="1" t="s">
        <v>8187</v>
      </c>
      <c r="F5369" s="1" t="s">
        <v>8506</v>
      </c>
      <c r="H5369" s="1" t="s">
        <v>8512</v>
      </c>
      <c r="J5369" s="1" t="s">
        <v>8638</v>
      </c>
      <c r="L5369" s="1" t="s">
        <v>5562</v>
      </c>
      <c r="N5369" s="1" t="s">
        <v>1002</v>
      </c>
      <c r="P5369" s="1" t="s">
        <v>1007</v>
      </c>
      <c r="Q5369" s="3">
        <v>0</v>
      </c>
      <c r="R5369" s="22" t="s">
        <v>2723</v>
      </c>
      <c r="T5369" s="3" t="s">
        <v>4868</v>
      </c>
      <c r="U5369" s="45">
        <v>35</v>
      </c>
      <c r="V5369" t="s">
        <v>8191</v>
      </c>
      <c r="W5369" s="1" t="str">
        <f>HYPERLINK("http://ictvonline.org/taxonomy/p/taxonomy-history?taxnode_id=201905380","ICTVonline=201905380")</f>
        <v>ICTVonline=201905380</v>
      </c>
    </row>
    <row r="5370" spans="1:23">
      <c r="A5370" s="3">
        <v>5369</v>
      </c>
      <c r="B5370" s="1" t="s">
        <v>5910</v>
      </c>
      <c r="D5370" s="1" t="s">
        <v>8187</v>
      </c>
      <c r="F5370" s="1" t="s">
        <v>8506</v>
      </c>
      <c r="H5370" s="1" t="s">
        <v>8512</v>
      </c>
      <c r="J5370" s="1" t="s">
        <v>8638</v>
      </c>
      <c r="L5370" s="1" t="s">
        <v>5562</v>
      </c>
      <c r="N5370" s="1" t="s">
        <v>1002</v>
      </c>
      <c r="P5370" s="1" t="s">
        <v>1402</v>
      </c>
      <c r="Q5370" s="3">
        <v>0</v>
      </c>
      <c r="R5370" s="22" t="s">
        <v>2723</v>
      </c>
      <c r="T5370" s="3" t="s">
        <v>4868</v>
      </c>
      <c r="U5370" s="45">
        <v>35</v>
      </c>
      <c r="V5370" t="s">
        <v>8191</v>
      </c>
      <c r="W5370" s="1" t="str">
        <f>HYPERLINK("http://ictvonline.org/taxonomy/p/taxonomy-history?taxnode_id=201905381","ICTVonline=201905381")</f>
        <v>ICTVonline=201905381</v>
      </c>
    </row>
    <row r="5371" spans="1:23">
      <c r="A5371" s="3">
        <v>5370</v>
      </c>
      <c r="B5371" s="1" t="s">
        <v>5910</v>
      </c>
      <c r="D5371" s="1" t="s">
        <v>8187</v>
      </c>
      <c r="F5371" s="1" t="s">
        <v>8506</v>
      </c>
      <c r="H5371" s="1" t="s">
        <v>8512</v>
      </c>
      <c r="J5371" s="1" t="s">
        <v>8638</v>
      </c>
      <c r="L5371" s="1" t="s">
        <v>5562</v>
      </c>
      <c r="N5371" s="1" t="s">
        <v>1002</v>
      </c>
      <c r="P5371" s="1" t="s">
        <v>1403</v>
      </c>
      <c r="Q5371" s="3">
        <v>0</v>
      </c>
      <c r="R5371" s="22" t="s">
        <v>2723</v>
      </c>
      <c r="T5371" s="3" t="s">
        <v>4868</v>
      </c>
      <c r="U5371" s="45">
        <v>35</v>
      </c>
      <c r="V5371" t="s">
        <v>8191</v>
      </c>
      <c r="W5371" s="1" t="str">
        <f>HYPERLINK("http://ictvonline.org/taxonomy/p/taxonomy-history?taxnode_id=201905382","ICTVonline=201905382")</f>
        <v>ICTVonline=201905382</v>
      </c>
    </row>
    <row r="5372" spans="1:23">
      <c r="A5372" s="3">
        <v>5371</v>
      </c>
      <c r="B5372" s="1" t="s">
        <v>5910</v>
      </c>
      <c r="D5372" s="1" t="s">
        <v>8187</v>
      </c>
      <c r="F5372" s="1" t="s">
        <v>8506</v>
      </c>
      <c r="H5372" s="1" t="s">
        <v>8512</v>
      </c>
      <c r="J5372" s="1" t="s">
        <v>8638</v>
      </c>
      <c r="L5372" s="1" t="s">
        <v>5562</v>
      </c>
      <c r="N5372" s="1" t="s">
        <v>1002</v>
      </c>
      <c r="P5372" s="1" t="s">
        <v>1404</v>
      </c>
      <c r="Q5372" s="3">
        <v>1</v>
      </c>
      <c r="R5372" s="22" t="s">
        <v>2723</v>
      </c>
      <c r="T5372" s="3" t="s">
        <v>4868</v>
      </c>
      <c r="U5372" s="45">
        <v>35</v>
      </c>
      <c r="V5372" t="s">
        <v>8191</v>
      </c>
      <c r="W5372" s="1" t="str">
        <f>HYPERLINK("http://ictvonline.org/taxonomy/p/taxonomy-history?taxnode_id=201905383","ICTVonline=201905383")</f>
        <v>ICTVonline=201905383</v>
      </c>
    </row>
    <row r="5373" spans="1:23">
      <c r="A5373" s="3">
        <v>5372</v>
      </c>
      <c r="B5373" s="1" t="s">
        <v>5910</v>
      </c>
      <c r="D5373" s="1" t="s">
        <v>8187</v>
      </c>
      <c r="F5373" s="1" t="s">
        <v>8506</v>
      </c>
      <c r="H5373" s="1" t="s">
        <v>8512</v>
      </c>
      <c r="J5373" s="1" t="s">
        <v>8638</v>
      </c>
      <c r="L5373" s="1" t="s">
        <v>5562</v>
      </c>
      <c r="N5373" s="1" t="s">
        <v>1002</v>
      </c>
      <c r="P5373" s="1" t="s">
        <v>1405</v>
      </c>
      <c r="Q5373" s="3">
        <v>0</v>
      </c>
      <c r="R5373" s="22" t="s">
        <v>2723</v>
      </c>
      <c r="T5373" s="3" t="s">
        <v>4868</v>
      </c>
      <c r="U5373" s="45">
        <v>35</v>
      </c>
      <c r="V5373" t="s">
        <v>8191</v>
      </c>
      <c r="W5373" s="1" t="str">
        <f>HYPERLINK("http://ictvonline.org/taxonomy/p/taxonomy-history?taxnode_id=201905384","ICTVonline=201905384")</f>
        <v>ICTVonline=201905384</v>
      </c>
    </row>
    <row r="5374" spans="1:23">
      <c r="A5374" s="3">
        <v>5373</v>
      </c>
      <c r="B5374" s="1" t="s">
        <v>5910</v>
      </c>
      <c r="D5374" s="1" t="s">
        <v>8187</v>
      </c>
      <c r="F5374" s="1" t="s">
        <v>8506</v>
      </c>
      <c r="H5374" s="1" t="s">
        <v>8512</v>
      </c>
      <c r="J5374" s="1" t="s">
        <v>8638</v>
      </c>
      <c r="L5374" s="1" t="s">
        <v>5562</v>
      </c>
      <c r="N5374" s="1" t="s">
        <v>1002</v>
      </c>
      <c r="P5374" s="1" t="s">
        <v>1074</v>
      </c>
      <c r="Q5374" s="3">
        <v>0</v>
      </c>
      <c r="R5374" s="22" t="s">
        <v>2723</v>
      </c>
      <c r="T5374" s="3" t="s">
        <v>4868</v>
      </c>
      <c r="U5374" s="45">
        <v>35</v>
      </c>
      <c r="V5374" t="s">
        <v>8191</v>
      </c>
      <c r="W5374" s="1" t="str">
        <f>HYPERLINK("http://ictvonline.org/taxonomy/p/taxonomy-history?taxnode_id=201905385","ICTVonline=201905385")</f>
        <v>ICTVonline=201905385</v>
      </c>
    </row>
    <row r="5375" spans="1:23">
      <c r="A5375" s="3">
        <v>5374</v>
      </c>
      <c r="B5375" s="1" t="s">
        <v>5910</v>
      </c>
      <c r="D5375" s="1" t="s">
        <v>8187</v>
      </c>
      <c r="F5375" s="1" t="s">
        <v>8506</v>
      </c>
      <c r="H5375" s="1" t="s">
        <v>8512</v>
      </c>
      <c r="J5375" s="1" t="s">
        <v>8638</v>
      </c>
      <c r="L5375" s="1" t="s">
        <v>5562</v>
      </c>
      <c r="N5375" s="1" t="s">
        <v>1002</v>
      </c>
      <c r="P5375" s="1" t="s">
        <v>3989</v>
      </c>
      <c r="Q5375" s="3">
        <v>0</v>
      </c>
      <c r="R5375" s="22" t="s">
        <v>2723</v>
      </c>
      <c r="T5375" s="3" t="s">
        <v>4868</v>
      </c>
      <c r="U5375" s="45">
        <v>35</v>
      </c>
      <c r="V5375" t="s">
        <v>8191</v>
      </c>
      <c r="W5375" s="1" t="str">
        <f>HYPERLINK("http://ictvonline.org/taxonomy/p/taxonomy-history?taxnode_id=201905386","ICTVonline=201905386")</f>
        <v>ICTVonline=201905386</v>
      </c>
    </row>
    <row r="5376" spans="1:23">
      <c r="A5376" s="3">
        <v>5375</v>
      </c>
      <c r="B5376" s="1" t="s">
        <v>5910</v>
      </c>
      <c r="D5376" s="1" t="s">
        <v>8187</v>
      </c>
      <c r="F5376" s="1" t="s">
        <v>8506</v>
      </c>
      <c r="H5376" s="1" t="s">
        <v>8512</v>
      </c>
      <c r="J5376" s="1" t="s">
        <v>8638</v>
      </c>
      <c r="L5376" s="1" t="s">
        <v>5562</v>
      </c>
      <c r="N5376" s="1" t="s">
        <v>1002</v>
      </c>
      <c r="P5376" s="1" t="s">
        <v>1075</v>
      </c>
      <c r="Q5376" s="3">
        <v>0</v>
      </c>
      <c r="R5376" s="22" t="s">
        <v>2723</v>
      </c>
      <c r="T5376" s="3" t="s">
        <v>4868</v>
      </c>
      <c r="U5376" s="45">
        <v>35</v>
      </c>
      <c r="V5376" t="s">
        <v>8191</v>
      </c>
      <c r="W5376" s="1" t="str">
        <f>HYPERLINK("http://ictvonline.org/taxonomy/p/taxonomy-history?taxnode_id=201905387","ICTVonline=201905387")</f>
        <v>ICTVonline=201905387</v>
      </c>
    </row>
    <row r="5377" spans="1:23">
      <c r="A5377" s="3">
        <v>5376</v>
      </c>
      <c r="B5377" s="1" t="s">
        <v>5910</v>
      </c>
      <c r="D5377" s="1" t="s">
        <v>8187</v>
      </c>
      <c r="F5377" s="1" t="s">
        <v>8506</v>
      </c>
      <c r="H5377" s="1" t="s">
        <v>8512</v>
      </c>
      <c r="J5377" s="1" t="s">
        <v>8638</v>
      </c>
      <c r="L5377" s="1" t="s">
        <v>5562</v>
      </c>
      <c r="N5377" s="1" t="s">
        <v>1002</v>
      </c>
      <c r="P5377" s="1" t="s">
        <v>1076</v>
      </c>
      <c r="Q5377" s="3">
        <v>0</v>
      </c>
      <c r="R5377" s="22" t="s">
        <v>2723</v>
      </c>
      <c r="T5377" s="3" t="s">
        <v>4868</v>
      </c>
      <c r="U5377" s="45">
        <v>35</v>
      </c>
      <c r="V5377" t="s">
        <v>8191</v>
      </c>
      <c r="W5377" s="1" t="str">
        <f>HYPERLINK("http://ictvonline.org/taxonomy/p/taxonomy-history?taxnode_id=201905388","ICTVonline=201905388")</f>
        <v>ICTVonline=201905388</v>
      </c>
    </row>
    <row r="5378" spans="1:23">
      <c r="A5378" s="3">
        <v>5377</v>
      </c>
      <c r="B5378" s="1" t="s">
        <v>5910</v>
      </c>
      <c r="D5378" s="1" t="s">
        <v>8187</v>
      </c>
      <c r="F5378" s="1" t="s">
        <v>8506</v>
      </c>
      <c r="H5378" s="1" t="s">
        <v>8512</v>
      </c>
      <c r="J5378" s="1" t="s">
        <v>8638</v>
      </c>
      <c r="L5378" s="1" t="s">
        <v>5562</v>
      </c>
      <c r="N5378" s="1" t="s">
        <v>1002</v>
      </c>
      <c r="P5378" s="1" t="s">
        <v>1077</v>
      </c>
      <c r="Q5378" s="3">
        <v>0</v>
      </c>
      <c r="R5378" s="22" t="s">
        <v>2723</v>
      </c>
      <c r="T5378" s="3" t="s">
        <v>4868</v>
      </c>
      <c r="U5378" s="45">
        <v>35</v>
      </c>
      <c r="V5378" t="s">
        <v>8191</v>
      </c>
      <c r="W5378" s="1" t="str">
        <f>HYPERLINK("http://ictvonline.org/taxonomy/p/taxonomy-history?taxnode_id=201905389","ICTVonline=201905389")</f>
        <v>ICTVonline=201905389</v>
      </c>
    </row>
    <row r="5379" spans="1:23">
      <c r="A5379" s="3">
        <v>5378</v>
      </c>
      <c r="B5379" s="1" t="s">
        <v>5910</v>
      </c>
      <c r="D5379" s="1" t="s">
        <v>8187</v>
      </c>
      <c r="F5379" s="1" t="s">
        <v>8506</v>
      </c>
      <c r="H5379" s="1" t="s">
        <v>8639</v>
      </c>
      <c r="J5379" s="1" t="s">
        <v>8640</v>
      </c>
      <c r="L5379" s="1" t="s">
        <v>479</v>
      </c>
      <c r="N5379" s="1" t="s">
        <v>8641</v>
      </c>
      <c r="P5379" s="1" t="s">
        <v>8642</v>
      </c>
      <c r="Q5379" s="3">
        <v>0</v>
      </c>
      <c r="R5379" s="22" t="s">
        <v>2723</v>
      </c>
      <c r="T5379" s="3" t="s">
        <v>4866</v>
      </c>
      <c r="U5379" s="45">
        <v>35</v>
      </c>
      <c r="V5379" t="s">
        <v>8643</v>
      </c>
      <c r="W5379" s="1" t="str">
        <f>HYPERLINK("http://ictvonline.org/taxonomy/p/taxonomy-history?taxnode_id=201907457","ICTVonline=201907457")</f>
        <v>ICTVonline=201907457</v>
      </c>
    </row>
    <row r="5380" spans="1:23">
      <c r="A5380" s="3">
        <v>5379</v>
      </c>
      <c r="B5380" s="1" t="s">
        <v>5910</v>
      </c>
      <c r="D5380" s="1" t="s">
        <v>8187</v>
      </c>
      <c r="F5380" s="1" t="s">
        <v>8506</v>
      </c>
      <c r="H5380" s="1" t="s">
        <v>8639</v>
      </c>
      <c r="J5380" s="1" t="s">
        <v>8640</v>
      </c>
      <c r="L5380" s="1" t="s">
        <v>479</v>
      </c>
      <c r="N5380" s="1" t="s">
        <v>8641</v>
      </c>
      <c r="P5380" s="1" t="s">
        <v>8644</v>
      </c>
      <c r="Q5380" s="3">
        <v>1</v>
      </c>
      <c r="R5380" s="22" t="s">
        <v>2723</v>
      </c>
      <c r="T5380" s="3" t="s">
        <v>4866</v>
      </c>
      <c r="U5380" s="45">
        <v>35</v>
      </c>
      <c r="V5380" t="s">
        <v>8643</v>
      </c>
      <c r="W5380" s="1" t="str">
        <f>HYPERLINK("http://ictvonline.org/taxonomy/p/taxonomy-history?taxnode_id=201907456","ICTVonline=201907456")</f>
        <v>ICTVonline=201907456</v>
      </c>
    </row>
    <row r="5381" spans="1:23">
      <c r="A5381" s="3">
        <v>5380</v>
      </c>
      <c r="B5381" s="1" t="s">
        <v>5910</v>
      </c>
      <c r="D5381" s="1" t="s">
        <v>8187</v>
      </c>
      <c r="F5381" s="1" t="s">
        <v>8506</v>
      </c>
      <c r="H5381" s="1" t="s">
        <v>8639</v>
      </c>
      <c r="J5381" s="1" t="s">
        <v>8640</v>
      </c>
      <c r="L5381" s="1" t="s">
        <v>479</v>
      </c>
      <c r="N5381" s="1" t="s">
        <v>5497</v>
      </c>
      <c r="P5381" s="1" t="s">
        <v>5498</v>
      </c>
      <c r="Q5381" s="3">
        <v>1</v>
      </c>
      <c r="R5381" s="22" t="s">
        <v>2723</v>
      </c>
      <c r="T5381" s="3" t="s">
        <v>4868</v>
      </c>
      <c r="U5381" s="45">
        <v>35</v>
      </c>
      <c r="V5381" t="s">
        <v>8191</v>
      </c>
      <c r="W5381" s="1" t="str">
        <f>HYPERLINK("http://ictvonline.org/taxonomy/p/taxonomy-history?taxnode_id=201905915","ICTVonline=201905915")</f>
        <v>ICTVonline=201905915</v>
      </c>
    </row>
    <row r="5382" spans="1:23">
      <c r="A5382" s="3">
        <v>5381</v>
      </c>
      <c r="B5382" s="1" t="s">
        <v>5910</v>
      </c>
      <c r="D5382" s="1" t="s">
        <v>8187</v>
      </c>
      <c r="F5382" s="1" t="s">
        <v>8506</v>
      </c>
      <c r="H5382" s="1" t="s">
        <v>8639</v>
      </c>
      <c r="J5382" s="1" t="s">
        <v>8640</v>
      </c>
      <c r="L5382" s="1" t="s">
        <v>479</v>
      </c>
      <c r="N5382" s="1" t="s">
        <v>547</v>
      </c>
      <c r="P5382" s="1" t="s">
        <v>548</v>
      </c>
      <c r="Q5382" s="3">
        <v>1</v>
      </c>
      <c r="R5382" s="22" t="s">
        <v>2723</v>
      </c>
      <c r="T5382" s="3" t="s">
        <v>4868</v>
      </c>
      <c r="U5382" s="45">
        <v>35</v>
      </c>
      <c r="V5382" t="s">
        <v>8191</v>
      </c>
      <c r="W5382" s="1" t="str">
        <f>HYPERLINK("http://ictvonline.org/taxonomy/p/taxonomy-history?taxnode_id=201904534","ICTVonline=201904534")</f>
        <v>ICTVonline=201904534</v>
      </c>
    </row>
    <row r="5383" spans="1:23">
      <c r="A5383" s="3">
        <v>5382</v>
      </c>
      <c r="B5383" s="1" t="s">
        <v>5910</v>
      </c>
      <c r="D5383" s="1" t="s">
        <v>8187</v>
      </c>
      <c r="F5383" s="1" t="s">
        <v>8506</v>
      </c>
      <c r="H5383" s="1" t="s">
        <v>8639</v>
      </c>
      <c r="J5383" s="1" t="s">
        <v>8640</v>
      </c>
      <c r="L5383" s="1" t="s">
        <v>479</v>
      </c>
      <c r="N5383" s="1" t="s">
        <v>480</v>
      </c>
      <c r="P5383" s="1" t="s">
        <v>481</v>
      </c>
      <c r="Q5383" s="3">
        <v>0</v>
      </c>
      <c r="R5383" s="22" t="s">
        <v>2723</v>
      </c>
      <c r="T5383" s="3" t="s">
        <v>4868</v>
      </c>
      <c r="U5383" s="45">
        <v>35</v>
      </c>
      <c r="V5383" t="s">
        <v>8191</v>
      </c>
      <c r="W5383" s="1" t="str">
        <f>HYPERLINK("http://ictvonline.org/taxonomy/p/taxonomy-history?taxnode_id=201904536","ICTVonline=201904536")</f>
        <v>ICTVonline=201904536</v>
      </c>
    </row>
    <row r="5384" spans="1:23">
      <c r="A5384" s="3">
        <v>5383</v>
      </c>
      <c r="B5384" s="1" t="s">
        <v>5910</v>
      </c>
      <c r="D5384" s="1" t="s">
        <v>8187</v>
      </c>
      <c r="F5384" s="1" t="s">
        <v>8506</v>
      </c>
      <c r="H5384" s="1" t="s">
        <v>8639</v>
      </c>
      <c r="J5384" s="1" t="s">
        <v>8640</v>
      </c>
      <c r="L5384" s="1" t="s">
        <v>479</v>
      </c>
      <c r="N5384" s="1" t="s">
        <v>480</v>
      </c>
      <c r="P5384" s="1" t="s">
        <v>482</v>
      </c>
      <c r="Q5384" s="3">
        <v>1</v>
      </c>
      <c r="R5384" s="22" t="s">
        <v>2723</v>
      </c>
      <c r="T5384" s="3" t="s">
        <v>4868</v>
      </c>
      <c r="U5384" s="45">
        <v>35</v>
      </c>
      <c r="V5384" t="s">
        <v>8191</v>
      </c>
      <c r="W5384" s="1" t="str">
        <f>HYPERLINK("http://ictvonline.org/taxonomy/p/taxonomy-history?taxnode_id=201904537","ICTVonline=201904537")</f>
        <v>ICTVonline=201904537</v>
      </c>
    </row>
    <row r="5385" spans="1:23">
      <c r="A5385" s="3">
        <v>5384</v>
      </c>
      <c r="B5385" s="1" t="s">
        <v>5910</v>
      </c>
      <c r="D5385" s="1" t="s">
        <v>8187</v>
      </c>
      <c r="F5385" s="1" t="s">
        <v>8506</v>
      </c>
      <c r="H5385" s="1" t="s">
        <v>8639</v>
      </c>
      <c r="J5385" s="1" t="s">
        <v>8640</v>
      </c>
      <c r="L5385" s="1" t="s">
        <v>479</v>
      </c>
      <c r="N5385" s="1" t="s">
        <v>480</v>
      </c>
      <c r="P5385" s="1" t="s">
        <v>1538</v>
      </c>
      <c r="Q5385" s="3">
        <v>0</v>
      </c>
      <c r="R5385" s="22" t="s">
        <v>2723</v>
      </c>
      <c r="T5385" s="3" t="s">
        <v>4868</v>
      </c>
      <c r="U5385" s="45">
        <v>35</v>
      </c>
      <c r="V5385" t="s">
        <v>8191</v>
      </c>
      <c r="W5385" s="1" t="str">
        <f>HYPERLINK("http://ictvonline.org/taxonomy/p/taxonomy-history?taxnode_id=201904538","ICTVonline=201904538")</f>
        <v>ICTVonline=201904538</v>
      </c>
    </row>
    <row r="5386" spans="1:23">
      <c r="A5386" s="3">
        <v>5385</v>
      </c>
      <c r="B5386" s="1" t="s">
        <v>5910</v>
      </c>
      <c r="D5386" s="1" t="s">
        <v>8187</v>
      </c>
      <c r="F5386" s="1" t="s">
        <v>8506</v>
      </c>
      <c r="H5386" s="1" t="s">
        <v>8639</v>
      </c>
      <c r="J5386" s="1" t="s">
        <v>8640</v>
      </c>
      <c r="L5386" s="1" t="s">
        <v>479</v>
      </c>
      <c r="N5386" s="1" t="s">
        <v>480</v>
      </c>
      <c r="P5386" s="1" t="s">
        <v>909</v>
      </c>
      <c r="Q5386" s="3">
        <v>0</v>
      </c>
      <c r="R5386" s="22" t="s">
        <v>2723</v>
      </c>
      <c r="T5386" s="3" t="s">
        <v>4868</v>
      </c>
      <c r="U5386" s="45">
        <v>35</v>
      </c>
      <c r="V5386" t="s">
        <v>8191</v>
      </c>
      <c r="W5386" s="1" t="str">
        <f>HYPERLINK("http://ictvonline.org/taxonomy/p/taxonomy-history?taxnode_id=201904539","ICTVonline=201904539")</f>
        <v>ICTVonline=201904539</v>
      </c>
    </row>
    <row r="5387" spans="1:23">
      <c r="A5387" s="3">
        <v>5386</v>
      </c>
      <c r="B5387" s="1" t="s">
        <v>5910</v>
      </c>
      <c r="D5387" s="1" t="s">
        <v>8187</v>
      </c>
      <c r="F5387" s="1" t="s">
        <v>8506</v>
      </c>
      <c r="H5387" s="1" t="s">
        <v>8639</v>
      </c>
      <c r="J5387" s="1" t="s">
        <v>8640</v>
      </c>
      <c r="L5387" s="1" t="s">
        <v>479</v>
      </c>
      <c r="N5387" s="1" t="s">
        <v>480</v>
      </c>
      <c r="P5387" s="1" t="s">
        <v>833</v>
      </c>
      <c r="Q5387" s="3">
        <v>0</v>
      </c>
      <c r="R5387" s="22" t="s">
        <v>2723</v>
      </c>
      <c r="T5387" s="3" t="s">
        <v>4868</v>
      </c>
      <c r="U5387" s="45">
        <v>35</v>
      </c>
      <c r="V5387" t="s">
        <v>8191</v>
      </c>
      <c r="W5387" s="1" t="str">
        <f>HYPERLINK("http://ictvonline.org/taxonomy/p/taxonomy-history?taxnode_id=201904540","ICTVonline=201904540")</f>
        <v>ICTVonline=201904540</v>
      </c>
    </row>
    <row r="5388" spans="1:23">
      <c r="A5388" s="3">
        <v>5387</v>
      </c>
      <c r="B5388" s="1" t="s">
        <v>5910</v>
      </c>
      <c r="D5388" s="1" t="s">
        <v>8187</v>
      </c>
      <c r="F5388" s="1" t="s">
        <v>8506</v>
      </c>
      <c r="H5388" s="1" t="s">
        <v>8639</v>
      </c>
      <c r="J5388" s="1" t="s">
        <v>8640</v>
      </c>
      <c r="L5388" s="1" t="s">
        <v>479</v>
      </c>
      <c r="N5388" s="1" t="s">
        <v>480</v>
      </c>
      <c r="P5388" s="1" t="s">
        <v>834</v>
      </c>
      <c r="Q5388" s="3">
        <v>0</v>
      </c>
      <c r="R5388" s="22" t="s">
        <v>2723</v>
      </c>
      <c r="T5388" s="3" t="s">
        <v>4868</v>
      </c>
      <c r="U5388" s="45">
        <v>35</v>
      </c>
      <c r="V5388" t="s">
        <v>8191</v>
      </c>
      <c r="W5388" s="1" t="str">
        <f>HYPERLINK("http://ictvonline.org/taxonomy/p/taxonomy-history?taxnode_id=201904541","ICTVonline=201904541")</f>
        <v>ICTVonline=201904541</v>
      </c>
    </row>
    <row r="5389" spans="1:23">
      <c r="A5389" s="3">
        <v>5388</v>
      </c>
      <c r="B5389" s="1" t="s">
        <v>5910</v>
      </c>
      <c r="D5389" s="1" t="s">
        <v>8187</v>
      </c>
      <c r="F5389" s="1" t="s">
        <v>8506</v>
      </c>
      <c r="H5389" s="1" t="s">
        <v>8639</v>
      </c>
      <c r="J5389" s="1" t="s">
        <v>8640</v>
      </c>
      <c r="L5389" s="1" t="s">
        <v>479</v>
      </c>
      <c r="N5389" s="1" t="s">
        <v>8645</v>
      </c>
      <c r="P5389" s="1" t="s">
        <v>8646</v>
      </c>
      <c r="Q5389" s="3">
        <v>1</v>
      </c>
      <c r="R5389" s="22" t="s">
        <v>2723</v>
      </c>
      <c r="T5389" s="3" t="s">
        <v>4866</v>
      </c>
      <c r="U5389" s="45">
        <v>35</v>
      </c>
      <c r="V5389" t="s">
        <v>8647</v>
      </c>
      <c r="W5389" s="1" t="str">
        <f>HYPERLINK("http://ictvonline.org/taxonomy/p/taxonomy-history?taxnode_id=201907463","ICTVonline=201907463")</f>
        <v>ICTVonline=201907463</v>
      </c>
    </row>
    <row r="5390" spans="1:23">
      <c r="A5390" s="3">
        <v>5389</v>
      </c>
      <c r="B5390" s="1" t="s">
        <v>5910</v>
      </c>
      <c r="D5390" s="1" t="s">
        <v>8187</v>
      </c>
      <c r="F5390" s="1" t="s">
        <v>8506</v>
      </c>
      <c r="H5390" s="1" t="s">
        <v>8639</v>
      </c>
      <c r="J5390" s="1" t="s">
        <v>8640</v>
      </c>
      <c r="L5390" s="1" t="s">
        <v>479</v>
      </c>
      <c r="N5390" s="1" t="s">
        <v>835</v>
      </c>
      <c r="P5390" s="1" t="s">
        <v>914</v>
      </c>
      <c r="Q5390" s="3">
        <v>0</v>
      </c>
      <c r="R5390" s="22" t="s">
        <v>2723</v>
      </c>
      <c r="T5390" s="3" t="s">
        <v>4868</v>
      </c>
      <c r="U5390" s="45">
        <v>35</v>
      </c>
      <c r="V5390" t="s">
        <v>8191</v>
      </c>
      <c r="W5390" s="1" t="str">
        <f>HYPERLINK("http://ictvonline.org/taxonomy/p/taxonomy-history?taxnode_id=201904543","ICTVonline=201904543")</f>
        <v>ICTVonline=201904543</v>
      </c>
    </row>
    <row r="5391" spans="1:23">
      <c r="A5391" s="3">
        <v>5390</v>
      </c>
      <c r="B5391" s="1" t="s">
        <v>5910</v>
      </c>
      <c r="D5391" s="1" t="s">
        <v>8187</v>
      </c>
      <c r="F5391" s="1" t="s">
        <v>8506</v>
      </c>
      <c r="H5391" s="1" t="s">
        <v>8639</v>
      </c>
      <c r="J5391" s="1" t="s">
        <v>8640</v>
      </c>
      <c r="L5391" s="1" t="s">
        <v>479</v>
      </c>
      <c r="N5391" s="1" t="s">
        <v>835</v>
      </c>
      <c r="P5391" s="1" t="s">
        <v>5499</v>
      </c>
      <c r="Q5391" s="3">
        <v>0</v>
      </c>
      <c r="R5391" s="22" t="s">
        <v>2723</v>
      </c>
      <c r="T5391" s="3" t="s">
        <v>4868</v>
      </c>
      <c r="U5391" s="45">
        <v>35</v>
      </c>
      <c r="V5391" t="s">
        <v>8191</v>
      </c>
      <c r="W5391" s="1" t="str">
        <f>HYPERLINK("http://ictvonline.org/taxonomy/p/taxonomy-history?taxnode_id=201905917","ICTVonline=201905917")</f>
        <v>ICTVonline=201905917</v>
      </c>
    </row>
    <row r="5392" spans="1:23">
      <c r="A5392" s="3">
        <v>5391</v>
      </c>
      <c r="B5392" s="1" t="s">
        <v>5910</v>
      </c>
      <c r="D5392" s="1" t="s">
        <v>8187</v>
      </c>
      <c r="F5392" s="1" t="s">
        <v>8506</v>
      </c>
      <c r="H5392" s="1" t="s">
        <v>8639</v>
      </c>
      <c r="J5392" s="1" t="s">
        <v>8640</v>
      </c>
      <c r="L5392" s="1" t="s">
        <v>479</v>
      </c>
      <c r="N5392" s="1" t="s">
        <v>835</v>
      </c>
      <c r="P5392" s="1" t="s">
        <v>915</v>
      </c>
      <c r="Q5392" s="3">
        <v>0</v>
      </c>
      <c r="R5392" s="22" t="s">
        <v>2723</v>
      </c>
      <c r="T5392" s="3" t="s">
        <v>4868</v>
      </c>
      <c r="U5392" s="45">
        <v>35</v>
      </c>
      <c r="V5392" t="s">
        <v>8191</v>
      </c>
      <c r="W5392" s="1" t="str">
        <f>HYPERLINK("http://ictvonline.org/taxonomy/p/taxonomy-history?taxnode_id=201904544","ICTVonline=201904544")</f>
        <v>ICTVonline=201904544</v>
      </c>
    </row>
    <row r="5393" spans="1:23">
      <c r="A5393" s="3">
        <v>5392</v>
      </c>
      <c r="B5393" s="1" t="s">
        <v>5910</v>
      </c>
      <c r="D5393" s="1" t="s">
        <v>8187</v>
      </c>
      <c r="F5393" s="1" t="s">
        <v>8506</v>
      </c>
      <c r="H5393" s="1" t="s">
        <v>8639</v>
      </c>
      <c r="J5393" s="1" t="s">
        <v>8640</v>
      </c>
      <c r="L5393" s="1" t="s">
        <v>479</v>
      </c>
      <c r="N5393" s="1" t="s">
        <v>835</v>
      </c>
      <c r="P5393" s="1" t="s">
        <v>916</v>
      </c>
      <c r="Q5393" s="3">
        <v>0</v>
      </c>
      <c r="R5393" s="22" t="s">
        <v>2723</v>
      </c>
      <c r="T5393" s="3" t="s">
        <v>4868</v>
      </c>
      <c r="U5393" s="45">
        <v>35</v>
      </c>
      <c r="V5393" t="s">
        <v>8191</v>
      </c>
      <c r="W5393" s="1" t="str">
        <f>HYPERLINK("http://ictvonline.org/taxonomy/p/taxonomy-history?taxnode_id=201904545","ICTVonline=201904545")</f>
        <v>ICTVonline=201904545</v>
      </c>
    </row>
    <row r="5394" spans="1:23">
      <c r="A5394" s="3">
        <v>5393</v>
      </c>
      <c r="B5394" s="1" t="s">
        <v>5910</v>
      </c>
      <c r="D5394" s="1" t="s">
        <v>8187</v>
      </c>
      <c r="F5394" s="1" t="s">
        <v>8506</v>
      </c>
      <c r="H5394" s="1" t="s">
        <v>8639</v>
      </c>
      <c r="J5394" s="1" t="s">
        <v>8640</v>
      </c>
      <c r="L5394" s="1" t="s">
        <v>479</v>
      </c>
      <c r="N5394" s="1" t="s">
        <v>835</v>
      </c>
      <c r="P5394" s="1" t="s">
        <v>917</v>
      </c>
      <c r="Q5394" s="3">
        <v>1</v>
      </c>
      <c r="R5394" s="22" t="s">
        <v>2723</v>
      </c>
      <c r="T5394" s="3" t="s">
        <v>4868</v>
      </c>
      <c r="U5394" s="45">
        <v>35</v>
      </c>
      <c r="V5394" t="s">
        <v>8191</v>
      </c>
      <c r="W5394" s="1" t="str">
        <f>HYPERLINK("http://ictvonline.org/taxonomy/p/taxonomy-history?taxnode_id=201904546","ICTVonline=201904546")</f>
        <v>ICTVonline=201904546</v>
      </c>
    </row>
    <row r="5395" spans="1:23">
      <c r="A5395" s="3">
        <v>5394</v>
      </c>
      <c r="B5395" s="1" t="s">
        <v>5910</v>
      </c>
      <c r="D5395" s="1" t="s">
        <v>8187</v>
      </c>
      <c r="F5395" s="1" t="s">
        <v>8506</v>
      </c>
      <c r="H5395" s="1" t="s">
        <v>8639</v>
      </c>
      <c r="J5395" s="1" t="s">
        <v>8640</v>
      </c>
      <c r="L5395" s="1" t="s">
        <v>479</v>
      </c>
      <c r="N5395" s="1" t="s">
        <v>835</v>
      </c>
      <c r="P5395" s="1" t="s">
        <v>2065</v>
      </c>
      <c r="Q5395" s="3">
        <v>0</v>
      </c>
      <c r="R5395" s="22" t="s">
        <v>2723</v>
      </c>
      <c r="T5395" s="3" t="s">
        <v>4868</v>
      </c>
      <c r="U5395" s="45">
        <v>35</v>
      </c>
      <c r="V5395" t="s">
        <v>8191</v>
      </c>
      <c r="W5395" s="1" t="str">
        <f>HYPERLINK("http://ictvonline.org/taxonomy/p/taxonomy-history?taxnode_id=201904547","ICTVonline=201904547")</f>
        <v>ICTVonline=201904547</v>
      </c>
    </row>
    <row r="5396" spans="1:23">
      <c r="A5396" s="3">
        <v>5395</v>
      </c>
      <c r="B5396" s="1" t="s">
        <v>5910</v>
      </c>
      <c r="D5396" s="1" t="s">
        <v>8187</v>
      </c>
      <c r="F5396" s="1" t="s">
        <v>8506</v>
      </c>
      <c r="H5396" s="1" t="s">
        <v>8639</v>
      </c>
      <c r="J5396" s="1" t="s">
        <v>8640</v>
      </c>
      <c r="L5396" s="1" t="s">
        <v>479</v>
      </c>
      <c r="N5396" s="1" t="s">
        <v>835</v>
      </c>
      <c r="P5396" s="1" t="s">
        <v>192</v>
      </c>
      <c r="Q5396" s="3">
        <v>0</v>
      </c>
      <c r="R5396" s="22" t="s">
        <v>2723</v>
      </c>
      <c r="T5396" s="3" t="s">
        <v>4868</v>
      </c>
      <c r="U5396" s="45">
        <v>35</v>
      </c>
      <c r="V5396" t="s">
        <v>8191</v>
      </c>
      <c r="W5396" s="1" t="str">
        <f>HYPERLINK("http://ictvonline.org/taxonomy/p/taxonomy-history?taxnode_id=201904548","ICTVonline=201904548")</f>
        <v>ICTVonline=201904548</v>
      </c>
    </row>
    <row r="5397" spans="1:23">
      <c r="A5397" s="3">
        <v>5396</v>
      </c>
      <c r="B5397" s="1" t="s">
        <v>5910</v>
      </c>
      <c r="D5397" s="1" t="s">
        <v>8187</v>
      </c>
      <c r="F5397" s="1" t="s">
        <v>8506</v>
      </c>
      <c r="H5397" s="1" t="s">
        <v>8639</v>
      </c>
      <c r="J5397" s="1" t="s">
        <v>8640</v>
      </c>
      <c r="L5397" s="1" t="s">
        <v>479</v>
      </c>
      <c r="N5397" s="1" t="s">
        <v>918</v>
      </c>
      <c r="P5397" s="1" t="s">
        <v>919</v>
      </c>
      <c r="Q5397" s="3">
        <v>0</v>
      </c>
      <c r="R5397" s="22" t="s">
        <v>2723</v>
      </c>
      <c r="T5397" s="3" t="s">
        <v>4868</v>
      </c>
      <c r="U5397" s="45">
        <v>35</v>
      </c>
      <c r="V5397" t="s">
        <v>8191</v>
      </c>
      <c r="W5397" s="1" t="str">
        <f>HYPERLINK("http://ictvonline.org/taxonomy/p/taxonomy-history?taxnode_id=201904550","ICTVonline=201904550")</f>
        <v>ICTVonline=201904550</v>
      </c>
    </row>
    <row r="5398" spans="1:23">
      <c r="A5398" s="3">
        <v>5397</v>
      </c>
      <c r="B5398" s="1" t="s">
        <v>5910</v>
      </c>
      <c r="D5398" s="1" t="s">
        <v>8187</v>
      </c>
      <c r="F5398" s="1" t="s">
        <v>8506</v>
      </c>
      <c r="H5398" s="1" t="s">
        <v>8639</v>
      </c>
      <c r="J5398" s="1" t="s">
        <v>8640</v>
      </c>
      <c r="L5398" s="1" t="s">
        <v>479</v>
      </c>
      <c r="N5398" s="1" t="s">
        <v>918</v>
      </c>
      <c r="P5398" s="1" t="s">
        <v>8648</v>
      </c>
      <c r="Q5398" s="3">
        <v>0</v>
      </c>
      <c r="R5398" s="22" t="s">
        <v>2723</v>
      </c>
      <c r="T5398" s="3" t="s">
        <v>4866</v>
      </c>
      <c r="U5398" s="45">
        <v>35</v>
      </c>
      <c r="V5398" t="s">
        <v>8649</v>
      </c>
      <c r="W5398" s="1" t="str">
        <f>HYPERLINK("http://ictvonline.org/taxonomy/p/taxonomy-history?taxnode_id=201907443","ICTVonline=201907443")</f>
        <v>ICTVonline=201907443</v>
      </c>
    </row>
    <row r="5399" spans="1:23">
      <c r="A5399" s="3">
        <v>5398</v>
      </c>
      <c r="B5399" s="1" t="s">
        <v>5910</v>
      </c>
      <c r="D5399" s="1" t="s">
        <v>8187</v>
      </c>
      <c r="F5399" s="1" t="s">
        <v>8506</v>
      </c>
      <c r="H5399" s="1" t="s">
        <v>8639</v>
      </c>
      <c r="J5399" s="1" t="s">
        <v>8640</v>
      </c>
      <c r="L5399" s="1" t="s">
        <v>479</v>
      </c>
      <c r="N5399" s="1" t="s">
        <v>918</v>
      </c>
      <c r="P5399" s="1" t="s">
        <v>593</v>
      </c>
      <c r="Q5399" s="3">
        <v>0</v>
      </c>
      <c r="R5399" s="22" t="s">
        <v>2723</v>
      </c>
      <c r="T5399" s="3" t="s">
        <v>4868</v>
      </c>
      <c r="U5399" s="45">
        <v>35</v>
      </c>
      <c r="V5399" t="s">
        <v>8191</v>
      </c>
      <c r="W5399" s="1" t="str">
        <f>HYPERLINK("http://ictvonline.org/taxonomy/p/taxonomy-history?taxnode_id=201904551","ICTVonline=201904551")</f>
        <v>ICTVonline=201904551</v>
      </c>
    </row>
    <row r="5400" spans="1:23">
      <c r="A5400" s="3">
        <v>5399</v>
      </c>
      <c r="B5400" s="1" t="s">
        <v>5910</v>
      </c>
      <c r="D5400" s="1" t="s">
        <v>8187</v>
      </c>
      <c r="F5400" s="1" t="s">
        <v>8506</v>
      </c>
      <c r="H5400" s="1" t="s">
        <v>8639</v>
      </c>
      <c r="J5400" s="1" t="s">
        <v>8640</v>
      </c>
      <c r="L5400" s="1" t="s">
        <v>479</v>
      </c>
      <c r="N5400" s="1" t="s">
        <v>918</v>
      </c>
      <c r="P5400" s="1" t="s">
        <v>4763</v>
      </c>
      <c r="Q5400" s="3">
        <v>0</v>
      </c>
      <c r="R5400" s="22" t="s">
        <v>2723</v>
      </c>
      <c r="T5400" s="3" t="s">
        <v>4868</v>
      </c>
      <c r="U5400" s="45">
        <v>35</v>
      </c>
      <c r="V5400" t="s">
        <v>8191</v>
      </c>
      <c r="W5400" s="1" t="str">
        <f>HYPERLINK("http://ictvonline.org/taxonomy/p/taxonomy-history?taxnode_id=201904552","ICTVonline=201904552")</f>
        <v>ICTVonline=201904552</v>
      </c>
    </row>
    <row r="5401" spans="1:23">
      <c r="A5401" s="3">
        <v>5400</v>
      </c>
      <c r="B5401" s="1" t="s">
        <v>5910</v>
      </c>
      <c r="D5401" s="1" t="s">
        <v>8187</v>
      </c>
      <c r="F5401" s="1" t="s">
        <v>8506</v>
      </c>
      <c r="H5401" s="1" t="s">
        <v>8639</v>
      </c>
      <c r="J5401" s="1" t="s">
        <v>8640</v>
      </c>
      <c r="L5401" s="1" t="s">
        <v>479</v>
      </c>
      <c r="N5401" s="1" t="s">
        <v>918</v>
      </c>
      <c r="P5401" s="1" t="s">
        <v>920</v>
      </c>
      <c r="Q5401" s="3">
        <v>0</v>
      </c>
      <c r="R5401" s="22" t="s">
        <v>2723</v>
      </c>
      <c r="T5401" s="3" t="s">
        <v>4868</v>
      </c>
      <c r="U5401" s="45">
        <v>35</v>
      </c>
      <c r="V5401" t="s">
        <v>8191</v>
      </c>
      <c r="W5401" s="1" t="str">
        <f>HYPERLINK("http://ictvonline.org/taxonomy/p/taxonomy-history?taxnode_id=201904553","ICTVonline=201904553")</f>
        <v>ICTVonline=201904553</v>
      </c>
    </row>
    <row r="5402" spans="1:23">
      <c r="A5402" s="3">
        <v>5401</v>
      </c>
      <c r="B5402" s="1" t="s">
        <v>5910</v>
      </c>
      <c r="D5402" s="1" t="s">
        <v>8187</v>
      </c>
      <c r="F5402" s="1" t="s">
        <v>8506</v>
      </c>
      <c r="H5402" s="1" t="s">
        <v>8639</v>
      </c>
      <c r="J5402" s="1" t="s">
        <v>8640</v>
      </c>
      <c r="L5402" s="1" t="s">
        <v>479</v>
      </c>
      <c r="N5402" s="1" t="s">
        <v>918</v>
      </c>
      <c r="P5402" s="1" t="s">
        <v>921</v>
      </c>
      <c r="Q5402" s="3">
        <v>0</v>
      </c>
      <c r="R5402" s="22" t="s">
        <v>2723</v>
      </c>
      <c r="T5402" s="3" t="s">
        <v>4868</v>
      </c>
      <c r="U5402" s="45">
        <v>35</v>
      </c>
      <c r="V5402" t="s">
        <v>8191</v>
      </c>
      <c r="W5402" s="1" t="str">
        <f>HYPERLINK("http://ictvonline.org/taxonomy/p/taxonomy-history?taxnode_id=201904554","ICTVonline=201904554")</f>
        <v>ICTVonline=201904554</v>
      </c>
    </row>
    <row r="5403" spans="1:23">
      <c r="A5403" s="3">
        <v>5402</v>
      </c>
      <c r="B5403" s="1" t="s">
        <v>5910</v>
      </c>
      <c r="D5403" s="1" t="s">
        <v>8187</v>
      </c>
      <c r="F5403" s="1" t="s">
        <v>8506</v>
      </c>
      <c r="H5403" s="1" t="s">
        <v>8639</v>
      </c>
      <c r="J5403" s="1" t="s">
        <v>8640</v>
      </c>
      <c r="L5403" s="1" t="s">
        <v>479</v>
      </c>
      <c r="N5403" s="1" t="s">
        <v>918</v>
      </c>
      <c r="P5403" s="1" t="s">
        <v>585</v>
      </c>
      <c r="Q5403" s="3">
        <v>1</v>
      </c>
      <c r="R5403" s="22" t="s">
        <v>2723</v>
      </c>
      <c r="T5403" s="3" t="s">
        <v>4868</v>
      </c>
      <c r="U5403" s="45">
        <v>35</v>
      </c>
      <c r="V5403" t="s">
        <v>8191</v>
      </c>
      <c r="W5403" s="1" t="str">
        <f>HYPERLINK("http://ictvonline.org/taxonomy/p/taxonomy-history?taxnode_id=201904555","ICTVonline=201904555")</f>
        <v>ICTVonline=201904555</v>
      </c>
    </row>
    <row r="5404" spans="1:23">
      <c r="A5404" s="3">
        <v>5403</v>
      </c>
      <c r="B5404" s="1" t="s">
        <v>5910</v>
      </c>
      <c r="D5404" s="1" t="s">
        <v>8187</v>
      </c>
      <c r="F5404" s="1" t="s">
        <v>8506</v>
      </c>
      <c r="H5404" s="1" t="s">
        <v>8639</v>
      </c>
      <c r="J5404" s="1" t="s">
        <v>8640</v>
      </c>
      <c r="L5404" s="1" t="s">
        <v>479</v>
      </c>
      <c r="N5404" s="1" t="s">
        <v>918</v>
      </c>
      <c r="P5404" s="1" t="s">
        <v>586</v>
      </c>
      <c r="Q5404" s="3">
        <v>0</v>
      </c>
      <c r="R5404" s="22" t="s">
        <v>2723</v>
      </c>
      <c r="T5404" s="3" t="s">
        <v>4868</v>
      </c>
      <c r="U5404" s="45">
        <v>35</v>
      </c>
      <c r="V5404" t="s">
        <v>8191</v>
      </c>
      <c r="W5404" s="1" t="str">
        <f>HYPERLINK("http://ictvonline.org/taxonomy/p/taxonomy-history?taxnode_id=201904556","ICTVonline=201904556")</f>
        <v>ICTVonline=201904556</v>
      </c>
    </row>
    <row r="5405" spans="1:23">
      <c r="A5405" s="3">
        <v>5404</v>
      </c>
      <c r="B5405" s="1" t="s">
        <v>5910</v>
      </c>
      <c r="D5405" s="1" t="s">
        <v>8187</v>
      </c>
      <c r="F5405" s="1" t="s">
        <v>8506</v>
      </c>
      <c r="H5405" s="1" t="s">
        <v>8639</v>
      </c>
      <c r="J5405" s="1" t="s">
        <v>8640</v>
      </c>
      <c r="L5405" s="1" t="s">
        <v>479</v>
      </c>
      <c r="N5405" s="1" t="s">
        <v>918</v>
      </c>
      <c r="P5405" s="1" t="s">
        <v>4764</v>
      </c>
      <c r="Q5405" s="3">
        <v>0</v>
      </c>
      <c r="R5405" s="22" t="s">
        <v>2723</v>
      </c>
      <c r="T5405" s="3" t="s">
        <v>4868</v>
      </c>
      <c r="U5405" s="45">
        <v>35</v>
      </c>
      <c r="V5405" t="s">
        <v>8191</v>
      </c>
      <c r="W5405" s="1" t="str">
        <f>HYPERLINK("http://ictvonline.org/taxonomy/p/taxonomy-history?taxnode_id=201904557","ICTVonline=201904557")</f>
        <v>ICTVonline=201904557</v>
      </c>
    </row>
    <row r="5406" spans="1:23">
      <c r="A5406" s="3">
        <v>5405</v>
      </c>
      <c r="B5406" s="1" t="s">
        <v>5910</v>
      </c>
      <c r="D5406" s="1" t="s">
        <v>8187</v>
      </c>
      <c r="F5406" s="1" t="s">
        <v>8506</v>
      </c>
      <c r="H5406" s="1" t="s">
        <v>8639</v>
      </c>
      <c r="J5406" s="1" t="s">
        <v>8640</v>
      </c>
      <c r="L5406" s="1" t="s">
        <v>479</v>
      </c>
      <c r="N5406" s="1" t="s">
        <v>918</v>
      </c>
      <c r="P5406" s="1" t="s">
        <v>8650</v>
      </c>
      <c r="Q5406" s="3">
        <v>0</v>
      </c>
      <c r="R5406" s="22" t="s">
        <v>2723</v>
      </c>
      <c r="T5406" s="3" t="s">
        <v>4866</v>
      </c>
      <c r="U5406" s="45">
        <v>35</v>
      </c>
      <c r="V5406" t="s">
        <v>8649</v>
      </c>
      <c r="W5406" s="1" t="str">
        <f>HYPERLINK("http://ictvonline.org/taxonomy/p/taxonomy-history?taxnode_id=201907444","ICTVonline=201907444")</f>
        <v>ICTVonline=201907444</v>
      </c>
    </row>
    <row r="5407" spans="1:23">
      <c r="A5407" s="3">
        <v>5406</v>
      </c>
      <c r="B5407" s="1" t="s">
        <v>5910</v>
      </c>
      <c r="D5407" s="1" t="s">
        <v>8187</v>
      </c>
      <c r="F5407" s="1" t="s">
        <v>8506</v>
      </c>
      <c r="H5407" s="1" t="s">
        <v>8639</v>
      </c>
      <c r="J5407" s="1" t="s">
        <v>8640</v>
      </c>
      <c r="L5407" s="1" t="s">
        <v>479</v>
      </c>
      <c r="N5407" s="1" t="s">
        <v>193</v>
      </c>
      <c r="P5407" s="1" t="s">
        <v>3952</v>
      </c>
      <c r="Q5407" s="3">
        <v>0</v>
      </c>
      <c r="R5407" s="22" t="s">
        <v>2723</v>
      </c>
      <c r="T5407" s="3" t="s">
        <v>4868</v>
      </c>
      <c r="U5407" s="45">
        <v>35</v>
      </c>
      <c r="V5407" t="s">
        <v>8191</v>
      </c>
      <c r="W5407" s="1" t="str">
        <f>HYPERLINK("http://ictvonline.org/taxonomy/p/taxonomy-history?taxnode_id=201904559","ICTVonline=201904559")</f>
        <v>ICTVonline=201904559</v>
      </c>
    </row>
    <row r="5408" spans="1:23">
      <c r="A5408" s="3">
        <v>5407</v>
      </c>
      <c r="B5408" s="1" t="s">
        <v>5910</v>
      </c>
      <c r="D5408" s="1" t="s">
        <v>8187</v>
      </c>
      <c r="F5408" s="1" t="s">
        <v>8506</v>
      </c>
      <c r="H5408" s="1" t="s">
        <v>8639</v>
      </c>
      <c r="J5408" s="1" t="s">
        <v>8640</v>
      </c>
      <c r="L5408" s="1" t="s">
        <v>479</v>
      </c>
      <c r="N5408" s="1" t="s">
        <v>193</v>
      </c>
      <c r="P5408" s="1" t="s">
        <v>493</v>
      </c>
      <c r="Q5408" s="3">
        <v>0</v>
      </c>
      <c r="R5408" s="22" t="s">
        <v>2723</v>
      </c>
      <c r="T5408" s="3" t="s">
        <v>4868</v>
      </c>
      <c r="U5408" s="45">
        <v>35</v>
      </c>
      <c r="V5408" t="s">
        <v>8191</v>
      </c>
      <c r="W5408" s="1" t="str">
        <f>HYPERLINK("http://ictvonline.org/taxonomy/p/taxonomy-history?taxnode_id=201904560","ICTVonline=201904560")</f>
        <v>ICTVonline=201904560</v>
      </c>
    </row>
    <row r="5409" spans="1:23">
      <c r="A5409" s="3">
        <v>5408</v>
      </c>
      <c r="B5409" s="1" t="s">
        <v>5910</v>
      </c>
      <c r="D5409" s="1" t="s">
        <v>8187</v>
      </c>
      <c r="F5409" s="1" t="s">
        <v>8506</v>
      </c>
      <c r="H5409" s="1" t="s">
        <v>8639</v>
      </c>
      <c r="J5409" s="1" t="s">
        <v>8640</v>
      </c>
      <c r="L5409" s="1" t="s">
        <v>479</v>
      </c>
      <c r="N5409" s="1" t="s">
        <v>193</v>
      </c>
      <c r="P5409" s="1" t="s">
        <v>194</v>
      </c>
      <c r="Q5409" s="3">
        <v>1</v>
      </c>
      <c r="R5409" s="22" t="s">
        <v>2723</v>
      </c>
      <c r="T5409" s="3" t="s">
        <v>4868</v>
      </c>
      <c r="U5409" s="45">
        <v>35</v>
      </c>
      <c r="V5409" t="s">
        <v>8191</v>
      </c>
      <c r="W5409" s="1" t="str">
        <f>HYPERLINK("http://ictvonline.org/taxonomy/p/taxonomy-history?taxnode_id=201904561","ICTVonline=201904561")</f>
        <v>ICTVonline=201904561</v>
      </c>
    </row>
    <row r="5410" spans="1:23">
      <c r="A5410" s="3">
        <v>5409</v>
      </c>
      <c r="B5410" s="1" t="s">
        <v>5910</v>
      </c>
      <c r="D5410" s="1" t="s">
        <v>8187</v>
      </c>
      <c r="F5410" s="1" t="s">
        <v>8506</v>
      </c>
      <c r="H5410" s="1" t="s">
        <v>8639</v>
      </c>
      <c r="J5410" s="1" t="s">
        <v>8640</v>
      </c>
      <c r="L5410" s="1" t="s">
        <v>479</v>
      </c>
      <c r="N5410" s="1" t="s">
        <v>587</v>
      </c>
      <c r="P5410" s="1" t="s">
        <v>6195</v>
      </c>
      <c r="Q5410" s="3">
        <v>0</v>
      </c>
      <c r="R5410" s="22" t="s">
        <v>2723</v>
      </c>
      <c r="T5410" s="3" t="s">
        <v>4868</v>
      </c>
      <c r="U5410" s="45">
        <v>35</v>
      </c>
      <c r="V5410" t="s">
        <v>8191</v>
      </c>
      <c r="W5410" s="1" t="str">
        <f>HYPERLINK("http://ictvonline.org/taxonomy/p/taxonomy-history?taxnode_id=201906671","ICTVonline=201906671")</f>
        <v>ICTVonline=201906671</v>
      </c>
    </row>
    <row r="5411" spans="1:23">
      <c r="A5411" s="3">
        <v>5410</v>
      </c>
      <c r="B5411" s="1" t="s">
        <v>5910</v>
      </c>
      <c r="D5411" s="1" t="s">
        <v>8187</v>
      </c>
      <c r="F5411" s="1" t="s">
        <v>8506</v>
      </c>
      <c r="H5411" s="1" t="s">
        <v>8639</v>
      </c>
      <c r="J5411" s="1" t="s">
        <v>8640</v>
      </c>
      <c r="L5411" s="1" t="s">
        <v>479</v>
      </c>
      <c r="N5411" s="1" t="s">
        <v>587</v>
      </c>
      <c r="P5411" s="1" t="s">
        <v>2096</v>
      </c>
      <c r="Q5411" s="3">
        <v>0</v>
      </c>
      <c r="R5411" s="22" t="s">
        <v>2723</v>
      </c>
      <c r="T5411" s="3" t="s">
        <v>4868</v>
      </c>
      <c r="U5411" s="45">
        <v>35</v>
      </c>
      <c r="V5411" t="s">
        <v>8191</v>
      </c>
      <c r="W5411" s="1" t="str">
        <f>HYPERLINK("http://ictvonline.org/taxonomy/p/taxonomy-history?taxnode_id=201904563","ICTVonline=201904563")</f>
        <v>ICTVonline=201904563</v>
      </c>
    </row>
    <row r="5412" spans="1:23">
      <c r="A5412" s="3">
        <v>5411</v>
      </c>
      <c r="B5412" s="1" t="s">
        <v>5910</v>
      </c>
      <c r="D5412" s="1" t="s">
        <v>8187</v>
      </c>
      <c r="F5412" s="1" t="s">
        <v>8506</v>
      </c>
      <c r="H5412" s="1" t="s">
        <v>8639</v>
      </c>
      <c r="J5412" s="1" t="s">
        <v>8640</v>
      </c>
      <c r="L5412" s="1" t="s">
        <v>479</v>
      </c>
      <c r="N5412" s="1" t="s">
        <v>587</v>
      </c>
      <c r="P5412" s="1" t="s">
        <v>588</v>
      </c>
      <c r="Q5412" s="3">
        <v>0</v>
      </c>
      <c r="R5412" s="22" t="s">
        <v>2723</v>
      </c>
      <c r="T5412" s="3" t="s">
        <v>4868</v>
      </c>
      <c r="U5412" s="45">
        <v>35</v>
      </c>
      <c r="V5412" t="s">
        <v>8191</v>
      </c>
      <c r="W5412" s="1" t="str">
        <f>HYPERLINK("http://ictvonline.org/taxonomy/p/taxonomy-history?taxnode_id=201904564","ICTVonline=201904564")</f>
        <v>ICTVonline=201904564</v>
      </c>
    </row>
    <row r="5413" spans="1:23">
      <c r="A5413" s="3">
        <v>5412</v>
      </c>
      <c r="B5413" s="1" t="s">
        <v>5910</v>
      </c>
      <c r="D5413" s="1" t="s">
        <v>8187</v>
      </c>
      <c r="F5413" s="1" t="s">
        <v>8506</v>
      </c>
      <c r="H5413" s="1" t="s">
        <v>8639</v>
      </c>
      <c r="J5413" s="1" t="s">
        <v>8640</v>
      </c>
      <c r="L5413" s="1" t="s">
        <v>479</v>
      </c>
      <c r="N5413" s="1" t="s">
        <v>587</v>
      </c>
      <c r="P5413" s="1" t="s">
        <v>2097</v>
      </c>
      <c r="Q5413" s="3">
        <v>0</v>
      </c>
      <c r="R5413" s="22" t="s">
        <v>2723</v>
      </c>
      <c r="T5413" s="3" t="s">
        <v>4868</v>
      </c>
      <c r="U5413" s="45">
        <v>35</v>
      </c>
      <c r="V5413" t="s">
        <v>8191</v>
      </c>
      <c r="W5413" s="1" t="str">
        <f>HYPERLINK("http://ictvonline.org/taxonomy/p/taxonomy-history?taxnode_id=201904565","ICTVonline=201904565")</f>
        <v>ICTVonline=201904565</v>
      </c>
    </row>
    <row r="5414" spans="1:23">
      <c r="A5414" s="3">
        <v>5413</v>
      </c>
      <c r="B5414" s="1" t="s">
        <v>5910</v>
      </c>
      <c r="D5414" s="1" t="s">
        <v>8187</v>
      </c>
      <c r="F5414" s="1" t="s">
        <v>8506</v>
      </c>
      <c r="H5414" s="1" t="s">
        <v>8639</v>
      </c>
      <c r="J5414" s="1" t="s">
        <v>8640</v>
      </c>
      <c r="L5414" s="1" t="s">
        <v>479</v>
      </c>
      <c r="N5414" s="1" t="s">
        <v>587</v>
      </c>
      <c r="P5414" s="1" t="s">
        <v>589</v>
      </c>
      <c r="Q5414" s="3">
        <v>0</v>
      </c>
      <c r="R5414" s="22" t="s">
        <v>2723</v>
      </c>
      <c r="T5414" s="3" t="s">
        <v>4868</v>
      </c>
      <c r="U5414" s="45">
        <v>35</v>
      </c>
      <c r="V5414" t="s">
        <v>8191</v>
      </c>
      <c r="W5414" s="1" t="str">
        <f>HYPERLINK("http://ictvonline.org/taxonomy/p/taxonomy-history?taxnode_id=201904566","ICTVonline=201904566")</f>
        <v>ICTVonline=201904566</v>
      </c>
    </row>
    <row r="5415" spans="1:23">
      <c r="A5415" s="3">
        <v>5414</v>
      </c>
      <c r="B5415" s="1" t="s">
        <v>5910</v>
      </c>
      <c r="D5415" s="1" t="s">
        <v>8187</v>
      </c>
      <c r="F5415" s="1" t="s">
        <v>8506</v>
      </c>
      <c r="H5415" s="1" t="s">
        <v>8639</v>
      </c>
      <c r="J5415" s="1" t="s">
        <v>8640</v>
      </c>
      <c r="L5415" s="1" t="s">
        <v>479</v>
      </c>
      <c r="N5415" s="1" t="s">
        <v>587</v>
      </c>
      <c r="P5415" s="1" t="s">
        <v>590</v>
      </c>
      <c r="Q5415" s="3">
        <v>0</v>
      </c>
      <c r="R5415" s="22" t="s">
        <v>2723</v>
      </c>
      <c r="T5415" s="3" t="s">
        <v>4868</v>
      </c>
      <c r="U5415" s="45">
        <v>35</v>
      </c>
      <c r="V5415" t="s">
        <v>8191</v>
      </c>
      <c r="W5415" s="1" t="str">
        <f>HYPERLINK("http://ictvonline.org/taxonomy/p/taxonomy-history?taxnode_id=201904567","ICTVonline=201904567")</f>
        <v>ICTVonline=201904567</v>
      </c>
    </row>
    <row r="5416" spans="1:23">
      <c r="A5416" s="3">
        <v>5415</v>
      </c>
      <c r="B5416" s="1" t="s">
        <v>5910</v>
      </c>
      <c r="D5416" s="1" t="s">
        <v>8187</v>
      </c>
      <c r="F5416" s="1" t="s">
        <v>8506</v>
      </c>
      <c r="H5416" s="1" t="s">
        <v>8639</v>
      </c>
      <c r="J5416" s="1" t="s">
        <v>8640</v>
      </c>
      <c r="L5416" s="1" t="s">
        <v>479</v>
      </c>
      <c r="N5416" s="1" t="s">
        <v>587</v>
      </c>
      <c r="P5416" s="1" t="s">
        <v>2098</v>
      </c>
      <c r="Q5416" s="3">
        <v>0</v>
      </c>
      <c r="R5416" s="22" t="s">
        <v>2723</v>
      </c>
      <c r="T5416" s="3" t="s">
        <v>4868</v>
      </c>
      <c r="U5416" s="45">
        <v>35</v>
      </c>
      <c r="V5416" t="s">
        <v>8191</v>
      </c>
      <c r="W5416" s="1" t="str">
        <f>HYPERLINK("http://ictvonline.org/taxonomy/p/taxonomy-history?taxnode_id=201904568","ICTVonline=201904568")</f>
        <v>ICTVonline=201904568</v>
      </c>
    </row>
    <row r="5417" spans="1:23">
      <c r="A5417" s="3">
        <v>5416</v>
      </c>
      <c r="B5417" s="1" t="s">
        <v>5910</v>
      </c>
      <c r="D5417" s="1" t="s">
        <v>8187</v>
      </c>
      <c r="F5417" s="1" t="s">
        <v>8506</v>
      </c>
      <c r="H5417" s="1" t="s">
        <v>8639</v>
      </c>
      <c r="J5417" s="1" t="s">
        <v>8640</v>
      </c>
      <c r="L5417" s="1" t="s">
        <v>479</v>
      </c>
      <c r="N5417" s="1" t="s">
        <v>587</v>
      </c>
      <c r="P5417" s="1" t="s">
        <v>591</v>
      </c>
      <c r="Q5417" s="3">
        <v>0</v>
      </c>
      <c r="R5417" s="22" t="s">
        <v>2723</v>
      </c>
      <c r="T5417" s="3" t="s">
        <v>4868</v>
      </c>
      <c r="U5417" s="45">
        <v>35</v>
      </c>
      <c r="V5417" t="s">
        <v>8191</v>
      </c>
      <c r="W5417" s="1" t="str">
        <f>HYPERLINK("http://ictvonline.org/taxonomy/p/taxonomy-history?taxnode_id=201904569","ICTVonline=201904569")</f>
        <v>ICTVonline=201904569</v>
      </c>
    </row>
    <row r="5418" spans="1:23">
      <c r="A5418" s="3">
        <v>5417</v>
      </c>
      <c r="B5418" s="1" t="s">
        <v>5910</v>
      </c>
      <c r="D5418" s="1" t="s">
        <v>8187</v>
      </c>
      <c r="F5418" s="1" t="s">
        <v>8506</v>
      </c>
      <c r="H5418" s="1" t="s">
        <v>8639</v>
      </c>
      <c r="J5418" s="1" t="s">
        <v>8640</v>
      </c>
      <c r="L5418" s="1" t="s">
        <v>479</v>
      </c>
      <c r="N5418" s="1" t="s">
        <v>587</v>
      </c>
      <c r="P5418" s="1" t="s">
        <v>592</v>
      </c>
      <c r="Q5418" s="3">
        <v>0</v>
      </c>
      <c r="R5418" s="22" t="s">
        <v>2723</v>
      </c>
      <c r="T5418" s="3" t="s">
        <v>4868</v>
      </c>
      <c r="U5418" s="45">
        <v>35</v>
      </c>
      <c r="V5418" t="s">
        <v>8191</v>
      </c>
      <c r="W5418" s="1" t="str">
        <f>HYPERLINK("http://ictvonline.org/taxonomy/p/taxonomy-history?taxnode_id=201904570","ICTVonline=201904570")</f>
        <v>ICTVonline=201904570</v>
      </c>
    </row>
    <row r="5419" spans="1:23">
      <c r="A5419" s="3">
        <v>5418</v>
      </c>
      <c r="B5419" s="1" t="s">
        <v>5910</v>
      </c>
      <c r="D5419" s="1" t="s">
        <v>8187</v>
      </c>
      <c r="F5419" s="1" t="s">
        <v>8506</v>
      </c>
      <c r="H5419" s="1" t="s">
        <v>8639</v>
      </c>
      <c r="J5419" s="1" t="s">
        <v>8640</v>
      </c>
      <c r="L5419" s="1" t="s">
        <v>479</v>
      </c>
      <c r="N5419" s="1" t="s">
        <v>587</v>
      </c>
      <c r="P5419" s="1" t="s">
        <v>2122</v>
      </c>
      <c r="Q5419" s="3">
        <v>0</v>
      </c>
      <c r="R5419" s="22" t="s">
        <v>2723</v>
      </c>
      <c r="T5419" s="3" t="s">
        <v>4868</v>
      </c>
      <c r="U5419" s="45">
        <v>35</v>
      </c>
      <c r="V5419" t="s">
        <v>8191</v>
      </c>
      <c r="W5419" s="1" t="str">
        <f>HYPERLINK("http://ictvonline.org/taxonomy/p/taxonomy-history?taxnode_id=201904571","ICTVonline=201904571")</f>
        <v>ICTVonline=201904571</v>
      </c>
    </row>
    <row r="5420" spans="1:23">
      <c r="A5420" s="3">
        <v>5419</v>
      </c>
      <c r="B5420" s="1" t="s">
        <v>5910</v>
      </c>
      <c r="D5420" s="1" t="s">
        <v>8187</v>
      </c>
      <c r="F5420" s="1" t="s">
        <v>8506</v>
      </c>
      <c r="H5420" s="1" t="s">
        <v>8639</v>
      </c>
      <c r="J5420" s="1" t="s">
        <v>8640</v>
      </c>
      <c r="L5420" s="1" t="s">
        <v>479</v>
      </c>
      <c r="N5420" s="1" t="s">
        <v>587</v>
      </c>
      <c r="P5420" s="1" t="s">
        <v>594</v>
      </c>
      <c r="Q5420" s="3">
        <v>0</v>
      </c>
      <c r="R5420" s="22" t="s">
        <v>2723</v>
      </c>
      <c r="T5420" s="3" t="s">
        <v>4868</v>
      </c>
      <c r="U5420" s="45">
        <v>35</v>
      </c>
      <c r="V5420" t="s">
        <v>8191</v>
      </c>
      <c r="W5420" s="1" t="str">
        <f>HYPERLINK("http://ictvonline.org/taxonomy/p/taxonomy-history?taxnode_id=201904572","ICTVonline=201904572")</f>
        <v>ICTVonline=201904572</v>
      </c>
    </row>
    <row r="5421" spans="1:23">
      <c r="A5421" s="3">
        <v>5420</v>
      </c>
      <c r="B5421" s="1" t="s">
        <v>5910</v>
      </c>
      <c r="D5421" s="1" t="s">
        <v>8187</v>
      </c>
      <c r="F5421" s="1" t="s">
        <v>8506</v>
      </c>
      <c r="H5421" s="1" t="s">
        <v>8639</v>
      </c>
      <c r="J5421" s="1" t="s">
        <v>8640</v>
      </c>
      <c r="L5421" s="1" t="s">
        <v>479</v>
      </c>
      <c r="N5421" s="1" t="s">
        <v>587</v>
      </c>
      <c r="P5421" s="1" t="s">
        <v>595</v>
      </c>
      <c r="Q5421" s="3">
        <v>0</v>
      </c>
      <c r="R5421" s="22" t="s">
        <v>2723</v>
      </c>
      <c r="T5421" s="3" t="s">
        <v>4868</v>
      </c>
      <c r="U5421" s="45">
        <v>35</v>
      </c>
      <c r="V5421" t="s">
        <v>8191</v>
      </c>
      <c r="W5421" s="1" t="str">
        <f>HYPERLINK("http://ictvonline.org/taxonomy/p/taxonomy-history?taxnode_id=201904573","ICTVonline=201904573")</f>
        <v>ICTVonline=201904573</v>
      </c>
    </row>
    <row r="5422" spans="1:23">
      <c r="A5422" s="3">
        <v>5421</v>
      </c>
      <c r="B5422" s="1" t="s">
        <v>5910</v>
      </c>
      <c r="D5422" s="1" t="s">
        <v>8187</v>
      </c>
      <c r="F5422" s="1" t="s">
        <v>8506</v>
      </c>
      <c r="H5422" s="1" t="s">
        <v>8639</v>
      </c>
      <c r="J5422" s="1" t="s">
        <v>8640</v>
      </c>
      <c r="L5422" s="1" t="s">
        <v>479</v>
      </c>
      <c r="N5422" s="1" t="s">
        <v>587</v>
      </c>
      <c r="P5422" s="1" t="s">
        <v>5500</v>
      </c>
      <c r="Q5422" s="3">
        <v>0</v>
      </c>
      <c r="R5422" s="22" t="s">
        <v>2723</v>
      </c>
      <c r="T5422" s="3" t="s">
        <v>4868</v>
      </c>
      <c r="U5422" s="45">
        <v>35</v>
      </c>
      <c r="V5422" t="s">
        <v>8191</v>
      </c>
      <c r="W5422" s="1" t="str">
        <f>HYPERLINK("http://ictvonline.org/taxonomy/p/taxonomy-history?taxnode_id=201905918","ICTVonline=201905918")</f>
        <v>ICTVonline=201905918</v>
      </c>
    </row>
    <row r="5423" spans="1:23">
      <c r="A5423" s="3">
        <v>5422</v>
      </c>
      <c r="B5423" s="1" t="s">
        <v>5910</v>
      </c>
      <c r="D5423" s="1" t="s">
        <v>8187</v>
      </c>
      <c r="F5423" s="1" t="s">
        <v>8506</v>
      </c>
      <c r="H5423" s="1" t="s">
        <v>8639</v>
      </c>
      <c r="J5423" s="1" t="s">
        <v>8640</v>
      </c>
      <c r="L5423" s="1" t="s">
        <v>479</v>
      </c>
      <c r="N5423" s="1" t="s">
        <v>587</v>
      </c>
      <c r="P5423" s="1" t="s">
        <v>596</v>
      </c>
      <c r="Q5423" s="3">
        <v>0</v>
      </c>
      <c r="R5423" s="22" t="s">
        <v>2723</v>
      </c>
      <c r="T5423" s="3" t="s">
        <v>4868</v>
      </c>
      <c r="U5423" s="45">
        <v>35</v>
      </c>
      <c r="V5423" t="s">
        <v>8191</v>
      </c>
      <c r="W5423" s="1" t="str">
        <f>HYPERLINK("http://ictvonline.org/taxonomy/p/taxonomy-history?taxnode_id=201904574","ICTVonline=201904574")</f>
        <v>ICTVonline=201904574</v>
      </c>
    </row>
    <row r="5424" spans="1:23">
      <c r="A5424" s="3">
        <v>5423</v>
      </c>
      <c r="B5424" s="1" t="s">
        <v>5910</v>
      </c>
      <c r="D5424" s="1" t="s">
        <v>8187</v>
      </c>
      <c r="F5424" s="1" t="s">
        <v>8506</v>
      </c>
      <c r="H5424" s="1" t="s">
        <v>8639</v>
      </c>
      <c r="J5424" s="1" t="s">
        <v>8640</v>
      </c>
      <c r="L5424" s="1" t="s">
        <v>479</v>
      </c>
      <c r="N5424" s="1" t="s">
        <v>587</v>
      </c>
      <c r="P5424" s="1" t="s">
        <v>597</v>
      </c>
      <c r="Q5424" s="3">
        <v>0</v>
      </c>
      <c r="R5424" s="22" t="s">
        <v>2723</v>
      </c>
      <c r="T5424" s="3" t="s">
        <v>4868</v>
      </c>
      <c r="U5424" s="45">
        <v>35</v>
      </c>
      <c r="V5424" t="s">
        <v>8191</v>
      </c>
      <c r="W5424" s="1" t="str">
        <f>HYPERLINK("http://ictvonline.org/taxonomy/p/taxonomy-history?taxnode_id=201904575","ICTVonline=201904575")</f>
        <v>ICTVonline=201904575</v>
      </c>
    </row>
    <row r="5425" spans="1:23">
      <c r="A5425" s="3">
        <v>5424</v>
      </c>
      <c r="B5425" s="1" t="s">
        <v>5910</v>
      </c>
      <c r="D5425" s="1" t="s">
        <v>8187</v>
      </c>
      <c r="F5425" s="1" t="s">
        <v>8506</v>
      </c>
      <c r="H5425" s="1" t="s">
        <v>8639</v>
      </c>
      <c r="J5425" s="1" t="s">
        <v>8640</v>
      </c>
      <c r="L5425" s="1" t="s">
        <v>479</v>
      </c>
      <c r="N5425" s="1" t="s">
        <v>587</v>
      </c>
      <c r="P5425" s="1" t="s">
        <v>598</v>
      </c>
      <c r="Q5425" s="3">
        <v>0</v>
      </c>
      <c r="R5425" s="22" t="s">
        <v>2723</v>
      </c>
      <c r="T5425" s="3" t="s">
        <v>4868</v>
      </c>
      <c r="U5425" s="45">
        <v>35</v>
      </c>
      <c r="V5425" t="s">
        <v>8191</v>
      </c>
      <c r="W5425" s="1" t="str">
        <f>HYPERLINK("http://ictvonline.org/taxonomy/p/taxonomy-history?taxnode_id=201904576","ICTVonline=201904576")</f>
        <v>ICTVonline=201904576</v>
      </c>
    </row>
    <row r="5426" spans="1:23">
      <c r="A5426" s="3">
        <v>5425</v>
      </c>
      <c r="B5426" s="1" t="s">
        <v>5910</v>
      </c>
      <c r="D5426" s="1" t="s">
        <v>8187</v>
      </c>
      <c r="F5426" s="1" t="s">
        <v>8506</v>
      </c>
      <c r="H5426" s="1" t="s">
        <v>8639</v>
      </c>
      <c r="J5426" s="1" t="s">
        <v>8640</v>
      </c>
      <c r="L5426" s="1" t="s">
        <v>479</v>
      </c>
      <c r="N5426" s="1" t="s">
        <v>587</v>
      </c>
      <c r="P5426" s="1" t="s">
        <v>599</v>
      </c>
      <c r="Q5426" s="3">
        <v>0</v>
      </c>
      <c r="R5426" s="22" t="s">
        <v>2723</v>
      </c>
      <c r="T5426" s="3" t="s">
        <v>4868</v>
      </c>
      <c r="U5426" s="45">
        <v>35</v>
      </c>
      <c r="V5426" t="s">
        <v>8191</v>
      </c>
      <c r="W5426" s="1" t="str">
        <f>HYPERLINK("http://ictvonline.org/taxonomy/p/taxonomy-history?taxnode_id=201904577","ICTVonline=201904577")</f>
        <v>ICTVonline=201904577</v>
      </c>
    </row>
    <row r="5427" spans="1:23">
      <c r="A5427" s="3">
        <v>5426</v>
      </c>
      <c r="B5427" s="1" t="s">
        <v>5910</v>
      </c>
      <c r="D5427" s="1" t="s">
        <v>8187</v>
      </c>
      <c r="F5427" s="1" t="s">
        <v>8506</v>
      </c>
      <c r="H5427" s="1" t="s">
        <v>8639</v>
      </c>
      <c r="J5427" s="1" t="s">
        <v>8640</v>
      </c>
      <c r="L5427" s="1" t="s">
        <v>479</v>
      </c>
      <c r="N5427" s="1" t="s">
        <v>587</v>
      </c>
      <c r="P5427" s="1" t="s">
        <v>600</v>
      </c>
      <c r="Q5427" s="3">
        <v>0</v>
      </c>
      <c r="R5427" s="22" t="s">
        <v>2723</v>
      </c>
      <c r="T5427" s="3" t="s">
        <v>4868</v>
      </c>
      <c r="U5427" s="45">
        <v>35</v>
      </c>
      <c r="V5427" t="s">
        <v>8191</v>
      </c>
      <c r="W5427" s="1" t="str">
        <f>HYPERLINK("http://ictvonline.org/taxonomy/p/taxonomy-history?taxnode_id=201904578","ICTVonline=201904578")</f>
        <v>ICTVonline=201904578</v>
      </c>
    </row>
    <row r="5428" spans="1:23">
      <c r="A5428" s="3">
        <v>5427</v>
      </c>
      <c r="B5428" s="1" t="s">
        <v>5910</v>
      </c>
      <c r="D5428" s="1" t="s">
        <v>8187</v>
      </c>
      <c r="F5428" s="1" t="s">
        <v>8506</v>
      </c>
      <c r="H5428" s="1" t="s">
        <v>8639</v>
      </c>
      <c r="J5428" s="1" t="s">
        <v>8640</v>
      </c>
      <c r="L5428" s="1" t="s">
        <v>479</v>
      </c>
      <c r="N5428" s="1" t="s">
        <v>587</v>
      </c>
      <c r="P5428" s="1" t="s">
        <v>2670</v>
      </c>
      <c r="Q5428" s="3">
        <v>0</v>
      </c>
      <c r="R5428" s="22" t="s">
        <v>2723</v>
      </c>
      <c r="T5428" s="3" t="s">
        <v>4868</v>
      </c>
      <c r="U5428" s="45">
        <v>35</v>
      </c>
      <c r="V5428" t="s">
        <v>8191</v>
      </c>
      <c r="W5428" s="1" t="str">
        <f>HYPERLINK("http://ictvonline.org/taxonomy/p/taxonomy-history?taxnode_id=201904579","ICTVonline=201904579")</f>
        <v>ICTVonline=201904579</v>
      </c>
    </row>
    <row r="5429" spans="1:23">
      <c r="A5429" s="3">
        <v>5428</v>
      </c>
      <c r="B5429" s="1" t="s">
        <v>5910</v>
      </c>
      <c r="D5429" s="1" t="s">
        <v>8187</v>
      </c>
      <c r="F5429" s="1" t="s">
        <v>8506</v>
      </c>
      <c r="H5429" s="1" t="s">
        <v>8639</v>
      </c>
      <c r="J5429" s="1" t="s">
        <v>8640</v>
      </c>
      <c r="L5429" s="1" t="s">
        <v>479</v>
      </c>
      <c r="N5429" s="1" t="s">
        <v>587</v>
      </c>
      <c r="P5429" s="1" t="s">
        <v>601</v>
      </c>
      <c r="Q5429" s="3">
        <v>0</v>
      </c>
      <c r="R5429" s="22" t="s">
        <v>2723</v>
      </c>
      <c r="T5429" s="3" t="s">
        <v>4868</v>
      </c>
      <c r="U5429" s="45">
        <v>35</v>
      </c>
      <c r="V5429" t="s">
        <v>8191</v>
      </c>
      <c r="W5429" s="1" t="str">
        <f>HYPERLINK("http://ictvonline.org/taxonomy/p/taxonomy-history?taxnode_id=201904580","ICTVonline=201904580")</f>
        <v>ICTVonline=201904580</v>
      </c>
    </row>
    <row r="5430" spans="1:23">
      <c r="A5430" s="3">
        <v>5429</v>
      </c>
      <c r="B5430" s="1" t="s">
        <v>5910</v>
      </c>
      <c r="D5430" s="1" t="s">
        <v>8187</v>
      </c>
      <c r="F5430" s="1" t="s">
        <v>8506</v>
      </c>
      <c r="H5430" s="1" t="s">
        <v>8639</v>
      </c>
      <c r="J5430" s="1" t="s">
        <v>8640</v>
      </c>
      <c r="L5430" s="1" t="s">
        <v>479</v>
      </c>
      <c r="N5430" s="1" t="s">
        <v>587</v>
      </c>
      <c r="P5430" s="1" t="s">
        <v>2671</v>
      </c>
      <c r="Q5430" s="3">
        <v>0</v>
      </c>
      <c r="R5430" s="22" t="s">
        <v>2723</v>
      </c>
      <c r="T5430" s="3" t="s">
        <v>4868</v>
      </c>
      <c r="U5430" s="45">
        <v>35</v>
      </c>
      <c r="V5430" t="s">
        <v>8191</v>
      </c>
      <c r="W5430" s="1" t="str">
        <f>HYPERLINK("http://ictvonline.org/taxonomy/p/taxonomy-history?taxnode_id=201904581","ICTVonline=201904581")</f>
        <v>ICTVonline=201904581</v>
      </c>
    </row>
    <row r="5431" spans="1:23">
      <c r="A5431" s="3">
        <v>5430</v>
      </c>
      <c r="B5431" s="1" t="s">
        <v>5910</v>
      </c>
      <c r="D5431" s="1" t="s">
        <v>8187</v>
      </c>
      <c r="F5431" s="1" t="s">
        <v>8506</v>
      </c>
      <c r="H5431" s="1" t="s">
        <v>8639</v>
      </c>
      <c r="J5431" s="1" t="s">
        <v>8640</v>
      </c>
      <c r="L5431" s="1" t="s">
        <v>479</v>
      </c>
      <c r="N5431" s="1" t="s">
        <v>587</v>
      </c>
      <c r="P5431" s="1" t="s">
        <v>2672</v>
      </c>
      <c r="Q5431" s="3">
        <v>0</v>
      </c>
      <c r="R5431" s="22" t="s">
        <v>2723</v>
      </c>
      <c r="T5431" s="3" t="s">
        <v>4868</v>
      </c>
      <c r="U5431" s="45">
        <v>35</v>
      </c>
      <c r="V5431" t="s">
        <v>8191</v>
      </c>
      <c r="W5431" s="1" t="str">
        <f>HYPERLINK("http://ictvonline.org/taxonomy/p/taxonomy-history?taxnode_id=201904582","ICTVonline=201904582")</f>
        <v>ICTVonline=201904582</v>
      </c>
    </row>
    <row r="5432" spans="1:23">
      <c r="A5432" s="3">
        <v>5431</v>
      </c>
      <c r="B5432" s="1" t="s">
        <v>5910</v>
      </c>
      <c r="D5432" s="1" t="s">
        <v>8187</v>
      </c>
      <c r="F5432" s="1" t="s">
        <v>8506</v>
      </c>
      <c r="H5432" s="1" t="s">
        <v>8639</v>
      </c>
      <c r="J5432" s="1" t="s">
        <v>8640</v>
      </c>
      <c r="L5432" s="1" t="s">
        <v>479</v>
      </c>
      <c r="N5432" s="1" t="s">
        <v>587</v>
      </c>
      <c r="P5432" s="1" t="s">
        <v>2123</v>
      </c>
      <c r="Q5432" s="3">
        <v>0</v>
      </c>
      <c r="R5432" s="22" t="s">
        <v>2723</v>
      </c>
      <c r="T5432" s="3" t="s">
        <v>4868</v>
      </c>
      <c r="U5432" s="45">
        <v>35</v>
      </c>
      <c r="V5432" t="s">
        <v>8191</v>
      </c>
      <c r="W5432" s="1" t="str">
        <f>HYPERLINK("http://ictvonline.org/taxonomy/p/taxonomy-history?taxnode_id=201904583","ICTVonline=201904583")</f>
        <v>ICTVonline=201904583</v>
      </c>
    </row>
    <row r="5433" spans="1:23">
      <c r="A5433" s="3">
        <v>5432</v>
      </c>
      <c r="B5433" s="1" t="s">
        <v>5910</v>
      </c>
      <c r="D5433" s="1" t="s">
        <v>8187</v>
      </c>
      <c r="F5433" s="1" t="s">
        <v>8506</v>
      </c>
      <c r="H5433" s="1" t="s">
        <v>8639</v>
      </c>
      <c r="J5433" s="1" t="s">
        <v>8640</v>
      </c>
      <c r="L5433" s="1" t="s">
        <v>479</v>
      </c>
      <c r="N5433" s="1" t="s">
        <v>587</v>
      </c>
      <c r="P5433" s="1" t="s">
        <v>2099</v>
      </c>
      <c r="Q5433" s="3">
        <v>0</v>
      </c>
      <c r="R5433" s="22" t="s">
        <v>2723</v>
      </c>
      <c r="T5433" s="3" t="s">
        <v>4868</v>
      </c>
      <c r="U5433" s="45">
        <v>35</v>
      </c>
      <c r="V5433" t="s">
        <v>8191</v>
      </c>
      <c r="W5433" s="1" t="str">
        <f>HYPERLINK("http://ictvonline.org/taxonomy/p/taxonomy-history?taxnode_id=201904584","ICTVonline=201904584")</f>
        <v>ICTVonline=201904584</v>
      </c>
    </row>
    <row r="5434" spans="1:23">
      <c r="A5434" s="3">
        <v>5433</v>
      </c>
      <c r="B5434" s="1" t="s">
        <v>5910</v>
      </c>
      <c r="D5434" s="1" t="s">
        <v>8187</v>
      </c>
      <c r="F5434" s="1" t="s">
        <v>8506</v>
      </c>
      <c r="H5434" s="1" t="s">
        <v>8639</v>
      </c>
      <c r="J5434" s="1" t="s">
        <v>8640</v>
      </c>
      <c r="L5434" s="1" t="s">
        <v>479</v>
      </c>
      <c r="N5434" s="1" t="s">
        <v>587</v>
      </c>
      <c r="P5434" s="1" t="s">
        <v>1563</v>
      </c>
      <c r="Q5434" s="3">
        <v>0</v>
      </c>
      <c r="R5434" s="22" t="s">
        <v>2723</v>
      </c>
      <c r="T5434" s="3" t="s">
        <v>4868</v>
      </c>
      <c r="U5434" s="45">
        <v>35</v>
      </c>
      <c r="V5434" t="s">
        <v>8191</v>
      </c>
      <c r="W5434" s="1" t="str">
        <f>HYPERLINK("http://ictvonline.org/taxonomy/p/taxonomy-history?taxnode_id=201904585","ICTVonline=201904585")</f>
        <v>ICTVonline=201904585</v>
      </c>
    </row>
    <row r="5435" spans="1:23">
      <c r="A5435" s="3">
        <v>5434</v>
      </c>
      <c r="B5435" s="1" t="s">
        <v>5910</v>
      </c>
      <c r="D5435" s="1" t="s">
        <v>8187</v>
      </c>
      <c r="F5435" s="1" t="s">
        <v>8506</v>
      </c>
      <c r="H5435" s="1" t="s">
        <v>8639</v>
      </c>
      <c r="J5435" s="1" t="s">
        <v>8640</v>
      </c>
      <c r="L5435" s="1" t="s">
        <v>479</v>
      </c>
      <c r="N5435" s="1" t="s">
        <v>587</v>
      </c>
      <c r="P5435" s="1" t="s">
        <v>2673</v>
      </c>
      <c r="Q5435" s="3">
        <v>0</v>
      </c>
      <c r="R5435" s="22" t="s">
        <v>2723</v>
      </c>
      <c r="T5435" s="3" t="s">
        <v>4868</v>
      </c>
      <c r="U5435" s="45">
        <v>35</v>
      </c>
      <c r="V5435" t="s">
        <v>8191</v>
      </c>
      <c r="W5435" s="1" t="str">
        <f>HYPERLINK("http://ictvonline.org/taxonomy/p/taxonomy-history?taxnode_id=201904586","ICTVonline=201904586")</f>
        <v>ICTVonline=201904586</v>
      </c>
    </row>
    <row r="5436" spans="1:23">
      <c r="A5436" s="3">
        <v>5435</v>
      </c>
      <c r="B5436" s="1" t="s">
        <v>5910</v>
      </c>
      <c r="D5436" s="1" t="s">
        <v>8187</v>
      </c>
      <c r="F5436" s="1" t="s">
        <v>8506</v>
      </c>
      <c r="H5436" s="1" t="s">
        <v>8639</v>
      </c>
      <c r="J5436" s="1" t="s">
        <v>8640</v>
      </c>
      <c r="L5436" s="1" t="s">
        <v>479</v>
      </c>
      <c r="N5436" s="1" t="s">
        <v>587</v>
      </c>
      <c r="P5436" s="1" t="s">
        <v>5501</v>
      </c>
      <c r="Q5436" s="3">
        <v>0</v>
      </c>
      <c r="R5436" s="22" t="s">
        <v>2723</v>
      </c>
      <c r="T5436" s="3" t="s">
        <v>4868</v>
      </c>
      <c r="U5436" s="45">
        <v>35</v>
      </c>
      <c r="V5436" t="s">
        <v>8191</v>
      </c>
      <c r="W5436" s="1" t="str">
        <f>HYPERLINK("http://ictvonline.org/taxonomy/p/taxonomy-history?taxnode_id=201905919","ICTVonline=201905919")</f>
        <v>ICTVonline=201905919</v>
      </c>
    </row>
    <row r="5437" spans="1:23">
      <c r="A5437" s="3">
        <v>5436</v>
      </c>
      <c r="B5437" s="1" t="s">
        <v>5910</v>
      </c>
      <c r="D5437" s="1" t="s">
        <v>8187</v>
      </c>
      <c r="F5437" s="1" t="s">
        <v>8506</v>
      </c>
      <c r="H5437" s="1" t="s">
        <v>8639</v>
      </c>
      <c r="J5437" s="1" t="s">
        <v>8640</v>
      </c>
      <c r="L5437" s="1" t="s">
        <v>479</v>
      </c>
      <c r="N5437" s="1" t="s">
        <v>587</v>
      </c>
      <c r="P5437" s="1" t="s">
        <v>2100</v>
      </c>
      <c r="Q5437" s="3">
        <v>0</v>
      </c>
      <c r="R5437" s="22" t="s">
        <v>2723</v>
      </c>
      <c r="T5437" s="3" t="s">
        <v>4868</v>
      </c>
      <c r="U5437" s="45">
        <v>35</v>
      </c>
      <c r="V5437" t="s">
        <v>8191</v>
      </c>
      <c r="W5437" s="1" t="str">
        <f>HYPERLINK("http://ictvonline.org/taxonomy/p/taxonomy-history?taxnode_id=201904587","ICTVonline=201904587")</f>
        <v>ICTVonline=201904587</v>
      </c>
    </row>
    <row r="5438" spans="1:23">
      <c r="A5438" s="3">
        <v>5437</v>
      </c>
      <c r="B5438" s="1" t="s">
        <v>5910</v>
      </c>
      <c r="D5438" s="1" t="s">
        <v>8187</v>
      </c>
      <c r="F5438" s="1" t="s">
        <v>8506</v>
      </c>
      <c r="H5438" s="1" t="s">
        <v>8639</v>
      </c>
      <c r="J5438" s="1" t="s">
        <v>8640</v>
      </c>
      <c r="L5438" s="1" t="s">
        <v>479</v>
      </c>
      <c r="N5438" s="1" t="s">
        <v>587</v>
      </c>
      <c r="P5438" s="1" t="s">
        <v>1564</v>
      </c>
      <c r="Q5438" s="3">
        <v>0</v>
      </c>
      <c r="R5438" s="22" t="s">
        <v>2723</v>
      </c>
      <c r="T5438" s="3" t="s">
        <v>4868</v>
      </c>
      <c r="U5438" s="45">
        <v>35</v>
      </c>
      <c r="V5438" t="s">
        <v>8191</v>
      </c>
      <c r="W5438" s="1" t="str">
        <f>HYPERLINK("http://ictvonline.org/taxonomy/p/taxonomy-history?taxnode_id=201904588","ICTVonline=201904588")</f>
        <v>ICTVonline=201904588</v>
      </c>
    </row>
    <row r="5439" spans="1:23">
      <c r="A5439" s="3">
        <v>5438</v>
      </c>
      <c r="B5439" s="1" t="s">
        <v>5910</v>
      </c>
      <c r="D5439" s="1" t="s">
        <v>8187</v>
      </c>
      <c r="F5439" s="1" t="s">
        <v>8506</v>
      </c>
      <c r="H5439" s="1" t="s">
        <v>8639</v>
      </c>
      <c r="J5439" s="1" t="s">
        <v>8640</v>
      </c>
      <c r="L5439" s="1" t="s">
        <v>479</v>
      </c>
      <c r="N5439" s="1" t="s">
        <v>587</v>
      </c>
      <c r="P5439" s="1" t="s">
        <v>1565</v>
      </c>
      <c r="Q5439" s="3">
        <v>0</v>
      </c>
      <c r="R5439" s="22" t="s">
        <v>2723</v>
      </c>
      <c r="T5439" s="3" t="s">
        <v>4868</v>
      </c>
      <c r="U5439" s="45">
        <v>35</v>
      </c>
      <c r="V5439" t="s">
        <v>8191</v>
      </c>
      <c r="W5439" s="1" t="str">
        <f>HYPERLINK("http://ictvonline.org/taxonomy/p/taxonomy-history?taxnode_id=201904589","ICTVonline=201904589")</f>
        <v>ICTVonline=201904589</v>
      </c>
    </row>
    <row r="5440" spans="1:23">
      <c r="A5440" s="3">
        <v>5439</v>
      </c>
      <c r="B5440" s="1" t="s">
        <v>5910</v>
      </c>
      <c r="D5440" s="1" t="s">
        <v>8187</v>
      </c>
      <c r="F5440" s="1" t="s">
        <v>8506</v>
      </c>
      <c r="H5440" s="1" t="s">
        <v>8639</v>
      </c>
      <c r="J5440" s="1" t="s">
        <v>8640</v>
      </c>
      <c r="L5440" s="1" t="s">
        <v>479</v>
      </c>
      <c r="N5440" s="1" t="s">
        <v>587</v>
      </c>
      <c r="P5440" s="1" t="s">
        <v>1566</v>
      </c>
      <c r="Q5440" s="3">
        <v>0</v>
      </c>
      <c r="R5440" s="22" t="s">
        <v>2723</v>
      </c>
      <c r="T5440" s="3" t="s">
        <v>4868</v>
      </c>
      <c r="U5440" s="45">
        <v>35</v>
      </c>
      <c r="V5440" t="s">
        <v>8191</v>
      </c>
      <c r="W5440" s="1" t="str">
        <f>HYPERLINK("http://ictvonline.org/taxonomy/p/taxonomy-history?taxnode_id=201904590","ICTVonline=201904590")</f>
        <v>ICTVonline=201904590</v>
      </c>
    </row>
    <row r="5441" spans="1:23">
      <c r="A5441" s="3">
        <v>5440</v>
      </c>
      <c r="B5441" s="1" t="s">
        <v>5910</v>
      </c>
      <c r="D5441" s="1" t="s">
        <v>8187</v>
      </c>
      <c r="F5441" s="1" t="s">
        <v>8506</v>
      </c>
      <c r="H5441" s="1" t="s">
        <v>8639</v>
      </c>
      <c r="J5441" s="1" t="s">
        <v>8640</v>
      </c>
      <c r="L5441" s="1" t="s">
        <v>479</v>
      </c>
      <c r="N5441" s="1" t="s">
        <v>587</v>
      </c>
      <c r="P5441" s="1" t="s">
        <v>3953</v>
      </c>
      <c r="Q5441" s="3">
        <v>0</v>
      </c>
      <c r="R5441" s="22" t="s">
        <v>2723</v>
      </c>
      <c r="T5441" s="3" t="s">
        <v>4868</v>
      </c>
      <c r="U5441" s="45">
        <v>35</v>
      </c>
      <c r="V5441" t="s">
        <v>8191</v>
      </c>
      <c r="W5441" s="1" t="str">
        <f>HYPERLINK("http://ictvonline.org/taxonomy/p/taxonomy-history?taxnode_id=201904591","ICTVonline=201904591")</f>
        <v>ICTVonline=201904591</v>
      </c>
    </row>
    <row r="5442" spans="1:23">
      <c r="A5442" s="3">
        <v>5441</v>
      </c>
      <c r="B5442" s="1" t="s">
        <v>5910</v>
      </c>
      <c r="D5442" s="1" t="s">
        <v>8187</v>
      </c>
      <c r="F5442" s="1" t="s">
        <v>8506</v>
      </c>
      <c r="H5442" s="1" t="s">
        <v>8639</v>
      </c>
      <c r="J5442" s="1" t="s">
        <v>8640</v>
      </c>
      <c r="L5442" s="1" t="s">
        <v>479</v>
      </c>
      <c r="N5442" s="1" t="s">
        <v>587</v>
      </c>
      <c r="P5442" s="1" t="s">
        <v>1567</v>
      </c>
      <c r="Q5442" s="3">
        <v>0</v>
      </c>
      <c r="R5442" s="22" t="s">
        <v>2723</v>
      </c>
      <c r="T5442" s="3" t="s">
        <v>4868</v>
      </c>
      <c r="U5442" s="45">
        <v>35</v>
      </c>
      <c r="V5442" t="s">
        <v>8191</v>
      </c>
      <c r="W5442" s="1" t="str">
        <f>HYPERLINK("http://ictvonline.org/taxonomy/p/taxonomy-history?taxnode_id=201904592","ICTVonline=201904592")</f>
        <v>ICTVonline=201904592</v>
      </c>
    </row>
    <row r="5443" spans="1:23">
      <c r="A5443" s="3">
        <v>5442</v>
      </c>
      <c r="B5443" s="1" t="s">
        <v>5910</v>
      </c>
      <c r="D5443" s="1" t="s">
        <v>8187</v>
      </c>
      <c r="F5443" s="1" t="s">
        <v>8506</v>
      </c>
      <c r="H5443" s="1" t="s">
        <v>8639</v>
      </c>
      <c r="J5443" s="1" t="s">
        <v>8640</v>
      </c>
      <c r="L5443" s="1" t="s">
        <v>479</v>
      </c>
      <c r="N5443" s="1" t="s">
        <v>587</v>
      </c>
      <c r="P5443" s="1" t="s">
        <v>1568</v>
      </c>
      <c r="Q5443" s="3">
        <v>0</v>
      </c>
      <c r="R5443" s="22" t="s">
        <v>2723</v>
      </c>
      <c r="T5443" s="3" t="s">
        <v>4868</v>
      </c>
      <c r="U5443" s="45">
        <v>35</v>
      </c>
      <c r="V5443" t="s">
        <v>8191</v>
      </c>
      <c r="W5443" s="1" t="str">
        <f>HYPERLINK("http://ictvonline.org/taxonomy/p/taxonomy-history?taxnode_id=201904593","ICTVonline=201904593")</f>
        <v>ICTVonline=201904593</v>
      </c>
    </row>
    <row r="5444" spans="1:23">
      <c r="A5444" s="3">
        <v>5443</v>
      </c>
      <c r="B5444" s="1" t="s">
        <v>5910</v>
      </c>
      <c r="D5444" s="1" t="s">
        <v>8187</v>
      </c>
      <c r="F5444" s="1" t="s">
        <v>8506</v>
      </c>
      <c r="H5444" s="1" t="s">
        <v>8639</v>
      </c>
      <c r="J5444" s="1" t="s">
        <v>8640</v>
      </c>
      <c r="L5444" s="1" t="s">
        <v>479</v>
      </c>
      <c r="N5444" s="1" t="s">
        <v>587</v>
      </c>
      <c r="P5444" s="1" t="s">
        <v>2124</v>
      </c>
      <c r="Q5444" s="3">
        <v>0</v>
      </c>
      <c r="R5444" s="22" t="s">
        <v>2723</v>
      </c>
      <c r="T5444" s="3" t="s">
        <v>4868</v>
      </c>
      <c r="U5444" s="45">
        <v>35</v>
      </c>
      <c r="V5444" t="s">
        <v>8191</v>
      </c>
      <c r="W5444" s="1" t="str">
        <f>HYPERLINK("http://ictvonline.org/taxonomy/p/taxonomy-history?taxnode_id=201904594","ICTVonline=201904594")</f>
        <v>ICTVonline=201904594</v>
      </c>
    </row>
    <row r="5445" spans="1:23">
      <c r="A5445" s="3">
        <v>5444</v>
      </c>
      <c r="B5445" s="1" t="s">
        <v>5910</v>
      </c>
      <c r="D5445" s="1" t="s">
        <v>8187</v>
      </c>
      <c r="F5445" s="1" t="s">
        <v>8506</v>
      </c>
      <c r="H5445" s="1" t="s">
        <v>8639</v>
      </c>
      <c r="J5445" s="1" t="s">
        <v>8640</v>
      </c>
      <c r="L5445" s="1" t="s">
        <v>479</v>
      </c>
      <c r="N5445" s="1" t="s">
        <v>587</v>
      </c>
      <c r="P5445" s="1" t="s">
        <v>1569</v>
      </c>
      <c r="Q5445" s="3">
        <v>0</v>
      </c>
      <c r="R5445" s="22" t="s">
        <v>2723</v>
      </c>
      <c r="T5445" s="3" t="s">
        <v>4868</v>
      </c>
      <c r="U5445" s="45">
        <v>35</v>
      </c>
      <c r="V5445" t="s">
        <v>8191</v>
      </c>
      <c r="W5445" s="1" t="str">
        <f>HYPERLINK("http://ictvonline.org/taxonomy/p/taxonomy-history?taxnode_id=201904595","ICTVonline=201904595")</f>
        <v>ICTVonline=201904595</v>
      </c>
    </row>
    <row r="5446" spans="1:23">
      <c r="A5446" s="3">
        <v>5445</v>
      </c>
      <c r="B5446" s="1" t="s">
        <v>5910</v>
      </c>
      <c r="D5446" s="1" t="s">
        <v>8187</v>
      </c>
      <c r="F5446" s="1" t="s">
        <v>8506</v>
      </c>
      <c r="H5446" s="1" t="s">
        <v>8639</v>
      </c>
      <c r="J5446" s="1" t="s">
        <v>8640</v>
      </c>
      <c r="L5446" s="1" t="s">
        <v>479</v>
      </c>
      <c r="N5446" s="1" t="s">
        <v>587</v>
      </c>
      <c r="P5446" s="1" t="s">
        <v>1570</v>
      </c>
      <c r="Q5446" s="3">
        <v>0</v>
      </c>
      <c r="R5446" s="22" t="s">
        <v>2723</v>
      </c>
      <c r="T5446" s="3" t="s">
        <v>4868</v>
      </c>
      <c r="U5446" s="45">
        <v>35</v>
      </c>
      <c r="V5446" t="s">
        <v>8191</v>
      </c>
      <c r="W5446" s="1" t="str">
        <f>HYPERLINK("http://ictvonline.org/taxonomy/p/taxonomy-history?taxnode_id=201904596","ICTVonline=201904596")</f>
        <v>ICTVonline=201904596</v>
      </c>
    </row>
    <row r="5447" spans="1:23">
      <c r="A5447" s="3">
        <v>5446</v>
      </c>
      <c r="B5447" s="1" t="s">
        <v>5910</v>
      </c>
      <c r="D5447" s="1" t="s">
        <v>8187</v>
      </c>
      <c r="F5447" s="1" t="s">
        <v>8506</v>
      </c>
      <c r="H5447" s="1" t="s">
        <v>8639</v>
      </c>
      <c r="J5447" s="1" t="s">
        <v>8640</v>
      </c>
      <c r="L5447" s="1" t="s">
        <v>479</v>
      </c>
      <c r="N5447" s="1" t="s">
        <v>587</v>
      </c>
      <c r="P5447" s="1" t="s">
        <v>1571</v>
      </c>
      <c r="Q5447" s="3">
        <v>0</v>
      </c>
      <c r="R5447" s="22" t="s">
        <v>2723</v>
      </c>
      <c r="T5447" s="3" t="s">
        <v>4868</v>
      </c>
      <c r="U5447" s="45">
        <v>35</v>
      </c>
      <c r="V5447" t="s">
        <v>8191</v>
      </c>
      <c r="W5447" s="1" t="str">
        <f>HYPERLINK("http://ictvonline.org/taxonomy/p/taxonomy-history?taxnode_id=201904597","ICTVonline=201904597")</f>
        <v>ICTVonline=201904597</v>
      </c>
    </row>
    <row r="5448" spans="1:23">
      <c r="A5448" s="3">
        <v>5447</v>
      </c>
      <c r="B5448" s="1" t="s">
        <v>5910</v>
      </c>
      <c r="D5448" s="1" t="s">
        <v>8187</v>
      </c>
      <c r="F5448" s="1" t="s">
        <v>8506</v>
      </c>
      <c r="H5448" s="1" t="s">
        <v>8639</v>
      </c>
      <c r="J5448" s="1" t="s">
        <v>8640</v>
      </c>
      <c r="L5448" s="1" t="s">
        <v>479</v>
      </c>
      <c r="N5448" s="1" t="s">
        <v>587</v>
      </c>
      <c r="P5448" s="1" t="s">
        <v>1572</v>
      </c>
      <c r="Q5448" s="3">
        <v>0</v>
      </c>
      <c r="R5448" s="22" t="s">
        <v>2723</v>
      </c>
      <c r="T5448" s="3" t="s">
        <v>4868</v>
      </c>
      <c r="U5448" s="45">
        <v>35</v>
      </c>
      <c r="V5448" t="s">
        <v>8191</v>
      </c>
      <c r="W5448" s="1" t="str">
        <f>HYPERLINK("http://ictvonline.org/taxonomy/p/taxonomy-history?taxnode_id=201904598","ICTVonline=201904598")</f>
        <v>ICTVonline=201904598</v>
      </c>
    </row>
    <row r="5449" spans="1:23">
      <c r="A5449" s="3">
        <v>5448</v>
      </c>
      <c r="B5449" s="1" t="s">
        <v>5910</v>
      </c>
      <c r="D5449" s="1" t="s">
        <v>8187</v>
      </c>
      <c r="F5449" s="1" t="s">
        <v>8506</v>
      </c>
      <c r="H5449" s="1" t="s">
        <v>8639</v>
      </c>
      <c r="J5449" s="1" t="s">
        <v>8640</v>
      </c>
      <c r="L5449" s="1" t="s">
        <v>479</v>
      </c>
      <c r="N5449" s="1" t="s">
        <v>587</v>
      </c>
      <c r="P5449" s="1" t="s">
        <v>2081</v>
      </c>
      <c r="Q5449" s="3">
        <v>0</v>
      </c>
      <c r="R5449" s="22" t="s">
        <v>2723</v>
      </c>
      <c r="T5449" s="3" t="s">
        <v>4868</v>
      </c>
      <c r="U5449" s="45">
        <v>35</v>
      </c>
      <c r="V5449" t="s">
        <v>8191</v>
      </c>
      <c r="W5449" s="1" t="str">
        <f>HYPERLINK("http://ictvonline.org/taxonomy/p/taxonomy-history?taxnode_id=201904599","ICTVonline=201904599")</f>
        <v>ICTVonline=201904599</v>
      </c>
    </row>
    <row r="5450" spans="1:23">
      <c r="A5450" s="3">
        <v>5449</v>
      </c>
      <c r="B5450" s="1" t="s">
        <v>5910</v>
      </c>
      <c r="D5450" s="1" t="s">
        <v>8187</v>
      </c>
      <c r="F5450" s="1" t="s">
        <v>8506</v>
      </c>
      <c r="H5450" s="1" t="s">
        <v>8639</v>
      </c>
      <c r="J5450" s="1" t="s">
        <v>8640</v>
      </c>
      <c r="L5450" s="1" t="s">
        <v>479</v>
      </c>
      <c r="N5450" s="1" t="s">
        <v>587</v>
      </c>
      <c r="P5450" s="1" t="s">
        <v>2082</v>
      </c>
      <c r="Q5450" s="3">
        <v>0</v>
      </c>
      <c r="R5450" s="22" t="s">
        <v>2723</v>
      </c>
      <c r="T5450" s="3" t="s">
        <v>4868</v>
      </c>
      <c r="U5450" s="45">
        <v>35</v>
      </c>
      <c r="V5450" t="s">
        <v>8191</v>
      </c>
      <c r="W5450" s="1" t="str">
        <f>HYPERLINK("http://ictvonline.org/taxonomy/p/taxonomy-history?taxnode_id=201904600","ICTVonline=201904600")</f>
        <v>ICTVonline=201904600</v>
      </c>
    </row>
    <row r="5451" spans="1:23">
      <c r="A5451" s="3">
        <v>5450</v>
      </c>
      <c r="B5451" s="1" t="s">
        <v>5910</v>
      </c>
      <c r="D5451" s="1" t="s">
        <v>8187</v>
      </c>
      <c r="F5451" s="1" t="s">
        <v>8506</v>
      </c>
      <c r="H5451" s="1" t="s">
        <v>8639</v>
      </c>
      <c r="J5451" s="1" t="s">
        <v>8640</v>
      </c>
      <c r="L5451" s="1" t="s">
        <v>479</v>
      </c>
      <c r="N5451" s="1" t="s">
        <v>587</v>
      </c>
      <c r="P5451" s="1" t="s">
        <v>2083</v>
      </c>
      <c r="Q5451" s="3">
        <v>0</v>
      </c>
      <c r="R5451" s="22" t="s">
        <v>2723</v>
      </c>
      <c r="T5451" s="3" t="s">
        <v>4868</v>
      </c>
      <c r="U5451" s="45">
        <v>35</v>
      </c>
      <c r="V5451" t="s">
        <v>8191</v>
      </c>
      <c r="W5451" s="1" t="str">
        <f>HYPERLINK("http://ictvonline.org/taxonomy/p/taxonomy-history?taxnode_id=201904601","ICTVonline=201904601")</f>
        <v>ICTVonline=201904601</v>
      </c>
    </row>
    <row r="5452" spans="1:23">
      <c r="A5452" s="3">
        <v>5451</v>
      </c>
      <c r="B5452" s="1" t="s">
        <v>5910</v>
      </c>
      <c r="D5452" s="1" t="s">
        <v>8187</v>
      </c>
      <c r="F5452" s="1" t="s">
        <v>8506</v>
      </c>
      <c r="H5452" s="1" t="s">
        <v>8639</v>
      </c>
      <c r="J5452" s="1" t="s">
        <v>8640</v>
      </c>
      <c r="L5452" s="1" t="s">
        <v>479</v>
      </c>
      <c r="N5452" s="1" t="s">
        <v>587</v>
      </c>
      <c r="P5452" s="1" t="s">
        <v>2084</v>
      </c>
      <c r="Q5452" s="3">
        <v>0</v>
      </c>
      <c r="R5452" s="22" t="s">
        <v>2723</v>
      </c>
      <c r="T5452" s="3" t="s">
        <v>4868</v>
      </c>
      <c r="U5452" s="45">
        <v>35</v>
      </c>
      <c r="V5452" t="s">
        <v>8191</v>
      </c>
      <c r="W5452" s="1" t="str">
        <f>HYPERLINK("http://ictvonline.org/taxonomy/p/taxonomy-history?taxnode_id=201904602","ICTVonline=201904602")</f>
        <v>ICTVonline=201904602</v>
      </c>
    </row>
    <row r="5453" spans="1:23">
      <c r="A5453" s="3">
        <v>5452</v>
      </c>
      <c r="B5453" s="1" t="s">
        <v>5910</v>
      </c>
      <c r="D5453" s="1" t="s">
        <v>8187</v>
      </c>
      <c r="F5453" s="1" t="s">
        <v>8506</v>
      </c>
      <c r="H5453" s="1" t="s">
        <v>8639</v>
      </c>
      <c r="J5453" s="1" t="s">
        <v>8640</v>
      </c>
      <c r="L5453" s="1" t="s">
        <v>479</v>
      </c>
      <c r="N5453" s="1" t="s">
        <v>587</v>
      </c>
      <c r="P5453" s="1" t="s">
        <v>6196</v>
      </c>
      <c r="Q5453" s="3">
        <v>0</v>
      </c>
      <c r="R5453" s="22" t="s">
        <v>2723</v>
      </c>
      <c r="T5453" s="3" t="s">
        <v>4868</v>
      </c>
      <c r="U5453" s="45">
        <v>35</v>
      </c>
      <c r="V5453" t="s">
        <v>8191</v>
      </c>
      <c r="W5453" s="1" t="str">
        <f>HYPERLINK("http://ictvonline.org/taxonomy/p/taxonomy-history?taxnode_id=201906672","ICTVonline=201906672")</f>
        <v>ICTVonline=201906672</v>
      </c>
    </row>
    <row r="5454" spans="1:23">
      <c r="A5454" s="3">
        <v>5453</v>
      </c>
      <c r="B5454" s="1" t="s">
        <v>5910</v>
      </c>
      <c r="D5454" s="1" t="s">
        <v>8187</v>
      </c>
      <c r="F5454" s="1" t="s">
        <v>8506</v>
      </c>
      <c r="H5454" s="1" t="s">
        <v>8639</v>
      </c>
      <c r="J5454" s="1" t="s">
        <v>8640</v>
      </c>
      <c r="L5454" s="1" t="s">
        <v>479</v>
      </c>
      <c r="N5454" s="1" t="s">
        <v>587</v>
      </c>
      <c r="P5454" s="1" t="s">
        <v>2085</v>
      </c>
      <c r="Q5454" s="3">
        <v>0</v>
      </c>
      <c r="R5454" s="22" t="s">
        <v>2723</v>
      </c>
      <c r="T5454" s="3" t="s">
        <v>4868</v>
      </c>
      <c r="U5454" s="45">
        <v>35</v>
      </c>
      <c r="V5454" t="s">
        <v>8191</v>
      </c>
      <c r="W5454" s="1" t="str">
        <f>HYPERLINK("http://ictvonline.org/taxonomy/p/taxonomy-history?taxnode_id=201904603","ICTVonline=201904603")</f>
        <v>ICTVonline=201904603</v>
      </c>
    </row>
    <row r="5455" spans="1:23">
      <c r="A5455" s="3">
        <v>5454</v>
      </c>
      <c r="B5455" s="1" t="s">
        <v>5910</v>
      </c>
      <c r="D5455" s="1" t="s">
        <v>8187</v>
      </c>
      <c r="F5455" s="1" t="s">
        <v>8506</v>
      </c>
      <c r="H5455" s="1" t="s">
        <v>8639</v>
      </c>
      <c r="J5455" s="1" t="s">
        <v>8640</v>
      </c>
      <c r="L5455" s="1" t="s">
        <v>479</v>
      </c>
      <c r="N5455" s="1" t="s">
        <v>587</v>
      </c>
      <c r="P5455" s="1" t="s">
        <v>2674</v>
      </c>
      <c r="Q5455" s="3">
        <v>0</v>
      </c>
      <c r="R5455" s="22" t="s">
        <v>2723</v>
      </c>
      <c r="T5455" s="3" t="s">
        <v>4868</v>
      </c>
      <c r="U5455" s="45">
        <v>35</v>
      </c>
      <c r="V5455" t="s">
        <v>8191</v>
      </c>
      <c r="W5455" s="1" t="str">
        <f>HYPERLINK("http://ictvonline.org/taxonomy/p/taxonomy-history?taxnode_id=201904604","ICTVonline=201904604")</f>
        <v>ICTVonline=201904604</v>
      </c>
    </row>
    <row r="5456" spans="1:23">
      <c r="A5456" s="3">
        <v>5455</v>
      </c>
      <c r="B5456" s="1" t="s">
        <v>5910</v>
      </c>
      <c r="D5456" s="1" t="s">
        <v>8187</v>
      </c>
      <c r="F5456" s="1" t="s">
        <v>8506</v>
      </c>
      <c r="H5456" s="1" t="s">
        <v>8639</v>
      </c>
      <c r="J5456" s="1" t="s">
        <v>8640</v>
      </c>
      <c r="L5456" s="1" t="s">
        <v>479</v>
      </c>
      <c r="N5456" s="1" t="s">
        <v>587</v>
      </c>
      <c r="P5456" s="1" t="s">
        <v>2086</v>
      </c>
      <c r="Q5456" s="3">
        <v>0</v>
      </c>
      <c r="R5456" s="22" t="s">
        <v>2723</v>
      </c>
      <c r="T5456" s="3" t="s">
        <v>4868</v>
      </c>
      <c r="U5456" s="45">
        <v>35</v>
      </c>
      <c r="V5456" t="s">
        <v>8191</v>
      </c>
      <c r="W5456" s="1" t="str">
        <f>HYPERLINK("http://ictvonline.org/taxonomy/p/taxonomy-history?taxnode_id=201904605","ICTVonline=201904605")</f>
        <v>ICTVonline=201904605</v>
      </c>
    </row>
    <row r="5457" spans="1:23">
      <c r="A5457" s="3">
        <v>5456</v>
      </c>
      <c r="B5457" s="1" t="s">
        <v>5910</v>
      </c>
      <c r="D5457" s="1" t="s">
        <v>8187</v>
      </c>
      <c r="F5457" s="1" t="s">
        <v>8506</v>
      </c>
      <c r="H5457" s="1" t="s">
        <v>8639</v>
      </c>
      <c r="J5457" s="1" t="s">
        <v>8640</v>
      </c>
      <c r="L5457" s="1" t="s">
        <v>479</v>
      </c>
      <c r="N5457" s="1" t="s">
        <v>587</v>
      </c>
      <c r="P5457" s="1" t="s">
        <v>5502</v>
      </c>
      <c r="Q5457" s="3">
        <v>0</v>
      </c>
      <c r="R5457" s="22" t="s">
        <v>2723</v>
      </c>
      <c r="T5457" s="3" t="s">
        <v>4868</v>
      </c>
      <c r="U5457" s="45">
        <v>35</v>
      </c>
      <c r="V5457" t="s">
        <v>8191</v>
      </c>
      <c r="W5457" s="1" t="str">
        <f>HYPERLINK("http://ictvonline.org/taxonomy/p/taxonomy-history?taxnode_id=201905920","ICTVonline=201905920")</f>
        <v>ICTVonline=201905920</v>
      </c>
    </row>
    <row r="5458" spans="1:23">
      <c r="A5458" s="3">
        <v>5457</v>
      </c>
      <c r="B5458" s="1" t="s">
        <v>5910</v>
      </c>
      <c r="D5458" s="1" t="s">
        <v>8187</v>
      </c>
      <c r="F5458" s="1" t="s">
        <v>8506</v>
      </c>
      <c r="H5458" s="1" t="s">
        <v>8639</v>
      </c>
      <c r="J5458" s="1" t="s">
        <v>8640</v>
      </c>
      <c r="L5458" s="1" t="s">
        <v>479</v>
      </c>
      <c r="N5458" s="1" t="s">
        <v>587</v>
      </c>
      <c r="P5458" s="1" t="s">
        <v>2087</v>
      </c>
      <c r="Q5458" s="3">
        <v>0</v>
      </c>
      <c r="R5458" s="22" t="s">
        <v>2723</v>
      </c>
      <c r="T5458" s="3" t="s">
        <v>4868</v>
      </c>
      <c r="U5458" s="45">
        <v>35</v>
      </c>
      <c r="V5458" t="s">
        <v>8191</v>
      </c>
      <c r="W5458" s="1" t="str">
        <f>HYPERLINK("http://ictvonline.org/taxonomy/p/taxonomy-history?taxnode_id=201904606","ICTVonline=201904606")</f>
        <v>ICTVonline=201904606</v>
      </c>
    </row>
    <row r="5459" spans="1:23">
      <c r="A5459" s="3">
        <v>5458</v>
      </c>
      <c r="B5459" s="1" t="s">
        <v>5910</v>
      </c>
      <c r="D5459" s="1" t="s">
        <v>8187</v>
      </c>
      <c r="F5459" s="1" t="s">
        <v>8506</v>
      </c>
      <c r="H5459" s="1" t="s">
        <v>8639</v>
      </c>
      <c r="J5459" s="1" t="s">
        <v>8640</v>
      </c>
      <c r="L5459" s="1" t="s">
        <v>479</v>
      </c>
      <c r="N5459" s="1" t="s">
        <v>587</v>
      </c>
      <c r="P5459" s="1" t="s">
        <v>2088</v>
      </c>
      <c r="Q5459" s="3">
        <v>0</v>
      </c>
      <c r="R5459" s="22" t="s">
        <v>2723</v>
      </c>
      <c r="T5459" s="3" t="s">
        <v>4868</v>
      </c>
      <c r="U5459" s="45">
        <v>35</v>
      </c>
      <c r="V5459" t="s">
        <v>8191</v>
      </c>
      <c r="W5459" s="1" t="str">
        <f>HYPERLINK("http://ictvonline.org/taxonomy/p/taxonomy-history?taxnode_id=201904607","ICTVonline=201904607")</f>
        <v>ICTVonline=201904607</v>
      </c>
    </row>
    <row r="5460" spans="1:23">
      <c r="A5460" s="3">
        <v>5459</v>
      </c>
      <c r="B5460" s="1" t="s">
        <v>5910</v>
      </c>
      <c r="D5460" s="1" t="s">
        <v>8187</v>
      </c>
      <c r="F5460" s="1" t="s">
        <v>8506</v>
      </c>
      <c r="H5460" s="1" t="s">
        <v>8639</v>
      </c>
      <c r="J5460" s="1" t="s">
        <v>8640</v>
      </c>
      <c r="L5460" s="1" t="s">
        <v>479</v>
      </c>
      <c r="N5460" s="1" t="s">
        <v>587</v>
      </c>
      <c r="P5460" s="1" t="s">
        <v>8651</v>
      </c>
      <c r="Q5460" s="3">
        <v>0</v>
      </c>
      <c r="R5460" s="22" t="s">
        <v>2723</v>
      </c>
      <c r="T5460" s="3" t="s">
        <v>4866</v>
      </c>
      <c r="U5460" s="45">
        <v>35</v>
      </c>
      <c r="V5460" t="s">
        <v>8652</v>
      </c>
      <c r="W5460" s="1" t="str">
        <f>HYPERLINK("http://ictvonline.org/taxonomy/p/taxonomy-history?taxnode_id=201907431","ICTVonline=201907431")</f>
        <v>ICTVonline=201907431</v>
      </c>
    </row>
    <row r="5461" spans="1:23">
      <c r="A5461" s="3">
        <v>5460</v>
      </c>
      <c r="B5461" s="1" t="s">
        <v>5910</v>
      </c>
      <c r="D5461" s="1" t="s">
        <v>8187</v>
      </c>
      <c r="F5461" s="1" t="s">
        <v>8506</v>
      </c>
      <c r="H5461" s="1" t="s">
        <v>8639</v>
      </c>
      <c r="J5461" s="1" t="s">
        <v>8640</v>
      </c>
      <c r="L5461" s="1" t="s">
        <v>479</v>
      </c>
      <c r="N5461" s="1" t="s">
        <v>587</v>
      </c>
      <c r="P5461" s="1" t="s">
        <v>8653</v>
      </c>
      <c r="Q5461" s="3">
        <v>0</v>
      </c>
      <c r="R5461" s="22" t="s">
        <v>2723</v>
      </c>
      <c r="T5461" s="3" t="s">
        <v>4866</v>
      </c>
      <c r="U5461" s="45">
        <v>35</v>
      </c>
      <c r="V5461" t="s">
        <v>8652</v>
      </c>
      <c r="W5461" s="1" t="str">
        <f>HYPERLINK("http://ictvonline.org/taxonomy/p/taxonomy-history?taxnode_id=201907432","ICTVonline=201907432")</f>
        <v>ICTVonline=201907432</v>
      </c>
    </row>
    <row r="5462" spans="1:23">
      <c r="A5462" s="3">
        <v>5461</v>
      </c>
      <c r="B5462" s="1" t="s">
        <v>5910</v>
      </c>
      <c r="D5462" s="1" t="s">
        <v>8187</v>
      </c>
      <c r="F5462" s="1" t="s">
        <v>8506</v>
      </c>
      <c r="H5462" s="1" t="s">
        <v>8639</v>
      </c>
      <c r="J5462" s="1" t="s">
        <v>8640</v>
      </c>
      <c r="L5462" s="1" t="s">
        <v>479</v>
      </c>
      <c r="N5462" s="1" t="s">
        <v>587</v>
      </c>
      <c r="P5462" s="1" t="s">
        <v>2089</v>
      </c>
      <c r="Q5462" s="3">
        <v>0</v>
      </c>
      <c r="R5462" s="22" t="s">
        <v>2723</v>
      </c>
      <c r="T5462" s="3" t="s">
        <v>4868</v>
      </c>
      <c r="U5462" s="45">
        <v>35</v>
      </c>
      <c r="V5462" t="s">
        <v>8191</v>
      </c>
      <c r="W5462" s="1" t="str">
        <f>HYPERLINK("http://ictvonline.org/taxonomy/p/taxonomy-history?taxnode_id=201904608","ICTVonline=201904608")</f>
        <v>ICTVonline=201904608</v>
      </c>
    </row>
    <row r="5463" spans="1:23">
      <c r="A5463" s="3">
        <v>5462</v>
      </c>
      <c r="B5463" s="1" t="s">
        <v>5910</v>
      </c>
      <c r="D5463" s="1" t="s">
        <v>8187</v>
      </c>
      <c r="F5463" s="1" t="s">
        <v>8506</v>
      </c>
      <c r="H5463" s="1" t="s">
        <v>8639</v>
      </c>
      <c r="J5463" s="1" t="s">
        <v>8640</v>
      </c>
      <c r="L5463" s="1" t="s">
        <v>479</v>
      </c>
      <c r="N5463" s="1" t="s">
        <v>587</v>
      </c>
      <c r="P5463" s="1" t="s">
        <v>3954</v>
      </c>
      <c r="Q5463" s="3">
        <v>0</v>
      </c>
      <c r="R5463" s="22" t="s">
        <v>2723</v>
      </c>
      <c r="T5463" s="3" t="s">
        <v>4868</v>
      </c>
      <c r="U5463" s="45">
        <v>35</v>
      </c>
      <c r="V5463" t="s">
        <v>8191</v>
      </c>
      <c r="W5463" s="1" t="str">
        <f>HYPERLINK("http://ictvonline.org/taxonomy/p/taxonomy-history?taxnode_id=201904609","ICTVonline=201904609")</f>
        <v>ICTVonline=201904609</v>
      </c>
    </row>
    <row r="5464" spans="1:23">
      <c r="A5464" s="3">
        <v>5463</v>
      </c>
      <c r="B5464" s="1" t="s">
        <v>5910</v>
      </c>
      <c r="D5464" s="1" t="s">
        <v>8187</v>
      </c>
      <c r="F5464" s="1" t="s">
        <v>8506</v>
      </c>
      <c r="H5464" s="1" t="s">
        <v>8639</v>
      </c>
      <c r="J5464" s="1" t="s">
        <v>8640</v>
      </c>
      <c r="L5464" s="1" t="s">
        <v>479</v>
      </c>
      <c r="N5464" s="1" t="s">
        <v>587</v>
      </c>
      <c r="P5464" s="1" t="s">
        <v>8654</v>
      </c>
      <c r="Q5464" s="3">
        <v>0</v>
      </c>
      <c r="R5464" s="22" t="s">
        <v>2723</v>
      </c>
      <c r="T5464" s="3" t="s">
        <v>4866</v>
      </c>
      <c r="U5464" s="45">
        <v>35</v>
      </c>
      <c r="V5464" t="s">
        <v>8652</v>
      </c>
      <c r="W5464" s="1" t="str">
        <f>HYPERLINK("http://ictvonline.org/taxonomy/p/taxonomy-history?taxnode_id=201907433","ICTVonline=201907433")</f>
        <v>ICTVonline=201907433</v>
      </c>
    </row>
    <row r="5465" spans="1:23">
      <c r="A5465" s="3">
        <v>5464</v>
      </c>
      <c r="B5465" s="1" t="s">
        <v>5910</v>
      </c>
      <c r="D5465" s="1" t="s">
        <v>8187</v>
      </c>
      <c r="F5465" s="1" t="s">
        <v>8506</v>
      </c>
      <c r="H5465" s="1" t="s">
        <v>8639</v>
      </c>
      <c r="J5465" s="1" t="s">
        <v>8640</v>
      </c>
      <c r="L5465" s="1" t="s">
        <v>479</v>
      </c>
      <c r="N5465" s="1" t="s">
        <v>587</v>
      </c>
      <c r="P5465" s="1" t="s">
        <v>2090</v>
      </c>
      <c r="Q5465" s="3">
        <v>0</v>
      </c>
      <c r="R5465" s="22" t="s">
        <v>2723</v>
      </c>
      <c r="T5465" s="3" t="s">
        <v>4868</v>
      </c>
      <c r="U5465" s="45">
        <v>35</v>
      </c>
      <c r="V5465" t="s">
        <v>8191</v>
      </c>
      <c r="W5465" s="1" t="str">
        <f>HYPERLINK("http://ictvonline.org/taxonomy/p/taxonomy-history?taxnode_id=201904610","ICTVonline=201904610")</f>
        <v>ICTVonline=201904610</v>
      </c>
    </row>
    <row r="5466" spans="1:23">
      <c r="A5466" s="3">
        <v>5465</v>
      </c>
      <c r="B5466" s="1" t="s">
        <v>5910</v>
      </c>
      <c r="D5466" s="1" t="s">
        <v>8187</v>
      </c>
      <c r="F5466" s="1" t="s">
        <v>8506</v>
      </c>
      <c r="H5466" s="1" t="s">
        <v>8639</v>
      </c>
      <c r="J5466" s="1" t="s">
        <v>8640</v>
      </c>
      <c r="L5466" s="1" t="s">
        <v>479</v>
      </c>
      <c r="N5466" s="1" t="s">
        <v>587</v>
      </c>
      <c r="P5466" s="1" t="s">
        <v>2091</v>
      </c>
      <c r="Q5466" s="3">
        <v>0</v>
      </c>
      <c r="R5466" s="22" t="s">
        <v>2723</v>
      </c>
      <c r="T5466" s="3" t="s">
        <v>4868</v>
      </c>
      <c r="U5466" s="45">
        <v>35</v>
      </c>
      <c r="V5466" t="s">
        <v>8191</v>
      </c>
      <c r="W5466" s="1" t="str">
        <f>HYPERLINK("http://ictvonline.org/taxonomy/p/taxonomy-history?taxnode_id=201904611","ICTVonline=201904611")</f>
        <v>ICTVonline=201904611</v>
      </c>
    </row>
    <row r="5467" spans="1:23">
      <c r="A5467" s="3">
        <v>5466</v>
      </c>
      <c r="B5467" s="1" t="s">
        <v>5910</v>
      </c>
      <c r="D5467" s="1" t="s">
        <v>8187</v>
      </c>
      <c r="F5467" s="1" t="s">
        <v>8506</v>
      </c>
      <c r="H5467" s="1" t="s">
        <v>8639</v>
      </c>
      <c r="J5467" s="1" t="s">
        <v>8640</v>
      </c>
      <c r="L5467" s="1" t="s">
        <v>479</v>
      </c>
      <c r="N5467" s="1" t="s">
        <v>587</v>
      </c>
      <c r="P5467" s="1" t="s">
        <v>2092</v>
      </c>
      <c r="Q5467" s="3">
        <v>0</v>
      </c>
      <c r="R5467" s="22" t="s">
        <v>2723</v>
      </c>
      <c r="T5467" s="3" t="s">
        <v>4868</v>
      </c>
      <c r="U5467" s="45">
        <v>35</v>
      </c>
      <c r="V5467" t="s">
        <v>8191</v>
      </c>
      <c r="W5467" s="1" t="str">
        <f>HYPERLINK("http://ictvonline.org/taxonomy/p/taxonomy-history?taxnode_id=201904612","ICTVonline=201904612")</f>
        <v>ICTVonline=201904612</v>
      </c>
    </row>
    <row r="5468" spans="1:23">
      <c r="A5468" s="3">
        <v>5467</v>
      </c>
      <c r="B5468" s="1" t="s">
        <v>5910</v>
      </c>
      <c r="D5468" s="1" t="s">
        <v>8187</v>
      </c>
      <c r="F5468" s="1" t="s">
        <v>8506</v>
      </c>
      <c r="H5468" s="1" t="s">
        <v>8639</v>
      </c>
      <c r="J5468" s="1" t="s">
        <v>8640</v>
      </c>
      <c r="L5468" s="1" t="s">
        <v>479</v>
      </c>
      <c r="N5468" s="1" t="s">
        <v>587</v>
      </c>
      <c r="P5468" s="1" t="s">
        <v>2093</v>
      </c>
      <c r="Q5468" s="3">
        <v>0</v>
      </c>
      <c r="R5468" s="22" t="s">
        <v>2723</v>
      </c>
      <c r="T5468" s="3" t="s">
        <v>4868</v>
      </c>
      <c r="U5468" s="45">
        <v>35</v>
      </c>
      <c r="V5468" t="s">
        <v>8191</v>
      </c>
      <c r="W5468" s="1" t="str">
        <f>HYPERLINK("http://ictvonline.org/taxonomy/p/taxonomy-history?taxnode_id=201904613","ICTVonline=201904613")</f>
        <v>ICTVonline=201904613</v>
      </c>
    </row>
    <row r="5469" spans="1:23">
      <c r="A5469" s="3">
        <v>5468</v>
      </c>
      <c r="B5469" s="1" t="s">
        <v>5910</v>
      </c>
      <c r="D5469" s="1" t="s">
        <v>8187</v>
      </c>
      <c r="F5469" s="1" t="s">
        <v>8506</v>
      </c>
      <c r="H5469" s="1" t="s">
        <v>8639</v>
      </c>
      <c r="J5469" s="1" t="s">
        <v>8640</v>
      </c>
      <c r="L5469" s="1" t="s">
        <v>479</v>
      </c>
      <c r="N5469" s="1" t="s">
        <v>587</v>
      </c>
      <c r="P5469" s="1" t="s">
        <v>2094</v>
      </c>
      <c r="Q5469" s="3">
        <v>0</v>
      </c>
      <c r="R5469" s="22" t="s">
        <v>2723</v>
      </c>
      <c r="T5469" s="3" t="s">
        <v>4868</v>
      </c>
      <c r="U5469" s="45">
        <v>35</v>
      </c>
      <c r="V5469" t="s">
        <v>8191</v>
      </c>
      <c r="W5469" s="1" t="str">
        <f>HYPERLINK("http://ictvonline.org/taxonomy/p/taxonomy-history?taxnode_id=201904614","ICTVonline=201904614")</f>
        <v>ICTVonline=201904614</v>
      </c>
    </row>
    <row r="5470" spans="1:23">
      <c r="A5470" s="3">
        <v>5469</v>
      </c>
      <c r="B5470" s="1" t="s">
        <v>5910</v>
      </c>
      <c r="D5470" s="1" t="s">
        <v>8187</v>
      </c>
      <c r="F5470" s="1" t="s">
        <v>8506</v>
      </c>
      <c r="H5470" s="1" t="s">
        <v>8639</v>
      </c>
      <c r="J5470" s="1" t="s">
        <v>8640</v>
      </c>
      <c r="L5470" s="1" t="s">
        <v>479</v>
      </c>
      <c r="N5470" s="1" t="s">
        <v>587</v>
      </c>
      <c r="P5470" s="1" t="s">
        <v>2095</v>
      </c>
      <c r="Q5470" s="3">
        <v>0</v>
      </c>
      <c r="R5470" s="22" t="s">
        <v>2723</v>
      </c>
      <c r="T5470" s="3" t="s">
        <v>4868</v>
      </c>
      <c r="U5470" s="45">
        <v>35</v>
      </c>
      <c r="V5470" t="s">
        <v>8191</v>
      </c>
      <c r="W5470" s="1" t="str">
        <f>HYPERLINK("http://ictvonline.org/taxonomy/p/taxonomy-history?taxnode_id=201904615","ICTVonline=201904615")</f>
        <v>ICTVonline=201904615</v>
      </c>
    </row>
    <row r="5471" spans="1:23">
      <c r="A5471" s="3">
        <v>5470</v>
      </c>
      <c r="B5471" s="1" t="s">
        <v>5910</v>
      </c>
      <c r="D5471" s="1" t="s">
        <v>8187</v>
      </c>
      <c r="F5471" s="1" t="s">
        <v>8506</v>
      </c>
      <c r="H5471" s="1" t="s">
        <v>8639</v>
      </c>
      <c r="J5471" s="1" t="s">
        <v>8640</v>
      </c>
      <c r="L5471" s="1" t="s">
        <v>479</v>
      </c>
      <c r="N5471" s="1" t="s">
        <v>587</v>
      </c>
      <c r="P5471" s="1" t="s">
        <v>8655</v>
      </c>
      <c r="Q5471" s="3">
        <v>0</v>
      </c>
      <c r="R5471" s="22" t="s">
        <v>2723</v>
      </c>
      <c r="T5471" s="3" t="s">
        <v>4866</v>
      </c>
      <c r="U5471" s="45">
        <v>35</v>
      </c>
      <c r="V5471" t="s">
        <v>8652</v>
      </c>
      <c r="W5471" s="1" t="str">
        <f>HYPERLINK("http://ictvonline.org/taxonomy/p/taxonomy-history?taxnode_id=201907434","ICTVonline=201907434")</f>
        <v>ICTVonline=201907434</v>
      </c>
    </row>
    <row r="5472" spans="1:23">
      <c r="A5472" s="3">
        <v>5471</v>
      </c>
      <c r="B5472" s="1" t="s">
        <v>5910</v>
      </c>
      <c r="D5472" s="1" t="s">
        <v>8187</v>
      </c>
      <c r="F5472" s="1" t="s">
        <v>8506</v>
      </c>
      <c r="H5472" s="1" t="s">
        <v>8639</v>
      </c>
      <c r="J5472" s="1" t="s">
        <v>8640</v>
      </c>
      <c r="L5472" s="1" t="s">
        <v>479</v>
      </c>
      <c r="N5472" s="1" t="s">
        <v>587</v>
      </c>
      <c r="P5472" s="1" t="s">
        <v>2675</v>
      </c>
      <c r="Q5472" s="3">
        <v>0</v>
      </c>
      <c r="R5472" s="22" t="s">
        <v>2723</v>
      </c>
      <c r="T5472" s="3" t="s">
        <v>4868</v>
      </c>
      <c r="U5472" s="45">
        <v>35</v>
      </c>
      <c r="V5472" t="s">
        <v>8191</v>
      </c>
      <c r="W5472" s="1" t="str">
        <f>HYPERLINK("http://ictvonline.org/taxonomy/p/taxonomy-history?taxnode_id=201904616","ICTVonline=201904616")</f>
        <v>ICTVonline=201904616</v>
      </c>
    </row>
    <row r="5473" spans="1:23">
      <c r="A5473" s="3">
        <v>5472</v>
      </c>
      <c r="B5473" s="1" t="s">
        <v>5910</v>
      </c>
      <c r="D5473" s="1" t="s">
        <v>8187</v>
      </c>
      <c r="F5473" s="1" t="s">
        <v>8506</v>
      </c>
      <c r="H5473" s="1" t="s">
        <v>8639</v>
      </c>
      <c r="J5473" s="1" t="s">
        <v>8640</v>
      </c>
      <c r="L5473" s="1" t="s">
        <v>479</v>
      </c>
      <c r="N5473" s="1" t="s">
        <v>587</v>
      </c>
      <c r="P5473" s="1" t="s">
        <v>2101</v>
      </c>
      <c r="Q5473" s="3">
        <v>0</v>
      </c>
      <c r="R5473" s="22" t="s">
        <v>2723</v>
      </c>
      <c r="T5473" s="3" t="s">
        <v>4868</v>
      </c>
      <c r="U5473" s="45">
        <v>35</v>
      </c>
      <c r="V5473" t="s">
        <v>8191</v>
      </c>
      <c r="W5473" s="1" t="str">
        <f>HYPERLINK("http://ictvonline.org/taxonomy/p/taxonomy-history?taxnode_id=201904617","ICTVonline=201904617")</f>
        <v>ICTVonline=201904617</v>
      </c>
    </row>
    <row r="5474" spans="1:23">
      <c r="A5474" s="3">
        <v>5473</v>
      </c>
      <c r="B5474" s="1" t="s">
        <v>5910</v>
      </c>
      <c r="D5474" s="1" t="s">
        <v>8187</v>
      </c>
      <c r="F5474" s="1" t="s">
        <v>8506</v>
      </c>
      <c r="H5474" s="1" t="s">
        <v>8639</v>
      </c>
      <c r="J5474" s="1" t="s">
        <v>8640</v>
      </c>
      <c r="L5474" s="1" t="s">
        <v>479</v>
      </c>
      <c r="N5474" s="1" t="s">
        <v>587</v>
      </c>
      <c r="P5474" s="1" t="s">
        <v>528</v>
      </c>
      <c r="Q5474" s="3">
        <v>0</v>
      </c>
      <c r="R5474" s="22" t="s">
        <v>2723</v>
      </c>
      <c r="T5474" s="3" t="s">
        <v>4868</v>
      </c>
      <c r="U5474" s="45">
        <v>35</v>
      </c>
      <c r="V5474" t="s">
        <v>8191</v>
      </c>
      <c r="W5474" s="1" t="str">
        <f>HYPERLINK("http://ictvonline.org/taxonomy/p/taxonomy-history?taxnode_id=201904618","ICTVonline=201904618")</f>
        <v>ICTVonline=201904618</v>
      </c>
    </row>
    <row r="5475" spans="1:23">
      <c r="A5475" s="3">
        <v>5474</v>
      </c>
      <c r="B5475" s="1" t="s">
        <v>5910</v>
      </c>
      <c r="D5475" s="1" t="s">
        <v>8187</v>
      </c>
      <c r="F5475" s="1" t="s">
        <v>8506</v>
      </c>
      <c r="H5475" s="1" t="s">
        <v>8639</v>
      </c>
      <c r="J5475" s="1" t="s">
        <v>8640</v>
      </c>
      <c r="L5475" s="1" t="s">
        <v>479</v>
      </c>
      <c r="N5475" s="1" t="s">
        <v>587</v>
      </c>
      <c r="P5475" s="1" t="s">
        <v>529</v>
      </c>
      <c r="Q5475" s="3">
        <v>0</v>
      </c>
      <c r="R5475" s="22" t="s">
        <v>2723</v>
      </c>
      <c r="T5475" s="3" t="s">
        <v>4868</v>
      </c>
      <c r="U5475" s="45">
        <v>35</v>
      </c>
      <c r="V5475" t="s">
        <v>8191</v>
      </c>
      <c r="W5475" s="1" t="str">
        <f>HYPERLINK("http://ictvonline.org/taxonomy/p/taxonomy-history?taxnode_id=201904619","ICTVonline=201904619")</f>
        <v>ICTVonline=201904619</v>
      </c>
    </row>
    <row r="5476" spans="1:23">
      <c r="A5476" s="3">
        <v>5475</v>
      </c>
      <c r="B5476" s="1" t="s">
        <v>5910</v>
      </c>
      <c r="D5476" s="1" t="s">
        <v>8187</v>
      </c>
      <c r="F5476" s="1" t="s">
        <v>8506</v>
      </c>
      <c r="H5476" s="1" t="s">
        <v>8639</v>
      </c>
      <c r="J5476" s="1" t="s">
        <v>8640</v>
      </c>
      <c r="L5476" s="1" t="s">
        <v>479</v>
      </c>
      <c r="N5476" s="1" t="s">
        <v>587</v>
      </c>
      <c r="P5476" s="1" t="s">
        <v>530</v>
      </c>
      <c r="Q5476" s="3">
        <v>0</v>
      </c>
      <c r="R5476" s="22" t="s">
        <v>2723</v>
      </c>
      <c r="T5476" s="3" t="s">
        <v>4868</v>
      </c>
      <c r="U5476" s="45">
        <v>35</v>
      </c>
      <c r="V5476" t="s">
        <v>8191</v>
      </c>
      <c r="W5476" s="1" t="str">
        <f>HYPERLINK("http://ictvonline.org/taxonomy/p/taxonomy-history?taxnode_id=201904620","ICTVonline=201904620")</f>
        <v>ICTVonline=201904620</v>
      </c>
    </row>
    <row r="5477" spans="1:23">
      <c r="A5477" s="3">
        <v>5476</v>
      </c>
      <c r="B5477" s="1" t="s">
        <v>5910</v>
      </c>
      <c r="D5477" s="1" t="s">
        <v>8187</v>
      </c>
      <c r="F5477" s="1" t="s">
        <v>8506</v>
      </c>
      <c r="H5477" s="1" t="s">
        <v>8639</v>
      </c>
      <c r="J5477" s="1" t="s">
        <v>8640</v>
      </c>
      <c r="L5477" s="1" t="s">
        <v>479</v>
      </c>
      <c r="N5477" s="1" t="s">
        <v>587</v>
      </c>
      <c r="P5477" s="1" t="s">
        <v>531</v>
      </c>
      <c r="Q5477" s="3">
        <v>0</v>
      </c>
      <c r="R5477" s="22" t="s">
        <v>2723</v>
      </c>
      <c r="T5477" s="3" t="s">
        <v>4868</v>
      </c>
      <c r="U5477" s="45">
        <v>35</v>
      </c>
      <c r="V5477" t="s">
        <v>8191</v>
      </c>
      <c r="W5477" s="1" t="str">
        <f>HYPERLINK("http://ictvonline.org/taxonomy/p/taxonomy-history?taxnode_id=201904621","ICTVonline=201904621")</f>
        <v>ICTVonline=201904621</v>
      </c>
    </row>
    <row r="5478" spans="1:23">
      <c r="A5478" s="3">
        <v>5477</v>
      </c>
      <c r="B5478" s="1" t="s">
        <v>5910</v>
      </c>
      <c r="D5478" s="1" t="s">
        <v>8187</v>
      </c>
      <c r="F5478" s="1" t="s">
        <v>8506</v>
      </c>
      <c r="H5478" s="1" t="s">
        <v>8639</v>
      </c>
      <c r="J5478" s="1" t="s">
        <v>8640</v>
      </c>
      <c r="L5478" s="1" t="s">
        <v>479</v>
      </c>
      <c r="N5478" s="1" t="s">
        <v>587</v>
      </c>
      <c r="P5478" s="1" t="s">
        <v>5503</v>
      </c>
      <c r="Q5478" s="3">
        <v>0</v>
      </c>
      <c r="R5478" s="22" t="s">
        <v>2723</v>
      </c>
      <c r="T5478" s="3" t="s">
        <v>4868</v>
      </c>
      <c r="U5478" s="45">
        <v>35</v>
      </c>
      <c r="V5478" t="s">
        <v>8191</v>
      </c>
      <c r="W5478" s="1" t="str">
        <f>HYPERLINK("http://ictvonline.org/taxonomy/p/taxonomy-history?taxnode_id=201905921","ICTVonline=201905921")</f>
        <v>ICTVonline=201905921</v>
      </c>
    </row>
    <row r="5479" spans="1:23">
      <c r="A5479" s="3">
        <v>5478</v>
      </c>
      <c r="B5479" s="1" t="s">
        <v>5910</v>
      </c>
      <c r="D5479" s="1" t="s">
        <v>8187</v>
      </c>
      <c r="F5479" s="1" t="s">
        <v>8506</v>
      </c>
      <c r="H5479" s="1" t="s">
        <v>8639</v>
      </c>
      <c r="J5479" s="1" t="s">
        <v>8640</v>
      </c>
      <c r="L5479" s="1" t="s">
        <v>479</v>
      </c>
      <c r="N5479" s="1" t="s">
        <v>587</v>
      </c>
      <c r="P5479" s="1" t="s">
        <v>532</v>
      </c>
      <c r="Q5479" s="3">
        <v>0</v>
      </c>
      <c r="R5479" s="22" t="s">
        <v>2723</v>
      </c>
      <c r="T5479" s="3" t="s">
        <v>4868</v>
      </c>
      <c r="U5479" s="45">
        <v>35</v>
      </c>
      <c r="V5479" t="s">
        <v>8191</v>
      </c>
      <c r="W5479" s="1" t="str">
        <f>HYPERLINK("http://ictvonline.org/taxonomy/p/taxonomy-history?taxnode_id=201904622","ICTVonline=201904622")</f>
        <v>ICTVonline=201904622</v>
      </c>
    </row>
    <row r="5480" spans="1:23">
      <c r="A5480" s="3">
        <v>5479</v>
      </c>
      <c r="B5480" s="1" t="s">
        <v>5910</v>
      </c>
      <c r="D5480" s="1" t="s">
        <v>8187</v>
      </c>
      <c r="F5480" s="1" t="s">
        <v>8506</v>
      </c>
      <c r="H5480" s="1" t="s">
        <v>8639</v>
      </c>
      <c r="J5480" s="1" t="s">
        <v>8640</v>
      </c>
      <c r="L5480" s="1" t="s">
        <v>479</v>
      </c>
      <c r="N5480" s="1" t="s">
        <v>587</v>
      </c>
      <c r="P5480" s="1" t="s">
        <v>533</v>
      </c>
      <c r="Q5480" s="3">
        <v>0</v>
      </c>
      <c r="R5480" s="22" t="s">
        <v>2723</v>
      </c>
      <c r="T5480" s="3" t="s">
        <v>4868</v>
      </c>
      <c r="U5480" s="45">
        <v>35</v>
      </c>
      <c r="V5480" t="s">
        <v>8191</v>
      </c>
      <c r="W5480" s="1" t="str">
        <f>HYPERLINK("http://ictvonline.org/taxonomy/p/taxonomy-history?taxnode_id=201904623","ICTVonline=201904623")</f>
        <v>ICTVonline=201904623</v>
      </c>
    </row>
    <row r="5481" spans="1:23">
      <c r="A5481" s="3">
        <v>5480</v>
      </c>
      <c r="B5481" s="1" t="s">
        <v>5910</v>
      </c>
      <c r="D5481" s="1" t="s">
        <v>8187</v>
      </c>
      <c r="F5481" s="1" t="s">
        <v>8506</v>
      </c>
      <c r="H5481" s="1" t="s">
        <v>8639</v>
      </c>
      <c r="J5481" s="1" t="s">
        <v>8640</v>
      </c>
      <c r="L5481" s="1" t="s">
        <v>479</v>
      </c>
      <c r="N5481" s="1" t="s">
        <v>587</v>
      </c>
      <c r="P5481" s="1" t="s">
        <v>534</v>
      </c>
      <c r="Q5481" s="3">
        <v>0</v>
      </c>
      <c r="R5481" s="22" t="s">
        <v>2723</v>
      </c>
      <c r="T5481" s="3" t="s">
        <v>4868</v>
      </c>
      <c r="U5481" s="45">
        <v>35</v>
      </c>
      <c r="V5481" t="s">
        <v>8191</v>
      </c>
      <c r="W5481" s="1" t="str">
        <f>HYPERLINK("http://ictvonline.org/taxonomy/p/taxonomy-history?taxnode_id=201904624","ICTVonline=201904624")</f>
        <v>ICTVonline=201904624</v>
      </c>
    </row>
    <row r="5482" spans="1:23">
      <c r="A5482" s="3">
        <v>5481</v>
      </c>
      <c r="B5482" s="1" t="s">
        <v>5910</v>
      </c>
      <c r="D5482" s="1" t="s">
        <v>8187</v>
      </c>
      <c r="F5482" s="1" t="s">
        <v>8506</v>
      </c>
      <c r="H5482" s="1" t="s">
        <v>8639</v>
      </c>
      <c r="J5482" s="1" t="s">
        <v>8640</v>
      </c>
      <c r="L5482" s="1" t="s">
        <v>479</v>
      </c>
      <c r="N5482" s="1" t="s">
        <v>587</v>
      </c>
      <c r="P5482" s="1" t="s">
        <v>535</v>
      </c>
      <c r="Q5482" s="3">
        <v>0</v>
      </c>
      <c r="R5482" s="22" t="s">
        <v>2723</v>
      </c>
      <c r="T5482" s="3" t="s">
        <v>4868</v>
      </c>
      <c r="U5482" s="45">
        <v>35</v>
      </c>
      <c r="V5482" t="s">
        <v>8191</v>
      </c>
      <c r="W5482" s="1" t="str">
        <f>HYPERLINK("http://ictvonline.org/taxonomy/p/taxonomy-history?taxnode_id=201904625","ICTVonline=201904625")</f>
        <v>ICTVonline=201904625</v>
      </c>
    </row>
    <row r="5483" spans="1:23">
      <c r="A5483" s="3">
        <v>5482</v>
      </c>
      <c r="B5483" s="1" t="s">
        <v>5910</v>
      </c>
      <c r="D5483" s="1" t="s">
        <v>8187</v>
      </c>
      <c r="F5483" s="1" t="s">
        <v>8506</v>
      </c>
      <c r="H5483" s="1" t="s">
        <v>8639</v>
      </c>
      <c r="J5483" s="1" t="s">
        <v>8640</v>
      </c>
      <c r="L5483" s="1" t="s">
        <v>479</v>
      </c>
      <c r="N5483" s="1" t="s">
        <v>587</v>
      </c>
      <c r="P5483" s="1" t="s">
        <v>4765</v>
      </c>
      <c r="Q5483" s="3">
        <v>0</v>
      </c>
      <c r="R5483" s="22" t="s">
        <v>2723</v>
      </c>
      <c r="T5483" s="3" t="s">
        <v>4868</v>
      </c>
      <c r="U5483" s="45">
        <v>35</v>
      </c>
      <c r="V5483" t="s">
        <v>8191</v>
      </c>
      <c r="W5483" s="1" t="str">
        <f>HYPERLINK("http://ictvonline.org/taxonomy/p/taxonomy-history?taxnode_id=201904626","ICTVonline=201904626")</f>
        <v>ICTVonline=201904626</v>
      </c>
    </row>
    <row r="5484" spans="1:23">
      <c r="A5484" s="3">
        <v>5483</v>
      </c>
      <c r="B5484" s="1" t="s">
        <v>5910</v>
      </c>
      <c r="D5484" s="1" t="s">
        <v>8187</v>
      </c>
      <c r="F5484" s="1" t="s">
        <v>8506</v>
      </c>
      <c r="H5484" s="1" t="s">
        <v>8639</v>
      </c>
      <c r="J5484" s="1" t="s">
        <v>8640</v>
      </c>
      <c r="L5484" s="1" t="s">
        <v>479</v>
      </c>
      <c r="N5484" s="1" t="s">
        <v>587</v>
      </c>
      <c r="P5484" s="1" t="s">
        <v>536</v>
      </c>
      <c r="Q5484" s="3">
        <v>0</v>
      </c>
      <c r="R5484" s="22" t="s">
        <v>2723</v>
      </c>
      <c r="T5484" s="3" t="s">
        <v>4868</v>
      </c>
      <c r="U5484" s="45">
        <v>35</v>
      </c>
      <c r="V5484" t="s">
        <v>8191</v>
      </c>
      <c r="W5484" s="1" t="str">
        <f>HYPERLINK("http://ictvonline.org/taxonomy/p/taxonomy-history?taxnode_id=201904627","ICTVonline=201904627")</f>
        <v>ICTVonline=201904627</v>
      </c>
    </row>
    <row r="5485" spans="1:23">
      <c r="A5485" s="3">
        <v>5484</v>
      </c>
      <c r="B5485" s="1" t="s">
        <v>5910</v>
      </c>
      <c r="D5485" s="1" t="s">
        <v>8187</v>
      </c>
      <c r="F5485" s="1" t="s">
        <v>8506</v>
      </c>
      <c r="H5485" s="1" t="s">
        <v>8639</v>
      </c>
      <c r="J5485" s="1" t="s">
        <v>8640</v>
      </c>
      <c r="L5485" s="1" t="s">
        <v>479</v>
      </c>
      <c r="N5485" s="1" t="s">
        <v>587</v>
      </c>
      <c r="P5485" s="1" t="s">
        <v>5504</v>
      </c>
      <c r="Q5485" s="3">
        <v>0</v>
      </c>
      <c r="R5485" s="22" t="s">
        <v>2723</v>
      </c>
      <c r="T5485" s="3" t="s">
        <v>4868</v>
      </c>
      <c r="U5485" s="45">
        <v>35</v>
      </c>
      <c r="V5485" t="s">
        <v>8191</v>
      </c>
      <c r="W5485" s="1" t="str">
        <f>HYPERLINK("http://ictvonline.org/taxonomy/p/taxonomy-history?taxnode_id=201904628","ICTVonline=201904628")</f>
        <v>ICTVonline=201904628</v>
      </c>
    </row>
    <row r="5486" spans="1:23">
      <c r="A5486" s="3">
        <v>5485</v>
      </c>
      <c r="B5486" s="1" t="s">
        <v>5910</v>
      </c>
      <c r="D5486" s="1" t="s">
        <v>8187</v>
      </c>
      <c r="F5486" s="1" t="s">
        <v>8506</v>
      </c>
      <c r="H5486" s="1" t="s">
        <v>8639</v>
      </c>
      <c r="J5486" s="1" t="s">
        <v>8640</v>
      </c>
      <c r="L5486" s="1" t="s">
        <v>479</v>
      </c>
      <c r="N5486" s="1" t="s">
        <v>587</v>
      </c>
      <c r="P5486" s="1" t="s">
        <v>2676</v>
      </c>
      <c r="Q5486" s="3">
        <v>0</v>
      </c>
      <c r="R5486" s="22" t="s">
        <v>2723</v>
      </c>
      <c r="T5486" s="3" t="s">
        <v>4868</v>
      </c>
      <c r="U5486" s="45">
        <v>35</v>
      </c>
      <c r="V5486" t="s">
        <v>8191</v>
      </c>
      <c r="W5486" s="1" t="str">
        <f>HYPERLINK("http://ictvonline.org/taxonomy/p/taxonomy-history?taxnode_id=201904629","ICTVonline=201904629")</f>
        <v>ICTVonline=201904629</v>
      </c>
    </row>
    <row r="5487" spans="1:23">
      <c r="A5487" s="3">
        <v>5486</v>
      </c>
      <c r="B5487" s="1" t="s">
        <v>5910</v>
      </c>
      <c r="D5487" s="1" t="s">
        <v>8187</v>
      </c>
      <c r="F5487" s="1" t="s">
        <v>8506</v>
      </c>
      <c r="H5487" s="1" t="s">
        <v>8639</v>
      </c>
      <c r="J5487" s="1" t="s">
        <v>8640</v>
      </c>
      <c r="L5487" s="1" t="s">
        <v>479</v>
      </c>
      <c r="N5487" s="1" t="s">
        <v>587</v>
      </c>
      <c r="P5487" s="1" t="s">
        <v>537</v>
      </c>
      <c r="Q5487" s="3">
        <v>0</v>
      </c>
      <c r="R5487" s="22" t="s">
        <v>2723</v>
      </c>
      <c r="T5487" s="3" t="s">
        <v>4868</v>
      </c>
      <c r="U5487" s="45">
        <v>35</v>
      </c>
      <c r="V5487" t="s">
        <v>8191</v>
      </c>
      <c r="W5487" s="1" t="str">
        <f>HYPERLINK("http://ictvonline.org/taxonomy/p/taxonomy-history?taxnode_id=201904630","ICTVonline=201904630")</f>
        <v>ICTVonline=201904630</v>
      </c>
    </row>
    <row r="5488" spans="1:23">
      <c r="A5488" s="3">
        <v>5487</v>
      </c>
      <c r="B5488" s="1" t="s">
        <v>5910</v>
      </c>
      <c r="D5488" s="1" t="s">
        <v>8187</v>
      </c>
      <c r="F5488" s="1" t="s">
        <v>8506</v>
      </c>
      <c r="H5488" s="1" t="s">
        <v>8639</v>
      </c>
      <c r="J5488" s="1" t="s">
        <v>8640</v>
      </c>
      <c r="L5488" s="1" t="s">
        <v>479</v>
      </c>
      <c r="N5488" s="1" t="s">
        <v>587</v>
      </c>
      <c r="P5488" s="1" t="s">
        <v>538</v>
      </c>
      <c r="Q5488" s="3">
        <v>0</v>
      </c>
      <c r="R5488" s="22" t="s">
        <v>2723</v>
      </c>
      <c r="T5488" s="3" t="s">
        <v>4868</v>
      </c>
      <c r="U5488" s="45">
        <v>35</v>
      </c>
      <c r="V5488" t="s">
        <v>8191</v>
      </c>
      <c r="W5488" s="1" t="str">
        <f>HYPERLINK("http://ictvonline.org/taxonomy/p/taxonomy-history?taxnode_id=201904631","ICTVonline=201904631")</f>
        <v>ICTVonline=201904631</v>
      </c>
    </row>
    <row r="5489" spans="1:23">
      <c r="A5489" s="3">
        <v>5488</v>
      </c>
      <c r="B5489" s="1" t="s">
        <v>5910</v>
      </c>
      <c r="D5489" s="1" t="s">
        <v>8187</v>
      </c>
      <c r="F5489" s="1" t="s">
        <v>8506</v>
      </c>
      <c r="H5489" s="1" t="s">
        <v>8639</v>
      </c>
      <c r="J5489" s="1" t="s">
        <v>8640</v>
      </c>
      <c r="L5489" s="1" t="s">
        <v>479</v>
      </c>
      <c r="N5489" s="1" t="s">
        <v>587</v>
      </c>
      <c r="P5489" s="1" t="s">
        <v>4766</v>
      </c>
      <c r="Q5489" s="3">
        <v>0</v>
      </c>
      <c r="R5489" s="22" t="s">
        <v>2723</v>
      </c>
      <c r="T5489" s="3" t="s">
        <v>4868</v>
      </c>
      <c r="U5489" s="45">
        <v>35</v>
      </c>
      <c r="V5489" t="s">
        <v>8191</v>
      </c>
      <c r="W5489" s="1" t="str">
        <f>HYPERLINK("http://ictvonline.org/taxonomy/p/taxonomy-history?taxnode_id=201904632","ICTVonline=201904632")</f>
        <v>ICTVonline=201904632</v>
      </c>
    </row>
    <row r="5490" spans="1:23">
      <c r="A5490" s="3">
        <v>5489</v>
      </c>
      <c r="B5490" s="1" t="s">
        <v>5910</v>
      </c>
      <c r="D5490" s="1" t="s">
        <v>8187</v>
      </c>
      <c r="F5490" s="1" t="s">
        <v>8506</v>
      </c>
      <c r="H5490" s="1" t="s">
        <v>8639</v>
      </c>
      <c r="J5490" s="1" t="s">
        <v>8640</v>
      </c>
      <c r="L5490" s="1" t="s">
        <v>479</v>
      </c>
      <c r="N5490" s="1" t="s">
        <v>587</v>
      </c>
      <c r="P5490" s="1" t="s">
        <v>539</v>
      </c>
      <c r="Q5490" s="3">
        <v>0</v>
      </c>
      <c r="R5490" s="22" t="s">
        <v>2723</v>
      </c>
      <c r="T5490" s="3" t="s">
        <v>4868</v>
      </c>
      <c r="U5490" s="45">
        <v>35</v>
      </c>
      <c r="V5490" t="s">
        <v>8191</v>
      </c>
      <c r="W5490" s="1" t="str">
        <f>HYPERLINK("http://ictvonline.org/taxonomy/p/taxonomy-history?taxnode_id=201904633","ICTVonline=201904633")</f>
        <v>ICTVonline=201904633</v>
      </c>
    </row>
    <row r="5491" spans="1:23">
      <c r="A5491" s="3">
        <v>5490</v>
      </c>
      <c r="B5491" s="1" t="s">
        <v>5910</v>
      </c>
      <c r="D5491" s="1" t="s">
        <v>8187</v>
      </c>
      <c r="F5491" s="1" t="s">
        <v>8506</v>
      </c>
      <c r="H5491" s="1" t="s">
        <v>8639</v>
      </c>
      <c r="J5491" s="1" t="s">
        <v>8640</v>
      </c>
      <c r="L5491" s="1" t="s">
        <v>479</v>
      </c>
      <c r="N5491" s="1" t="s">
        <v>587</v>
      </c>
      <c r="P5491" s="1" t="s">
        <v>540</v>
      </c>
      <c r="Q5491" s="3">
        <v>0</v>
      </c>
      <c r="R5491" s="22" t="s">
        <v>2723</v>
      </c>
      <c r="T5491" s="3" t="s">
        <v>4868</v>
      </c>
      <c r="U5491" s="45">
        <v>35</v>
      </c>
      <c r="V5491" t="s">
        <v>8191</v>
      </c>
      <c r="W5491" s="1" t="str">
        <f>HYPERLINK("http://ictvonline.org/taxonomy/p/taxonomy-history?taxnode_id=201904634","ICTVonline=201904634")</f>
        <v>ICTVonline=201904634</v>
      </c>
    </row>
    <row r="5492" spans="1:23">
      <c r="A5492" s="3">
        <v>5491</v>
      </c>
      <c r="B5492" s="1" t="s">
        <v>5910</v>
      </c>
      <c r="D5492" s="1" t="s">
        <v>8187</v>
      </c>
      <c r="F5492" s="1" t="s">
        <v>8506</v>
      </c>
      <c r="H5492" s="1" t="s">
        <v>8639</v>
      </c>
      <c r="J5492" s="1" t="s">
        <v>8640</v>
      </c>
      <c r="L5492" s="1" t="s">
        <v>479</v>
      </c>
      <c r="N5492" s="1" t="s">
        <v>587</v>
      </c>
      <c r="P5492" s="1" t="s">
        <v>8656</v>
      </c>
      <c r="Q5492" s="3">
        <v>0</v>
      </c>
      <c r="R5492" s="22" t="s">
        <v>2723</v>
      </c>
      <c r="T5492" s="3" t="s">
        <v>4866</v>
      </c>
      <c r="U5492" s="45">
        <v>35</v>
      </c>
      <c r="V5492" t="s">
        <v>8652</v>
      </c>
      <c r="W5492" s="1" t="str">
        <f>HYPERLINK("http://ictvonline.org/taxonomy/p/taxonomy-history?taxnode_id=201907435","ICTVonline=201907435")</f>
        <v>ICTVonline=201907435</v>
      </c>
    </row>
    <row r="5493" spans="1:23">
      <c r="A5493" s="3">
        <v>5492</v>
      </c>
      <c r="B5493" s="1" t="s">
        <v>5910</v>
      </c>
      <c r="D5493" s="1" t="s">
        <v>8187</v>
      </c>
      <c r="F5493" s="1" t="s">
        <v>8506</v>
      </c>
      <c r="H5493" s="1" t="s">
        <v>8639</v>
      </c>
      <c r="J5493" s="1" t="s">
        <v>8640</v>
      </c>
      <c r="L5493" s="1" t="s">
        <v>479</v>
      </c>
      <c r="N5493" s="1" t="s">
        <v>587</v>
      </c>
      <c r="P5493" s="1" t="s">
        <v>2677</v>
      </c>
      <c r="Q5493" s="3">
        <v>0</v>
      </c>
      <c r="R5493" s="22" t="s">
        <v>2723</v>
      </c>
      <c r="T5493" s="3" t="s">
        <v>4868</v>
      </c>
      <c r="U5493" s="45">
        <v>35</v>
      </c>
      <c r="V5493" t="s">
        <v>8191</v>
      </c>
      <c r="W5493" s="1" t="str">
        <f>HYPERLINK("http://ictvonline.org/taxonomy/p/taxonomy-history?taxnode_id=201904635","ICTVonline=201904635")</f>
        <v>ICTVonline=201904635</v>
      </c>
    </row>
    <row r="5494" spans="1:23">
      <c r="A5494" s="3">
        <v>5493</v>
      </c>
      <c r="B5494" s="1" t="s">
        <v>5910</v>
      </c>
      <c r="D5494" s="1" t="s">
        <v>8187</v>
      </c>
      <c r="F5494" s="1" t="s">
        <v>8506</v>
      </c>
      <c r="H5494" s="1" t="s">
        <v>8639</v>
      </c>
      <c r="J5494" s="1" t="s">
        <v>8640</v>
      </c>
      <c r="L5494" s="1" t="s">
        <v>479</v>
      </c>
      <c r="N5494" s="1" t="s">
        <v>587</v>
      </c>
      <c r="P5494" s="1" t="s">
        <v>541</v>
      </c>
      <c r="Q5494" s="3">
        <v>0</v>
      </c>
      <c r="R5494" s="22" t="s">
        <v>2723</v>
      </c>
      <c r="T5494" s="3" t="s">
        <v>4868</v>
      </c>
      <c r="U5494" s="45">
        <v>35</v>
      </c>
      <c r="V5494" t="s">
        <v>8191</v>
      </c>
      <c r="W5494" s="1" t="str">
        <f>HYPERLINK("http://ictvonline.org/taxonomy/p/taxonomy-history?taxnode_id=201904636","ICTVonline=201904636")</f>
        <v>ICTVonline=201904636</v>
      </c>
    </row>
    <row r="5495" spans="1:23">
      <c r="A5495" s="3">
        <v>5494</v>
      </c>
      <c r="B5495" s="1" t="s">
        <v>5910</v>
      </c>
      <c r="D5495" s="1" t="s">
        <v>8187</v>
      </c>
      <c r="F5495" s="1" t="s">
        <v>8506</v>
      </c>
      <c r="H5495" s="1" t="s">
        <v>8639</v>
      </c>
      <c r="J5495" s="1" t="s">
        <v>8640</v>
      </c>
      <c r="L5495" s="1" t="s">
        <v>479</v>
      </c>
      <c r="N5495" s="1" t="s">
        <v>587</v>
      </c>
      <c r="P5495" s="1" t="s">
        <v>881</v>
      </c>
      <c r="Q5495" s="3">
        <v>0</v>
      </c>
      <c r="R5495" s="22" t="s">
        <v>2723</v>
      </c>
      <c r="T5495" s="3" t="s">
        <v>4868</v>
      </c>
      <c r="U5495" s="45">
        <v>35</v>
      </c>
      <c r="V5495" t="s">
        <v>8191</v>
      </c>
      <c r="W5495" s="1" t="str">
        <f>HYPERLINK("http://ictvonline.org/taxonomy/p/taxonomy-history?taxnode_id=201904637","ICTVonline=201904637")</f>
        <v>ICTVonline=201904637</v>
      </c>
    </row>
    <row r="5496" spans="1:23">
      <c r="A5496" s="3">
        <v>5495</v>
      </c>
      <c r="B5496" s="1" t="s">
        <v>5910</v>
      </c>
      <c r="D5496" s="1" t="s">
        <v>8187</v>
      </c>
      <c r="F5496" s="1" t="s">
        <v>8506</v>
      </c>
      <c r="H5496" s="1" t="s">
        <v>8639</v>
      </c>
      <c r="J5496" s="1" t="s">
        <v>8640</v>
      </c>
      <c r="L5496" s="1" t="s">
        <v>479</v>
      </c>
      <c r="N5496" s="1" t="s">
        <v>587</v>
      </c>
      <c r="P5496" s="1" t="s">
        <v>2125</v>
      </c>
      <c r="Q5496" s="3">
        <v>0</v>
      </c>
      <c r="R5496" s="22" t="s">
        <v>2723</v>
      </c>
      <c r="T5496" s="3" t="s">
        <v>4868</v>
      </c>
      <c r="U5496" s="45">
        <v>35</v>
      </c>
      <c r="V5496" t="s">
        <v>8191</v>
      </c>
      <c r="W5496" s="1" t="str">
        <f>HYPERLINK("http://ictvonline.org/taxonomy/p/taxonomy-history?taxnode_id=201904638","ICTVonline=201904638")</f>
        <v>ICTVonline=201904638</v>
      </c>
    </row>
    <row r="5497" spans="1:23">
      <c r="A5497" s="3">
        <v>5496</v>
      </c>
      <c r="B5497" s="1" t="s">
        <v>5910</v>
      </c>
      <c r="D5497" s="1" t="s">
        <v>8187</v>
      </c>
      <c r="F5497" s="1" t="s">
        <v>8506</v>
      </c>
      <c r="H5497" s="1" t="s">
        <v>8639</v>
      </c>
      <c r="J5497" s="1" t="s">
        <v>8640</v>
      </c>
      <c r="L5497" s="1" t="s">
        <v>479</v>
      </c>
      <c r="N5497" s="1" t="s">
        <v>587</v>
      </c>
      <c r="P5497" s="1" t="s">
        <v>8657</v>
      </c>
      <c r="Q5497" s="3">
        <v>0</v>
      </c>
      <c r="R5497" s="22" t="s">
        <v>2723</v>
      </c>
      <c r="T5497" s="3" t="s">
        <v>4866</v>
      </c>
      <c r="U5497" s="45">
        <v>35</v>
      </c>
      <c r="V5497" t="s">
        <v>8652</v>
      </c>
      <c r="W5497" s="1" t="str">
        <f>HYPERLINK("http://ictvonline.org/taxonomy/p/taxonomy-history?taxnode_id=201907436","ICTVonline=201907436")</f>
        <v>ICTVonline=201907436</v>
      </c>
    </row>
    <row r="5498" spans="1:23">
      <c r="A5498" s="3">
        <v>5497</v>
      </c>
      <c r="B5498" s="1" t="s">
        <v>5910</v>
      </c>
      <c r="D5498" s="1" t="s">
        <v>8187</v>
      </c>
      <c r="F5498" s="1" t="s">
        <v>8506</v>
      </c>
      <c r="H5498" s="1" t="s">
        <v>8639</v>
      </c>
      <c r="J5498" s="1" t="s">
        <v>8640</v>
      </c>
      <c r="L5498" s="1" t="s">
        <v>479</v>
      </c>
      <c r="N5498" s="1" t="s">
        <v>587</v>
      </c>
      <c r="P5498" s="1" t="s">
        <v>882</v>
      </c>
      <c r="Q5498" s="3">
        <v>0</v>
      </c>
      <c r="R5498" s="22" t="s">
        <v>2723</v>
      </c>
      <c r="T5498" s="3" t="s">
        <v>4868</v>
      </c>
      <c r="U5498" s="45">
        <v>35</v>
      </c>
      <c r="V5498" t="s">
        <v>8191</v>
      </c>
      <c r="W5498" s="1" t="str">
        <f>HYPERLINK("http://ictvonline.org/taxonomy/p/taxonomy-history?taxnode_id=201904639","ICTVonline=201904639")</f>
        <v>ICTVonline=201904639</v>
      </c>
    </row>
    <row r="5499" spans="1:23">
      <c r="A5499" s="3">
        <v>5498</v>
      </c>
      <c r="B5499" s="1" t="s">
        <v>5910</v>
      </c>
      <c r="D5499" s="1" t="s">
        <v>8187</v>
      </c>
      <c r="F5499" s="1" t="s">
        <v>8506</v>
      </c>
      <c r="H5499" s="1" t="s">
        <v>8639</v>
      </c>
      <c r="J5499" s="1" t="s">
        <v>8640</v>
      </c>
      <c r="L5499" s="1" t="s">
        <v>479</v>
      </c>
      <c r="N5499" s="1" t="s">
        <v>587</v>
      </c>
      <c r="P5499" s="1" t="s">
        <v>6197</v>
      </c>
      <c r="Q5499" s="3">
        <v>0</v>
      </c>
      <c r="R5499" s="22" t="s">
        <v>2723</v>
      </c>
      <c r="T5499" s="3" t="s">
        <v>4868</v>
      </c>
      <c r="U5499" s="45">
        <v>35</v>
      </c>
      <c r="V5499" t="s">
        <v>8191</v>
      </c>
      <c r="W5499" s="1" t="str">
        <f>HYPERLINK("http://ictvonline.org/taxonomy/p/taxonomy-history?taxnode_id=201906673","ICTVonline=201906673")</f>
        <v>ICTVonline=201906673</v>
      </c>
    </row>
    <row r="5500" spans="1:23">
      <c r="A5500" s="3">
        <v>5499</v>
      </c>
      <c r="B5500" s="1" t="s">
        <v>5910</v>
      </c>
      <c r="D5500" s="1" t="s">
        <v>8187</v>
      </c>
      <c r="F5500" s="1" t="s">
        <v>8506</v>
      </c>
      <c r="H5500" s="1" t="s">
        <v>8639</v>
      </c>
      <c r="J5500" s="1" t="s">
        <v>8640</v>
      </c>
      <c r="L5500" s="1" t="s">
        <v>479</v>
      </c>
      <c r="N5500" s="1" t="s">
        <v>587</v>
      </c>
      <c r="P5500" s="1" t="s">
        <v>883</v>
      </c>
      <c r="Q5500" s="3">
        <v>0</v>
      </c>
      <c r="R5500" s="22" t="s">
        <v>2723</v>
      </c>
      <c r="T5500" s="3" t="s">
        <v>4868</v>
      </c>
      <c r="U5500" s="45">
        <v>35</v>
      </c>
      <c r="V5500" t="s">
        <v>8191</v>
      </c>
      <c r="W5500" s="1" t="str">
        <f>HYPERLINK("http://ictvonline.org/taxonomy/p/taxonomy-history?taxnode_id=201904640","ICTVonline=201904640")</f>
        <v>ICTVonline=201904640</v>
      </c>
    </row>
    <row r="5501" spans="1:23">
      <c r="A5501" s="3">
        <v>5500</v>
      </c>
      <c r="B5501" s="1" t="s">
        <v>5910</v>
      </c>
      <c r="D5501" s="1" t="s">
        <v>8187</v>
      </c>
      <c r="F5501" s="1" t="s">
        <v>8506</v>
      </c>
      <c r="H5501" s="1" t="s">
        <v>8639</v>
      </c>
      <c r="J5501" s="1" t="s">
        <v>8640</v>
      </c>
      <c r="L5501" s="1" t="s">
        <v>479</v>
      </c>
      <c r="N5501" s="1" t="s">
        <v>587</v>
      </c>
      <c r="P5501" s="1" t="s">
        <v>959</v>
      </c>
      <c r="Q5501" s="3">
        <v>0</v>
      </c>
      <c r="R5501" s="22" t="s">
        <v>2723</v>
      </c>
      <c r="T5501" s="3" t="s">
        <v>4868</v>
      </c>
      <c r="U5501" s="45">
        <v>35</v>
      </c>
      <c r="V5501" t="s">
        <v>8191</v>
      </c>
      <c r="W5501" s="1" t="str">
        <f>HYPERLINK("http://ictvonline.org/taxonomy/p/taxonomy-history?taxnode_id=201904641","ICTVonline=201904641")</f>
        <v>ICTVonline=201904641</v>
      </c>
    </row>
    <row r="5502" spans="1:23">
      <c r="A5502" s="3">
        <v>5501</v>
      </c>
      <c r="B5502" s="1" t="s">
        <v>5910</v>
      </c>
      <c r="D5502" s="1" t="s">
        <v>8187</v>
      </c>
      <c r="F5502" s="1" t="s">
        <v>8506</v>
      </c>
      <c r="H5502" s="1" t="s">
        <v>8639</v>
      </c>
      <c r="J5502" s="1" t="s">
        <v>8640</v>
      </c>
      <c r="L5502" s="1" t="s">
        <v>479</v>
      </c>
      <c r="N5502" s="1" t="s">
        <v>587</v>
      </c>
      <c r="P5502" s="1" t="s">
        <v>960</v>
      </c>
      <c r="Q5502" s="3">
        <v>0</v>
      </c>
      <c r="R5502" s="22" t="s">
        <v>2723</v>
      </c>
      <c r="T5502" s="3" t="s">
        <v>4868</v>
      </c>
      <c r="U5502" s="45">
        <v>35</v>
      </c>
      <c r="V5502" t="s">
        <v>8191</v>
      </c>
      <c r="W5502" s="1" t="str">
        <f>HYPERLINK("http://ictvonline.org/taxonomy/p/taxonomy-history?taxnode_id=201904642","ICTVonline=201904642")</f>
        <v>ICTVonline=201904642</v>
      </c>
    </row>
    <row r="5503" spans="1:23">
      <c r="A5503" s="3">
        <v>5502</v>
      </c>
      <c r="B5503" s="1" t="s">
        <v>5910</v>
      </c>
      <c r="D5503" s="1" t="s">
        <v>8187</v>
      </c>
      <c r="F5503" s="1" t="s">
        <v>8506</v>
      </c>
      <c r="H5503" s="1" t="s">
        <v>8639</v>
      </c>
      <c r="J5503" s="1" t="s">
        <v>8640</v>
      </c>
      <c r="L5503" s="1" t="s">
        <v>479</v>
      </c>
      <c r="N5503" s="1" t="s">
        <v>587</v>
      </c>
      <c r="P5503" s="1" t="s">
        <v>961</v>
      </c>
      <c r="Q5503" s="3">
        <v>0</v>
      </c>
      <c r="R5503" s="22" t="s">
        <v>2723</v>
      </c>
      <c r="T5503" s="3" t="s">
        <v>4868</v>
      </c>
      <c r="U5503" s="45">
        <v>35</v>
      </c>
      <c r="V5503" t="s">
        <v>8191</v>
      </c>
      <c r="W5503" s="1" t="str">
        <f>HYPERLINK("http://ictvonline.org/taxonomy/p/taxonomy-history?taxnode_id=201904643","ICTVonline=201904643")</f>
        <v>ICTVonline=201904643</v>
      </c>
    </row>
    <row r="5504" spans="1:23">
      <c r="A5504" s="3">
        <v>5503</v>
      </c>
      <c r="B5504" s="1" t="s">
        <v>5910</v>
      </c>
      <c r="D5504" s="1" t="s">
        <v>8187</v>
      </c>
      <c r="F5504" s="1" t="s">
        <v>8506</v>
      </c>
      <c r="H5504" s="1" t="s">
        <v>8639</v>
      </c>
      <c r="J5504" s="1" t="s">
        <v>8640</v>
      </c>
      <c r="L5504" s="1" t="s">
        <v>479</v>
      </c>
      <c r="N5504" s="1" t="s">
        <v>587</v>
      </c>
      <c r="P5504" s="1" t="s">
        <v>962</v>
      </c>
      <c r="Q5504" s="3">
        <v>0</v>
      </c>
      <c r="R5504" s="22" t="s">
        <v>2723</v>
      </c>
      <c r="T5504" s="3" t="s">
        <v>4868</v>
      </c>
      <c r="U5504" s="45">
        <v>35</v>
      </c>
      <c r="V5504" t="s">
        <v>8191</v>
      </c>
      <c r="W5504" s="1" t="str">
        <f>HYPERLINK("http://ictvonline.org/taxonomy/p/taxonomy-history?taxnode_id=201904644","ICTVonline=201904644")</f>
        <v>ICTVonline=201904644</v>
      </c>
    </row>
    <row r="5505" spans="1:23">
      <c r="A5505" s="3">
        <v>5504</v>
      </c>
      <c r="B5505" s="1" t="s">
        <v>5910</v>
      </c>
      <c r="D5505" s="1" t="s">
        <v>8187</v>
      </c>
      <c r="F5505" s="1" t="s">
        <v>8506</v>
      </c>
      <c r="H5505" s="1" t="s">
        <v>8639</v>
      </c>
      <c r="J5505" s="1" t="s">
        <v>8640</v>
      </c>
      <c r="L5505" s="1" t="s">
        <v>479</v>
      </c>
      <c r="N5505" s="1" t="s">
        <v>587</v>
      </c>
      <c r="P5505" s="1" t="s">
        <v>887</v>
      </c>
      <c r="Q5505" s="3">
        <v>0</v>
      </c>
      <c r="R5505" s="22" t="s">
        <v>2723</v>
      </c>
      <c r="T5505" s="3" t="s">
        <v>4868</v>
      </c>
      <c r="U5505" s="45">
        <v>35</v>
      </c>
      <c r="V5505" t="s">
        <v>8191</v>
      </c>
      <c r="W5505" s="1" t="str">
        <f>HYPERLINK("http://ictvonline.org/taxonomy/p/taxonomy-history?taxnode_id=201904645","ICTVonline=201904645")</f>
        <v>ICTVonline=201904645</v>
      </c>
    </row>
    <row r="5506" spans="1:23">
      <c r="A5506" s="3">
        <v>5505</v>
      </c>
      <c r="B5506" s="1" t="s">
        <v>5910</v>
      </c>
      <c r="D5506" s="1" t="s">
        <v>8187</v>
      </c>
      <c r="F5506" s="1" t="s">
        <v>8506</v>
      </c>
      <c r="H5506" s="1" t="s">
        <v>8639</v>
      </c>
      <c r="J5506" s="1" t="s">
        <v>8640</v>
      </c>
      <c r="L5506" s="1" t="s">
        <v>479</v>
      </c>
      <c r="N5506" s="1" t="s">
        <v>587</v>
      </c>
      <c r="P5506" s="1" t="s">
        <v>888</v>
      </c>
      <c r="Q5506" s="3">
        <v>0</v>
      </c>
      <c r="R5506" s="22" t="s">
        <v>2723</v>
      </c>
      <c r="T5506" s="3" t="s">
        <v>4868</v>
      </c>
      <c r="U5506" s="45">
        <v>35</v>
      </c>
      <c r="V5506" t="s">
        <v>8191</v>
      </c>
      <c r="W5506" s="1" t="str">
        <f>HYPERLINK("http://ictvonline.org/taxonomy/p/taxonomy-history?taxnode_id=201904646","ICTVonline=201904646")</f>
        <v>ICTVonline=201904646</v>
      </c>
    </row>
    <row r="5507" spans="1:23">
      <c r="A5507" s="3">
        <v>5506</v>
      </c>
      <c r="B5507" s="1" t="s">
        <v>5910</v>
      </c>
      <c r="D5507" s="1" t="s">
        <v>8187</v>
      </c>
      <c r="F5507" s="1" t="s">
        <v>8506</v>
      </c>
      <c r="H5507" s="1" t="s">
        <v>8639</v>
      </c>
      <c r="J5507" s="1" t="s">
        <v>8640</v>
      </c>
      <c r="L5507" s="1" t="s">
        <v>479</v>
      </c>
      <c r="N5507" s="1" t="s">
        <v>587</v>
      </c>
      <c r="P5507" s="1" t="s">
        <v>889</v>
      </c>
      <c r="Q5507" s="3">
        <v>0</v>
      </c>
      <c r="R5507" s="22" t="s">
        <v>2723</v>
      </c>
      <c r="T5507" s="3" t="s">
        <v>4868</v>
      </c>
      <c r="U5507" s="45">
        <v>35</v>
      </c>
      <c r="V5507" t="s">
        <v>8191</v>
      </c>
      <c r="W5507" s="1" t="str">
        <f>HYPERLINK("http://ictvonline.org/taxonomy/p/taxonomy-history?taxnode_id=201904647","ICTVonline=201904647")</f>
        <v>ICTVonline=201904647</v>
      </c>
    </row>
    <row r="5508" spans="1:23">
      <c r="A5508" s="3">
        <v>5507</v>
      </c>
      <c r="B5508" s="1" t="s">
        <v>5910</v>
      </c>
      <c r="D5508" s="1" t="s">
        <v>8187</v>
      </c>
      <c r="F5508" s="1" t="s">
        <v>8506</v>
      </c>
      <c r="H5508" s="1" t="s">
        <v>8639</v>
      </c>
      <c r="J5508" s="1" t="s">
        <v>8640</v>
      </c>
      <c r="L5508" s="1" t="s">
        <v>479</v>
      </c>
      <c r="N5508" s="1" t="s">
        <v>587</v>
      </c>
      <c r="P5508" s="1" t="s">
        <v>965</v>
      </c>
      <c r="Q5508" s="3">
        <v>0</v>
      </c>
      <c r="R5508" s="22" t="s">
        <v>2723</v>
      </c>
      <c r="T5508" s="3" t="s">
        <v>4868</v>
      </c>
      <c r="U5508" s="45">
        <v>35</v>
      </c>
      <c r="V5508" t="s">
        <v>8191</v>
      </c>
      <c r="W5508" s="1" t="str">
        <f>HYPERLINK("http://ictvonline.org/taxonomy/p/taxonomy-history?taxnode_id=201904648","ICTVonline=201904648")</f>
        <v>ICTVonline=201904648</v>
      </c>
    </row>
    <row r="5509" spans="1:23">
      <c r="A5509" s="3">
        <v>5508</v>
      </c>
      <c r="B5509" s="1" t="s">
        <v>5910</v>
      </c>
      <c r="D5509" s="1" t="s">
        <v>8187</v>
      </c>
      <c r="F5509" s="1" t="s">
        <v>8506</v>
      </c>
      <c r="H5509" s="1" t="s">
        <v>8639</v>
      </c>
      <c r="J5509" s="1" t="s">
        <v>8640</v>
      </c>
      <c r="L5509" s="1" t="s">
        <v>479</v>
      </c>
      <c r="N5509" s="1" t="s">
        <v>587</v>
      </c>
      <c r="P5509" s="1" t="s">
        <v>966</v>
      </c>
      <c r="Q5509" s="3">
        <v>0</v>
      </c>
      <c r="R5509" s="22" t="s">
        <v>2723</v>
      </c>
      <c r="T5509" s="3" t="s">
        <v>4868</v>
      </c>
      <c r="U5509" s="45">
        <v>35</v>
      </c>
      <c r="V5509" t="s">
        <v>8191</v>
      </c>
      <c r="W5509" s="1" t="str">
        <f>HYPERLINK("http://ictvonline.org/taxonomy/p/taxonomy-history?taxnode_id=201904649","ICTVonline=201904649")</f>
        <v>ICTVonline=201904649</v>
      </c>
    </row>
    <row r="5510" spans="1:23">
      <c r="A5510" s="3">
        <v>5509</v>
      </c>
      <c r="B5510" s="1" t="s">
        <v>5910</v>
      </c>
      <c r="D5510" s="1" t="s">
        <v>8187</v>
      </c>
      <c r="F5510" s="1" t="s">
        <v>8506</v>
      </c>
      <c r="H5510" s="1" t="s">
        <v>8639</v>
      </c>
      <c r="J5510" s="1" t="s">
        <v>8640</v>
      </c>
      <c r="L5510" s="1" t="s">
        <v>479</v>
      </c>
      <c r="N5510" s="1" t="s">
        <v>587</v>
      </c>
      <c r="P5510" s="1" t="s">
        <v>2678</v>
      </c>
      <c r="Q5510" s="3">
        <v>0</v>
      </c>
      <c r="R5510" s="22" t="s">
        <v>2723</v>
      </c>
      <c r="T5510" s="3" t="s">
        <v>4868</v>
      </c>
      <c r="U5510" s="45">
        <v>35</v>
      </c>
      <c r="V5510" t="s">
        <v>8191</v>
      </c>
      <c r="W5510" s="1" t="str">
        <f>HYPERLINK("http://ictvonline.org/taxonomy/p/taxonomy-history?taxnode_id=201904650","ICTVonline=201904650")</f>
        <v>ICTVonline=201904650</v>
      </c>
    </row>
    <row r="5511" spans="1:23">
      <c r="A5511" s="3">
        <v>5510</v>
      </c>
      <c r="B5511" s="1" t="s">
        <v>5910</v>
      </c>
      <c r="D5511" s="1" t="s">
        <v>8187</v>
      </c>
      <c r="F5511" s="1" t="s">
        <v>8506</v>
      </c>
      <c r="H5511" s="1" t="s">
        <v>8639</v>
      </c>
      <c r="J5511" s="1" t="s">
        <v>8640</v>
      </c>
      <c r="L5511" s="1" t="s">
        <v>479</v>
      </c>
      <c r="N5511" s="1" t="s">
        <v>587</v>
      </c>
      <c r="P5511" s="1" t="s">
        <v>967</v>
      </c>
      <c r="Q5511" s="3">
        <v>0</v>
      </c>
      <c r="R5511" s="22" t="s">
        <v>2723</v>
      </c>
      <c r="T5511" s="3" t="s">
        <v>4868</v>
      </c>
      <c r="U5511" s="45">
        <v>35</v>
      </c>
      <c r="V5511" t="s">
        <v>8191</v>
      </c>
      <c r="W5511" s="1" t="str">
        <f>HYPERLINK("http://ictvonline.org/taxonomy/p/taxonomy-history?taxnode_id=201904651","ICTVonline=201904651")</f>
        <v>ICTVonline=201904651</v>
      </c>
    </row>
    <row r="5512" spans="1:23">
      <c r="A5512" s="3">
        <v>5511</v>
      </c>
      <c r="B5512" s="1" t="s">
        <v>5910</v>
      </c>
      <c r="D5512" s="1" t="s">
        <v>8187</v>
      </c>
      <c r="F5512" s="1" t="s">
        <v>8506</v>
      </c>
      <c r="H5512" s="1" t="s">
        <v>8639</v>
      </c>
      <c r="J5512" s="1" t="s">
        <v>8640</v>
      </c>
      <c r="L5512" s="1" t="s">
        <v>479</v>
      </c>
      <c r="N5512" s="1" t="s">
        <v>587</v>
      </c>
      <c r="P5512" s="1" t="s">
        <v>968</v>
      </c>
      <c r="Q5512" s="3">
        <v>0</v>
      </c>
      <c r="R5512" s="22" t="s">
        <v>2723</v>
      </c>
      <c r="T5512" s="3" t="s">
        <v>4868</v>
      </c>
      <c r="U5512" s="45">
        <v>35</v>
      </c>
      <c r="V5512" t="s">
        <v>8191</v>
      </c>
      <c r="W5512" s="1" t="str">
        <f>HYPERLINK("http://ictvonline.org/taxonomy/p/taxonomy-history?taxnode_id=201904652","ICTVonline=201904652")</f>
        <v>ICTVonline=201904652</v>
      </c>
    </row>
    <row r="5513" spans="1:23">
      <c r="A5513" s="3">
        <v>5512</v>
      </c>
      <c r="B5513" s="1" t="s">
        <v>5910</v>
      </c>
      <c r="D5513" s="1" t="s">
        <v>8187</v>
      </c>
      <c r="F5513" s="1" t="s">
        <v>8506</v>
      </c>
      <c r="H5513" s="1" t="s">
        <v>8639</v>
      </c>
      <c r="J5513" s="1" t="s">
        <v>8640</v>
      </c>
      <c r="L5513" s="1" t="s">
        <v>479</v>
      </c>
      <c r="N5513" s="1" t="s">
        <v>587</v>
      </c>
      <c r="P5513" s="1" t="s">
        <v>6198</v>
      </c>
      <c r="Q5513" s="3">
        <v>0</v>
      </c>
      <c r="R5513" s="22" t="s">
        <v>2723</v>
      </c>
      <c r="T5513" s="3" t="s">
        <v>4868</v>
      </c>
      <c r="U5513" s="45">
        <v>35</v>
      </c>
      <c r="V5513" t="s">
        <v>8191</v>
      </c>
      <c r="W5513" s="1" t="str">
        <f>HYPERLINK("http://ictvonline.org/taxonomy/p/taxonomy-history?taxnode_id=201906674","ICTVonline=201906674")</f>
        <v>ICTVonline=201906674</v>
      </c>
    </row>
    <row r="5514" spans="1:23">
      <c r="A5514" s="3">
        <v>5513</v>
      </c>
      <c r="B5514" s="1" t="s">
        <v>5910</v>
      </c>
      <c r="D5514" s="1" t="s">
        <v>8187</v>
      </c>
      <c r="F5514" s="1" t="s">
        <v>8506</v>
      </c>
      <c r="H5514" s="1" t="s">
        <v>8639</v>
      </c>
      <c r="J5514" s="1" t="s">
        <v>8640</v>
      </c>
      <c r="L5514" s="1" t="s">
        <v>479</v>
      </c>
      <c r="N5514" s="1" t="s">
        <v>587</v>
      </c>
      <c r="P5514" s="1" t="s">
        <v>969</v>
      </c>
      <c r="Q5514" s="3">
        <v>0</v>
      </c>
      <c r="R5514" s="22" t="s">
        <v>2723</v>
      </c>
      <c r="T5514" s="3" t="s">
        <v>4868</v>
      </c>
      <c r="U5514" s="45">
        <v>35</v>
      </c>
      <c r="V5514" t="s">
        <v>8191</v>
      </c>
      <c r="W5514" s="1" t="str">
        <f>HYPERLINK("http://ictvonline.org/taxonomy/p/taxonomy-history?taxnode_id=201904653","ICTVonline=201904653")</f>
        <v>ICTVonline=201904653</v>
      </c>
    </row>
    <row r="5515" spans="1:23">
      <c r="A5515" s="3">
        <v>5514</v>
      </c>
      <c r="B5515" s="1" t="s">
        <v>5910</v>
      </c>
      <c r="D5515" s="1" t="s">
        <v>8187</v>
      </c>
      <c r="F5515" s="1" t="s">
        <v>8506</v>
      </c>
      <c r="H5515" s="1" t="s">
        <v>8639</v>
      </c>
      <c r="J5515" s="1" t="s">
        <v>8640</v>
      </c>
      <c r="L5515" s="1" t="s">
        <v>479</v>
      </c>
      <c r="N5515" s="1" t="s">
        <v>587</v>
      </c>
      <c r="P5515" s="1" t="s">
        <v>970</v>
      </c>
      <c r="Q5515" s="3">
        <v>0</v>
      </c>
      <c r="R5515" s="22" t="s">
        <v>2723</v>
      </c>
      <c r="T5515" s="3" t="s">
        <v>4868</v>
      </c>
      <c r="U5515" s="45">
        <v>35</v>
      </c>
      <c r="V5515" t="s">
        <v>8191</v>
      </c>
      <c r="W5515" s="1" t="str">
        <f>HYPERLINK("http://ictvonline.org/taxonomy/p/taxonomy-history?taxnode_id=201904654","ICTVonline=201904654")</f>
        <v>ICTVonline=201904654</v>
      </c>
    </row>
    <row r="5516" spans="1:23">
      <c r="A5516" s="3">
        <v>5515</v>
      </c>
      <c r="B5516" s="1" t="s">
        <v>5910</v>
      </c>
      <c r="D5516" s="1" t="s">
        <v>8187</v>
      </c>
      <c r="F5516" s="1" t="s">
        <v>8506</v>
      </c>
      <c r="H5516" s="1" t="s">
        <v>8639</v>
      </c>
      <c r="J5516" s="1" t="s">
        <v>8640</v>
      </c>
      <c r="L5516" s="1" t="s">
        <v>479</v>
      </c>
      <c r="N5516" s="1" t="s">
        <v>587</v>
      </c>
      <c r="P5516" s="1" t="s">
        <v>971</v>
      </c>
      <c r="Q5516" s="3">
        <v>0</v>
      </c>
      <c r="R5516" s="22" t="s">
        <v>2723</v>
      </c>
      <c r="T5516" s="3" t="s">
        <v>4868</v>
      </c>
      <c r="U5516" s="45">
        <v>35</v>
      </c>
      <c r="V5516" t="s">
        <v>8191</v>
      </c>
      <c r="W5516" s="1" t="str">
        <f>HYPERLINK("http://ictvonline.org/taxonomy/p/taxonomy-history?taxnode_id=201904655","ICTVonline=201904655")</f>
        <v>ICTVonline=201904655</v>
      </c>
    </row>
    <row r="5517" spans="1:23">
      <c r="A5517" s="3">
        <v>5516</v>
      </c>
      <c r="B5517" s="1" t="s">
        <v>5910</v>
      </c>
      <c r="D5517" s="1" t="s">
        <v>8187</v>
      </c>
      <c r="F5517" s="1" t="s">
        <v>8506</v>
      </c>
      <c r="H5517" s="1" t="s">
        <v>8639</v>
      </c>
      <c r="J5517" s="1" t="s">
        <v>8640</v>
      </c>
      <c r="L5517" s="1" t="s">
        <v>479</v>
      </c>
      <c r="N5517" s="1" t="s">
        <v>587</v>
      </c>
      <c r="P5517" s="1" t="s">
        <v>972</v>
      </c>
      <c r="Q5517" s="3">
        <v>0</v>
      </c>
      <c r="R5517" s="22" t="s">
        <v>2723</v>
      </c>
      <c r="T5517" s="3" t="s">
        <v>4868</v>
      </c>
      <c r="U5517" s="45">
        <v>35</v>
      </c>
      <c r="V5517" t="s">
        <v>8191</v>
      </c>
      <c r="W5517" s="1" t="str">
        <f>HYPERLINK("http://ictvonline.org/taxonomy/p/taxonomy-history?taxnode_id=201904656","ICTVonline=201904656")</f>
        <v>ICTVonline=201904656</v>
      </c>
    </row>
    <row r="5518" spans="1:23">
      <c r="A5518" s="3">
        <v>5517</v>
      </c>
      <c r="B5518" s="1" t="s">
        <v>5910</v>
      </c>
      <c r="D5518" s="1" t="s">
        <v>8187</v>
      </c>
      <c r="F5518" s="1" t="s">
        <v>8506</v>
      </c>
      <c r="H5518" s="1" t="s">
        <v>8639</v>
      </c>
      <c r="J5518" s="1" t="s">
        <v>8640</v>
      </c>
      <c r="L5518" s="1" t="s">
        <v>479</v>
      </c>
      <c r="N5518" s="1" t="s">
        <v>587</v>
      </c>
      <c r="P5518" s="1" t="s">
        <v>973</v>
      </c>
      <c r="Q5518" s="3">
        <v>0</v>
      </c>
      <c r="R5518" s="22" t="s">
        <v>2723</v>
      </c>
      <c r="T5518" s="3" t="s">
        <v>4868</v>
      </c>
      <c r="U5518" s="45">
        <v>35</v>
      </c>
      <c r="V5518" t="s">
        <v>8191</v>
      </c>
      <c r="W5518" s="1" t="str">
        <f>HYPERLINK("http://ictvonline.org/taxonomy/p/taxonomy-history?taxnode_id=201904657","ICTVonline=201904657")</f>
        <v>ICTVonline=201904657</v>
      </c>
    </row>
    <row r="5519" spans="1:23">
      <c r="A5519" s="3">
        <v>5518</v>
      </c>
      <c r="B5519" s="1" t="s">
        <v>5910</v>
      </c>
      <c r="D5519" s="1" t="s">
        <v>8187</v>
      </c>
      <c r="F5519" s="1" t="s">
        <v>8506</v>
      </c>
      <c r="H5519" s="1" t="s">
        <v>8639</v>
      </c>
      <c r="J5519" s="1" t="s">
        <v>8640</v>
      </c>
      <c r="L5519" s="1" t="s">
        <v>479</v>
      </c>
      <c r="N5519" s="1" t="s">
        <v>587</v>
      </c>
      <c r="P5519" s="1" t="s">
        <v>5505</v>
      </c>
      <c r="Q5519" s="3">
        <v>0</v>
      </c>
      <c r="R5519" s="22" t="s">
        <v>2723</v>
      </c>
      <c r="T5519" s="3" t="s">
        <v>4868</v>
      </c>
      <c r="U5519" s="45">
        <v>35</v>
      </c>
      <c r="V5519" t="s">
        <v>8191</v>
      </c>
      <c r="W5519" s="1" t="str">
        <f>HYPERLINK("http://ictvonline.org/taxonomy/p/taxonomy-history?taxnode_id=201905922","ICTVonline=201905922")</f>
        <v>ICTVonline=201905922</v>
      </c>
    </row>
    <row r="5520" spans="1:23">
      <c r="A5520" s="3">
        <v>5519</v>
      </c>
      <c r="B5520" s="1" t="s">
        <v>5910</v>
      </c>
      <c r="D5520" s="1" t="s">
        <v>8187</v>
      </c>
      <c r="F5520" s="1" t="s">
        <v>8506</v>
      </c>
      <c r="H5520" s="1" t="s">
        <v>8639</v>
      </c>
      <c r="J5520" s="1" t="s">
        <v>8640</v>
      </c>
      <c r="L5520" s="1" t="s">
        <v>479</v>
      </c>
      <c r="N5520" s="1" t="s">
        <v>587</v>
      </c>
      <c r="P5520" s="1" t="s">
        <v>639</v>
      </c>
      <c r="Q5520" s="3">
        <v>0</v>
      </c>
      <c r="R5520" s="22" t="s">
        <v>2723</v>
      </c>
      <c r="T5520" s="3" t="s">
        <v>4868</v>
      </c>
      <c r="U5520" s="45">
        <v>35</v>
      </c>
      <c r="V5520" t="s">
        <v>8191</v>
      </c>
      <c r="W5520" s="1" t="str">
        <f>HYPERLINK("http://ictvonline.org/taxonomy/p/taxonomy-history?taxnode_id=201904658","ICTVonline=201904658")</f>
        <v>ICTVonline=201904658</v>
      </c>
    </row>
    <row r="5521" spans="1:23">
      <c r="A5521" s="3">
        <v>5520</v>
      </c>
      <c r="B5521" s="1" t="s">
        <v>5910</v>
      </c>
      <c r="D5521" s="1" t="s">
        <v>8187</v>
      </c>
      <c r="F5521" s="1" t="s">
        <v>8506</v>
      </c>
      <c r="H5521" s="1" t="s">
        <v>8639</v>
      </c>
      <c r="J5521" s="1" t="s">
        <v>8640</v>
      </c>
      <c r="L5521" s="1" t="s">
        <v>479</v>
      </c>
      <c r="N5521" s="1" t="s">
        <v>587</v>
      </c>
      <c r="P5521" s="1" t="s">
        <v>640</v>
      </c>
      <c r="Q5521" s="3">
        <v>0</v>
      </c>
      <c r="R5521" s="22" t="s">
        <v>2723</v>
      </c>
      <c r="T5521" s="3" t="s">
        <v>4868</v>
      </c>
      <c r="U5521" s="45">
        <v>35</v>
      </c>
      <c r="V5521" t="s">
        <v>8191</v>
      </c>
      <c r="W5521" s="1" t="str">
        <f>HYPERLINK("http://ictvonline.org/taxonomy/p/taxonomy-history?taxnode_id=201904659","ICTVonline=201904659")</f>
        <v>ICTVonline=201904659</v>
      </c>
    </row>
    <row r="5522" spans="1:23">
      <c r="A5522" s="3">
        <v>5521</v>
      </c>
      <c r="B5522" s="1" t="s">
        <v>5910</v>
      </c>
      <c r="D5522" s="1" t="s">
        <v>8187</v>
      </c>
      <c r="F5522" s="1" t="s">
        <v>8506</v>
      </c>
      <c r="H5522" s="1" t="s">
        <v>8639</v>
      </c>
      <c r="J5522" s="1" t="s">
        <v>8640</v>
      </c>
      <c r="L5522" s="1" t="s">
        <v>479</v>
      </c>
      <c r="N5522" s="1" t="s">
        <v>587</v>
      </c>
      <c r="P5522" s="1" t="s">
        <v>641</v>
      </c>
      <c r="Q5522" s="3">
        <v>0</v>
      </c>
      <c r="R5522" s="22" t="s">
        <v>2723</v>
      </c>
      <c r="T5522" s="3" t="s">
        <v>4868</v>
      </c>
      <c r="U5522" s="45">
        <v>35</v>
      </c>
      <c r="V5522" t="s">
        <v>8191</v>
      </c>
      <c r="W5522" s="1" t="str">
        <f>HYPERLINK("http://ictvonline.org/taxonomy/p/taxonomy-history?taxnode_id=201904660","ICTVonline=201904660")</f>
        <v>ICTVonline=201904660</v>
      </c>
    </row>
    <row r="5523" spans="1:23">
      <c r="A5523" s="3">
        <v>5522</v>
      </c>
      <c r="B5523" s="1" t="s">
        <v>5910</v>
      </c>
      <c r="D5523" s="1" t="s">
        <v>8187</v>
      </c>
      <c r="F5523" s="1" t="s">
        <v>8506</v>
      </c>
      <c r="H5523" s="1" t="s">
        <v>8639</v>
      </c>
      <c r="J5523" s="1" t="s">
        <v>8640</v>
      </c>
      <c r="L5523" s="1" t="s">
        <v>479</v>
      </c>
      <c r="N5523" s="1" t="s">
        <v>587</v>
      </c>
      <c r="P5523" s="1" t="s">
        <v>642</v>
      </c>
      <c r="Q5523" s="3">
        <v>0</v>
      </c>
      <c r="R5523" s="22" t="s">
        <v>2723</v>
      </c>
      <c r="T5523" s="3" t="s">
        <v>4868</v>
      </c>
      <c r="U5523" s="45">
        <v>35</v>
      </c>
      <c r="V5523" t="s">
        <v>8191</v>
      </c>
      <c r="W5523" s="1" t="str">
        <f>HYPERLINK("http://ictvonline.org/taxonomy/p/taxonomy-history?taxnode_id=201904661","ICTVonline=201904661")</f>
        <v>ICTVonline=201904661</v>
      </c>
    </row>
    <row r="5524" spans="1:23">
      <c r="A5524" s="3">
        <v>5523</v>
      </c>
      <c r="B5524" s="1" t="s">
        <v>5910</v>
      </c>
      <c r="D5524" s="1" t="s">
        <v>8187</v>
      </c>
      <c r="F5524" s="1" t="s">
        <v>8506</v>
      </c>
      <c r="H5524" s="1" t="s">
        <v>8639</v>
      </c>
      <c r="J5524" s="1" t="s">
        <v>8640</v>
      </c>
      <c r="L5524" s="1" t="s">
        <v>479</v>
      </c>
      <c r="N5524" s="1" t="s">
        <v>587</v>
      </c>
      <c r="P5524" s="1" t="s">
        <v>643</v>
      </c>
      <c r="Q5524" s="3">
        <v>0</v>
      </c>
      <c r="R5524" s="22" t="s">
        <v>2723</v>
      </c>
      <c r="T5524" s="3" t="s">
        <v>4868</v>
      </c>
      <c r="U5524" s="45">
        <v>35</v>
      </c>
      <c r="V5524" t="s">
        <v>8191</v>
      </c>
      <c r="W5524" s="1" t="str">
        <f>HYPERLINK("http://ictvonline.org/taxonomy/p/taxonomy-history?taxnode_id=201904662","ICTVonline=201904662")</f>
        <v>ICTVonline=201904662</v>
      </c>
    </row>
    <row r="5525" spans="1:23">
      <c r="A5525" s="3">
        <v>5524</v>
      </c>
      <c r="B5525" s="1" t="s">
        <v>5910</v>
      </c>
      <c r="D5525" s="1" t="s">
        <v>8187</v>
      </c>
      <c r="F5525" s="1" t="s">
        <v>8506</v>
      </c>
      <c r="H5525" s="1" t="s">
        <v>8639</v>
      </c>
      <c r="J5525" s="1" t="s">
        <v>8640</v>
      </c>
      <c r="L5525" s="1" t="s">
        <v>479</v>
      </c>
      <c r="N5525" s="1" t="s">
        <v>587</v>
      </c>
      <c r="P5525" s="1" t="s">
        <v>644</v>
      </c>
      <c r="Q5525" s="3">
        <v>0</v>
      </c>
      <c r="R5525" s="22" t="s">
        <v>2723</v>
      </c>
      <c r="T5525" s="3" t="s">
        <v>4868</v>
      </c>
      <c r="U5525" s="45">
        <v>35</v>
      </c>
      <c r="V5525" t="s">
        <v>8191</v>
      </c>
      <c r="W5525" s="1" t="str">
        <f>HYPERLINK("http://ictvonline.org/taxonomy/p/taxonomy-history?taxnode_id=201904663","ICTVonline=201904663")</f>
        <v>ICTVonline=201904663</v>
      </c>
    </row>
    <row r="5526" spans="1:23">
      <c r="A5526" s="3">
        <v>5525</v>
      </c>
      <c r="B5526" s="1" t="s">
        <v>5910</v>
      </c>
      <c r="D5526" s="1" t="s">
        <v>8187</v>
      </c>
      <c r="F5526" s="1" t="s">
        <v>8506</v>
      </c>
      <c r="H5526" s="1" t="s">
        <v>8639</v>
      </c>
      <c r="J5526" s="1" t="s">
        <v>8640</v>
      </c>
      <c r="L5526" s="1" t="s">
        <v>479</v>
      </c>
      <c r="N5526" s="1" t="s">
        <v>587</v>
      </c>
      <c r="P5526" s="1" t="s">
        <v>645</v>
      </c>
      <c r="Q5526" s="3">
        <v>0</v>
      </c>
      <c r="R5526" s="22" t="s">
        <v>2723</v>
      </c>
      <c r="T5526" s="3" t="s">
        <v>4868</v>
      </c>
      <c r="U5526" s="45">
        <v>35</v>
      </c>
      <c r="V5526" t="s">
        <v>8191</v>
      </c>
      <c r="W5526" s="1" t="str">
        <f>HYPERLINK("http://ictvonline.org/taxonomy/p/taxonomy-history?taxnode_id=201904664","ICTVonline=201904664")</f>
        <v>ICTVonline=201904664</v>
      </c>
    </row>
    <row r="5527" spans="1:23">
      <c r="A5527" s="3">
        <v>5526</v>
      </c>
      <c r="B5527" s="1" t="s">
        <v>5910</v>
      </c>
      <c r="D5527" s="1" t="s">
        <v>8187</v>
      </c>
      <c r="F5527" s="1" t="s">
        <v>8506</v>
      </c>
      <c r="H5527" s="1" t="s">
        <v>8639</v>
      </c>
      <c r="J5527" s="1" t="s">
        <v>8640</v>
      </c>
      <c r="L5527" s="1" t="s">
        <v>479</v>
      </c>
      <c r="N5527" s="1" t="s">
        <v>587</v>
      </c>
      <c r="P5527" s="1" t="s">
        <v>8658</v>
      </c>
      <c r="Q5527" s="3">
        <v>0</v>
      </c>
      <c r="R5527" s="22" t="s">
        <v>2723</v>
      </c>
      <c r="T5527" s="3" t="s">
        <v>4866</v>
      </c>
      <c r="U5527" s="45">
        <v>35</v>
      </c>
      <c r="V5527" t="s">
        <v>8652</v>
      </c>
      <c r="W5527" s="1" t="str">
        <f>HYPERLINK("http://ictvonline.org/taxonomy/p/taxonomy-history?taxnode_id=201907437","ICTVonline=201907437")</f>
        <v>ICTVonline=201907437</v>
      </c>
    </row>
    <row r="5528" spans="1:23">
      <c r="A5528" s="3">
        <v>5527</v>
      </c>
      <c r="B5528" s="1" t="s">
        <v>5910</v>
      </c>
      <c r="D5528" s="1" t="s">
        <v>8187</v>
      </c>
      <c r="F5528" s="1" t="s">
        <v>8506</v>
      </c>
      <c r="H5528" s="1" t="s">
        <v>8639</v>
      </c>
      <c r="J5528" s="1" t="s">
        <v>8640</v>
      </c>
      <c r="L5528" s="1" t="s">
        <v>479</v>
      </c>
      <c r="N5528" s="1" t="s">
        <v>587</v>
      </c>
      <c r="P5528" s="1" t="s">
        <v>646</v>
      </c>
      <c r="Q5528" s="3">
        <v>0</v>
      </c>
      <c r="R5528" s="22" t="s">
        <v>2723</v>
      </c>
      <c r="T5528" s="3" t="s">
        <v>4868</v>
      </c>
      <c r="U5528" s="45">
        <v>35</v>
      </c>
      <c r="V5528" t="s">
        <v>8191</v>
      </c>
      <c r="W5528" s="1" t="str">
        <f>HYPERLINK("http://ictvonline.org/taxonomy/p/taxonomy-history?taxnode_id=201904665","ICTVonline=201904665")</f>
        <v>ICTVonline=201904665</v>
      </c>
    </row>
    <row r="5529" spans="1:23">
      <c r="A5529" s="3">
        <v>5528</v>
      </c>
      <c r="B5529" s="1" t="s">
        <v>5910</v>
      </c>
      <c r="D5529" s="1" t="s">
        <v>8187</v>
      </c>
      <c r="F5529" s="1" t="s">
        <v>8506</v>
      </c>
      <c r="H5529" s="1" t="s">
        <v>8639</v>
      </c>
      <c r="J5529" s="1" t="s">
        <v>8640</v>
      </c>
      <c r="L5529" s="1" t="s">
        <v>479</v>
      </c>
      <c r="N5529" s="1" t="s">
        <v>587</v>
      </c>
      <c r="P5529" s="1" t="s">
        <v>458</v>
      </c>
      <c r="Q5529" s="3">
        <v>0</v>
      </c>
      <c r="R5529" s="22" t="s">
        <v>2723</v>
      </c>
      <c r="T5529" s="3" t="s">
        <v>4868</v>
      </c>
      <c r="U5529" s="45">
        <v>35</v>
      </c>
      <c r="V5529" t="s">
        <v>8191</v>
      </c>
      <c r="W5529" s="1" t="str">
        <f>HYPERLINK("http://ictvonline.org/taxonomy/p/taxonomy-history?taxnode_id=201904666","ICTVonline=201904666")</f>
        <v>ICTVonline=201904666</v>
      </c>
    </row>
    <row r="5530" spans="1:23">
      <c r="A5530" s="3">
        <v>5529</v>
      </c>
      <c r="B5530" s="1" t="s">
        <v>5910</v>
      </c>
      <c r="D5530" s="1" t="s">
        <v>8187</v>
      </c>
      <c r="F5530" s="1" t="s">
        <v>8506</v>
      </c>
      <c r="H5530" s="1" t="s">
        <v>8639</v>
      </c>
      <c r="J5530" s="1" t="s">
        <v>8640</v>
      </c>
      <c r="L5530" s="1" t="s">
        <v>479</v>
      </c>
      <c r="N5530" s="1" t="s">
        <v>587</v>
      </c>
      <c r="P5530" s="1" t="s">
        <v>1573</v>
      </c>
      <c r="Q5530" s="3">
        <v>0</v>
      </c>
      <c r="R5530" s="22" t="s">
        <v>2723</v>
      </c>
      <c r="T5530" s="3" t="s">
        <v>4868</v>
      </c>
      <c r="U5530" s="45">
        <v>35</v>
      </c>
      <c r="V5530" t="s">
        <v>8191</v>
      </c>
      <c r="W5530" s="1" t="str">
        <f>HYPERLINK("http://ictvonline.org/taxonomy/p/taxonomy-history?taxnode_id=201904667","ICTVonline=201904667")</f>
        <v>ICTVonline=201904667</v>
      </c>
    </row>
    <row r="5531" spans="1:23">
      <c r="A5531" s="3">
        <v>5530</v>
      </c>
      <c r="B5531" s="1" t="s">
        <v>5910</v>
      </c>
      <c r="D5531" s="1" t="s">
        <v>8187</v>
      </c>
      <c r="F5531" s="1" t="s">
        <v>8506</v>
      </c>
      <c r="H5531" s="1" t="s">
        <v>8639</v>
      </c>
      <c r="J5531" s="1" t="s">
        <v>8640</v>
      </c>
      <c r="L5531" s="1" t="s">
        <v>479</v>
      </c>
      <c r="N5531" s="1" t="s">
        <v>587</v>
      </c>
      <c r="P5531" s="1" t="s">
        <v>1574</v>
      </c>
      <c r="Q5531" s="3">
        <v>0</v>
      </c>
      <c r="R5531" s="22" t="s">
        <v>2723</v>
      </c>
      <c r="T5531" s="3" t="s">
        <v>4868</v>
      </c>
      <c r="U5531" s="45">
        <v>35</v>
      </c>
      <c r="V5531" t="s">
        <v>8191</v>
      </c>
      <c r="W5531" s="1" t="str">
        <f>HYPERLINK("http://ictvonline.org/taxonomy/p/taxonomy-history?taxnode_id=201904668","ICTVonline=201904668")</f>
        <v>ICTVonline=201904668</v>
      </c>
    </row>
    <row r="5532" spans="1:23">
      <c r="A5532" s="3">
        <v>5531</v>
      </c>
      <c r="B5532" s="1" t="s">
        <v>5910</v>
      </c>
      <c r="D5532" s="1" t="s">
        <v>8187</v>
      </c>
      <c r="F5532" s="1" t="s">
        <v>8506</v>
      </c>
      <c r="H5532" s="1" t="s">
        <v>8639</v>
      </c>
      <c r="J5532" s="1" t="s">
        <v>8640</v>
      </c>
      <c r="L5532" s="1" t="s">
        <v>479</v>
      </c>
      <c r="N5532" s="1" t="s">
        <v>587</v>
      </c>
      <c r="P5532" s="1" t="s">
        <v>510</v>
      </c>
      <c r="Q5532" s="3">
        <v>0</v>
      </c>
      <c r="R5532" s="22" t="s">
        <v>2723</v>
      </c>
      <c r="T5532" s="3" t="s">
        <v>4868</v>
      </c>
      <c r="U5532" s="45">
        <v>35</v>
      </c>
      <c r="V5532" t="s">
        <v>8191</v>
      </c>
      <c r="W5532" s="1" t="str">
        <f>HYPERLINK("http://ictvonline.org/taxonomy/p/taxonomy-history?taxnode_id=201904669","ICTVonline=201904669")</f>
        <v>ICTVonline=201904669</v>
      </c>
    </row>
    <row r="5533" spans="1:23">
      <c r="A5533" s="3">
        <v>5532</v>
      </c>
      <c r="B5533" s="1" t="s">
        <v>5910</v>
      </c>
      <c r="D5533" s="1" t="s">
        <v>8187</v>
      </c>
      <c r="F5533" s="1" t="s">
        <v>8506</v>
      </c>
      <c r="H5533" s="1" t="s">
        <v>8639</v>
      </c>
      <c r="J5533" s="1" t="s">
        <v>8640</v>
      </c>
      <c r="L5533" s="1" t="s">
        <v>479</v>
      </c>
      <c r="N5533" s="1" t="s">
        <v>587</v>
      </c>
      <c r="P5533" s="1" t="s">
        <v>511</v>
      </c>
      <c r="Q5533" s="3">
        <v>1</v>
      </c>
      <c r="R5533" s="22" t="s">
        <v>2723</v>
      </c>
      <c r="T5533" s="3" t="s">
        <v>4868</v>
      </c>
      <c r="U5533" s="45">
        <v>35</v>
      </c>
      <c r="V5533" t="s">
        <v>8191</v>
      </c>
      <c r="W5533" s="1" t="str">
        <f>HYPERLINK("http://ictvonline.org/taxonomy/p/taxonomy-history?taxnode_id=201904670","ICTVonline=201904670")</f>
        <v>ICTVonline=201904670</v>
      </c>
    </row>
    <row r="5534" spans="1:23">
      <c r="A5534" s="3">
        <v>5533</v>
      </c>
      <c r="B5534" s="1" t="s">
        <v>5910</v>
      </c>
      <c r="D5534" s="1" t="s">
        <v>8187</v>
      </c>
      <c r="F5534" s="1" t="s">
        <v>8506</v>
      </c>
      <c r="H5534" s="1" t="s">
        <v>8639</v>
      </c>
      <c r="J5534" s="1" t="s">
        <v>8640</v>
      </c>
      <c r="L5534" s="1" t="s">
        <v>479</v>
      </c>
      <c r="N5534" s="1" t="s">
        <v>587</v>
      </c>
      <c r="P5534" s="1" t="s">
        <v>8659</v>
      </c>
      <c r="Q5534" s="3">
        <v>0</v>
      </c>
      <c r="R5534" s="22" t="s">
        <v>2723</v>
      </c>
      <c r="T5534" s="3" t="s">
        <v>4866</v>
      </c>
      <c r="U5534" s="45">
        <v>35</v>
      </c>
      <c r="V5534" t="s">
        <v>8652</v>
      </c>
      <c r="W5534" s="1" t="str">
        <f>HYPERLINK("http://ictvonline.org/taxonomy/p/taxonomy-history?taxnode_id=201907438","ICTVonline=201907438")</f>
        <v>ICTVonline=201907438</v>
      </c>
    </row>
    <row r="5535" spans="1:23">
      <c r="A5535" s="3">
        <v>5534</v>
      </c>
      <c r="B5535" s="1" t="s">
        <v>5910</v>
      </c>
      <c r="D5535" s="1" t="s">
        <v>8187</v>
      </c>
      <c r="F5535" s="1" t="s">
        <v>8506</v>
      </c>
      <c r="H5535" s="1" t="s">
        <v>8639</v>
      </c>
      <c r="J5535" s="1" t="s">
        <v>8640</v>
      </c>
      <c r="L5535" s="1" t="s">
        <v>479</v>
      </c>
      <c r="N5535" s="1" t="s">
        <v>587</v>
      </c>
      <c r="P5535" s="1" t="s">
        <v>512</v>
      </c>
      <c r="Q5535" s="3">
        <v>0</v>
      </c>
      <c r="R5535" s="22" t="s">
        <v>2723</v>
      </c>
      <c r="T5535" s="3" t="s">
        <v>4868</v>
      </c>
      <c r="U5535" s="45">
        <v>35</v>
      </c>
      <c r="V5535" t="s">
        <v>8191</v>
      </c>
      <c r="W5535" s="1" t="str">
        <f>HYPERLINK("http://ictvonline.org/taxonomy/p/taxonomy-history?taxnode_id=201904671","ICTVonline=201904671")</f>
        <v>ICTVonline=201904671</v>
      </c>
    </row>
    <row r="5536" spans="1:23">
      <c r="A5536" s="3">
        <v>5535</v>
      </c>
      <c r="B5536" s="1" t="s">
        <v>5910</v>
      </c>
      <c r="D5536" s="1" t="s">
        <v>8187</v>
      </c>
      <c r="F5536" s="1" t="s">
        <v>8506</v>
      </c>
      <c r="H5536" s="1" t="s">
        <v>8639</v>
      </c>
      <c r="J5536" s="1" t="s">
        <v>8640</v>
      </c>
      <c r="L5536" s="1" t="s">
        <v>479</v>
      </c>
      <c r="N5536" s="1" t="s">
        <v>587</v>
      </c>
      <c r="P5536" s="1" t="s">
        <v>1451</v>
      </c>
      <c r="Q5536" s="3">
        <v>0</v>
      </c>
      <c r="R5536" s="22" t="s">
        <v>2723</v>
      </c>
      <c r="T5536" s="3" t="s">
        <v>4868</v>
      </c>
      <c r="U5536" s="45">
        <v>35</v>
      </c>
      <c r="V5536" t="s">
        <v>8191</v>
      </c>
      <c r="W5536" s="1" t="str">
        <f>HYPERLINK("http://ictvonline.org/taxonomy/p/taxonomy-history?taxnode_id=201904672","ICTVonline=201904672")</f>
        <v>ICTVonline=201904672</v>
      </c>
    </row>
    <row r="5537" spans="1:23">
      <c r="A5537" s="3">
        <v>5536</v>
      </c>
      <c r="B5537" s="1" t="s">
        <v>5910</v>
      </c>
      <c r="D5537" s="1" t="s">
        <v>8187</v>
      </c>
      <c r="F5537" s="1" t="s">
        <v>8506</v>
      </c>
      <c r="H5537" s="1" t="s">
        <v>8639</v>
      </c>
      <c r="J5537" s="1" t="s">
        <v>8640</v>
      </c>
      <c r="L5537" s="1" t="s">
        <v>479</v>
      </c>
      <c r="N5537" s="1" t="s">
        <v>587</v>
      </c>
      <c r="P5537" s="1" t="s">
        <v>1452</v>
      </c>
      <c r="Q5537" s="3">
        <v>0</v>
      </c>
      <c r="R5537" s="22" t="s">
        <v>2723</v>
      </c>
      <c r="T5537" s="3" t="s">
        <v>4868</v>
      </c>
      <c r="U5537" s="45">
        <v>35</v>
      </c>
      <c r="V5537" t="s">
        <v>8191</v>
      </c>
      <c r="W5537" s="1" t="str">
        <f>HYPERLINK("http://ictvonline.org/taxonomy/p/taxonomy-history?taxnode_id=201904673","ICTVonline=201904673")</f>
        <v>ICTVonline=201904673</v>
      </c>
    </row>
    <row r="5538" spans="1:23">
      <c r="A5538" s="3">
        <v>5537</v>
      </c>
      <c r="B5538" s="1" t="s">
        <v>5910</v>
      </c>
      <c r="D5538" s="1" t="s">
        <v>8187</v>
      </c>
      <c r="F5538" s="1" t="s">
        <v>8506</v>
      </c>
      <c r="H5538" s="1" t="s">
        <v>8639</v>
      </c>
      <c r="J5538" s="1" t="s">
        <v>8640</v>
      </c>
      <c r="L5538" s="1" t="s">
        <v>479</v>
      </c>
      <c r="N5538" s="1" t="s">
        <v>587</v>
      </c>
      <c r="P5538" s="1" t="s">
        <v>381</v>
      </c>
      <c r="Q5538" s="3">
        <v>0</v>
      </c>
      <c r="R5538" s="22" t="s">
        <v>2723</v>
      </c>
      <c r="T5538" s="3" t="s">
        <v>4868</v>
      </c>
      <c r="U5538" s="45">
        <v>35</v>
      </c>
      <c r="V5538" t="s">
        <v>8191</v>
      </c>
      <c r="W5538" s="1" t="str">
        <f>HYPERLINK("http://ictvonline.org/taxonomy/p/taxonomy-history?taxnode_id=201904674","ICTVonline=201904674")</f>
        <v>ICTVonline=201904674</v>
      </c>
    </row>
    <row r="5539" spans="1:23">
      <c r="A5539" s="3">
        <v>5538</v>
      </c>
      <c r="B5539" s="1" t="s">
        <v>5910</v>
      </c>
      <c r="D5539" s="1" t="s">
        <v>8187</v>
      </c>
      <c r="F5539" s="1" t="s">
        <v>8506</v>
      </c>
      <c r="H5539" s="1" t="s">
        <v>8639</v>
      </c>
      <c r="J5539" s="1" t="s">
        <v>8640</v>
      </c>
      <c r="L5539" s="1" t="s">
        <v>479</v>
      </c>
      <c r="N5539" s="1" t="s">
        <v>587</v>
      </c>
      <c r="P5539" s="1" t="s">
        <v>6199</v>
      </c>
      <c r="Q5539" s="3">
        <v>0</v>
      </c>
      <c r="R5539" s="22" t="s">
        <v>2723</v>
      </c>
      <c r="T5539" s="3" t="s">
        <v>4868</v>
      </c>
      <c r="U5539" s="45">
        <v>35</v>
      </c>
      <c r="V5539" t="s">
        <v>8191</v>
      </c>
      <c r="W5539" s="1" t="str">
        <f>HYPERLINK("http://ictvonline.org/taxonomy/p/taxonomy-history?taxnode_id=201906675","ICTVonline=201906675")</f>
        <v>ICTVonline=201906675</v>
      </c>
    </row>
    <row r="5540" spans="1:23">
      <c r="A5540" s="3">
        <v>5539</v>
      </c>
      <c r="B5540" s="1" t="s">
        <v>5910</v>
      </c>
      <c r="D5540" s="1" t="s">
        <v>8187</v>
      </c>
      <c r="F5540" s="1" t="s">
        <v>8506</v>
      </c>
      <c r="H5540" s="1" t="s">
        <v>8639</v>
      </c>
      <c r="J5540" s="1" t="s">
        <v>8640</v>
      </c>
      <c r="L5540" s="1" t="s">
        <v>479</v>
      </c>
      <c r="N5540" s="1" t="s">
        <v>587</v>
      </c>
      <c r="P5540" s="1" t="s">
        <v>382</v>
      </c>
      <c r="Q5540" s="3">
        <v>0</v>
      </c>
      <c r="R5540" s="22" t="s">
        <v>2723</v>
      </c>
      <c r="T5540" s="3" t="s">
        <v>4868</v>
      </c>
      <c r="U5540" s="45">
        <v>35</v>
      </c>
      <c r="V5540" t="s">
        <v>8191</v>
      </c>
      <c r="W5540" s="1" t="str">
        <f>HYPERLINK("http://ictvonline.org/taxonomy/p/taxonomy-history?taxnode_id=201904675","ICTVonline=201904675")</f>
        <v>ICTVonline=201904675</v>
      </c>
    </row>
    <row r="5541" spans="1:23">
      <c r="A5541" s="3">
        <v>5540</v>
      </c>
      <c r="B5541" s="1" t="s">
        <v>5910</v>
      </c>
      <c r="D5541" s="1" t="s">
        <v>8187</v>
      </c>
      <c r="F5541" s="1" t="s">
        <v>8506</v>
      </c>
      <c r="H5541" s="1" t="s">
        <v>8639</v>
      </c>
      <c r="J5541" s="1" t="s">
        <v>8640</v>
      </c>
      <c r="L5541" s="1" t="s">
        <v>479</v>
      </c>
      <c r="N5541" s="1" t="s">
        <v>587</v>
      </c>
      <c r="P5541" s="1" t="s">
        <v>383</v>
      </c>
      <c r="Q5541" s="3">
        <v>0</v>
      </c>
      <c r="R5541" s="22" t="s">
        <v>2723</v>
      </c>
      <c r="T5541" s="3" t="s">
        <v>4868</v>
      </c>
      <c r="U5541" s="45">
        <v>35</v>
      </c>
      <c r="V5541" t="s">
        <v>8191</v>
      </c>
      <c r="W5541" s="1" t="str">
        <f>HYPERLINK("http://ictvonline.org/taxonomy/p/taxonomy-history?taxnode_id=201904676","ICTVonline=201904676")</f>
        <v>ICTVonline=201904676</v>
      </c>
    </row>
    <row r="5542" spans="1:23">
      <c r="A5542" s="3">
        <v>5541</v>
      </c>
      <c r="B5542" s="1" t="s">
        <v>5910</v>
      </c>
      <c r="D5542" s="1" t="s">
        <v>8187</v>
      </c>
      <c r="F5542" s="1" t="s">
        <v>8506</v>
      </c>
      <c r="H5542" s="1" t="s">
        <v>8639</v>
      </c>
      <c r="J5542" s="1" t="s">
        <v>8640</v>
      </c>
      <c r="L5542" s="1" t="s">
        <v>479</v>
      </c>
      <c r="N5542" s="1" t="s">
        <v>587</v>
      </c>
      <c r="P5542" s="1" t="s">
        <v>384</v>
      </c>
      <c r="Q5542" s="3">
        <v>0</v>
      </c>
      <c r="R5542" s="22" t="s">
        <v>2723</v>
      </c>
      <c r="T5542" s="3" t="s">
        <v>4868</v>
      </c>
      <c r="U5542" s="45">
        <v>35</v>
      </c>
      <c r="V5542" t="s">
        <v>8191</v>
      </c>
      <c r="W5542" s="1" t="str">
        <f>HYPERLINK("http://ictvonline.org/taxonomy/p/taxonomy-history?taxnode_id=201904677","ICTVonline=201904677")</f>
        <v>ICTVonline=201904677</v>
      </c>
    </row>
    <row r="5543" spans="1:23">
      <c r="A5543" s="3">
        <v>5542</v>
      </c>
      <c r="B5543" s="1" t="s">
        <v>5910</v>
      </c>
      <c r="D5543" s="1" t="s">
        <v>8187</v>
      </c>
      <c r="F5543" s="1" t="s">
        <v>8506</v>
      </c>
      <c r="H5543" s="1" t="s">
        <v>8639</v>
      </c>
      <c r="J5543" s="1" t="s">
        <v>8640</v>
      </c>
      <c r="L5543" s="1" t="s">
        <v>479</v>
      </c>
      <c r="N5543" s="1" t="s">
        <v>587</v>
      </c>
      <c r="P5543" s="1" t="s">
        <v>1455</v>
      </c>
      <c r="Q5543" s="3">
        <v>0</v>
      </c>
      <c r="R5543" s="22" t="s">
        <v>2723</v>
      </c>
      <c r="T5543" s="3" t="s">
        <v>4868</v>
      </c>
      <c r="U5543" s="45">
        <v>35</v>
      </c>
      <c r="V5543" t="s">
        <v>8191</v>
      </c>
      <c r="W5543" s="1" t="str">
        <f>HYPERLINK("http://ictvonline.org/taxonomy/p/taxonomy-history?taxnode_id=201904678","ICTVonline=201904678")</f>
        <v>ICTVonline=201904678</v>
      </c>
    </row>
    <row r="5544" spans="1:23">
      <c r="A5544" s="3">
        <v>5543</v>
      </c>
      <c r="B5544" s="1" t="s">
        <v>5910</v>
      </c>
      <c r="D5544" s="1" t="s">
        <v>8187</v>
      </c>
      <c r="F5544" s="1" t="s">
        <v>8506</v>
      </c>
      <c r="H5544" s="1" t="s">
        <v>8639</v>
      </c>
      <c r="J5544" s="1" t="s">
        <v>8640</v>
      </c>
      <c r="L5544" s="1" t="s">
        <v>479</v>
      </c>
      <c r="N5544" s="1" t="s">
        <v>587</v>
      </c>
      <c r="P5544" s="1" t="s">
        <v>1456</v>
      </c>
      <c r="Q5544" s="3">
        <v>0</v>
      </c>
      <c r="R5544" s="22" t="s">
        <v>2723</v>
      </c>
      <c r="T5544" s="3" t="s">
        <v>4868</v>
      </c>
      <c r="U5544" s="45">
        <v>35</v>
      </c>
      <c r="V5544" t="s">
        <v>8191</v>
      </c>
      <c r="W5544" s="1" t="str">
        <f>HYPERLINK("http://ictvonline.org/taxonomy/p/taxonomy-history?taxnode_id=201904679","ICTVonline=201904679")</f>
        <v>ICTVonline=201904679</v>
      </c>
    </row>
    <row r="5545" spans="1:23">
      <c r="A5545" s="3">
        <v>5544</v>
      </c>
      <c r="B5545" s="1" t="s">
        <v>5910</v>
      </c>
      <c r="D5545" s="1" t="s">
        <v>8187</v>
      </c>
      <c r="F5545" s="1" t="s">
        <v>8506</v>
      </c>
      <c r="H5545" s="1" t="s">
        <v>8639</v>
      </c>
      <c r="J5545" s="1" t="s">
        <v>8640</v>
      </c>
      <c r="L5545" s="1" t="s">
        <v>479</v>
      </c>
      <c r="N5545" s="1" t="s">
        <v>587</v>
      </c>
      <c r="P5545" s="1" t="s">
        <v>1876</v>
      </c>
      <c r="Q5545" s="3">
        <v>0</v>
      </c>
      <c r="R5545" s="22" t="s">
        <v>2723</v>
      </c>
      <c r="T5545" s="3" t="s">
        <v>4868</v>
      </c>
      <c r="U5545" s="45">
        <v>35</v>
      </c>
      <c r="V5545" t="s">
        <v>8191</v>
      </c>
      <c r="W5545" s="1" t="str">
        <f>HYPERLINK("http://ictvonline.org/taxonomy/p/taxonomy-history?taxnode_id=201904680","ICTVonline=201904680")</f>
        <v>ICTVonline=201904680</v>
      </c>
    </row>
    <row r="5546" spans="1:23">
      <c r="A5546" s="3">
        <v>5545</v>
      </c>
      <c r="B5546" s="1" t="s">
        <v>5910</v>
      </c>
      <c r="D5546" s="1" t="s">
        <v>8187</v>
      </c>
      <c r="F5546" s="1" t="s">
        <v>8506</v>
      </c>
      <c r="H5546" s="1" t="s">
        <v>8639</v>
      </c>
      <c r="J5546" s="1" t="s">
        <v>8640</v>
      </c>
      <c r="L5546" s="1" t="s">
        <v>479</v>
      </c>
      <c r="N5546" s="1" t="s">
        <v>587</v>
      </c>
      <c r="P5546" s="1" t="s">
        <v>6200</v>
      </c>
      <c r="Q5546" s="3">
        <v>0</v>
      </c>
      <c r="R5546" s="22" t="s">
        <v>2723</v>
      </c>
      <c r="T5546" s="3" t="s">
        <v>4868</v>
      </c>
      <c r="U5546" s="45">
        <v>35</v>
      </c>
      <c r="V5546" t="s">
        <v>8191</v>
      </c>
      <c r="W5546" s="1" t="str">
        <f>HYPERLINK("http://ictvonline.org/taxonomy/p/taxonomy-history?taxnode_id=201906676","ICTVonline=201906676")</f>
        <v>ICTVonline=201906676</v>
      </c>
    </row>
    <row r="5547" spans="1:23">
      <c r="A5547" s="3">
        <v>5546</v>
      </c>
      <c r="B5547" s="1" t="s">
        <v>5910</v>
      </c>
      <c r="D5547" s="1" t="s">
        <v>8187</v>
      </c>
      <c r="F5547" s="1" t="s">
        <v>8506</v>
      </c>
      <c r="H5547" s="1" t="s">
        <v>8639</v>
      </c>
      <c r="J5547" s="1" t="s">
        <v>8640</v>
      </c>
      <c r="L5547" s="1" t="s">
        <v>479</v>
      </c>
      <c r="N5547" s="1" t="s">
        <v>587</v>
      </c>
      <c r="P5547" s="1" t="s">
        <v>1457</v>
      </c>
      <c r="Q5547" s="3">
        <v>0</v>
      </c>
      <c r="R5547" s="22" t="s">
        <v>2723</v>
      </c>
      <c r="T5547" s="3" t="s">
        <v>4868</v>
      </c>
      <c r="U5547" s="45">
        <v>35</v>
      </c>
      <c r="V5547" t="s">
        <v>8191</v>
      </c>
      <c r="W5547" s="1" t="str">
        <f>HYPERLINK("http://ictvonline.org/taxonomy/p/taxonomy-history?taxnode_id=201904681","ICTVonline=201904681")</f>
        <v>ICTVonline=201904681</v>
      </c>
    </row>
    <row r="5548" spans="1:23">
      <c r="A5548" s="3">
        <v>5547</v>
      </c>
      <c r="B5548" s="1" t="s">
        <v>5910</v>
      </c>
      <c r="D5548" s="1" t="s">
        <v>8187</v>
      </c>
      <c r="F5548" s="1" t="s">
        <v>8506</v>
      </c>
      <c r="H5548" s="1" t="s">
        <v>8639</v>
      </c>
      <c r="J5548" s="1" t="s">
        <v>8640</v>
      </c>
      <c r="L5548" s="1" t="s">
        <v>479</v>
      </c>
      <c r="N5548" s="1" t="s">
        <v>587</v>
      </c>
      <c r="P5548" s="1" t="s">
        <v>195</v>
      </c>
      <c r="Q5548" s="3">
        <v>0</v>
      </c>
      <c r="R5548" s="22" t="s">
        <v>2723</v>
      </c>
      <c r="T5548" s="3" t="s">
        <v>4868</v>
      </c>
      <c r="U5548" s="45">
        <v>35</v>
      </c>
      <c r="V5548" t="s">
        <v>8191</v>
      </c>
      <c r="W5548" s="1" t="str">
        <f>HYPERLINK("http://ictvonline.org/taxonomy/p/taxonomy-history?taxnode_id=201904682","ICTVonline=201904682")</f>
        <v>ICTVonline=201904682</v>
      </c>
    </row>
    <row r="5549" spans="1:23">
      <c r="A5549" s="3">
        <v>5548</v>
      </c>
      <c r="B5549" s="1" t="s">
        <v>5910</v>
      </c>
      <c r="D5549" s="1" t="s">
        <v>8187</v>
      </c>
      <c r="F5549" s="1" t="s">
        <v>8506</v>
      </c>
      <c r="H5549" s="1" t="s">
        <v>8639</v>
      </c>
      <c r="J5549" s="1" t="s">
        <v>8640</v>
      </c>
      <c r="L5549" s="1" t="s">
        <v>479</v>
      </c>
      <c r="N5549" s="1" t="s">
        <v>587</v>
      </c>
      <c r="P5549" s="1" t="s">
        <v>3955</v>
      </c>
      <c r="Q5549" s="3">
        <v>0</v>
      </c>
      <c r="R5549" s="22" t="s">
        <v>2723</v>
      </c>
      <c r="T5549" s="3" t="s">
        <v>4868</v>
      </c>
      <c r="U5549" s="45">
        <v>35</v>
      </c>
      <c r="V5549" t="s">
        <v>8191</v>
      </c>
      <c r="W5549" s="1" t="str">
        <f>HYPERLINK("http://ictvonline.org/taxonomy/p/taxonomy-history?taxnode_id=201904683","ICTVonline=201904683")</f>
        <v>ICTVonline=201904683</v>
      </c>
    </row>
    <row r="5550" spans="1:23">
      <c r="A5550" s="3">
        <v>5549</v>
      </c>
      <c r="B5550" s="1" t="s">
        <v>5910</v>
      </c>
      <c r="D5550" s="1" t="s">
        <v>8187</v>
      </c>
      <c r="F5550" s="1" t="s">
        <v>8506</v>
      </c>
      <c r="H5550" s="1" t="s">
        <v>8639</v>
      </c>
      <c r="J5550" s="1" t="s">
        <v>8640</v>
      </c>
      <c r="L5550" s="1" t="s">
        <v>479</v>
      </c>
      <c r="N5550" s="1" t="s">
        <v>587</v>
      </c>
      <c r="P5550" s="1" t="s">
        <v>1458</v>
      </c>
      <c r="Q5550" s="3">
        <v>0</v>
      </c>
      <c r="R5550" s="22" t="s">
        <v>2723</v>
      </c>
      <c r="T5550" s="3" t="s">
        <v>4868</v>
      </c>
      <c r="U5550" s="45">
        <v>35</v>
      </c>
      <c r="V5550" t="s">
        <v>8191</v>
      </c>
      <c r="W5550" s="1" t="str">
        <f>HYPERLINK("http://ictvonline.org/taxonomy/p/taxonomy-history?taxnode_id=201904684","ICTVonline=201904684")</f>
        <v>ICTVonline=201904684</v>
      </c>
    </row>
    <row r="5551" spans="1:23">
      <c r="A5551" s="3">
        <v>5550</v>
      </c>
      <c r="B5551" s="1" t="s">
        <v>5910</v>
      </c>
      <c r="D5551" s="1" t="s">
        <v>8187</v>
      </c>
      <c r="F5551" s="1" t="s">
        <v>8506</v>
      </c>
      <c r="H5551" s="1" t="s">
        <v>8639</v>
      </c>
      <c r="J5551" s="1" t="s">
        <v>8640</v>
      </c>
      <c r="L5551" s="1" t="s">
        <v>479</v>
      </c>
      <c r="N5551" s="1" t="s">
        <v>587</v>
      </c>
      <c r="P5551" s="1" t="s">
        <v>5506</v>
      </c>
      <c r="Q5551" s="3">
        <v>0</v>
      </c>
      <c r="R5551" s="22" t="s">
        <v>2723</v>
      </c>
      <c r="T5551" s="3" t="s">
        <v>4868</v>
      </c>
      <c r="U5551" s="45">
        <v>35</v>
      </c>
      <c r="V5551" t="s">
        <v>8191</v>
      </c>
      <c r="W5551" s="1" t="str">
        <f>HYPERLINK("http://ictvonline.org/taxonomy/p/taxonomy-history?taxnode_id=201905923","ICTVonline=201905923")</f>
        <v>ICTVonline=201905923</v>
      </c>
    </row>
    <row r="5552" spans="1:23">
      <c r="A5552" s="3">
        <v>5551</v>
      </c>
      <c r="B5552" s="1" t="s">
        <v>5910</v>
      </c>
      <c r="D5552" s="1" t="s">
        <v>8187</v>
      </c>
      <c r="F5552" s="1" t="s">
        <v>8506</v>
      </c>
      <c r="H5552" s="1" t="s">
        <v>8639</v>
      </c>
      <c r="J5552" s="1" t="s">
        <v>8640</v>
      </c>
      <c r="L5552" s="1" t="s">
        <v>479</v>
      </c>
      <c r="N5552" s="1" t="s">
        <v>587</v>
      </c>
      <c r="P5552" s="1" t="s">
        <v>1459</v>
      </c>
      <c r="Q5552" s="3">
        <v>0</v>
      </c>
      <c r="R5552" s="22" t="s">
        <v>2723</v>
      </c>
      <c r="T5552" s="3" t="s">
        <v>4868</v>
      </c>
      <c r="U5552" s="45">
        <v>35</v>
      </c>
      <c r="V5552" t="s">
        <v>8191</v>
      </c>
      <c r="W5552" s="1" t="str">
        <f>HYPERLINK("http://ictvonline.org/taxonomy/p/taxonomy-history?taxnode_id=201904685","ICTVonline=201904685")</f>
        <v>ICTVonline=201904685</v>
      </c>
    </row>
    <row r="5553" spans="1:23">
      <c r="A5553" s="3">
        <v>5552</v>
      </c>
      <c r="B5553" s="1" t="s">
        <v>5910</v>
      </c>
      <c r="D5553" s="1" t="s">
        <v>8187</v>
      </c>
      <c r="F5553" s="1" t="s">
        <v>8506</v>
      </c>
      <c r="H5553" s="1" t="s">
        <v>8639</v>
      </c>
      <c r="J5553" s="1" t="s">
        <v>8640</v>
      </c>
      <c r="L5553" s="1" t="s">
        <v>479</v>
      </c>
      <c r="N5553" s="1" t="s">
        <v>587</v>
      </c>
      <c r="P5553" s="1" t="s">
        <v>1460</v>
      </c>
      <c r="Q5553" s="3">
        <v>0</v>
      </c>
      <c r="R5553" s="22" t="s">
        <v>2723</v>
      </c>
      <c r="T5553" s="3" t="s">
        <v>4868</v>
      </c>
      <c r="U5553" s="45">
        <v>35</v>
      </c>
      <c r="V5553" t="s">
        <v>8191</v>
      </c>
      <c r="W5553" s="1" t="str">
        <f>HYPERLINK("http://ictvonline.org/taxonomy/p/taxonomy-history?taxnode_id=201904686","ICTVonline=201904686")</f>
        <v>ICTVonline=201904686</v>
      </c>
    </row>
    <row r="5554" spans="1:23">
      <c r="A5554" s="3">
        <v>5553</v>
      </c>
      <c r="B5554" s="1" t="s">
        <v>5910</v>
      </c>
      <c r="D5554" s="1" t="s">
        <v>8187</v>
      </c>
      <c r="F5554" s="1" t="s">
        <v>8506</v>
      </c>
      <c r="H5554" s="1" t="s">
        <v>8639</v>
      </c>
      <c r="J5554" s="1" t="s">
        <v>8640</v>
      </c>
      <c r="L5554" s="1" t="s">
        <v>479</v>
      </c>
      <c r="N5554" s="1" t="s">
        <v>587</v>
      </c>
      <c r="P5554" s="1" t="s">
        <v>246</v>
      </c>
      <c r="Q5554" s="3">
        <v>0</v>
      </c>
      <c r="R5554" s="22" t="s">
        <v>2723</v>
      </c>
      <c r="T5554" s="3" t="s">
        <v>4868</v>
      </c>
      <c r="U5554" s="45">
        <v>35</v>
      </c>
      <c r="V5554" t="s">
        <v>8191</v>
      </c>
      <c r="W5554" s="1" t="str">
        <f>HYPERLINK("http://ictvonline.org/taxonomy/p/taxonomy-history?taxnode_id=201904687","ICTVonline=201904687")</f>
        <v>ICTVonline=201904687</v>
      </c>
    </row>
    <row r="5555" spans="1:23">
      <c r="A5555" s="3">
        <v>5554</v>
      </c>
      <c r="B5555" s="1" t="s">
        <v>5910</v>
      </c>
      <c r="D5555" s="1" t="s">
        <v>8187</v>
      </c>
      <c r="F5555" s="1" t="s">
        <v>8506</v>
      </c>
      <c r="H5555" s="1" t="s">
        <v>8639</v>
      </c>
      <c r="J5555" s="1" t="s">
        <v>8640</v>
      </c>
      <c r="L5555" s="1" t="s">
        <v>479</v>
      </c>
      <c r="N5555" s="1" t="s">
        <v>587</v>
      </c>
      <c r="P5555" s="1" t="s">
        <v>247</v>
      </c>
      <c r="Q5555" s="3">
        <v>0</v>
      </c>
      <c r="R5555" s="22" t="s">
        <v>2723</v>
      </c>
      <c r="T5555" s="3" t="s">
        <v>4868</v>
      </c>
      <c r="U5555" s="45">
        <v>35</v>
      </c>
      <c r="V5555" t="s">
        <v>8191</v>
      </c>
      <c r="W5555" s="1" t="str">
        <f>HYPERLINK("http://ictvonline.org/taxonomy/p/taxonomy-history?taxnode_id=201904688","ICTVonline=201904688")</f>
        <v>ICTVonline=201904688</v>
      </c>
    </row>
    <row r="5556" spans="1:23">
      <c r="A5556" s="3">
        <v>5555</v>
      </c>
      <c r="B5556" s="1" t="s">
        <v>5910</v>
      </c>
      <c r="D5556" s="1" t="s">
        <v>8187</v>
      </c>
      <c r="F5556" s="1" t="s">
        <v>8506</v>
      </c>
      <c r="H5556" s="1" t="s">
        <v>8639</v>
      </c>
      <c r="J5556" s="1" t="s">
        <v>8640</v>
      </c>
      <c r="L5556" s="1" t="s">
        <v>479</v>
      </c>
      <c r="N5556" s="1" t="s">
        <v>587</v>
      </c>
      <c r="P5556" s="1" t="s">
        <v>196</v>
      </c>
      <c r="Q5556" s="3">
        <v>0</v>
      </c>
      <c r="R5556" s="22" t="s">
        <v>2723</v>
      </c>
      <c r="T5556" s="3" t="s">
        <v>4868</v>
      </c>
      <c r="U5556" s="45">
        <v>35</v>
      </c>
      <c r="V5556" t="s">
        <v>8191</v>
      </c>
      <c r="W5556" s="1" t="str">
        <f>HYPERLINK("http://ictvonline.org/taxonomy/p/taxonomy-history?taxnode_id=201904689","ICTVonline=201904689")</f>
        <v>ICTVonline=201904689</v>
      </c>
    </row>
    <row r="5557" spans="1:23">
      <c r="A5557" s="3">
        <v>5556</v>
      </c>
      <c r="B5557" s="1" t="s">
        <v>5910</v>
      </c>
      <c r="D5557" s="1" t="s">
        <v>8187</v>
      </c>
      <c r="F5557" s="1" t="s">
        <v>8506</v>
      </c>
      <c r="H5557" s="1" t="s">
        <v>8639</v>
      </c>
      <c r="J5557" s="1" t="s">
        <v>8640</v>
      </c>
      <c r="L5557" s="1" t="s">
        <v>479</v>
      </c>
      <c r="N5557" s="1" t="s">
        <v>587</v>
      </c>
      <c r="P5557" s="1" t="s">
        <v>248</v>
      </c>
      <c r="Q5557" s="3">
        <v>0</v>
      </c>
      <c r="R5557" s="22" t="s">
        <v>2723</v>
      </c>
      <c r="T5557" s="3" t="s">
        <v>4868</v>
      </c>
      <c r="U5557" s="45">
        <v>35</v>
      </c>
      <c r="V5557" t="s">
        <v>8191</v>
      </c>
      <c r="W5557" s="1" t="str">
        <f>HYPERLINK("http://ictvonline.org/taxonomy/p/taxonomy-history?taxnode_id=201904690","ICTVonline=201904690")</f>
        <v>ICTVonline=201904690</v>
      </c>
    </row>
    <row r="5558" spans="1:23">
      <c r="A5558" s="3">
        <v>5557</v>
      </c>
      <c r="B5558" s="1" t="s">
        <v>5910</v>
      </c>
      <c r="D5558" s="1" t="s">
        <v>8187</v>
      </c>
      <c r="F5558" s="1" t="s">
        <v>8506</v>
      </c>
      <c r="H5558" s="1" t="s">
        <v>8639</v>
      </c>
      <c r="J5558" s="1" t="s">
        <v>8640</v>
      </c>
      <c r="L5558" s="1" t="s">
        <v>479</v>
      </c>
      <c r="N5558" s="1" t="s">
        <v>587</v>
      </c>
      <c r="P5558" s="1" t="s">
        <v>3956</v>
      </c>
      <c r="Q5558" s="3">
        <v>0</v>
      </c>
      <c r="R5558" s="22" t="s">
        <v>2723</v>
      </c>
      <c r="T5558" s="3" t="s">
        <v>4868</v>
      </c>
      <c r="U5558" s="45">
        <v>35</v>
      </c>
      <c r="V5558" t="s">
        <v>8191</v>
      </c>
      <c r="W5558" s="1" t="str">
        <f>HYPERLINK("http://ictvonline.org/taxonomy/p/taxonomy-history?taxnode_id=201904691","ICTVonline=201904691")</f>
        <v>ICTVonline=201904691</v>
      </c>
    </row>
    <row r="5559" spans="1:23">
      <c r="A5559" s="3">
        <v>5558</v>
      </c>
      <c r="B5559" s="1" t="s">
        <v>5910</v>
      </c>
      <c r="D5559" s="1" t="s">
        <v>8187</v>
      </c>
      <c r="F5559" s="1" t="s">
        <v>8506</v>
      </c>
      <c r="H5559" s="1" t="s">
        <v>8639</v>
      </c>
      <c r="J5559" s="1" t="s">
        <v>8640</v>
      </c>
      <c r="L5559" s="1" t="s">
        <v>479</v>
      </c>
      <c r="N5559" s="1" t="s">
        <v>587</v>
      </c>
      <c r="P5559" s="1" t="s">
        <v>249</v>
      </c>
      <c r="Q5559" s="3">
        <v>0</v>
      </c>
      <c r="R5559" s="22" t="s">
        <v>2723</v>
      </c>
      <c r="T5559" s="3" t="s">
        <v>4868</v>
      </c>
      <c r="U5559" s="45">
        <v>35</v>
      </c>
      <c r="V5559" t="s">
        <v>8191</v>
      </c>
      <c r="W5559" s="1" t="str">
        <f>HYPERLINK("http://ictvonline.org/taxonomy/p/taxonomy-history?taxnode_id=201904692","ICTVonline=201904692")</f>
        <v>ICTVonline=201904692</v>
      </c>
    </row>
    <row r="5560" spans="1:23">
      <c r="A5560" s="3">
        <v>5559</v>
      </c>
      <c r="B5560" s="1" t="s">
        <v>5910</v>
      </c>
      <c r="D5560" s="1" t="s">
        <v>8187</v>
      </c>
      <c r="F5560" s="1" t="s">
        <v>8506</v>
      </c>
      <c r="H5560" s="1" t="s">
        <v>8639</v>
      </c>
      <c r="J5560" s="1" t="s">
        <v>8640</v>
      </c>
      <c r="L5560" s="1" t="s">
        <v>479</v>
      </c>
      <c r="N5560" s="1" t="s">
        <v>587</v>
      </c>
      <c r="P5560" s="1" t="s">
        <v>2126</v>
      </c>
      <c r="Q5560" s="3">
        <v>0</v>
      </c>
      <c r="R5560" s="22" t="s">
        <v>2723</v>
      </c>
      <c r="T5560" s="3" t="s">
        <v>4868</v>
      </c>
      <c r="U5560" s="45">
        <v>35</v>
      </c>
      <c r="V5560" t="s">
        <v>8191</v>
      </c>
      <c r="W5560" s="1" t="str">
        <f>HYPERLINK("http://ictvonline.org/taxonomy/p/taxonomy-history?taxnode_id=201904693","ICTVonline=201904693")</f>
        <v>ICTVonline=201904693</v>
      </c>
    </row>
    <row r="5561" spans="1:23">
      <c r="A5561" s="3">
        <v>5560</v>
      </c>
      <c r="B5561" s="1" t="s">
        <v>5910</v>
      </c>
      <c r="D5561" s="1" t="s">
        <v>8187</v>
      </c>
      <c r="F5561" s="1" t="s">
        <v>8506</v>
      </c>
      <c r="H5561" s="1" t="s">
        <v>8639</v>
      </c>
      <c r="J5561" s="1" t="s">
        <v>8640</v>
      </c>
      <c r="L5561" s="1" t="s">
        <v>479</v>
      </c>
      <c r="N5561" s="1" t="s">
        <v>587</v>
      </c>
      <c r="P5561" s="1" t="s">
        <v>250</v>
      </c>
      <c r="Q5561" s="3">
        <v>0</v>
      </c>
      <c r="R5561" s="22" t="s">
        <v>2723</v>
      </c>
      <c r="T5561" s="3" t="s">
        <v>4868</v>
      </c>
      <c r="U5561" s="45">
        <v>35</v>
      </c>
      <c r="V5561" t="s">
        <v>8191</v>
      </c>
      <c r="W5561" s="1" t="str">
        <f>HYPERLINK("http://ictvonline.org/taxonomy/p/taxonomy-history?taxnode_id=201904694","ICTVonline=201904694")</f>
        <v>ICTVonline=201904694</v>
      </c>
    </row>
    <row r="5562" spans="1:23">
      <c r="A5562" s="3">
        <v>5561</v>
      </c>
      <c r="B5562" s="1" t="s">
        <v>5910</v>
      </c>
      <c r="D5562" s="1" t="s">
        <v>8187</v>
      </c>
      <c r="F5562" s="1" t="s">
        <v>8506</v>
      </c>
      <c r="H5562" s="1" t="s">
        <v>8639</v>
      </c>
      <c r="J5562" s="1" t="s">
        <v>8640</v>
      </c>
      <c r="L5562" s="1" t="s">
        <v>479</v>
      </c>
      <c r="N5562" s="1" t="s">
        <v>587</v>
      </c>
      <c r="P5562" s="1" t="s">
        <v>251</v>
      </c>
      <c r="Q5562" s="3">
        <v>0</v>
      </c>
      <c r="R5562" s="22" t="s">
        <v>2723</v>
      </c>
      <c r="T5562" s="3" t="s">
        <v>4868</v>
      </c>
      <c r="U5562" s="45">
        <v>35</v>
      </c>
      <c r="V5562" t="s">
        <v>8191</v>
      </c>
      <c r="W5562" s="1" t="str">
        <f>HYPERLINK("http://ictvonline.org/taxonomy/p/taxonomy-history?taxnode_id=201904695","ICTVonline=201904695")</f>
        <v>ICTVonline=201904695</v>
      </c>
    </row>
    <row r="5563" spans="1:23">
      <c r="A5563" s="3">
        <v>5562</v>
      </c>
      <c r="B5563" s="1" t="s">
        <v>5910</v>
      </c>
      <c r="D5563" s="1" t="s">
        <v>8187</v>
      </c>
      <c r="F5563" s="1" t="s">
        <v>8506</v>
      </c>
      <c r="H5563" s="1" t="s">
        <v>8639</v>
      </c>
      <c r="J5563" s="1" t="s">
        <v>8640</v>
      </c>
      <c r="L5563" s="1" t="s">
        <v>479</v>
      </c>
      <c r="N5563" s="1" t="s">
        <v>587</v>
      </c>
      <c r="P5563" s="1" t="s">
        <v>5507</v>
      </c>
      <c r="Q5563" s="3">
        <v>0</v>
      </c>
      <c r="R5563" s="22" t="s">
        <v>2723</v>
      </c>
      <c r="T5563" s="3" t="s">
        <v>4868</v>
      </c>
      <c r="U5563" s="45">
        <v>35</v>
      </c>
      <c r="V5563" t="s">
        <v>8191</v>
      </c>
      <c r="W5563" s="1" t="str">
        <f>HYPERLINK("http://ictvonline.org/taxonomy/p/taxonomy-history?taxnode_id=201905924","ICTVonline=201905924")</f>
        <v>ICTVonline=201905924</v>
      </c>
    </row>
    <row r="5564" spans="1:23">
      <c r="A5564" s="3">
        <v>5563</v>
      </c>
      <c r="B5564" s="1" t="s">
        <v>5910</v>
      </c>
      <c r="D5564" s="1" t="s">
        <v>8187</v>
      </c>
      <c r="F5564" s="1" t="s">
        <v>8506</v>
      </c>
      <c r="H5564" s="1" t="s">
        <v>8639</v>
      </c>
      <c r="J5564" s="1" t="s">
        <v>8640</v>
      </c>
      <c r="L5564" s="1" t="s">
        <v>479</v>
      </c>
      <c r="N5564" s="1" t="s">
        <v>587</v>
      </c>
      <c r="P5564" s="1" t="s">
        <v>385</v>
      </c>
      <c r="Q5564" s="3">
        <v>0</v>
      </c>
      <c r="R5564" s="22" t="s">
        <v>2723</v>
      </c>
      <c r="T5564" s="3" t="s">
        <v>4868</v>
      </c>
      <c r="U5564" s="45">
        <v>35</v>
      </c>
      <c r="V5564" t="s">
        <v>8191</v>
      </c>
      <c r="W5564" s="1" t="str">
        <f>HYPERLINK("http://ictvonline.org/taxonomy/p/taxonomy-history?taxnode_id=201904696","ICTVonline=201904696")</f>
        <v>ICTVonline=201904696</v>
      </c>
    </row>
    <row r="5565" spans="1:23">
      <c r="A5565" s="3">
        <v>5564</v>
      </c>
      <c r="B5565" s="1" t="s">
        <v>5910</v>
      </c>
      <c r="D5565" s="1" t="s">
        <v>8187</v>
      </c>
      <c r="F5565" s="1" t="s">
        <v>8506</v>
      </c>
      <c r="H5565" s="1" t="s">
        <v>8639</v>
      </c>
      <c r="J5565" s="1" t="s">
        <v>8640</v>
      </c>
      <c r="L5565" s="1" t="s">
        <v>479</v>
      </c>
      <c r="N5565" s="1" t="s">
        <v>587</v>
      </c>
      <c r="P5565" s="1" t="s">
        <v>386</v>
      </c>
      <c r="Q5565" s="3">
        <v>0</v>
      </c>
      <c r="R5565" s="22" t="s">
        <v>2723</v>
      </c>
      <c r="T5565" s="3" t="s">
        <v>4868</v>
      </c>
      <c r="U5565" s="45">
        <v>35</v>
      </c>
      <c r="V5565" t="s">
        <v>8191</v>
      </c>
      <c r="W5565" s="1" t="str">
        <f>HYPERLINK("http://ictvonline.org/taxonomy/p/taxonomy-history?taxnode_id=201904697","ICTVonline=201904697")</f>
        <v>ICTVonline=201904697</v>
      </c>
    </row>
    <row r="5566" spans="1:23">
      <c r="A5566" s="3">
        <v>5565</v>
      </c>
      <c r="B5566" s="1" t="s">
        <v>5910</v>
      </c>
      <c r="D5566" s="1" t="s">
        <v>8187</v>
      </c>
      <c r="F5566" s="1" t="s">
        <v>8506</v>
      </c>
      <c r="H5566" s="1" t="s">
        <v>8639</v>
      </c>
      <c r="J5566" s="1" t="s">
        <v>8640</v>
      </c>
      <c r="L5566" s="1" t="s">
        <v>479</v>
      </c>
      <c r="N5566" s="1" t="s">
        <v>587</v>
      </c>
      <c r="P5566" s="1" t="s">
        <v>2679</v>
      </c>
      <c r="Q5566" s="3">
        <v>0</v>
      </c>
      <c r="R5566" s="22" t="s">
        <v>2723</v>
      </c>
      <c r="T5566" s="3" t="s">
        <v>4868</v>
      </c>
      <c r="U5566" s="45">
        <v>35</v>
      </c>
      <c r="V5566" t="s">
        <v>8191</v>
      </c>
      <c r="W5566" s="1" t="str">
        <f>HYPERLINK("http://ictvonline.org/taxonomy/p/taxonomy-history?taxnode_id=201904698","ICTVonline=201904698")</f>
        <v>ICTVonline=201904698</v>
      </c>
    </row>
    <row r="5567" spans="1:23">
      <c r="A5567" s="3">
        <v>5566</v>
      </c>
      <c r="B5567" s="1" t="s">
        <v>5910</v>
      </c>
      <c r="D5567" s="1" t="s">
        <v>8187</v>
      </c>
      <c r="F5567" s="1" t="s">
        <v>8506</v>
      </c>
      <c r="H5567" s="1" t="s">
        <v>8639</v>
      </c>
      <c r="J5567" s="1" t="s">
        <v>8640</v>
      </c>
      <c r="L5567" s="1" t="s">
        <v>479</v>
      </c>
      <c r="N5567" s="1" t="s">
        <v>587</v>
      </c>
      <c r="P5567" s="1" t="s">
        <v>387</v>
      </c>
      <c r="Q5567" s="3">
        <v>0</v>
      </c>
      <c r="R5567" s="22" t="s">
        <v>2723</v>
      </c>
      <c r="T5567" s="3" t="s">
        <v>4868</v>
      </c>
      <c r="U5567" s="45">
        <v>35</v>
      </c>
      <c r="V5567" t="s">
        <v>8191</v>
      </c>
      <c r="W5567" s="1" t="str">
        <f>HYPERLINK("http://ictvonline.org/taxonomy/p/taxonomy-history?taxnode_id=201904699","ICTVonline=201904699")</f>
        <v>ICTVonline=201904699</v>
      </c>
    </row>
    <row r="5568" spans="1:23">
      <c r="A5568" s="3">
        <v>5567</v>
      </c>
      <c r="B5568" s="1" t="s">
        <v>5910</v>
      </c>
      <c r="D5568" s="1" t="s">
        <v>8187</v>
      </c>
      <c r="F5568" s="1" t="s">
        <v>8506</v>
      </c>
      <c r="H5568" s="1" t="s">
        <v>8639</v>
      </c>
      <c r="J5568" s="1" t="s">
        <v>8640</v>
      </c>
      <c r="L5568" s="1" t="s">
        <v>479</v>
      </c>
      <c r="N5568" s="1" t="s">
        <v>587</v>
      </c>
      <c r="P5568" s="1" t="s">
        <v>388</v>
      </c>
      <c r="Q5568" s="3">
        <v>0</v>
      </c>
      <c r="R5568" s="22" t="s">
        <v>2723</v>
      </c>
      <c r="T5568" s="3" t="s">
        <v>4868</v>
      </c>
      <c r="U5568" s="45">
        <v>35</v>
      </c>
      <c r="V5568" t="s">
        <v>8191</v>
      </c>
      <c r="W5568" s="1" t="str">
        <f>HYPERLINK("http://ictvonline.org/taxonomy/p/taxonomy-history?taxnode_id=201904700","ICTVonline=201904700")</f>
        <v>ICTVonline=201904700</v>
      </c>
    </row>
    <row r="5569" spans="1:23">
      <c r="A5569" s="3">
        <v>5568</v>
      </c>
      <c r="B5569" s="1" t="s">
        <v>5910</v>
      </c>
      <c r="D5569" s="1" t="s">
        <v>8187</v>
      </c>
      <c r="F5569" s="1" t="s">
        <v>8506</v>
      </c>
      <c r="H5569" s="1" t="s">
        <v>8639</v>
      </c>
      <c r="J5569" s="1" t="s">
        <v>8640</v>
      </c>
      <c r="L5569" s="1" t="s">
        <v>479</v>
      </c>
      <c r="N5569" s="1" t="s">
        <v>587</v>
      </c>
      <c r="P5569" s="1" t="s">
        <v>389</v>
      </c>
      <c r="Q5569" s="3">
        <v>0</v>
      </c>
      <c r="R5569" s="22" t="s">
        <v>2723</v>
      </c>
      <c r="T5569" s="3" t="s">
        <v>4868</v>
      </c>
      <c r="U5569" s="45">
        <v>35</v>
      </c>
      <c r="V5569" t="s">
        <v>8191</v>
      </c>
      <c r="W5569" s="1" t="str">
        <f>HYPERLINK("http://ictvonline.org/taxonomy/p/taxonomy-history?taxnode_id=201904701","ICTVonline=201904701")</f>
        <v>ICTVonline=201904701</v>
      </c>
    </row>
    <row r="5570" spans="1:23">
      <c r="A5570" s="3">
        <v>5569</v>
      </c>
      <c r="B5570" s="1" t="s">
        <v>5910</v>
      </c>
      <c r="D5570" s="1" t="s">
        <v>8187</v>
      </c>
      <c r="F5570" s="1" t="s">
        <v>8506</v>
      </c>
      <c r="H5570" s="1" t="s">
        <v>8639</v>
      </c>
      <c r="J5570" s="1" t="s">
        <v>8640</v>
      </c>
      <c r="L5570" s="1" t="s">
        <v>479</v>
      </c>
      <c r="N5570" s="1" t="s">
        <v>587</v>
      </c>
      <c r="P5570" s="1" t="s">
        <v>390</v>
      </c>
      <c r="Q5570" s="3">
        <v>0</v>
      </c>
      <c r="R5570" s="22" t="s">
        <v>2723</v>
      </c>
      <c r="T5570" s="3" t="s">
        <v>4868</v>
      </c>
      <c r="U5570" s="45">
        <v>35</v>
      </c>
      <c r="V5570" t="s">
        <v>8191</v>
      </c>
      <c r="W5570" s="1" t="str">
        <f>HYPERLINK("http://ictvonline.org/taxonomy/p/taxonomy-history?taxnode_id=201904702","ICTVonline=201904702")</f>
        <v>ICTVonline=201904702</v>
      </c>
    </row>
    <row r="5571" spans="1:23">
      <c r="A5571" s="3">
        <v>5570</v>
      </c>
      <c r="B5571" s="1" t="s">
        <v>5910</v>
      </c>
      <c r="D5571" s="1" t="s">
        <v>8187</v>
      </c>
      <c r="F5571" s="1" t="s">
        <v>8506</v>
      </c>
      <c r="H5571" s="1" t="s">
        <v>8639</v>
      </c>
      <c r="J5571" s="1" t="s">
        <v>8640</v>
      </c>
      <c r="L5571" s="1" t="s">
        <v>479</v>
      </c>
      <c r="N5571" s="1" t="s">
        <v>587</v>
      </c>
      <c r="P5571" s="1" t="s">
        <v>391</v>
      </c>
      <c r="Q5571" s="3">
        <v>0</v>
      </c>
      <c r="R5571" s="22" t="s">
        <v>2723</v>
      </c>
      <c r="T5571" s="3" t="s">
        <v>4868</v>
      </c>
      <c r="U5571" s="45">
        <v>35</v>
      </c>
      <c r="V5571" t="s">
        <v>8191</v>
      </c>
      <c r="W5571" s="1" t="str">
        <f>HYPERLINK("http://ictvonline.org/taxonomy/p/taxonomy-history?taxnode_id=201904703","ICTVonline=201904703")</f>
        <v>ICTVonline=201904703</v>
      </c>
    </row>
    <row r="5572" spans="1:23">
      <c r="A5572" s="3">
        <v>5571</v>
      </c>
      <c r="B5572" s="1" t="s">
        <v>5910</v>
      </c>
      <c r="D5572" s="1" t="s">
        <v>8187</v>
      </c>
      <c r="F5572" s="1" t="s">
        <v>8506</v>
      </c>
      <c r="H5572" s="1" t="s">
        <v>8639</v>
      </c>
      <c r="J5572" s="1" t="s">
        <v>8640</v>
      </c>
      <c r="L5572" s="1" t="s">
        <v>479</v>
      </c>
      <c r="N5572" s="1" t="s">
        <v>587</v>
      </c>
      <c r="P5572" s="1" t="s">
        <v>392</v>
      </c>
      <c r="Q5572" s="3">
        <v>0</v>
      </c>
      <c r="R5572" s="22" t="s">
        <v>2723</v>
      </c>
      <c r="T5572" s="3" t="s">
        <v>4868</v>
      </c>
      <c r="U5572" s="45">
        <v>35</v>
      </c>
      <c r="V5572" t="s">
        <v>8191</v>
      </c>
      <c r="W5572" s="1" t="str">
        <f>HYPERLINK("http://ictvonline.org/taxonomy/p/taxonomy-history?taxnode_id=201904704","ICTVonline=201904704")</f>
        <v>ICTVonline=201904704</v>
      </c>
    </row>
    <row r="5573" spans="1:23">
      <c r="A5573" s="3">
        <v>5572</v>
      </c>
      <c r="B5573" s="1" t="s">
        <v>5910</v>
      </c>
      <c r="D5573" s="1" t="s">
        <v>8187</v>
      </c>
      <c r="F5573" s="1" t="s">
        <v>8506</v>
      </c>
      <c r="H5573" s="1" t="s">
        <v>8639</v>
      </c>
      <c r="J5573" s="1" t="s">
        <v>8640</v>
      </c>
      <c r="L5573" s="1" t="s">
        <v>479</v>
      </c>
      <c r="N5573" s="1" t="s">
        <v>587</v>
      </c>
      <c r="P5573" s="1" t="s">
        <v>2127</v>
      </c>
      <c r="Q5573" s="3">
        <v>0</v>
      </c>
      <c r="R5573" s="22" t="s">
        <v>2723</v>
      </c>
      <c r="T5573" s="3" t="s">
        <v>4868</v>
      </c>
      <c r="U5573" s="45">
        <v>35</v>
      </c>
      <c r="V5573" t="s">
        <v>8191</v>
      </c>
      <c r="W5573" s="1" t="str">
        <f>HYPERLINK("http://ictvonline.org/taxonomy/p/taxonomy-history?taxnode_id=201904705","ICTVonline=201904705")</f>
        <v>ICTVonline=201904705</v>
      </c>
    </row>
    <row r="5574" spans="1:23">
      <c r="A5574" s="3">
        <v>5573</v>
      </c>
      <c r="B5574" s="1" t="s">
        <v>5910</v>
      </c>
      <c r="D5574" s="1" t="s">
        <v>8187</v>
      </c>
      <c r="F5574" s="1" t="s">
        <v>8506</v>
      </c>
      <c r="H5574" s="1" t="s">
        <v>8639</v>
      </c>
      <c r="J5574" s="1" t="s">
        <v>8640</v>
      </c>
      <c r="L5574" s="1" t="s">
        <v>479</v>
      </c>
      <c r="N5574" s="1" t="s">
        <v>587</v>
      </c>
      <c r="P5574" s="1" t="s">
        <v>2128</v>
      </c>
      <c r="Q5574" s="3">
        <v>0</v>
      </c>
      <c r="R5574" s="22" t="s">
        <v>2723</v>
      </c>
      <c r="T5574" s="3" t="s">
        <v>4868</v>
      </c>
      <c r="U5574" s="45">
        <v>35</v>
      </c>
      <c r="V5574" t="s">
        <v>8191</v>
      </c>
      <c r="W5574" s="1" t="str">
        <f>HYPERLINK("http://ictvonline.org/taxonomy/p/taxonomy-history?taxnode_id=201904706","ICTVonline=201904706")</f>
        <v>ICTVonline=201904706</v>
      </c>
    </row>
    <row r="5575" spans="1:23">
      <c r="A5575" s="3">
        <v>5574</v>
      </c>
      <c r="B5575" s="1" t="s">
        <v>5910</v>
      </c>
      <c r="D5575" s="1" t="s">
        <v>8187</v>
      </c>
      <c r="F5575" s="1" t="s">
        <v>8506</v>
      </c>
      <c r="H5575" s="1" t="s">
        <v>8639</v>
      </c>
      <c r="J5575" s="1" t="s">
        <v>8640</v>
      </c>
      <c r="L5575" s="1" t="s">
        <v>479</v>
      </c>
      <c r="N5575" s="1" t="s">
        <v>587</v>
      </c>
      <c r="P5575" s="1" t="s">
        <v>3957</v>
      </c>
      <c r="Q5575" s="3">
        <v>0</v>
      </c>
      <c r="R5575" s="22" t="s">
        <v>2723</v>
      </c>
      <c r="T5575" s="3" t="s">
        <v>4868</v>
      </c>
      <c r="U5575" s="45">
        <v>35</v>
      </c>
      <c r="V5575" t="s">
        <v>8191</v>
      </c>
      <c r="W5575" s="1" t="str">
        <f>HYPERLINK("http://ictvonline.org/taxonomy/p/taxonomy-history?taxnode_id=201904707","ICTVonline=201904707")</f>
        <v>ICTVonline=201904707</v>
      </c>
    </row>
    <row r="5576" spans="1:23">
      <c r="A5576" s="3">
        <v>5575</v>
      </c>
      <c r="B5576" s="1" t="s">
        <v>5910</v>
      </c>
      <c r="D5576" s="1" t="s">
        <v>8187</v>
      </c>
      <c r="F5576" s="1" t="s">
        <v>8506</v>
      </c>
      <c r="H5576" s="1" t="s">
        <v>8639</v>
      </c>
      <c r="J5576" s="1" t="s">
        <v>8640</v>
      </c>
      <c r="L5576" s="1" t="s">
        <v>479</v>
      </c>
      <c r="N5576" s="1" t="s">
        <v>587</v>
      </c>
      <c r="P5576" s="1" t="s">
        <v>2680</v>
      </c>
      <c r="Q5576" s="3">
        <v>0</v>
      </c>
      <c r="R5576" s="22" t="s">
        <v>2723</v>
      </c>
      <c r="T5576" s="3" t="s">
        <v>4868</v>
      </c>
      <c r="U5576" s="45">
        <v>35</v>
      </c>
      <c r="V5576" t="s">
        <v>8191</v>
      </c>
      <c r="W5576" s="1" t="str">
        <f>HYPERLINK("http://ictvonline.org/taxonomy/p/taxonomy-history?taxnode_id=201904708","ICTVonline=201904708")</f>
        <v>ICTVonline=201904708</v>
      </c>
    </row>
    <row r="5577" spans="1:23">
      <c r="A5577" s="3">
        <v>5576</v>
      </c>
      <c r="B5577" s="1" t="s">
        <v>5910</v>
      </c>
      <c r="D5577" s="1" t="s">
        <v>8187</v>
      </c>
      <c r="F5577" s="1" t="s">
        <v>8506</v>
      </c>
      <c r="H5577" s="1" t="s">
        <v>8639</v>
      </c>
      <c r="J5577" s="1" t="s">
        <v>8640</v>
      </c>
      <c r="L5577" s="1" t="s">
        <v>479</v>
      </c>
      <c r="N5577" s="1" t="s">
        <v>587</v>
      </c>
      <c r="P5577" s="1" t="s">
        <v>393</v>
      </c>
      <c r="Q5577" s="3">
        <v>0</v>
      </c>
      <c r="R5577" s="22" t="s">
        <v>2723</v>
      </c>
      <c r="T5577" s="3" t="s">
        <v>4868</v>
      </c>
      <c r="U5577" s="45">
        <v>35</v>
      </c>
      <c r="V5577" t="s">
        <v>8191</v>
      </c>
      <c r="W5577" s="1" t="str">
        <f>HYPERLINK("http://ictvonline.org/taxonomy/p/taxonomy-history?taxnode_id=201904709","ICTVonline=201904709")</f>
        <v>ICTVonline=201904709</v>
      </c>
    </row>
    <row r="5578" spans="1:23">
      <c r="A5578" s="3">
        <v>5577</v>
      </c>
      <c r="B5578" s="1" t="s">
        <v>5910</v>
      </c>
      <c r="D5578" s="1" t="s">
        <v>8187</v>
      </c>
      <c r="F5578" s="1" t="s">
        <v>8506</v>
      </c>
      <c r="H5578" s="1" t="s">
        <v>8639</v>
      </c>
      <c r="J5578" s="1" t="s">
        <v>8640</v>
      </c>
      <c r="L5578" s="1" t="s">
        <v>479</v>
      </c>
      <c r="N5578" s="1" t="s">
        <v>587</v>
      </c>
      <c r="P5578" s="1" t="s">
        <v>394</v>
      </c>
      <c r="Q5578" s="3">
        <v>0</v>
      </c>
      <c r="R5578" s="22" t="s">
        <v>2723</v>
      </c>
      <c r="T5578" s="3" t="s">
        <v>4868</v>
      </c>
      <c r="U5578" s="45">
        <v>35</v>
      </c>
      <c r="V5578" t="s">
        <v>8191</v>
      </c>
      <c r="W5578" s="1" t="str">
        <f>HYPERLINK("http://ictvonline.org/taxonomy/p/taxonomy-history?taxnode_id=201904710","ICTVonline=201904710")</f>
        <v>ICTVonline=201904710</v>
      </c>
    </row>
    <row r="5579" spans="1:23">
      <c r="A5579" s="3">
        <v>5578</v>
      </c>
      <c r="B5579" s="1" t="s">
        <v>5910</v>
      </c>
      <c r="D5579" s="1" t="s">
        <v>8187</v>
      </c>
      <c r="F5579" s="1" t="s">
        <v>8506</v>
      </c>
      <c r="H5579" s="1" t="s">
        <v>8639</v>
      </c>
      <c r="J5579" s="1" t="s">
        <v>8640</v>
      </c>
      <c r="L5579" s="1" t="s">
        <v>479</v>
      </c>
      <c r="N5579" s="1" t="s">
        <v>587</v>
      </c>
      <c r="P5579" s="1" t="s">
        <v>6201</v>
      </c>
      <c r="Q5579" s="3">
        <v>0</v>
      </c>
      <c r="R5579" s="22" t="s">
        <v>2723</v>
      </c>
      <c r="T5579" s="3" t="s">
        <v>4868</v>
      </c>
      <c r="U5579" s="45">
        <v>35</v>
      </c>
      <c r="V5579" t="s">
        <v>8191</v>
      </c>
      <c r="W5579" s="1" t="str">
        <f>HYPERLINK("http://ictvonline.org/taxonomy/p/taxonomy-history?taxnode_id=201906677","ICTVonline=201906677")</f>
        <v>ICTVonline=201906677</v>
      </c>
    </row>
    <row r="5580" spans="1:23">
      <c r="A5580" s="3">
        <v>5579</v>
      </c>
      <c r="B5580" s="1" t="s">
        <v>5910</v>
      </c>
      <c r="D5580" s="1" t="s">
        <v>8187</v>
      </c>
      <c r="F5580" s="1" t="s">
        <v>8506</v>
      </c>
      <c r="H5580" s="1" t="s">
        <v>8639</v>
      </c>
      <c r="J5580" s="1" t="s">
        <v>8640</v>
      </c>
      <c r="L5580" s="1" t="s">
        <v>479</v>
      </c>
      <c r="N5580" s="1" t="s">
        <v>587</v>
      </c>
      <c r="P5580" s="1" t="s">
        <v>5508</v>
      </c>
      <c r="Q5580" s="3">
        <v>0</v>
      </c>
      <c r="R5580" s="22" t="s">
        <v>2723</v>
      </c>
      <c r="T5580" s="3" t="s">
        <v>4868</v>
      </c>
      <c r="U5580" s="45">
        <v>35</v>
      </c>
      <c r="V5580" t="s">
        <v>8191</v>
      </c>
      <c r="W5580" s="1" t="str">
        <f>HYPERLINK("http://ictvonline.org/taxonomy/p/taxonomy-history?taxnode_id=201905925","ICTVonline=201905925")</f>
        <v>ICTVonline=201905925</v>
      </c>
    </row>
    <row r="5581" spans="1:23">
      <c r="A5581" s="3">
        <v>5580</v>
      </c>
      <c r="B5581" s="1" t="s">
        <v>5910</v>
      </c>
      <c r="D5581" s="1" t="s">
        <v>8187</v>
      </c>
      <c r="F5581" s="1" t="s">
        <v>8506</v>
      </c>
      <c r="H5581" s="1" t="s">
        <v>8639</v>
      </c>
      <c r="J5581" s="1" t="s">
        <v>8640</v>
      </c>
      <c r="L5581" s="1" t="s">
        <v>479</v>
      </c>
      <c r="N5581" s="1" t="s">
        <v>587</v>
      </c>
      <c r="P5581" s="1" t="s">
        <v>1479</v>
      </c>
      <c r="Q5581" s="3">
        <v>0</v>
      </c>
      <c r="R5581" s="22" t="s">
        <v>2723</v>
      </c>
      <c r="T5581" s="3" t="s">
        <v>4868</v>
      </c>
      <c r="U5581" s="45">
        <v>35</v>
      </c>
      <c r="V5581" t="s">
        <v>8191</v>
      </c>
      <c r="W5581" s="1" t="str">
        <f>HYPERLINK("http://ictvonline.org/taxonomy/p/taxonomy-history?taxnode_id=201904711","ICTVonline=201904711")</f>
        <v>ICTVonline=201904711</v>
      </c>
    </row>
    <row r="5582" spans="1:23">
      <c r="A5582" s="3">
        <v>5581</v>
      </c>
      <c r="B5582" s="1" t="s">
        <v>5910</v>
      </c>
      <c r="D5582" s="1" t="s">
        <v>8187</v>
      </c>
      <c r="F5582" s="1" t="s">
        <v>8506</v>
      </c>
      <c r="H5582" s="1" t="s">
        <v>8639</v>
      </c>
      <c r="J5582" s="1" t="s">
        <v>8640</v>
      </c>
      <c r="L5582" s="1" t="s">
        <v>479</v>
      </c>
      <c r="N5582" s="1" t="s">
        <v>587</v>
      </c>
      <c r="P5582" s="1" t="s">
        <v>2129</v>
      </c>
      <c r="Q5582" s="3">
        <v>0</v>
      </c>
      <c r="R5582" s="22" t="s">
        <v>2723</v>
      </c>
      <c r="T5582" s="3" t="s">
        <v>4868</v>
      </c>
      <c r="U5582" s="45">
        <v>35</v>
      </c>
      <c r="V5582" t="s">
        <v>8191</v>
      </c>
      <c r="W5582" s="1" t="str">
        <f>HYPERLINK("http://ictvonline.org/taxonomy/p/taxonomy-history?taxnode_id=201904712","ICTVonline=201904712")</f>
        <v>ICTVonline=201904712</v>
      </c>
    </row>
    <row r="5583" spans="1:23">
      <c r="A5583" s="3">
        <v>5582</v>
      </c>
      <c r="B5583" s="1" t="s">
        <v>5910</v>
      </c>
      <c r="D5583" s="1" t="s">
        <v>8187</v>
      </c>
      <c r="F5583" s="1" t="s">
        <v>8506</v>
      </c>
      <c r="H5583" s="1" t="s">
        <v>8639</v>
      </c>
      <c r="J5583" s="1" t="s">
        <v>8640</v>
      </c>
      <c r="L5583" s="1" t="s">
        <v>479</v>
      </c>
      <c r="N5583" s="1" t="s">
        <v>587</v>
      </c>
      <c r="P5583" s="1" t="s">
        <v>1480</v>
      </c>
      <c r="Q5583" s="3">
        <v>0</v>
      </c>
      <c r="R5583" s="22" t="s">
        <v>2723</v>
      </c>
      <c r="T5583" s="3" t="s">
        <v>4868</v>
      </c>
      <c r="U5583" s="45">
        <v>35</v>
      </c>
      <c r="V5583" t="s">
        <v>8191</v>
      </c>
      <c r="W5583" s="1" t="str">
        <f>HYPERLINK("http://ictvonline.org/taxonomy/p/taxonomy-history?taxnode_id=201904713","ICTVonline=201904713")</f>
        <v>ICTVonline=201904713</v>
      </c>
    </row>
    <row r="5584" spans="1:23">
      <c r="A5584" s="3">
        <v>5583</v>
      </c>
      <c r="B5584" s="1" t="s">
        <v>5910</v>
      </c>
      <c r="D5584" s="1" t="s">
        <v>8187</v>
      </c>
      <c r="F5584" s="1" t="s">
        <v>8506</v>
      </c>
      <c r="H5584" s="1" t="s">
        <v>8639</v>
      </c>
      <c r="J5584" s="1" t="s">
        <v>8640</v>
      </c>
      <c r="L5584" s="1" t="s">
        <v>479</v>
      </c>
      <c r="N5584" s="1" t="s">
        <v>587</v>
      </c>
      <c r="P5584" s="1" t="s">
        <v>1481</v>
      </c>
      <c r="Q5584" s="3">
        <v>0</v>
      </c>
      <c r="R5584" s="22" t="s">
        <v>2723</v>
      </c>
      <c r="T5584" s="3" t="s">
        <v>4868</v>
      </c>
      <c r="U5584" s="45">
        <v>35</v>
      </c>
      <c r="V5584" t="s">
        <v>8191</v>
      </c>
      <c r="W5584" s="1" t="str">
        <f>HYPERLINK("http://ictvonline.org/taxonomy/p/taxonomy-history?taxnode_id=201904714","ICTVonline=201904714")</f>
        <v>ICTVonline=201904714</v>
      </c>
    </row>
    <row r="5585" spans="1:23">
      <c r="A5585" s="3">
        <v>5584</v>
      </c>
      <c r="B5585" s="1" t="s">
        <v>5910</v>
      </c>
      <c r="D5585" s="1" t="s">
        <v>8187</v>
      </c>
      <c r="F5585" s="1" t="s">
        <v>8506</v>
      </c>
      <c r="H5585" s="1" t="s">
        <v>8639</v>
      </c>
      <c r="J5585" s="1" t="s">
        <v>8640</v>
      </c>
      <c r="L5585" s="1" t="s">
        <v>479</v>
      </c>
      <c r="N5585" s="1" t="s">
        <v>587</v>
      </c>
      <c r="P5585" s="1" t="s">
        <v>1482</v>
      </c>
      <c r="Q5585" s="3">
        <v>0</v>
      </c>
      <c r="R5585" s="22" t="s">
        <v>2723</v>
      </c>
      <c r="T5585" s="3" t="s">
        <v>4868</v>
      </c>
      <c r="U5585" s="45">
        <v>35</v>
      </c>
      <c r="V5585" t="s">
        <v>8191</v>
      </c>
      <c r="W5585" s="1" t="str">
        <f>HYPERLINK("http://ictvonline.org/taxonomy/p/taxonomy-history?taxnode_id=201904715","ICTVonline=201904715")</f>
        <v>ICTVonline=201904715</v>
      </c>
    </row>
    <row r="5586" spans="1:23">
      <c r="A5586" s="3">
        <v>5585</v>
      </c>
      <c r="B5586" s="1" t="s">
        <v>5910</v>
      </c>
      <c r="D5586" s="1" t="s">
        <v>8187</v>
      </c>
      <c r="F5586" s="1" t="s">
        <v>8506</v>
      </c>
      <c r="H5586" s="1" t="s">
        <v>8639</v>
      </c>
      <c r="J5586" s="1" t="s">
        <v>8640</v>
      </c>
      <c r="L5586" s="1" t="s">
        <v>479</v>
      </c>
      <c r="N5586" s="1" t="s">
        <v>587</v>
      </c>
      <c r="P5586" s="1" t="s">
        <v>197</v>
      </c>
      <c r="Q5586" s="3">
        <v>0</v>
      </c>
      <c r="R5586" s="22" t="s">
        <v>2723</v>
      </c>
      <c r="T5586" s="3" t="s">
        <v>4868</v>
      </c>
      <c r="U5586" s="45">
        <v>35</v>
      </c>
      <c r="V5586" t="s">
        <v>8191</v>
      </c>
      <c r="W5586" s="1" t="str">
        <f>HYPERLINK("http://ictvonline.org/taxonomy/p/taxonomy-history?taxnode_id=201904716","ICTVonline=201904716")</f>
        <v>ICTVonline=201904716</v>
      </c>
    </row>
    <row r="5587" spans="1:23">
      <c r="A5587" s="3">
        <v>5586</v>
      </c>
      <c r="B5587" s="1" t="s">
        <v>5910</v>
      </c>
      <c r="D5587" s="1" t="s">
        <v>8187</v>
      </c>
      <c r="F5587" s="1" t="s">
        <v>8506</v>
      </c>
      <c r="H5587" s="1" t="s">
        <v>8639</v>
      </c>
      <c r="J5587" s="1" t="s">
        <v>8640</v>
      </c>
      <c r="L5587" s="1" t="s">
        <v>479</v>
      </c>
      <c r="N5587" s="1" t="s">
        <v>587</v>
      </c>
      <c r="P5587" s="1" t="s">
        <v>1483</v>
      </c>
      <c r="Q5587" s="3">
        <v>0</v>
      </c>
      <c r="R5587" s="22" t="s">
        <v>2723</v>
      </c>
      <c r="T5587" s="3" t="s">
        <v>4868</v>
      </c>
      <c r="U5587" s="45">
        <v>35</v>
      </c>
      <c r="V5587" t="s">
        <v>8191</v>
      </c>
      <c r="W5587" s="1" t="str">
        <f>HYPERLINK("http://ictvonline.org/taxonomy/p/taxonomy-history?taxnode_id=201904717","ICTVonline=201904717")</f>
        <v>ICTVonline=201904717</v>
      </c>
    </row>
    <row r="5588" spans="1:23">
      <c r="A5588" s="3">
        <v>5587</v>
      </c>
      <c r="B5588" s="1" t="s">
        <v>5910</v>
      </c>
      <c r="D5588" s="1" t="s">
        <v>8187</v>
      </c>
      <c r="F5588" s="1" t="s">
        <v>8506</v>
      </c>
      <c r="H5588" s="1" t="s">
        <v>8639</v>
      </c>
      <c r="J5588" s="1" t="s">
        <v>8640</v>
      </c>
      <c r="L5588" s="1" t="s">
        <v>479</v>
      </c>
      <c r="N5588" s="1" t="s">
        <v>587</v>
      </c>
      <c r="P5588" s="1" t="s">
        <v>1484</v>
      </c>
      <c r="Q5588" s="3">
        <v>0</v>
      </c>
      <c r="R5588" s="22" t="s">
        <v>2723</v>
      </c>
      <c r="T5588" s="3" t="s">
        <v>4868</v>
      </c>
      <c r="U5588" s="45">
        <v>35</v>
      </c>
      <c r="V5588" t="s">
        <v>8191</v>
      </c>
      <c r="W5588" s="1" t="str">
        <f>HYPERLINK("http://ictvonline.org/taxonomy/p/taxonomy-history?taxnode_id=201904718","ICTVonline=201904718")</f>
        <v>ICTVonline=201904718</v>
      </c>
    </row>
    <row r="5589" spans="1:23">
      <c r="A5589" s="3">
        <v>5588</v>
      </c>
      <c r="B5589" s="1" t="s">
        <v>5910</v>
      </c>
      <c r="D5589" s="1" t="s">
        <v>8187</v>
      </c>
      <c r="F5589" s="1" t="s">
        <v>8506</v>
      </c>
      <c r="H5589" s="1" t="s">
        <v>8639</v>
      </c>
      <c r="J5589" s="1" t="s">
        <v>8640</v>
      </c>
      <c r="L5589" s="1" t="s">
        <v>479</v>
      </c>
      <c r="N5589" s="1" t="s">
        <v>587</v>
      </c>
      <c r="P5589" s="1" t="s">
        <v>4767</v>
      </c>
      <c r="Q5589" s="3">
        <v>0</v>
      </c>
      <c r="R5589" s="22" t="s">
        <v>2723</v>
      </c>
      <c r="T5589" s="3" t="s">
        <v>4868</v>
      </c>
      <c r="U5589" s="45">
        <v>35</v>
      </c>
      <c r="V5589" t="s">
        <v>8191</v>
      </c>
      <c r="W5589" s="1" t="str">
        <f>HYPERLINK("http://ictvonline.org/taxonomy/p/taxonomy-history?taxnode_id=201904719","ICTVonline=201904719")</f>
        <v>ICTVonline=201904719</v>
      </c>
    </row>
    <row r="5590" spans="1:23">
      <c r="A5590" s="3">
        <v>5589</v>
      </c>
      <c r="B5590" s="1" t="s">
        <v>5910</v>
      </c>
      <c r="D5590" s="1" t="s">
        <v>8187</v>
      </c>
      <c r="F5590" s="1" t="s">
        <v>8506</v>
      </c>
      <c r="H5590" s="1" t="s">
        <v>8639</v>
      </c>
      <c r="J5590" s="1" t="s">
        <v>8640</v>
      </c>
      <c r="L5590" s="1" t="s">
        <v>479</v>
      </c>
      <c r="N5590" s="1" t="s">
        <v>587</v>
      </c>
      <c r="P5590" s="1" t="s">
        <v>2681</v>
      </c>
      <c r="Q5590" s="3">
        <v>0</v>
      </c>
      <c r="R5590" s="22" t="s">
        <v>2723</v>
      </c>
      <c r="T5590" s="3" t="s">
        <v>4868</v>
      </c>
      <c r="U5590" s="45">
        <v>35</v>
      </c>
      <c r="V5590" t="s">
        <v>8191</v>
      </c>
      <c r="W5590" s="1" t="str">
        <f>HYPERLINK("http://ictvonline.org/taxonomy/p/taxonomy-history?taxnode_id=201904720","ICTVonline=201904720")</f>
        <v>ICTVonline=201904720</v>
      </c>
    </row>
    <row r="5591" spans="1:23">
      <c r="A5591" s="3">
        <v>5590</v>
      </c>
      <c r="B5591" s="1" t="s">
        <v>5910</v>
      </c>
      <c r="D5591" s="1" t="s">
        <v>8187</v>
      </c>
      <c r="F5591" s="1" t="s">
        <v>8506</v>
      </c>
      <c r="H5591" s="1" t="s">
        <v>8639</v>
      </c>
      <c r="J5591" s="1" t="s">
        <v>8640</v>
      </c>
      <c r="L5591" s="1" t="s">
        <v>479</v>
      </c>
      <c r="N5591" s="1" t="s">
        <v>587</v>
      </c>
      <c r="P5591" s="1" t="s">
        <v>1584</v>
      </c>
      <c r="Q5591" s="3">
        <v>0</v>
      </c>
      <c r="R5591" s="22" t="s">
        <v>2723</v>
      </c>
      <c r="T5591" s="3" t="s">
        <v>4868</v>
      </c>
      <c r="U5591" s="45">
        <v>35</v>
      </c>
      <c r="V5591" t="s">
        <v>8191</v>
      </c>
      <c r="W5591" s="1" t="str">
        <f>HYPERLINK("http://ictvonline.org/taxonomy/p/taxonomy-history?taxnode_id=201904721","ICTVonline=201904721")</f>
        <v>ICTVonline=201904721</v>
      </c>
    </row>
    <row r="5592" spans="1:23">
      <c r="A5592" s="3">
        <v>5591</v>
      </c>
      <c r="B5592" s="1" t="s">
        <v>5910</v>
      </c>
      <c r="D5592" s="1" t="s">
        <v>8187</v>
      </c>
      <c r="F5592" s="1" t="s">
        <v>8506</v>
      </c>
      <c r="H5592" s="1" t="s">
        <v>8639</v>
      </c>
      <c r="J5592" s="1" t="s">
        <v>8640</v>
      </c>
      <c r="L5592" s="1" t="s">
        <v>479</v>
      </c>
      <c r="N5592" s="1" t="s">
        <v>587</v>
      </c>
      <c r="P5592" s="1" t="s">
        <v>1585</v>
      </c>
      <c r="Q5592" s="3">
        <v>0</v>
      </c>
      <c r="R5592" s="22" t="s">
        <v>2723</v>
      </c>
      <c r="T5592" s="3" t="s">
        <v>4868</v>
      </c>
      <c r="U5592" s="45">
        <v>35</v>
      </c>
      <c r="V5592" t="s">
        <v>8191</v>
      </c>
      <c r="W5592" s="1" t="str">
        <f>HYPERLINK("http://ictvonline.org/taxonomy/p/taxonomy-history?taxnode_id=201904722","ICTVonline=201904722")</f>
        <v>ICTVonline=201904722</v>
      </c>
    </row>
    <row r="5593" spans="1:23">
      <c r="A5593" s="3">
        <v>5592</v>
      </c>
      <c r="B5593" s="1" t="s">
        <v>5910</v>
      </c>
      <c r="D5593" s="1" t="s">
        <v>8187</v>
      </c>
      <c r="F5593" s="1" t="s">
        <v>8506</v>
      </c>
      <c r="H5593" s="1" t="s">
        <v>8639</v>
      </c>
      <c r="J5593" s="1" t="s">
        <v>8640</v>
      </c>
      <c r="L5593" s="1" t="s">
        <v>479</v>
      </c>
      <c r="N5593" s="1" t="s">
        <v>5509</v>
      </c>
      <c r="P5593" s="1" t="s">
        <v>8660</v>
      </c>
      <c r="Q5593" s="3">
        <v>0</v>
      </c>
      <c r="R5593" s="22" t="s">
        <v>2723</v>
      </c>
      <c r="T5593" s="3" t="s">
        <v>4866</v>
      </c>
      <c r="U5593" s="45">
        <v>35</v>
      </c>
      <c r="V5593" t="s">
        <v>8661</v>
      </c>
      <c r="W5593" s="1" t="str">
        <f>HYPERLINK("http://ictvonline.org/taxonomy/p/taxonomy-history?taxnode_id=201907450","ICTVonline=201907450")</f>
        <v>ICTVonline=201907450</v>
      </c>
    </row>
    <row r="5594" spans="1:23">
      <c r="A5594" s="3">
        <v>5593</v>
      </c>
      <c r="B5594" s="1" t="s">
        <v>5910</v>
      </c>
      <c r="D5594" s="1" t="s">
        <v>8187</v>
      </c>
      <c r="F5594" s="1" t="s">
        <v>8506</v>
      </c>
      <c r="H5594" s="1" t="s">
        <v>8639</v>
      </c>
      <c r="J5594" s="1" t="s">
        <v>8640</v>
      </c>
      <c r="L5594" s="1" t="s">
        <v>479</v>
      </c>
      <c r="N5594" s="1" t="s">
        <v>5509</v>
      </c>
      <c r="P5594" s="1" t="s">
        <v>2576</v>
      </c>
      <c r="Q5594" s="3">
        <v>1</v>
      </c>
      <c r="R5594" s="22" t="s">
        <v>2723</v>
      </c>
      <c r="T5594" s="3" t="s">
        <v>4868</v>
      </c>
      <c r="U5594" s="45">
        <v>35</v>
      </c>
      <c r="V5594" t="s">
        <v>8191</v>
      </c>
      <c r="W5594" s="1" t="str">
        <f>HYPERLINK("http://ictvonline.org/taxonomy/p/taxonomy-history?taxnode_id=201904735","ICTVonline=201904735")</f>
        <v>ICTVonline=201904735</v>
      </c>
    </row>
    <row r="5595" spans="1:23">
      <c r="A5595" s="3">
        <v>5594</v>
      </c>
      <c r="B5595" s="1" t="s">
        <v>5910</v>
      </c>
      <c r="D5595" s="1" t="s">
        <v>8187</v>
      </c>
      <c r="F5595" s="1" t="s">
        <v>8506</v>
      </c>
      <c r="H5595" s="1" t="s">
        <v>8639</v>
      </c>
      <c r="J5595" s="1" t="s">
        <v>8640</v>
      </c>
      <c r="L5595" s="1" t="s">
        <v>479</v>
      </c>
      <c r="N5595" s="1" t="s">
        <v>1539</v>
      </c>
      <c r="P5595" s="1" t="s">
        <v>1540</v>
      </c>
      <c r="Q5595" s="3">
        <v>0</v>
      </c>
      <c r="R5595" s="22" t="s">
        <v>2723</v>
      </c>
      <c r="T5595" s="3" t="s">
        <v>4868</v>
      </c>
      <c r="U5595" s="45">
        <v>35</v>
      </c>
      <c r="V5595" t="s">
        <v>8191</v>
      </c>
      <c r="W5595" s="1" t="str">
        <f>HYPERLINK("http://ictvonline.org/taxonomy/p/taxonomy-history?taxnode_id=201904724","ICTVonline=201904724")</f>
        <v>ICTVonline=201904724</v>
      </c>
    </row>
    <row r="5596" spans="1:23">
      <c r="A5596" s="3">
        <v>5595</v>
      </c>
      <c r="B5596" s="1" t="s">
        <v>5910</v>
      </c>
      <c r="D5596" s="1" t="s">
        <v>8187</v>
      </c>
      <c r="F5596" s="1" t="s">
        <v>8506</v>
      </c>
      <c r="H5596" s="1" t="s">
        <v>8639</v>
      </c>
      <c r="J5596" s="1" t="s">
        <v>8640</v>
      </c>
      <c r="L5596" s="1" t="s">
        <v>479</v>
      </c>
      <c r="N5596" s="1" t="s">
        <v>1539</v>
      </c>
      <c r="P5596" s="1" t="s">
        <v>1541</v>
      </c>
      <c r="Q5596" s="3">
        <v>0</v>
      </c>
      <c r="R5596" s="22" t="s">
        <v>2723</v>
      </c>
      <c r="T5596" s="3" t="s">
        <v>4868</v>
      </c>
      <c r="U5596" s="45">
        <v>35</v>
      </c>
      <c r="V5596" t="s">
        <v>8191</v>
      </c>
      <c r="W5596" s="1" t="str">
        <f>HYPERLINK("http://ictvonline.org/taxonomy/p/taxonomy-history?taxnode_id=201904725","ICTVonline=201904725")</f>
        <v>ICTVonline=201904725</v>
      </c>
    </row>
    <row r="5597" spans="1:23">
      <c r="A5597" s="3">
        <v>5596</v>
      </c>
      <c r="B5597" s="1" t="s">
        <v>5910</v>
      </c>
      <c r="D5597" s="1" t="s">
        <v>8187</v>
      </c>
      <c r="F5597" s="1" t="s">
        <v>8506</v>
      </c>
      <c r="H5597" s="1" t="s">
        <v>8639</v>
      </c>
      <c r="J5597" s="1" t="s">
        <v>8640</v>
      </c>
      <c r="L5597" s="1" t="s">
        <v>479</v>
      </c>
      <c r="N5597" s="1" t="s">
        <v>1539</v>
      </c>
      <c r="P5597" s="1" t="s">
        <v>1542</v>
      </c>
      <c r="Q5597" s="3">
        <v>1</v>
      </c>
      <c r="R5597" s="22" t="s">
        <v>2723</v>
      </c>
      <c r="T5597" s="3" t="s">
        <v>4868</v>
      </c>
      <c r="U5597" s="45">
        <v>35</v>
      </c>
      <c r="V5597" t="s">
        <v>8191</v>
      </c>
      <c r="W5597" s="1" t="str">
        <f>HYPERLINK("http://ictvonline.org/taxonomy/p/taxonomy-history?taxnode_id=201904726","ICTVonline=201904726")</f>
        <v>ICTVonline=201904726</v>
      </c>
    </row>
    <row r="5598" spans="1:23">
      <c r="A5598" s="3">
        <v>5597</v>
      </c>
      <c r="B5598" s="1" t="s">
        <v>5910</v>
      </c>
      <c r="D5598" s="1" t="s">
        <v>8187</v>
      </c>
      <c r="F5598" s="1" t="s">
        <v>8506</v>
      </c>
      <c r="H5598" s="1" t="s">
        <v>8639</v>
      </c>
      <c r="J5598" s="1" t="s">
        <v>8640</v>
      </c>
      <c r="L5598" s="1" t="s">
        <v>479</v>
      </c>
      <c r="N5598" s="1" t="s">
        <v>1543</v>
      </c>
      <c r="P5598" s="1" t="s">
        <v>1544</v>
      </c>
      <c r="Q5598" s="3">
        <v>0</v>
      </c>
      <c r="R5598" s="22" t="s">
        <v>2723</v>
      </c>
      <c r="T5598" s="3" t="s">
        <v>4868</v>
      </c>
      <c r="U5598" s="45">
        <v>35</v>
      </c>
      <c r="V5598" t="s">
        <v>8191</v>
      </c>
      <c r="W5598" s="1" t="str">
        <f>HYPERLINK("http://ictvonline.org/taxonomy/p/taxonomy-history?taxnode_id=201904728","ICTVonline=201904728")</f>
        <v>ICTVonline=201904728</v>
      </c>
    </row>
    <row r="5599" spans="1:23">
      <c r="A5599" s="3">
        <v>5598</v>
      </c>
      <c r="B5599" s="1" t="s">
        <v>5910</v>
      </c>
      <c r="D5599" s="1" t="s">
        <v>8187</v>
      </c>
      <c r="F5599" s="1" t="s">
        <v>8506</v>
      </c>
      <c r="H5599" s="1" t="s">
        <v>8639</v>
      </c>
      <c r="J5599" s="1" t="s">
        <v>8640</v>
      </c>
      <c r="L5599" s="1" t="s">
        <v>479</v>
      </c>
      <c r="N5599" s="1" t="s">
        <v>1543</v>
      </c>
      <c r="P5599" s="1" t="s">
        <v>1545</v>
      </c>
      <c r="Q5599" s="3">
        <v>0</v>
      </c>
      <c r="R5599" s="22" t="s">
        <v>2723</v>
      </c>
      <c r="T5599" s="3" t="s">
        <v>4868</v>
      </c>
      <c r="U5599" s="45">
        <v>35</v>
      </c>
      <c r="V5599" t="s">
        <v>8191</v>
      </c>
      <c r="W5599" s="1" t="str">
        <f>HYPERLINK("http://ictvonline.org/taxonomy/p/taxonomy-history?taxnode_id=201904729","ICTVonline=201904729")</f>
        <v>ICTVonline=201904729</v>
      </c>
    </row>
    <row r="5600" spans="1:23">
      <c r="A5600" s="3">
        <v>5599</v>
      </c>
      <c r="B5600" s="1" t="s">
        <v>5910</v>
      </c>
      <c r="D5600" s="1" t="s">
        <v>8187</v>
      </c>
      <c r="F5600" s="1" t="s">
        <v>8506</v>
      </c>
      <c r="H5600" s="1" t="s">
        <v>8639</v>
      </c>
      <c r="J5600" s="1" t="s">
        <v>8640</v>
      </c>
      <c r="L5600" s="1" t="s">
        <v>479</v>
      </c>
      <c r="N5600" s="1" t="s">
        <v>1543</v>
      </c>
      <c r="P5600" s="1" t="s">
        <v>2682</v>
      </c>
      <c r="Q5600" s="3">
        <v>0</v>
      </c>
      <c r="R5600" s="22" t="s">
        <v>2723</v>
      </c>
      <c r="T5600" s="3" t="s">
        <v>4868</v>
      </c>
      <c r="U5600" s="45">
        <v>35</v>
      </c>
      <c r="V5600" t="s">
        <v>8191</v>
      </c>
      <c r="W5600" s="1" t="str">
        <f>HYPERLINK("http://ictvonline.org/taxonomy/p/taxonomy-history?taxnode_id=201904730","ICTVonline=201904730")</f>
        <v>ICTVonline=201904730</v>
      </c>
    </row>
    <row r="5601" spans="1:23">
      <c r="A5601" s="3">
        <v>5600</v>
      </c>
      <c r="B5601" s="1" t="s">
        <v>5910</v>
      </c>
      <c r="D5601" s="1" t="s">
        <v>8187</v>
      </c>
      <c r="F5601" s="1" t="s">
        <v>8506</v>
      </c>
      <c r="H5601" s="1" t="s">
        <v>8639</v>
      </c>
      <c r="J5601" s="1" t="s">
        <v>8640</v>
      </c>
      <c r="L5601" s="1" t="s">
        <v>479</v>
      </c>
      <c r="N5601" s="1" t="s">
        <v>1543</v>
      </c>
      <c r="P5601" s="1" t="s">
        <v>2130</v>
      </c>
      <c r="Q5601" s="3">
        <v>0</v>
      </c>
      <c r="R5601" s="22" t="s">
        <v>2723</v>
      </c>
      <c r="T5601" s="3" t="s">
        <v>4868</v>
      </c>
      <c r="U5601" s="45">
        <v>35</v>
      </c>
      <c r="V5601" t="s">
        <v>8191</v>
      </c>
      <c r="W5601" s="1" t="str">
        <f>HYPERLINK("http://ictvonline.org/taxonomy/p/taxonomy-history?taxnode_id=201904731","ICTVonline=201904731")</f>
        <v>ICTVonline=201904731</v>
      </c>
    </row>
    <row r="5602" spans="1:23">
      <c r="A5602" s="3">
        <v>5601</v>
      </c>
      <c r="B5602" s="1" t="s">
        <v>5910</v>
      </c>
      <c r="D5602" s="1" t="s">
        <v>8187</v>
      </c>
      <c r="F5602" s="1" t="s">
        <v>8506</v>
      </c>
      <c r="H5602" s="1" t="s">
        <v>8639</v>
      </c>
      <c r="J5602" s="1" t="s">
        <v>8640</v>
      </c>
      <c r="L5602" s="1" t="s">
        <v>479</v>
      </c>
      <c r="N5602" s="1" t="s">
        <v>1543</v>
      </c>
      <c r="P5602" s="1" t="s">
        <v>1546</v>
      </c>
      <c r="Q5602" s="3">
        <v>1</v>
      </c>
      <c r="R5602" s="22" t="s">
        <v>2723</v>
      </c>
      <c r="T5602" s="3" t="s">
        <v>4868</v>
      </c>
      <c r="U5602" s="45">
        <v>35</v>
      </c>
      <c r="V5602" t="s">
        <v>8191</v>
      </c>
      <c r="W5602" s="1" t="str">
        <f>HYPERLINK("http://ictvonline.org/taxonomy/p/taxonomy-history?taxnode_id=201904732","ICTVonline=201904732")</f>
        <v>ICTVonline=201904732</v>
      </c>
    </row>
    <row r="5603" spans="1:23">
      <c r="A5603" s="3">
        <v>5602</v>
      </c>
      <c r="B5603" s="1" t="s">
        <v>5910</v>
      </c>
      <c r="D5603" s="1" t="s">
        <v>8187</v>
      </c>
      <c r="F5603" s="1" t="s">
        <v>8506</v>
      </c>
      <c r="H5603" s="1" t="s">
        <v>8639</v>
      </c>
      <c r="J5603" s="1" t="s">
        <v>8640</v>
      </c>
      <c r="L5603" s="1" t="s">
        <v>479</v>
      </c>
      <c r="N5603" s="1" t="s">
        <v>1543</v>
      </c>
      <c r="P5603" s="1" t="s">
        <v>5510</v>
      </c>
      <c r="Q5603" s="3">
        <v>0</v>
      </c>
      <c r="R5603" s="22" t="s">
        <v>2723</v>
      </c>
      <c r="T5603" s="3" t="s">
        <v>4868</v>
      </c>
      <c r="U5603" s="45">
        <v>35</v>
      </c>
      <c r="V5603" t="s">
        <v>8191</v>
      </c>
      <c r="W5603" s="1" t="str">
        <f>HYPERLINK("http://ictvonline.org/taxonomy/p/taxonomy-history?taxnode_id=201904733","ICTVonline=201904733")</f>
        <v>ICTVonline=201904733</v>
      </c>
    </row>
    <row r="5604" spans="1:23">
      <c r="A5604" s="3">
        <v>5603</v>
      </c>
      <c r="B5604" s="1" t="s">
        <v>5910</v>
      </c>
      <c r="D5604" s="1" t="s">
        <v>8187</v>
      </c>
      <c r="F5604" s="1" t="s">
        <v>8506</v>
      </c>
      <c r="H5604" s="1" t="s">
        <v>8639</v>
      </c>
      <c r="J5604" s="1" t="s">
        <v>8640</v>
      </c>
      <c r="L5604" s="1" t="s">
        <v>479</v>
      </c>
      <c r="P5604" s="1" t="s">
        <v>6202</v>
      </c>
      <c r="Q5604" s="3">
        <v>0</v>
      </c>
      <c r="R5604" s="22" t="s">
        <v>2723</v>
      </c>
      <c r="T5604" s="3" t="s">
        <v>4868</v>
      </c>
      <c r="U5604" s="45">
        <v>35</v>
      </c>
      <c r="V5604" t="s">
        <v>8191</v>
      </c>
      <c r="W5604" s="1" t="str">
        <f>HYPERLINK("http://ictvonline.org/taxonomy/p/taxonomy-history?taxnode_id=201906681","ICTVonline=201906681")</f>
        <v>ICTVonline=201906681</v>
      </c>
    </row>
    <row r="5605" spans="1:23">
      <c r="A5605" s="3">
        <v>5604</v>
      </c>
      <c r="B5605" s="1" t="s">
        <v>5910</v>
      </c>
      <c r="D5605" s="1" t="s">
        <v>8187</v>
      </c>
      <c r="F5605" s="1" t="s">
        <v>8506</v>
      </c>
      <c r="H5605" s="1" t="s">
        <v>8639</v>
      </c>
      <c r="J5605" s="1" t="s">
        <v>8640</v>
      </c>
      <c r="L5605" s="1" t="s">
        <v>479</v>
      </c>
      <c r="P5605" s="1" t="s">
        <v>6203</v>
      </c>
      <c r="Q5605" s="3">
        <v>0</v>
      </c>
      <c r="R5605" s="22" t="s">
        <v>2723</v>
      </c>
      <c r="T5605" s="3" t="s">
        <v>4868</v>
      </c>
      <c r="U5605" s="45">
        <v>35</v>
      </c>
      <c r="V5605" t="s">
        <v>8191</v>
      </c>
      <c r="W5605" s="1" t="str">
        <f>HYPERLINK("http://ictvonline.org/taxonomy/p/taxonomy-history?taxnode_id=201906682","ICTVonline=201906682")</f>
        <v>ICTVonline=201906682</v>
      </c>
    </row>
    <row r="5606" spans="1:23">
      <c r="A5606" s="3">
        <v>5605</v>
      </c>
      <c r="B5606" s="1" t="s">
        <v>5910</v>
      </c>
      <c r="D5606" s="1" t="s">
        <v>8187</v>
      </c>
      <c r="F5606" s="1" t="s">
        <v>8506</v>
      </c>
      <c r="H5606" s="1" t="s">
        <v>8639</v>
      </c>
      <c r="J5606" s="1" t="s">
        <v>8640</v>
      </c>
      <c r="L5606" s="1" t="s">
        <v>479</v>
      </c>
      <c r="P5606" s="1" t="s">
        <v>492</v>
      </c>
      <c r="Q5606" s="3">
        <v>0</v>
      </c>
      <c r="R5606" s="22" t="s">
        <v>2723</v>
      </c>
      <c r="T5606" s="3" t="s">
        <v>4868</v>
      </c>
      <c r="U5606" s="45">
        <v>35</v>
      </c>
      <c r="V5606" t="s">
        <v>8191</v>
      </c>
      <c r="W5606" s="1" t="str">
        <f>HYPERLINK("http://ictvonline.org/taxonomy/p/taxonomy-history?taxnode_id=201904736","ICTVonline=201904736")</f>
        <v>ICTVonline=201904736</v>
      </c>
    </row>
    <row r="5607" spans="1:23">
      <c r="A5607" s="3">
        <v>5606</v>
      </c>
      <c r="B5607" s="1" t="s">
        <v>5910</v>
      </c>
      <c r="D5607" s="1" t="s">
        <v>8187</v>
      </c>
      <c r="F5607" s="1" t="s">
        <v>8506</v>
      </c>
      <c r="H5607" s="1" t="s">
        <v>8639</v>
      </c>
      <c r="J5607" s="1" t="s">
        <v>8662</v>
      </c>
      <c r="L5607" s="1" t="s">
        <v>667</v>
      </c>
      <c r="N5607" s="1" t="s">
        <v>668</v>
      </c>
      <c r="P5607" s="1" t="s">
        <v>44</v>
      </c>
      <c r="Q5607" s="3">
        <v>1</v>
      </c>
      <c r="R5607" s="22" t="s">
        <v>2723</v>
      </c>
      <c r="T5607" s="3" t="s">
        <v>4868</v>
      </c>
      <c r="U5607" s="45">
        <v>35</v>
      </c>
      <c r="V5607" t="s">
        <v>8191</v>
      </c>
      <c r="W5607" s="1" t="str">
        <f>HYPERLINK("http://ictvonline.org/taxonomy/p/taxonomy-history?taxnode_id=201902622","ICTVonline=201902622")</f>
        <v>ICTVonline=201902622</v>
      </c>
    </row>
    <row r="5608" spans="1:23">
      <c r="A5608" s="3">
        <v>5607</v>
      </c>
      <c r="B5608" s="1" t="s">
        <v>5910</v>
      </c>
      <c r="D5608" s="1" t="s">
        <v>8187</v>
      </c>
      <c r="F5608" s="1" t="s">
        <v>8506</v>
      </c>
      <c r="H5608" s="1" t="s">
        <v>8639</v>
      </c>
      <c r="J5608" s="1" t="s">
        <v>8662</v>
      </c>
      <c r="L5608" s="1" t="s">
        <v>667</v>
      </c>
      <c r="N5608" s="1" t="s">
        <v>668</v>
      </c>
      <c r="P5608" s="1" t="s">
        <v>45</v>
      </c>
      <c r="Q5608" s="3">
        <v>0</v>
      </c>
      <c r="R5608" s="22" t="s">
        <v>2723</v>
      </c>
      <c r="T5608" s="3" t="s">
        <v>4868</v>
      </c>
      <c r="U5608" s="45">
        <v>35</v>
      </c>
      <c r="V5608" t="s">
        <v>8191</v>
      </c>
      <c r="W5608" s="1" t="str">
        <f>HYPERLINK("http://ictvonline.org/taxonomy/p/taxonomy-history?taxnode_id=201902623","ICTVonline=201902623")</f>
        <v>ICTVonline=201902623</v>
      </c>
    </row>
    <row r="5609" spans="1:23">
      <c r="A5609" s="3">
        <v>5608</v>
      </c>
      <c r="B5609" s="1" t="s">
        <v>5910</v>
      </c>
      <c r="D5609" s="1" t="s">
        <v>8187</v>
      </c>
      <c r="F5609" s="1" t="s">
        <v>8506</v>
      </c>
      <c r="H5609" s="1" t="s">
        <v>8639</v>
      </c>
      <c r="J5609" s="1" t="s">
        <v>8662</v>
      </c>
      <c r="L5609" s="1" t="s">
        <v>667</v>
      </c>
      <c r="N5609" s="1" t="s">
        <v>668</v>
      </c>
      <c r="P5609" s="1" t="s">
        <v>46</v>
      </c>
      <c r="Q5609" s="3">
        <v>0</v>
      </c>
      <c r="R5609" s="22" t="s">
        <v>2723</v>
      </c>
      <c r="T5609" s="3" t="s">
        <v>4868</v>
      </c>
      <c r="U5609" s="45">
        <v>35</v>
      </c>
      <c r="V5609" t="s">
        <v>8191</v>
      </c>
      <c r="W5609" s="1" t="str">
        <f>HYPERLINK("http://ictvonline.org/taxonomy/p/taxonomy-history?taxnode_id=201902624","ICTVonline=201902624")</f>
        <v>ICTVonline=201902624</v>
      </c>
    </row>
    <row r="5610" spans="1:23">
      <c r="A5610" s="3">
        <v>5609</v>
      </c>
      <c r="B5610" s="1" t="s">
        <v>5910</v>
      </c>
      <c r="D5610" s="1" t="s">
        <v>8187</v>
      </c>
      <c r="F5610" s="1" t="s">
        <v>8506</v>
      </c>
      <c r="H5610" s="1" t="s">
        <v>8639</v>
      </c>
      <c r="J5610" s="1" t="s">
        <v>8662</v>
      </c>
      <c r="L5610" s="1" t="s">
        <v>667</v>
      </c>
      <c r="N5610" s="1" t="s">
        <v>576</v>
      </c>
      <c r="P5610" s="1" t="s">
        <v>47</v>
      </c>
      <c r="Q5610" s="3">
        <v>1</v>
      </c>
      <c r="R5610" s="22" t="s">
        <v>2723</v>
      </c>
      <c r="T5610" s="3" t="s">
        <v>4868</v>
      </c>
      <c r="U5610" s="45">
        <v>35</v>
      </c>
      <c r="V5610" t="s">
        <v>8191</v>
      </c>
      <c r="W5610" s="1" t="str">
        <f>HYPERLINK("http://ictvonline.org/taxonomy/p/taxonomy-history?taxnode_id=201902626","ICTVonline=201902626")</f>
        <v>ICTVonline=201902626</v>
      </c>
    </row>
    <row r="5611" spans="1:23">
      <c r="A5611" s="3">
        <v>5610</v>
      </c>
      <c r="B5611" s="1" t="s">
        <v>5910</v>
      </c>
      <c r="D5611" s="1" t="s">
        <v>8187</v>
      </c>
      <c r="F5611" s="1" t="s">
        <v>8506</v>
      </c>
      <c r="H5611" s="1" t="s">
        <v>8639</v>
      </c>
      <c r="J5611" s="1" t="s">
        <v>8662</v>
      </c>
      <c r="L5611" s="1" t="s">
        <v>667</v>
      </c>
      <c r="N5611" s="1" t="s">
        <v>576</v>
      </c>
      <c r="P5611" s="1" t="s">
        <v>58</v>
      </c>
      <c r="Q5611" s="3">
        <v>0</v>
      </c>
      <c r="R5611" s="22" t="s">
        <v>2723</v>
      </c>
      <c r="T5611" s="3" t="s">
        <v>4868</v>
      </c>
      <c r="U5611" s="45">
        <v>35</v>
      </c>
      <c r="V5611" t="s">
        <v>8191</v>
      </c>
      <c r="W5611" s="1" t="str">
        <f>HYPERLINK("http://ictvonline.org/taxonomy/p/taxonomy-history?taxnode_id=201902627","ICTVonline=201902627")</f>
        <v>ICTVonline=201902627</v>
      </c>
    </row>
    <row r="5612" spans="1:23">
      <c r="A5612" s="3">
        <v>5611</v>
      </c>
      <c r="B5612" s="1" t="s">
        <v>5910</v>
      </c>
      <c r="D5612" s="1" t="s">
        <v>8187</v>
      </c>
      <c r="F5612" s="1" t="s">
        <v>8506</v>
      </c>
      <c r="H5612" s="1" t="s">
        <v>8639</v>
      </c>
      <c r="J5612" s="1" t="s">
        <v>8662</v>
      </c>
      <c r="L5612" s="1" t="s">
        <v>667</v>
      </c>
      <c r="N5612" s="1" t="s">
        <v>576</v>
      </c>
      <c r="P5612" s="1" t="s">
        <v>59</v>
      </c>
      <c r="Q5612" s="3">
        <v>0</v>
      </c>
      <c r="R5612" s="22" t="s">
        <v>2723</v>
      </c>
      <c r="T5612" s="3" t="s">
        <v>4868</v>
      </c>
      <c r="U5612" s="45">
        <v>35</v>
      </c>
      <c r="V5612" t="s">
        <v>8191</v>
      </c>
      <c r="W5612" s="1" t="str">
        <f>HYPERLINK("http://ictvonline.org/taxonomy/p/taxonomy-history?taxnode_id=201902628","ICTVonline=201902628")</f>
        <v>ICTVonline=201902628</v>
      </c>
    </row>
    <row r="5613" spans="1:23">
      <c r="A5613" s="3">
        <v>5612</v>
      </c>
      <c r="B5613" s="1" t="s">
        <v>5910</v>
      </c>
      <c r="D5613" s="1" t="s">
        <v>8187</v>
      </c>
      <c r="F5613" s="1" t="s">
        <v>8506</v>
      </c>
      <c r="H5613" s="1" t="s">
        <v>8639</v>
      </c>
      <c r="J5613" s="1" t="s">
        <v>8662</v>
      </c>
      <c r="L5613" s="1" t="s">
        <v>667</v>
      </c>
      <c r="N5613" s="1" t="s">
        <v>576</v>
      </c>
      <c r="P5613" s="1" t="s">
        <v>60</v>
      </c>
      <c r="Q5613" s="3">
        <v>0</v>
      </c>
      <c r="R5613" s="22" t="s">
        <v>2723</v>
      </c>
      <c r="T5613" s="3" t="s">
        <v>4868</v>
      </c>
      <c r="U5613" s="45">
        <v>35</v>
      </c>
      <c r="V5613" t="s">
        <v>8191</v>
      </c>
      <c r="W5613" s="1" t="str">
        <f>HYPERLINK("http://ictvonline.org/taxonomy/p/taxonomy-history?taxnode_id=201902629","ICTVonline=201902629")</f>
        <v>ICTVonline=201902629</v>
      </c>
    </row>
    <row r="5614" spans="1:23">
      <c r="A5614" s="3">
        <v>5613</v>
      </c>
      <c r="B5614" s="1" t="s">
        <v>5910</v>
      </c>
      <c r="D5614" s="1" t="s">
        <v>8187</v>
      </c>
      <c r="F5614" s="1" t="s">
        <v>8506</v>
      </c>
      <c r="H5614" s="1" t="s">
        <v>8639</v>
      </c>
      <c r="J5614" s="1" t="s">
        <v>8662</v>
      </c>
      <c r="L5614" s="1" t="s">
        <v>667</v>
      </c>
      <c r="N5614" s="1" t="s">
        <v>576</v>
      </c>
      <c r="P5614" s="1" t="s">
        <v>61</v>
      </c>
      <c r="Q5614" s="3">
        <v>0</v>
      </c>
      <c r="R5614" s="22" t="s">
        <v>2723</v>
      </c>
      <c r="T5614" s="3" t="s">
        <v>4868</v>
      </c>
      <c r="U5614" s="45">
        <v>35</v>
      </c>
      <c r="V5614" t="s">
        <v>8191</v>
      </c>
      <c r="W5614" s="1" t="str">
        <f>HYPERLINK("http://ictvonline.org/taxonomy/p/taxonomy-history?taxnode_id=201902630","ICTVonline=201902630")</f>
        <v>ICTVonline=201902630</v>
      </c>
    </row>
    <row r="5615" spans="1:23">
      <c r="A5615" s="3">
        <v>5614</v>
      </c>
      <c r="B5615" s="1" t="s">
        <v>5910</v>
      </c>
      <c r="D5615" s="1" t="s">
        <v>8187</v>
      </c>
      <c r="F5615" s="1" t="s">
        <v>8506</v>
      </c>
      <c r="H5615" s="1" t="s">
        <v>8639</v>
      </c>
      <c r="J5615" s="1" t="s">
        <v>8662</v>
      </c>
      <c r="L5615" s="1" t="s">
        <v>667</v>
      </c>
      <c r="N5615" s="1" t="s">
        <v>576</v>
      </c>
      <c r="P5615" s="1" t="s">
        <v>62</v>
      </c>
      <c r="Q5615" s="3">
        <v>0</v>
      </c>
      <c r="R5615" s="22" t="s">
        <v>2723</v>
      </c>
      <c r="T5615" s="3" t="s">
        <v>4868</v>
      </c>
      <c r="U5615" s="45">
        <v>35</v>
      </c>
      <c r="V5615" t="s">
        <v>8191</v>
      </c>
      <c r="W5615" s="1" t="str">
        <f>HYPERLINK("http://ictvonline.org/taxonomy/p/taxonomy-history?taxnode_id=201902631","ICTVonline=201902631")</f>
        <v>ICTVonline=201902631</v>
      </c>
    </row>
    <row r="5616" spans="1:23">
      <c r="A5616" s="3">
        <v>5615</v>
      </c>
      <c r="B5616" s="1" t="s">
        <v>5910</v>
      </c>
      <c r="D5616" s="1" t="s">
        <v>8187</v>
      </c>
      <c r="F5616" s="1" t="s">
        <v>8506</v>
      </c>
      <c r="H5616" s="1" t="s">
        <v>8639</v>
      </c>
      <c r="J5616" s="1" t="s">
        <v>8662</v>
      </c>
      <c r="L5616" s="1" t="s">
        <v>667</v>
      </c>
      <c r="N5616" s="1" t="s">
        <v>576</v>
      </c>
      <c r="P5616" s="1" t="s">
        <v>63</v>
      </c>
      <c r="Q5616" s="3">
        <v>0</v>
      </c>
      <c r="R5616" s="22" t="s">
        <v>2723</v>
      </c>
      <c r="T5616" s="3" t="s">
        <v>4868</v>
      </c>
      <c r="U5616" s="45">
        <v>35</v>
      </c>
      <c r="V5616" t="s">
        <v>8191</v>
      </c>
      <c r="W5616" s="1" t="str">
        <f>HYPERLINK("http://ictvonline.org/taxonomy/p/taxonomy-history?taxnode_id=201902632","ICTVonline=201902632")</f>
        <v>ICTVonline=201902632</v>
      </c>
    </row>
    <row r="5617" spans="1:23">
      <c r="A5617" s="3">
        <v>5616</v>
      </c>
      <c r="B5617" s="1" t="s">
        <v>5910</v>
      </c>
      <c r="D5617" s="1" t="s">
        <v>8187</v>
      </c>
      <c r="F5617" s="1" t="s">
        <v>8506</v>
      </c>
      <c r="H5617" s="1" t="s">
        <v>8639</v>
      </c>
      <c r="J5617" s="1" t="s">
        <v>8662</v>
      </c>
      <c r="L5617" s="1" t="s">
        <v>667</v>
      </c>
      <c r="N5617" s="1" t="s">
        <v>576</v>
      </c>
      <c r="P5617" s="1" t="s">
        <v>64</v>
      </c>
      <c r="Q5617" s="3">
        <v>0</v>
      </c>
      <c r="R5617" s="22" t="s">
        <v>2723</v>
      </c>
      <c r="T5617" s="3" t="s">
        <v>4868</v>
      </c>
      <c r="U5617" s="45">
        <v>35</v>
      </c>
      <c r="V5617" t="s">
        <v>8191</v>
      </c>
      <c r="W5617" s="1" t="str">
        <f>HYPERLINK("http://ictvonline.org/taxonomy/p/taxonomy-history?taxnode_id=201902633","ICTVonline=201902633")</f>
        <v>ICTVonline=201902633</v>
      </c>
    </row>
    <row r="5618" spans="1:23">
      <c r="A5618" s="3">
        <v>5617</v>
      </c>
      <c r="B5618" s="1" t="s">
        <v>5910</v>
      </c>
      <c r="D5618" s="1" t="s">
        <v>8187</v>
      </c>
      <c r="F5618" s="1" t="s">
        <v>8506</v>
      </c>
      <c r="H5618" s="1" t="s">
        <v>8639</v>
      </c>
      <c r="J5618" s="1" t="s">
        <v>8662</v>
      </c>
      <c r="L5618" s="1" t="s">
        <v>667</v>
      </c>
      <c r="N5618" s="1" t="s">
        <v>576</v>
      </c>
      <c r="P5618" s="1" t="s">
        <v>65</v>
      </c>
      <c r="Q5618" s="3">
        <v>0</v>
      </c>
      <c r="R5618" s="22" t="s">
        <v>2723</v>
      </c>
      <c r="T5618" s="3" t="s">
        <v>4868</v>
      </c>
      <c r="U5618" s="45">
        <v>35</v>
      </c>
      <c r="V5618" t="s">
        <v>8191</v>
      </c>
      <c r="W5618" s="1" t="str">
        <f>HYPERLINK("http://ictvonline.org/taxonomy/p/taxonomy-history?taxnode_id=201902634","ICTVonline=201902634")</f>
        <v>ICTVonline=201902634</v>
      </c>
    </row>
    <row r="5619" spans="1:23">
      <c r="A5619" s="3">
        <v>5618</v>
      </c>
      <c r="B5619" s="1" t="s">
        <v>5910</v>
      </c>
      <c r="D5619" s="1" t="s">
        <v>8187</v>
      </c>
      <c r="F5619" s="1" t="s">
        <v>8506</v>
      </c>
      <c r="H5619" s="1" t="s">
        <v>8639</v>
      </c>
      <c r="J5619" s="1" t="s">
        <v>8662</v>
      </c>
      <c r="L5619" s="1" t="s">
        <v>667</v>
      </c>
      <c r="N5619" s="1" t="s">
        <v>576</v>
      </c>
      <c r="P5619" s="1" t="s">
        <v>48</v>
      </c>
      <c r="Q5619" s="3">
        <v>0</v>
      </c>
      <c r="R5619" s="22" t="s">
        <v>2723</v>
      </c>
      <c r="T5619" s="3" t="s">
        <v>4868</v>
      </c>
      <c r="U5619" s="45">
        <v>35</v>
      </c>
      <c r="V5619" t="s">
        <v>8191</v>
      </c>
      <c r="W5619" s="1" t="str">
        <f>HYPERLINK("http://ictvonline.org/taxonomy/p/taxonomy-history?taxnode_id=201902635","ICTVonline=201902635")</f>
        <v>ICTVonline=201902635</v>
      </c>
    </row>
    <row r="5620" spans="1:23">
      <c r="A5620" s="3">
        <v>5619</v>
      </c>
      <c r="B5620" s="1" t="s">
        <v>5910</v>
      </c>
      <c r="D5620" s="1" t="s">
        <v>8187</v>
      </c>
      <c r="F5620" s="1" t="s">
        <v>8506</v>
      </c>
      <c r="H5620" s="1" t="s">
        <v>8639</v>
      </c>
      <c r="J5620" s="1" t="s">
        <v>8662</v>
      </c>
      <c r="L5620" s="1" t="s">
        <v>667</v>
      </c>
      <c r="N5620" s="1" t="s">
        <v>576</v>
      </c>
      <c r="P5620" s="1" t="s">
        <v>49</v>
      </c>
      <c r="Q5620" s="3">
        <v>0</v>
      </c>
      <c r="R5620" s="22" t="s">
        <v>2723</v>
      </c>
      <c r="T5620" s="3" t="s">
        <v>4868</v>
      </c>
      <c r="U5620" s="45">
        <v>35</v>
      </c>
      <c r="V5620" t="s">
        <v>8191</v>
      </c>
      <c r="W5620" s="1" t="str">
        <f>HYPERLINK("http://ictvonline.org/taxonomy/p/taxonomy-history?taxnode_id=201902636","ICTVonline=201902636")</f>
        <v>ICTVonline=201902636</v>
      </c>
    </row>
    <row r="5621" spans="1:23">
      <c r="A5621" s="3">
        <v>5620</v>
      </c>
      <c r="B5621" s="1" t="s">
        <v>5910</v>
      </c>
      <c r="D5621" s="1" t="s">
        <v>8187</v>
      </c>
      <c r="F5621" s="1" t="s">
        <v>8506</v>
      </c>
      <c r="H5621" s="1" t="s">
        <v>8639</v>
      </c>
      <c r="J5621" s="1" t="s">
        <v>8662</v>
      </c>
      <c r="L5621" s="1" t="s">
        <v>667</v>
      </c>
      <c r="N5621" s="1" t="s">
        <v>576</v>
      </c>
      <c r="P5621" s="1" t="s">
        <v>50</v>
      </c>
      <c r="Q5621" s="3">
        <v>0</v>
      </c>
      <c r="R5621" s="22" t="s">
        <v>2723</v>
      </c>
      <c r="T5621" s="3" t="s">
        <v>4868</v>
      </c>
      <c r="U5621" s="45">
        <v>35</v>
      </c>
      <c r="V5621" t="s">
        <v>8191</v>
      </c>
      <c r="W5621" s="1" t="str">
        <f>HYPERLINK("http://ictvonline.org/taxonomy/p/taxonomy-history?taxnode_id=201902637","ICTVonline=201902637")</f>
        <v>ICTVonline=201902637</v>
      </c>
    </row>
    <row r="5622" spans="1:23">
      <c r="A5622" s="3">
        <v>5621</v>
      </c>
      <c r="B5622" s="1" t="s">
        <v>5910</v>
      </c>
      <c r="D5622" s="1" t="s">
        <v>8187</v>
      </c>
      <c r="F5622" s="1" t="s">
        <v>8506</v>
      </c>
      <c r="H5622" s="1" t="s">
        <v>8639</v>
      </c>
      <c r="J5622" s="1" t="s">
        <v>8662</v>
      </c>
      <c r="L5622" s="1" t="s">
        <v>667</v>
      </c>
      <c r="N5622" s="1" t="s">
        <v>576</v>
      </c>
      <c r="P5622" s="1" t="s">
        <v>51</v>
      </c>
      <c r="Q5622" s="3">
        <v>0</v>
      </c>
      <c r="R5622" s="22" t="s">
        <v>2723</v>
      </c>
      <c r="T5622" s="3" t="s">
        <v>4868</v>
      </c>
      <c r="U5622" s="45">
        <v>35</v>
      </c>
      <c r="V5622" t="s">
        <v>8191</v>
      </c>
      <c r="W5622" s="1" t="str">
        <f>HYPERLINK("http://ictvonline.org/taxonomy/p/taxonomy-history?taxnode_id=201902638","ICTVonline=201902638")</f>
        <v>ICTVonline=201902638</v>
      </c>
    </row>
    <row r="5623" spans="1:23">
      <c r="A5623" s="3">
        <v>5622</v>
      </c>
      <c r="B5623" s="1" t="s">
        <v>5910</v>
      </c>
      <c r="D5623" s="1" t="s">
        <v>8187</v>
      </c>
      <c r="F5623" s="1" t="s">
        <v>8506</v>
      </c>
      <c r="H5623" s="1" t="s">
        <v>8639</v>
      </c>
      <c r="J5623" s="1" t="s">
        <v>8662</v>
      </c>
      <c r="L5623" s="1" t="s">
        <v>667</v>
      </c>
      <c r="N5623" s="1" t="s">
        <v>576</v>
      </c>
      <c r="P5623" s="1" t="s">
        <v>52</v>
      </c>
      <c r="Q5623" s="3">
        <v>0</v>
      </c>
      <c r="R5623" s="22" t="s">
        <v>2723</v>
      </c>
      <c r="T5623" s="3" t="s">
        <v>4868</v>
      </c>
      <c r="U5623" s="45">
        <v>35</v>
      </c>
      <c r="V5623" t="s">
        <v>8191</v>
      </c>
      <c r="W5623" s="1" t="str">
        <f>HYPERLINK("http://ictvonline.org/taxonomy/p/taxonomy-history?taxnode_id=201902639","ICTVonline=201902639")</f>
        <v>ICTVonline=201902639</v>
      </c>
    </row>
    <row r="5624" spans="1:23">
      <c r="A5624" s="3">
        <v>5623</v>
      </c>
      <c r="B5624" s="1" t="s">
        <v>5910</v>
      </c>
      <c r="D5624" s="1" t="s">
        <v>8187</v>
      </c>
      <c r="F5624" s="1" t="s">
        <v>8506</v>
      </c>
      <c r="H5624" s="1" t="s">
        <v>8639</v>
      </c>
      <c r="J5624" s="1" t="s">
        <v>8662</v>
      </c>
      <c r="L5624" s="1" t="s">
        <v>667</v>
      </c>
      <c r="N5624" s="1" t="s">
        <v>576</v>
      </c>
      <c r="P5624" s="1" t="s">
        <v>53</v>
      </c>
      <c r="Q5624" s="3">
        <v>0</v>
      </c>
      <c r="R5624" s="22" t="s">
        <v>2723</v>
      </c>
      <c r="T5624" s="3" t="s">
        <v>4868</v>
      </c>
      <c r="U5624" s="45">
        <v>35</v>
      </c>
      <c r="V5624" t="s">
        <v>8191</v>
      </c>
      <c r="W5624" s="1" t="str">
        <f>HYPERLINK("http://ictvonline.org/taxonomy/p/taxonomy-history?taxnode_id=201902640","ICTVonline=201902640")</f>
        <v>ICTVonline=201902640</v>
      </c>
    </row>
    <row r="5625" spans="1:23">
      <c r="A5625" s="3">
        <v>5624</v>
      </c>
      <c r="B5625" s="1" t="s">
        <v>5910</v>
      </c>
      <c r="D5625" s="1" t="s">
        <v>8187</v>
      </c>
      <c r="F5625" s="1" t="s">
        <v>8506</v>
      </c>
      <c r="H5625" s="1" t="s">
        <v>8639</v>
      </c>
      <c r="J5625" s="1" t="s">
        <v>8662</v>
      </c>
      <c r="L5625" s="1" t="s">
        <v>667</v>
      </c>
      <c r="N5625" s="1" t="s">
        <v>576</v>
      </c>
      <c r="P5625" s="1" t="s">
        <v>54</v>
      </c>
      <c r="Q5625" s="3">
        <v>0</v>
      </c>
      <c r="R5625" s="22" t="s">
        <v>2723</v>
      </c>
      <c r="T5625" s="3" t="s">
        <v>4868</v>
      </c>
      <c r="U5625" s="45">
        <v>35</v>
      </c>
      <c r="V5625" t="s">
        <v>8191</v>
      </c>
      <c r="W5625" s="1" t="str">
        <f>HYPERLINK("http://ictvonline.org/taxonomy/p/taxonomy-history?taxnode_id=201902641","ICTVonline=201902641")</f>
        <v>ICTVonline=201902641</v>
      </c>
    </row>
    <row r="5626" spans="1:23">
      <c r="A5626" s="3">
        <v>5625</v>
      </c>
      <c r="B5626" s="1" t="s">
        <v>5910</v>
      </c>
      <c r="D5626" s="1" t="s">
        <v>8187</v>
      </c>
      <c r="F5626" s="1" t="s">
        <v>8506</v>
      </c>
      <c r="H5626" s="1" t="s">
        <v>8639</v>
      </c>
      <c r="J5626" s="1" t="s">
        <v>8662</v>
      </c>
      <c r="L5626" s="1" t="s">
        <v>667</v>
      </c>
      <c r="N5626" s="1" t="s">
        <v>576</v>
      </c>
      <c r="P5626" s="1" t="s">
        <v>55</v>
      </c>
      <c r="Q5626" s="3">
        <v>0</v>
      </c>
      <c r="R5626" s="22" t="s">
        <v>2723</v>
      </c>
      <c r="T5626" s="3" t="s">
        <v>4868</v>
      </c>
      <c r="U5626" s="45">
        <v>35</v>
      </c>
      <c r="V5626" t="s">
        <v>8191</v>
      </c>
      <c r="W5626" s="1" t="str">
        <f>HYPERLINK("http://ictvonline.org/taxonomy/p/taxonomy-history?taxnode_id=201902642","ICTVonline=201902642")</f>
        <v>ICTVonline=201902642</v>
      </c>
    </row>
    <row r="5627" spans="1:23">
      <c r="A5627" s="3">
        <v>5626</v>
      </c>
      <c r="B5627" s="1" t="s">
        <v>5910</v>
      </c>
      <c r="D5627" s="1" t="s">
        <v>8187</v>
      </c>
      <c r="F5627" s="1" t="s">
        <v>8506</v>
      </c>
      <c r="H5627" s="1" t="s">
        <v>8639</v>
      </c>
      <c r="J5627" s="1" t="s">
        <v>8662</v>
      </c>
      <c r="L5627" s="1" t="s">
        <v>667</v>
      </c>
      <c r="N5627" s="1" t="s">
        <v>576</v>
      </c>
      <c r="P5627" s="1" t="s">
        <v>56</v>
      </c>
      <c r="Q5627" s="3">
        <v>0</v>
      </c>
      <c r="R5627" s="22" t="s">
        <v>2723</v>
      </c>
      <c r="T5627" s="3" t="s">
        <v>4868</v>
      </c>
      <c r="U5627" s="45">
        <v>35</v>
      </c>
      <c r="V5627" t="s">
        <v>8191</v>
      </c>
      <c r="W5627" s="1" t="str">
        <f>HYPERLINK("http://ictvonline.org/taxonomy/p/taxonomy-history?taxnode_id=201902643","ICTVonline=201902643")</f>
        <v>ICTVonline=201902643</v>
      </c>
    </row>
    <row r="5628" spans="1:23">
      <c r="A5628" s="3">
        <v>5627</v>
      </c>
      <c r="B5628" s="1" t="s">
        <v>5910</v>
      </c>
      <c r="D5628" s="1" t="s">
        <v>8187</v>
      </c>
      <c r="F5628" s="1" t="s">
        <v>8506</v>
      </c>
      <c r="H5628" s="1" t="s">
        <v>8639</v>
      </c>
      <c r="J5628" s="1" t="s">
        <v>8662</v>
      </c>
      <c r="L5628" s="1" t="s">
        <v>667</v>
      </c>
      <c r="N5628" s="1" t="s">
        <v>576</v>
      </c>
      <c r="P5628" s="1" t="s">
        <v>57</v>
      </c>
      <c r="Q5628" s="3">
        <v>0</v>
      </c>
      <c r="R5628" s="22" t="s">
        <v>2723</v>
      </c>
      <c r="T5628" s="3" t="s">
        <v>4868</v>
      </c>
      <c r="U5628" s="45">
        <v>35</v>
      </c>
      <c r="V5628" t="s">
        <v>8191</v>
      </c>
      <c r="W5628" s="1" t="str">
        <f>HYPERLINK("http://ictvonline.org/taxonomy/p/taxonomy-history?taxnode_id=201902644","ICTVonline=201902644")</f>
        <v>ICTVonline=201902644</v>
      </c>
    </row>
    <row r="5629" spans="1:23">
      <c r="A5629" s="3">
        <v>5628</v>
      </c>
      <c r="B5629" s="1" t="s">
        <v>5910</v>
      </c>
      <c r="D5629" s="1" t="s">
        <v>8187</v>
      </c>
      <c r="L5629" s="1" t="s">
        <v>1757</v>
      </c>
      <c r="N5629" s="1" t="s">
        <v>1758</v>
      </c>
      <c r="P5629" s="1" t="s">
        <v>1759</v>
      </c>
      <c r="Q5629" s="3">
        <v>1</v>
      </c>
      <c r="R5629" s="22" t="s">
        <v>2725</v>
      </c>
      <c r="T5629" s="3" t="s">
        <v>4868</v>
      </c>
      <c r="U5629" s="45">
        <v>35</v>
      </c>
      <c r="V5629" t="s">
        <v>8191</v>
      </c>
      <c r="W5629" s="1" t="str">
        <f>HYPERLINK("http://ictvonline.org/taxonomy/p/taxonomy-history?taxnode_id=201902748","ICTVonline=201902748")</f>
        <v>ICTVonline=201902748</v>
      </c>
    </row>
    <row r="5630" spans="1:23">
      <c r="A5630" s="3">
        <v>5629</v>
      </c>
      <c r="B5630" s="1" t="s">
        <v>5910</v>
      </c>
      <c r="D5630" s="1" t="s">
        <v>8187</v>
      </c>
      <c r="L5630" s="1" t="s">
        <v>1757</v>
      </c>
      <c r="N5630" s="1" t="s">
        <v>1758</v>
      </c>
      <c r="P5630" s="1" t="s">
        <v>1760</v>
      </c>
      <c r="Q5630" s="3">
        <v>0</v>
      </c>
      <c r="R5630" s="22" t="s">
        <v>2725</v>
      </c>
      <c r="T5630" s="3" t="s">
        <v>4868</v>
      </c>
      <c r="U5630" s="45">
        <v>35</v>
      </c>
      <c r="V5630" t="s">
        <v>8191</v>
      </c>
      <c r="W5630" s="1" t="str">
        <f>HYPERLINK("http://ictvonline.org/taxonomy/p/taxonomy-history?taxnode_id=201902749","ICTVonline=201902749")</f>
        <v>ICTVonline=201902749</v>
      </c>
    </row>
    <row r="5631" spans="1:23">
      <c r="A5631" s="3">
        <v>5630</v>
      </c>
      <c r="B5631" s="1" t="s">
        <v>5910</v>
      </c>
      <c r="D5631" s="1" t="s">
        <v>8187</v>
      </c>
      <c r="L5631" s="1" t="s">
        <v>1757</v>
      </c>
      <c r="N5631" s="1" t="s">
        <v>1758</v>
      </c>
      <c r="P5631" s="1" t="s">
        <v>1761</v>
      </c>
      <c r="Q5631" s="3">
        <v>0</v>
      </c>
      <c r="R5631" s="22" t="s">
        <v>2725</v>
      </c>
      <c r="T5631" s="3" t="s">
        <v>4868</v>
      </c>
      <c r="U5631" s="45">
        <v>35</v>
      </c>
      <c r="V5631" t="s">
        <v>8191</v>
      </c>
      <c r="W5631" s="1" t="str">
        <f>HYPERLINK("http://ictvonline.org/taxonomy/p/taxonomy-history?taxnode_id=201902750","ICTVonline=201902750")</f>
        <v>ICTVonline=201902750</v>
      </c>
    </row>
    <row r="5632" spans="1:23">
      <c r="A5632" s="3">
        <v>5631</v>
      </c>
      <c r="B5632" s="1" t="s">
        <v>5910</v>
      </c>
      <c r="D5632" s="1" t="s">
        <v>8187</v>
      </c>
      <c r="L5632" s="1" t="s">
        <v>1757</v>
      </c>
      <c r="N5632" s="1" t="s">
        <v>1762</v>
      </c>
      <c r="P5632" s="1" t="s">
        <v>1771</v>
      </c>
      <c r="Q5632" s="3">
        <v>1</v>
      </c>
      <c r="R5632" s="22" t="s">
        <v>2725</v>
      </c>
      <c r="T5632" s="3" t="s">
        <v>4868</v>
      </c>
      <c r="U5632" s="45">
        <v>35</v>
      </c>
      <c r="V5632" t="s">
        <v>8191</v>
      </c>
      <c r="W5632" s="1" t="str">
        <f>HYPERLINK("http://ictvonline.org/taxonomy/p/taxonomy-history?taxnode_id=201902752","ICTVonline=201902752")</f>
        <v>ICTVonline=201902752</v>
      </c>
    </row>
    <row r="5633" spans="1:23">
      <c r="A5633" s="3">
        <v>5632</v>
      </c>
      <c r="B5633" s="1" t="s">
        <v>5910</v>
      </c>
      <c r="D5633" s="1" t="s">
        <v>8187</v>
      </c>
      <c r="L5633" s="1" t="s">
        <v>1757</v>
      </c>
      <c r="N5633" s="1" t="s">
        <v>1772</v>
      </c>
      <c r="P5633" s="1" t="s">
        <v>1773</v>
      </c>
      <c r="Q5633" s="3">
        <v>1</v>
      </c>
      <c r="R5633" s="22" t="s">
        <v>2725</v>
      </c>
      <c r="T5633" s="3" t="s">
        <v>4868</v>
      </c>
      <c r="U5633" s="45">
        <v>35</v>
      </c>
      <c r="V5633" t="s">
        <v>8191</v>
      </c>
      <c r="W5633" s="1" t="str">
        <f>HYPERLINK("http://ictvonline.org/taxonomy/p/taxonomy-history?taxnode_id=201902754","ICTVonline=201902754")</f>
        <v>ICTVonline=201902754</v>
      </c>
    </row>
    <row r="5634" spans="1:23">
      <c r="A5634" s="3">
        <v>5633</v>
      </c>
      <c r="B5634" s="1" t="s">
        <v>5910</v>
      </c>
      <c r="D5634" s="1" t="s">
        <v>8187</v>
      </c>
      <c r="L5634" s="1" t="s">
        <v>1757</v>
      </c>
      <c r="N5634" s="1" t="s">
        <v>1772</v>
      </c>
      <c r="P5634" s="1" t="s">
        <v>8663</v>
      </c>
      <c r="Q5634" s="3">
        <v>0</v>
      </c>
      <c r="R5634" s="22" t="s">
        <v>2725</v>
      </c>
      <c r="S5634" s="42" t="s">
        <v>6914</v>
      </c>
      <c r="T5634" s="3" t="s">
        <v>4866</v>
      </c>
      <c r="U5634" s="45">
        <v>35</v>
      </c>
      <c r="V5634" t="s">
        <v>8664</v>
      </c>
      <c r="W5634" s="1" t="str">
        <f>HYPERLINK("http://ictvonline.org/taxonomy/p/taxonomy-history?taxnode_id=201908656","ICTVonline=201908656")</f>
        <v>ICTVonline=201908656</v>
      </c>
    </row>
    <row r="5635" spans="1:23">
      <c r="A5635" s="3">
        <v>5634</v>
      </c>
      <c r="B5635" s="1" t="s">
        <v>5910</v>
      </c>
      <c r="D5635" s="1" t="s">
        <v>8187</v>
      </c>
      <c r="L5635" s="1" t="s">
        <v>1757</v>
      </c>
      <c r="N5635" s="1" t="s">
        <v>8665</v>
      </c>
      <c r="P5635" s="1" t="s">
        <v>8666</v>
      </c>
      <c r="Q5635" s="3">
        <v>1</v>
      </c>
      <c r="R5635" s="22" t="s">
        <v>2725</v>
      </c>
      <c r="S5635" s="42" t="s">
        <v>6914</v>
      </c>
      <c r="T5635" s="3" t="s">
        <v>4866</v>
      </c>
      <c r="U5635" s="45">
        <v>35</v>
      </c>
      <c r="V5635" t="s">
        <v>8664</v>
      </c>
      <c r="W5635" s="1" t="str">
        <f>HYPERLINK("http://ictvonline.org/taxonomy/p/taxonomy-history?taxnode_id=201908651","ICTVonline=201908651")</f>
        <v>ICTVonline=201908651</v>
      </c>
    </row>
    <row r="5636" spans="1:23">
      <c r="A5636" s="3">
        <v>5635</v>
      </c>
      <c r="B5636" s="1" t="s">
        <v>5910</v>
      </c>
      <c r="D5636" s="1" t="s">
        <v>8187</v>
      </c>
      <c r="L5636" s="1" t="s">
        <v>1757</v>
      </c>
      <c r="N5636" s="1" t="s">
        <v>1774</v>
      </c>
      <c r="P5636" s="1" t="s">
        <v>1775</v>
      </c>
      <c r="Q5636" s="3">
        <v>1</v>
      </c>
      <c r="R5636" s="22" t="s">
        <v>2725</v>
      </c>
      <c r="T5636" s="3" t="s">
        <v>4868</v>
      </c>
      <c r="U5636" s="45">
        <v>35</v>
      </c>
      <c r="V5636" t="s">
        <v>8191</v>
      </c>
      <c r="W5636" s="1" t="str">
        <f>HYPERLINK("http://ictvonline.org/taxonomy/p/taxonomy-history?taxnode_id=201902756","ICTVonline=201902756")</f>
        <v>ICTVonline=201902756</v>
      </c>
    </row>
    <row r="5637" spans="1:23">
      <c r="A5637" s="3">
        <v>5636</v>
      </c>
      <c r="B5637" s="1" t="s">
        <v>5910</v>
      </c>
      <c r="D5637" s="1" t="s">
        <v>8187</v>
      </c>
      <c r="L5637" s="1" t="s">
        <v>1757</v>
      </c>
      <c r="N5637" s="1" t="s">
        <v>1774</v>
      </c>
      <c r="P5637" s="1" t="s">
        <v>8667</v>
      </c>
      <c r="Q5637" s="3">
        <v>0</v>
      </c>
      <c r="R5637" s="22" t="s">
        <v>2725</v>
      </c>
      <c r="S5637" s="42" t="s">
        <v>6914</v>
      </c>
      <c r="T5637" s="3" t="s">
        <v>4866</v>
      </c>
      <c r="U5637" s="45">
        <v>35</v>
      </c>
      <c r="V5637" t="s">
        <v>8664</v>
      </c>
      <c r="W5637" s="1" t="str">
        <f>HYPERLINK("http://ictvonline.org/taxonomy/p/taxonomy-history?taxnode_id=201908649","ICTVonline=201908649")</f>
        <v>ICTVonline=201908649</v>
      </c>
    </row>
    <row r="5638" spans="1:23">
      <c r="A5638" s="3">
        <v>5637</v>
      </c>
      <c r="B5638" s="1" t="s">
        <v>5910</v>
      </c>
      <c r="D5638" s="1" t="s">
        <v>8187</v>
      </c>
      <c r="L5638" s="1" t="s">
        <v>1757</v>
      </c>
      <c r="N5638" s="1" t="s">
        <v>8668</v>
      </c>
      <c r="P5638" s="1" t="s">
        <v>8669</v>
      </c>
      <c r="Q5638" s="3">
        <v>1</v>
      </c>
      <c r="R5638" s="22" t="s">
        <v>2725</v>
      </c>
      <c r="S5638" s="42" t="s">
        <v>6914</v>
      </c>
      <c r="T5638" s="3" t="s">
        <v>4866</v>
      </c>
      <c r="U5638" s="45">
        <v>35</v>
      </c>
      <c r="V5638" t="s">
        <v>8664</v>
      </c>
      <c r="W5638" s="1" t="str">
        <f>HYPERLINK("http://ictvonline.org/taxonomy/p/taxonomy-history?taxnode_id=201908653","ICTVonline=201908653")</f>
        <v>ICTVonline=201908653</v>
      </c>
    </row>
    <row r="5639" spans="1:23">
      <c r="A5639" s="3">
        <v>5638</v>
      </c>
      <c r="B5639" s="1" t="s">
        <v>5910</v>
      </c>
      <c r="D5639" s="1" t="s">
        <v>8187</v>
      </c>
      <c r="L5639" s="1" t="s">
        <v>1757</v>
      </c>
      <c r="N5639" s="1" t="s">
        <v>8670</v>
      </c>
      <c r="P5639" s="1" t="s">
        <v>8671</v>
      </c>
      <c r="Q5639" s="3">
        <v>1</v>
      </c>
      <c r="R5639" s="22" t="s">
        <v>2725</v>
      </c>
      <c r="S5639" s="42" t="s">
        <v>6914</v>
      </c>
      <c r="T5639" s="3" t="s">
        <v>4866</v>
      </c>
      <c r="U5639" s="45">
        <v>35</v>
      </c>
      <c r="V5639" t="s">
        <v>8664</v>
      </c>
      <c r="W5639" s="1" t="str">
        <f>HYPERLINK("http://ictvonline.org/taxonomy/p/taxonomy-history?taxnode_id=201908655","ICTVonline=201908655")</f>
        <v>ICTVonline=201908655</v>
      </c>
    </row>
    <row r="5640" spans="1:23">
      <c r="A5640" s="3">
        <v>5639</v>
      </c>
      <c r="B5640" s="1" t="s">
        <v>5910</v>
      </c>
      <c r="D5640" s="1" t="s">
        <v>8187</v>
      </c>
      <c r="L5640" s="1" t="s">
        <v>187</v>
      </c>
      <c r="N5640" s="1" t="s">
        <v>188</v>
      </c>
      <c r="P5640" s="1" t="s">
        <v>1844</v>
      </c>
      <c r="Q5640" s="3">
        <v>0</v>
      </c>
      <c r="R5640" s="22" t="s">
        <v>2723</v>
      </c>
      <c r="T5640" s="3" t="s">
        <v>4868</v>
      </c>
      <c r="U5640" s="45">
        <v>35</v>
      </c>
      <c r="V5640" t="s">
        <v>8191</v>
      </c>
      <c r="W5640" s="1" t="str">
        <f>HYPERLINK("http://ictvonline.org/taxonomy/p/taxonomy-history?taxnode_id=201904288","ICTVonline=201904288")</f>
        <v>ICTVonline=201904288</v>
      </c>
    </row>
    <row r="5641" spans="1:23">
      <c r="A5641" s="3">
        <v>5640</v>
      </c>
      <c r="B5641" s="1" t="s">
        <v>5910</v>
      </c>
      <c r="D5641" s="1" t="s">
        <v>8187</v>
      </c>
      <c r="L5641" s="1" t="s">
        <v>187</v>
      </c>
      <c r="N5641" s="1" t="s">
        <v>188</v>
      </c>
      <c r="P5641" s="1" t="s">
        <v>1848</v>
      </c>
      <c r="Q5641" s="3">
        <v>1</v>
      </c>
      <c r="R5641" s="22" t="s">
        <v>2723</v>
      </c>
      <c r="T5641" s="3" t="s">
        <v>4868</v>
      </c>
      <c r="U5641" s="45">
        <v>35</v>
      </c>
      <c r="V5641" t="s">
        <v>8191</v>
      </c>
      <c r="W5641" s="1" t="str">
        <f>HYPERLINK("http://ictvonline.org/taxonomy/p/taxonomy-history?taxnode_id=201904289","ICTVonline=201904289")</f>
        <v>ICTVonline=201904289</v>
      </c>
    </row>
    <row r="5642" spans="1:23">
      <c r="A5642" s="3">
        <v>5641</v>
      </c>
      <c r="B5642" s="1" t="s">
        <v>5910</v>
      </c>
      <c r="D5642" s="1" t="s">
        <v>8187</v>
      </c>
      <c r="N5642" s="1" t="s">
        <v>3978</v>
      </c>
      <c r="P5642" s="1" t="s">
        <v>3979</v>
      </c>
      <c r="Q5642" s="3">
        <v>1</v>
      </c>
      <c r="R5642" s="22" t="s">
        <v>2725</v>
      </c>
      <c r="T5642" s="3" t="s">
        <v>4868</v>
      </c>
      <c r="U5642" s="45">
        <v>35</v>
      </c>
      <c r="V5642" t="s">
        <v>8191</v>
      </c>
      <c r="W5642" s="1" t="str">
        <f>HYPERLINK("http://ictvonline.org/taxonomy/p/taxonomy-history?taxnode_id=201905343","ICTVonline=201905343")</f>
        <v>ICTVonline=201905343</v>
      </c>
    </row>
    <row r="5643" spans="1:23">
      <c r="A5643" s="3">
        <v>5642</v>
      </c>
      <c r="B5643" s="1" t="s">
        <v>5910</v>
      </c>
      <c r="D5643" s="1" t="s">
        <v>8672</v>
      </c>
      <c r="F5643" s="1" t="s">
        <v>8673</v>
      </c>
      <c r="H5643" s="1" t="s">
        <v>8674</v>
      </c>
      <c r="J5643" s="1" t="s">
        <v>8675</v>
      </c>
      <c r="L5643" s="1" t="s">
        <v>245</v>
      </c>
      <c r="N5643" s="1" t="s">
        <v>1233</v>
      </c>
      <c r="P5643" s="1" t="s">
        <v>1234</v>
      </c>
      <c r="Q5643" s="3">
        <v>1</v>
      </c>
      <c r="R5643" s="22" t="s">
        <v>3699</v>
      </c>
      <c r="T5643" s="3" t="s">
        <v>4868</v>
      </c>
      <c r="U5643" s="45">
        <v>35</v>
      </c>
      <c r="V5643" t="s">
        <v>8191</v>
      </c>
      <c r="W5643" s="1" t="str">
        <f>HYPERLINK("http://ictvonline.org/taxonomy/p/taxonomy-history?taxnode_id=201903648","ICTVonline=201903648")</f>
        <v>ICTVonline=201903648</v>
      </c>
    </row>
    <row r="5644" spans="1:23">
      <c r="A5644" s="3">
        <v>5643</v>
      </c>
      <c r="B5644" s="1" t="s">
        <v>5910</v>
      </c>
      <c r="D5644" s="1" t="s">
        <v>8672</v>
      </c>
      <c r="F5644" s="1" t="s">
        <v>8673</v>
      </c>
      <c r="H5644" s="1" t="s">
        <v>8674</v>
      </c>
      <c r="J5644" s="1" t="s">
        <v>8675</v>
      </c>
      <c r="L5644" s="1" t="s">
        <v>245</v>
      </c>
      <c r="N5644" s="1" t="s">
        <v>1233</v>
      </c>
      <c r="P5644" s="1" t="s">
        <v>1235</v>
      </c>
      <c r="Q5644" s="3">
        <v>0</v>
      </c>
      <c r="R5644" s="22" t="s">
        <v>3699</v>
      </c>
      <c r="T5644" s="3" t="s">
        <v>4868</v>
      </c>
      <c r="U5644" s="45">
        <v>35</v>
      </c>
      <c r="V5644" t="s">
        <v>8191</v>
      </c>
      <c r="W5644" s="1" t="str">
        <f>HYPERLINK("http://ictvonline.org/taxonomy/p/taxonomy-history?taxnode_id=201903649","ICTVonline=201903649")</f>
        <v>ICTVonline=201903649</v>
      </c>
    </row>
    <row r="5645" spans="1:23">
      <c r="A5645" s="3">
        <v>5644</v>
      </c>
      <c r="B5645" s="1" t="s">
        <v>5910</v>
      </c>
      <c r="D5645" s="1" t="s">
        <v>8672</v>
      </c>
      <c r="F5645" s="1" t="s">
        <v>8673</v>
      </c>
      <c r="H5645" s="1" t="s">
        <v>8674</v>
      </c>
      <c r="J5645" s="1" t="s">
        <v>8675</v>
      </c>
      <c r="L5645" s="1" t="s">
        <v>245</v>
      </c>
      <c r="N5645" s="1" t="s">
        <v>1233</v>
      </c>
      <c r="P5645" s="1" t="s">
        <v>4735</v>
      </c>
      <c r="Q5645" s="3">
        <v>0</v>
      </c>
      <c r="R5645" s="22" t="s">
        <v>3699</v>
      </c>
      <c r="T5645" s="3" t="s">
        <v>4868</v>
      </c>
      <c r="U5645" s="45">
        <v>35</v>
      </c>
      <c r="V5645" t="s">
        <v>8191</v>
      </c>
      <c r="W5645" s="1" t="str">
        <f>HYPERLINK("http://ictvonline.org/taxonomy/p/taxonomy-history?taxnode_id=201903650","ICTVonline=201903650")</f>
        <v>ICTVonline=201903650</v>
      </c>
    </row>
    <row r="5646" spans="1:23">
      <c r="A5646" s="3">
        <v>5645</v>
      </c>
      <c r="B5646" s="1" t="s">
        <v>5910</v>
      </c>
      <c r="D5646" s="1" t="s">
        <v>8672</v>
      </c>
      <c r="F5646" s="1" t="s">
        <v>8673</v>
      </c>
      <c r="H5646" s="1" t="s">
        <v>8674</v>
      </c>
      <c r="J5646" s="1" t="s">
        <v>8675</v>
      </c>
      <c r="L5646" s="1" t="s">
        <v>245</v>
      </c>
      <c r="N5646" s="1" t="s">
        <v>8676</v>
      </c>
      <c r="P5646" s="1" t="s">
        <v>5416</v>
      </c>
      <c r="Q5646" s="3">
        <v>1</v>
      </c>
      <c r="R5646" s="22" t="s">
        <v>3699</v>
      </c>
      <c r="S5646" s="42" t="s">
        <v>6914</v>
      </c>
      <c r="T5646" s="3" t="s">
        <v>4871</v>
      </c>
      <c r="U5646" s="45">
        <v>35</v>
      </c>
      <c r="V5646" t="s">
        <v>8677</v>
      </c>
      <c r="W5646" s="1" t="str">
        <f>HYPERLINK("http://ictvonline.org/taxonomy/p/taxonomy-history?taxnode_id=201905860","ICTVonline=201905860")</f>
        <v>ICTVonline=201905860</v>
      </c>
    </row>
    <row r="5647" spans="1:23">
      <c r="A5647" s="3">
        <v>5646</v>
      </c>
      <c r="B5647" s="1" t="s">
        <v>5910</v>
      </c>
      <c r="D5647" s="1" t="s">
        <v>8672</v>
      </c>
      <c r="F5647" s="1" t="s">
        <v>8673</v>
      </c>
      <c r="H5647" s="1" t="s">
        <v>8674</v>
      </c>
      <c r="J5647" s="1" t="s">
        <v>8675</v>
      </c>
      <c r="L5647" s="1" t="s">
        <v>245</v>
      </c>
      <c r="N5647" s="1" t="s">
        <v>8678</v>
      </c>
      <c r="P5647" s="1" t="s">
        <v>8679</v>
      </c>
      <c r="Q5647" s="3">
        <v>1</v>
      </c>
      <c r="R5647" s="22" t="s">
        <v>3699</v>
      </c>
      <c r="S5647" s="42" t="s">
        <v>6914</v>
      </c>
      <c r="T5647" s="3" t="s">
        <v>4872</v>
      </c>
      <c r="U5647" s="45">
        <v>35</v>
      </c>
      <c r="V5647" t="s">
        <v>8677</v>
      </c>
      <c r="W5647" s="1" t="str">
        <f>HYPERLINK("http://ictvonline.org/taxonomy/p/taxonomy-history?taxnode_id=201905859","ICTVonline=201905859")</f>
        <v>ICTVonline=201905859</v>
      </c>
    </row>
    <row r="5648" spans="1:23">
      <c r="A5648" s="3">
        <v>5647</v>
      </c>
      <c r="B5648" s="1" t="s">
        <v>5910</v>
      </c>
      <c r="D5648" s="1" t="s">
        <v>8672</v>
      </c>
      <c r="F5648" s="1" t="s">
        <v>8673</v>
      </c>
      <c r="H5648" s="1" t="s">
        <v>8674</v>
      </c>
      <c r="J5648" s="1" t="s">
        <v>8675</v>
      </c>
      <c r="L5648" s="1" t="s">
        <v>245</v>
      </c>
      <c r="N5648" s="1" t="s">
        <v>1236</v>
      </c>
      <c r="P5648" s="1" t="s">
        <v>6869</v>
      </c>
      <c r="Q5648" s="3">
        <v>0</v>
      </c>
      <c r="R5648" s="22" t="s">
        <v>3699</v>
      </c>
      <c r="T5648" s="3" t="s">
        <v>4868</v>
      </c>
      <c r="U5648" s="45">
        <v>35</v>
      </c>
      <c r="V5648" t="s">
        <v>8191</v>
      </c>
      <c r="W5648" s="1" t="str">
        <f>HYPERLINK("http://ictvonline.org/taxonomy/p/taxonomy-history?taxnode_id=201906328","ICTVonline=201906328")</f>
        <v>ICTVonline=201906328</v>
      </c>
    </row>
    <row r="5649" spans="1:23">
      <c r="A5649" s="3">
        <v>5648</v>
      </c>
      <c r="B5649" s="1" t="s">
        <v>5910</v>
      </c>
      <c r="D5649" s="1" t="s">
        <v>8672</v>
      </c>
      <c r="F5649" s="1" t="s">
        <v>8673</v>
      </c>
      <c r="H5649" s="1" t="s">
        <v>8674</v>
      </c>
      <c r="J5649" s="1" t="s">
        <v>8675</v>
      </c>
      <c r="L5649" s="1" t="s">
        <v>245</v>
      </c>
      <c r="N5649" s="1" t="s">
        <v>1236</v>
      </c>
      <c r="P5649" s="1" t="s">
        <v>8680</v>
      </c>
      <c r="Q5649" s="3">
        <v>0</v>
      </c>
      <c r="R5649" s="22" t="s">
        <v>3699</v>
      </c>
      <c r="S5649" s="42" t="s">
        <v>6914</v>
      </c>
      <c r="T5649" s="3" t="s">
        <v>4866</v>
      </c>
      <c r="U5649" s="45">
        <v>35</v>
      </c>
      <c r="V5649" t="s">
        <v>8681</v>
      </c>
      <c r="W5649" s="1" t="str">
        <f>HYPERLINK("http://ictvonline.org/taxonomy/p/taxonomy-history?taxnode_id=201907260","ICTVonline=201907260")</f>
        <v>ICTVonline=201907260</v>
      </c>
    </row>
    <row r="5650" spans="1:23">
      <c r="A5650" s="3">
        <v>5649</v>
      </c>
      <c r="B5650" s="1" t="s">
        <v>5910</v>
      </c>
      <c r="D5650" s="1" t="s">
        <v>8672</v>
      </c>
      <c r="F5650" s="1" t="s">
        <v>8673</v>
      </c>
      <c r="H5650" s="1" t="s">
        <v>8674</v>
      </c>
      <c r="J5650" s="1" t="s">
        <v>8675</v>
      </c>
      <c r="L5650" s="1" t="s">
        <v>245</v>
      </c>
      <c r="N5650" s="1" t="s">
        <v>1236</v>
      </c>
      <c r="P5650" s="1" t="s">
        <v>8682</v>
      </c>
      <c r="Q5650" s="3">
        <v>0</v>
      </c>
      <c r="R5650" s="22" t="s">
        <v>3699</v>
      </c>
      <c r="S5650" s="42" t="s">
        <v>6914</v>
      </c>
      <c r="T5650" s="3" t="s">
        <v>4866</v>
      </c>
      <c r="U5650" s="45">
        <v>35</v>
      </c>
      <c r="V5650" t="s">
        <v>8681</v>
      </c>
      <c r="W5650" s="1" t="str">
        <f>HYPERLINK("http://ictvonline.org/taxonomy/p/taxonomy-history?taxnode_id=201907258","ICTVonline=201907258")</f>
        <v>ICTVonline=201907258</v>
      </c>
    </row>
    <row r="5651" spans="1:23">
      <c r="A5651" s="3">
        <v>5650</v>
      </c>
      <c r="B5651" s="1" t="s">
        <v>5910</v>
      </c>
      <c r="D5651" s="1" t="s">
        <v>8672</v>
      </c>
      <c r="F5651" s="1" t="s">
        <v>8673</v>
      </c>
      <c r="H5651" s="1" t="s">
        <v>8674</v>
      </c>
      <c r="J5651" s="1" t="s">
        <v>8675</v>
      </c>
      <c r="L5651" s="1" t="s">
        <v>245</v>
      </c>
      <c r="N5651" s="1" t="s">
        <v>1236</v>
      </c>
      <c r="P5651" s="1" t="s">
        <v>1237</v>
      </c>
      <c r="Q5651" s="3">
        <v>0</v>
      </c>
      <c r="R5651" s="22" t="s">
        <v>3699</v>
      </c>
      <c r="T5651" s="3" t="s">
        <v>4868</v>
      </c>
      <c r="U5651" s="45">
        <v>35</v>
      </c>
      <c r="V5651" t="s">
        <v>8191</v>
      </c>
      <c r="W5651" s="1" t="str">
        <f>HYPERLINK("http://ictvonline.org/taxonomy/p/taxonomy-history?taxnode_id=201903652","ICTVonline=201903652")</f>
        <v>ICTVonline=201903652</v>
      </c>
    </row>
    <row r="5652" spans="1:23">
      <c r="A5652" s="3">
        <v>5651</v>
      </c>
      <c r="B5652" s="1" t="s">
        <v>5910</v>
      </c>
      <c r="D5652" s="1" t="s">
        <v>8672</v>
      </c>
      <c r="F5652" s="1" t="s">
        <v>8673</v>
      </c>
      <c r="H5652" s="1" t="s">
        <v>8674</v>
      </c>
      <c r="J5652" s="1" t="s">
        <v>8675</v>
      </c>
      <c r="L5652" s="1" t="s">
        <v>245</v>
      </c>
      <c r="N5652" s="1" t="s">
        <v>1236</v>
      </c>
      <c r="P5652" s="1" t="s">
        <v>1238</v>
      </c>
      <c r="Q5652" s="3">
        <v>1</v>
      </c>
      <c r="R5652" s="22" t="s">
        <v>3699</v>
      </c>
      <c r="T5652" s="3" t="s">
        <v>4868</v>
      </c>
      <c r="U5652" s="45">
        <v>35</v>
      </c>
      <c r="V5652" t="s">
        <v>8191</v>
      </c>
      <c r="W5652" s="1" t="str">
        <f>HYPERLINK("http://ictvonline.org/taxonomy/p/taxonomy-history?taxnode_id=201903653","ICTVonline=201903653")</f>
        <v>ICTVonline=201903653</v>
      </c>
    </row>
    <row r="5653" spans="1:23">
      <c r="A5653" s="3">
        <v>5652</v>
      </c>
      <c r="B5653" s="1" t="s">
        <v>5910</v>
      </c>
      <c r="D5653" s="1" t="s">
        <v>8672</v>
      </c>
      <c r="F5653" s="1" t="s">
        <v>8673</v>
      </c>
      <c r="H5653" s="1" t="s">
        <v>8674</v>
      </c>
      <c r="J5653" s="1" t="s">
        <v>8675</v>
      </c>
      <c r="L5653" s="1" t="s">
        <v>245</v>
      </c>
      <c r="N5653" s="1" t="s">
        <v>1236</v>
      </c>
      <c r="P5653" s="1" t="s">
        <v>3783</v>
      </c>
      <c r="Q5653" s="3">
        <v>0</v>
      </c>
      <c r="R5653" s="22" t="s">
        <v>3699</v>
      </c>
      <c r="T5653" s="3" t="s">
        <v>4868</v>
      </c>
      <c r="U5653" s="45">
        <v>35</v>
      </c>
      <c r="V5653" t="s">
        <v>8191</v>
      </c>
      <c r="W5653" s="1" t="str">
        <f>HYPERLINK("http://ictvonline.org/taxonomy/p/taxonomy-history?taxnode_id=201903654","ICTVonline=201903654")</f>
        <v>ICTVonline=201903654</v>
      </c>
    </row>
    <row r="5654" spans="1:23">
      <c r="A5654" s="3">
        <v>5653</v>
      </c>
      <c r="B5654" s="1" t="s">
        <v>5910</v>
      </c>
      <c r="D5654" s="1" t="s">
        <v>8672</v>
      </c>
      <c r="F5654" s="1" t="s">
        <v>8673</v>
      </c>
      <c r="H5654" s="1" t="s">
        <v>8674</v>
      </c>
      <c r="J5654" s="1" t="s">
        <v>8675</v>
      </c>
      <c r="L5654" s="1" t="s">
        <v>245</v>
      </c>
      <c r="N5654" s="1" t="s">
        <v>1236</v>
      </c>
      <c r="P5654" s="1" t="s">
        <v>4736</v>
      </c>
      <c r="Q5654" s="3">
        <v>0</v>
      </c>
      <c r="R5654" s="22" t="s">
        <v>3699</v>
      </c>
      <c r="T5654" s="3" t="s">
        <v>4868</v>
      </c>
      <c r="U5654" s="45">
        <v>35</v>
      </c>
      <c r="V5654" t="s">
        <v>8191</v>
      </c>
      <c r="W5654" s="1" t="str">
        <f>HYPERLINK("http://ictvonline.org/taxonomy/p/taxonomy-history?taxnode_id=201903655","ICTVonline=201903655")</f>
        <v>ICTVonline=201903655</v>
      </c>
    </row>
    <row r="5655" spans="1:23">
      <c r="A5655" s="3">
        <v>5654</v>
      </c>
      <c r="B5655" s="1" t="s">
        <v>5910</v>
      </c>
      <c r="D5655" s="1" t="s">
        <v>8672</v>
      </c>
      <c r="F5655" s="1" t="s">
        <v>8673</v>
      </c>
      <c r="H5655" s="1" t="s">
        <v>8674</v>
      </c>
      <c r="J5655" s="1" t="s">
        <v>8675</v>
      </c>
      <c r="L5655" s="1" t="s">
        <v>245</v>
      </c>
      <c r="N5655" s="1" t="s">
        <v>1236</v>
      </c>
      <c r="P5655" s="1" t="s">
        <v>3784</v>
      </c>
      <c r="Q5655" s="3">
        <v>0</v>
      </c>
      <c r="R5655" s="22" t="s">
        <v>3699</v>
      </c>
      <c r="T5655" s="3" t="s">
        <v>4868</v>
      </c>
      <c r="U5655" s="45">
        <v>35</v>
      </c>
      <c r="V5655" t="s">
        <v>8191</v>
      </c>
      <c r="W5655" s="1" t="str">
        <f>HYPERLINK("http://ictvonline.org/taxonomy/p/taxonomy-history?taxnode_id=201903656","ICTVonline=201903656")</f>
        <v>ICTVonline=201903656</v>
      </c>
    </row>
    <row r="5656" spans="1:23">
      <c r="A5656" s="3">
        <v>5655</v>
      </c>
      <c r="B5656" s="1" t="s">
        <v>5910</v>
      </c>
      <c r="D5656" s="1" t="s">
        <v>8672</v>
      </c>
      <c r="F5656" s="1" t="s">
        <v>8673</v>
      </c>
      <c r="H5656" s="1" t="s">
        <v>8674</v>
      </c>
      <c r="J5656" s="1" t="s">
        <v>8675</v>
      </c>
      <c r="L5656" s="1" t="s">
        <v>245</v>
      </c>
      <c r="N5656" s="1" t="s">
        <v>1236</v>
      </c>
      <c r="P5656" s="1" t="s">
        <v>8683</v>
      </c>
      <c r="Q5656" s="3">
        <v>0</v>
      </c>
      <c r="R5656" s="22" t="s">
        <v>3699</v>
      </c>
      <c r="S5656" s="42" t="s">
        <v>6914</v>
      </c>
      <c r="T5656" s="3" t="s">
        <v>4866</v>
      </c>
      <c r="U5656" s="45">
        <v>35</v>
      </c>
      <c r="V5656" t="s">
        <v>8681</v>
      </c>
      <c r="W5656" s="1" t="str">
        <f>HYPERLINK("http://ictvonline.org/taxonomy/p/taxonomy-history?taxnode_id=201907259","ICTVonline=201907259")</f>
        <v>ICTVonline=201907259</v>
      </c>
    </row>
    <row r="5657" spans="1:23">
      <c r="A5657" s="3">
        <v>5656</v>
      </c>
      <c r="B5657" s="1" t="s">
        <v>5910</v>
      </c>
      <c r="D5657" s="1" t="s">
        <v>8672</v>
      </c>
      <c r="F5657" s="1" t="s">
        <v>8673</v>
      </c>
      <c r="H5657" s="1" t="s">
        <v>8674</v>
      </c>
      <c r="J5657" s="1" t="s">
        <v>8675</v>
      </c>
      <c r="L5657" s="1" t="s">
        <v>245</v>
      </c>
      <c r="N5657" s="1" t="s">
        <v>1236</v>
      </c>
      <c r="P5657" s="1" t="s">
        <v>3785</v>
      </c>
      <c r="Q5657" s="3">
        <v>0</v>
      </c>
      <c r="R5657" s="22" t="s">
        <v>3699</v>
      </c>
      <c r="T5657" s="3" t="s">
        <v>4868</v>
      </c>
      <c r="U5657" s="45">
        <v>35</v>
      </c>
      <c r="V5657" t="s">
        <v>8191</v>
      </c>
      <c r="W5657" s="1" t="str">
        <f>HYPERLINK("http://ictvonline.org/taxonomy/p/taxonomy-history?taxnode_id=201903657","ICTVonline=201903657")</f>
        <v>ICTVonline=201903657</v>
      </c>
    </row>
    <row r="5658" spans="1:23">
      <c r="A5658" s="3">
        <v>5657</v>
      </c>
      <c r="B5658" s="1" t="s">
        <v>5910</v>
      </c>
      <c r="D5658" s="1" t="s">
        <v>8672</v>
      </c>
      <c r="F5658" s="1" t="s">
        <v>8673</v>
      </c>
      <c r="H5658" s="1" t="s">
        <v>8674</v>
      </c>
      <c r="J5658" s="1" t="s">
        <v>8675</v>
      </c>
      <c r="L5658" s="1" t="s">
        <v>245</v>
      </c>
      <c r="N5658" s="1" t="s">
        <v>1236</v>
      </c>
      <c r="P5658" s="1" t="s">
        <v>1239</v>
      </c>
      <c r="Q5658" s="3">
        <v>0</v>
      </c>
      <c r="R5658" s="22" t="s">
        <v>3699</v>
      </c>
      <c r="T5658" s="3" t="s">
        <v>4868</v>
      </c>
      <c r="U5658" s="45">
        <v>35</v>
      </c>
      <c r="V5658" t="s">
        <v>8191</v>
      </c>
      <c r="W5658" s="1" t="str">
        <f>HYPERLINK("http://ictvonline.org/taxonomy/p/taxonomy-history?taxnode_id=201903658","ICTVonline=201903658")</f>
        <v>ICTVonline=201903658</v>
      </c>
    </row>
    <row r="5659" spans="1:23">
      <c r="A5659" s="3">
        <v>5658</v>
      </c>
      <c r="B5659" s="1" t="s">
        <v>5910</v>
      </c>
      <c r="D5659" s="1" t="s">
        <v>8672</v>
      </c>
      <c r="F5659" s="1" t="s">
        <v>8673</v>
      </c>
      <c r="H5659" s="1" t="s">
        <v>8674</v>
      </c>
      <c r="J5659" s="1" t="s">
        <v>8675</v>
      </c>
      <c r="L5659" s="1" t="s">
        <v>245</v>
      </c>
      <c r="N5659" s="1" t="s">
        <v>1236</v>
      </c>
      <c r="P5659" s="1" t="s">
        <v>252</v>
      </c>
      <c r="Q5659" s="3">
        <v>0</v>
      </c>
      <c r="R5659" s="22" t="s">
        <v>3699</v>
      </c>
      <c r="T5659" s="3" t="s">
        <v>4868</v>
      </c>
      <c r="U5659" s="45">
        <v>35</v>
      </c>
      <c r="V5659" t="s">
        <v>8191</v>
      </c>
      <c r="W5659" s="1" t="str">
        <f>HYPERLINK("http://ictvonline.org/taxonomy/p/taxonomy-history?taxnode_id=201903659","ICTVonline=201903659")</f>
        <v>ICTVonline=201903659</v>
      </c>
    </row>
    <row r="5660" spans="1:23">
      <c r="A5660" s="3">
        <v>5659</v>
      </c>
      <c r="B5660" s="1" t="s">
        <v>5910</v>
      </c>
      <c r="D5660" s="1" t="s">
        <v>8672</v>
      </c>
      <c r="F5660" s="1" t="s">
        <v>8673</v>
      </c>
      <c r="H5660" s="1" t="s">
        <v>8674</v>
      </c>
      <c r="J5660" s="1" t="s">
        <v>8675</v>
      </c>
      <c r="L5660" s="1" t="s">
        <v>245</v>
      </c>
      <c r="N5660" s="1" t="s">
        <v>8684</v>
      </c>
      <c r="P5660" s="1" t="s">
        <v>4737</v>
      </c>
      <c r="Q5660" s="3">
        <v>1</v>
      </c>
      <c r="R5660" s="22" t="s">
        <v>3699</v>
      </c>
      <c r="S5660" s="42" t="s">
        <v>6914</v>
      </c>
      <c r="T5660" s="3" t="s">
        <v>4871</v>
      </c>
      <c r="U5660" s="45">
        <v>35</v>
      </c>
      <c r="V5660" t="s">
        <v>8677</v>
      </c>
      <c r="W5660" s="1" t="str">
        <f>HYPERLINK("http://ictvonline.org/taxonomy/p/taxonomy-history?taxnode_id=201903661","ICTVonline=201903661")</f>
        <v>ICTVonline=201903661</v>
      </c>
    </row>
    <row r="5661" spans="1:23">
      <c r="A5661" s="3">
        <v>5660</v>
      </c>
      <c r="B5661" s="1" t="s">
        <v>5910</v>
      </c>
      <c r="D5661" s="1" t="s">
        <v>8672</v>
      </c>
      <c r="F5661" s="1" t="s">
        <v>8673</v>
      </c>
      <c r="H5661" s="1" t="s">
        <v>8674</v>
      </c>
      <c r="J5661" s="1" t="s">
        <v>5053</v>
      </c>
      <c r="L5661" s="1" t="s">
        <v>5054</v>
      </c>
      <c r="N5661" s="1" t="s">
        <v>2003</v>
      </c>
      <c r="P5661" s="1" t="s">
        <v>2004</v>
      </c>
      <c r="Q5661" s="3">
        <v>0</v>
      </c>
      <c r="R5661" s="22" t="s">
        <v>2726</v>
      </c>
      <c r="S5661" s="42" t="s">
        <v>6912</v>
      </c>
      <c r="T5661" s="3" t="s">
        <v>4868</v>
      </c>
      <c r="U5661" s="45">
        <v>35</v>
      </c>
      <c r="V5661" t="s">
        <v>8191</v>
      </c>
      <c r="W5661" s="1" t="str">
        <f>HYPERLINK("http://ictvonline.org/taxonomy/p/taxonomy-history?taxnode_id=201903847","ICTVonline=201903847")</f>
        <v>ICTVonline=201903847</v>
      </c>
    </row>
    <row r="5662" spans="1:23">
      <c r="A5662" s="3">
        <v>5661</v>
      </c>
      <c r="B5662" s="1" t="s">
        <v>5910</v>
      </c>
      <c r="D5662" s="1" t="s">
        <v>8672</v>
      </c>
      <c r="F5662" s="1" t="s">
        <v>8673</v>
      </c>
      <c r="H5662" s="1" t="s">
        <v>8674</v>
      </c>
      <c r="J5662" s="1" t="s">
        <v>5053</v>
      </c>
      <c r="L5662" s="1" t="s">
        <v>5054</v>
      </c>
      <c r="N5662" s="1" t="s">
        <v>2003</v>
      </c>
      <c r="P5662" s="1" t="s">
        <v>5055</v>
      </c>
      <c r="Q5662" s="3">
        <v>0</v>
      </c>
      <c r="R5662" s="22" t="s">
        <v>2726</v>
      </c>
      <c r="S5662" s="42" t="s">
        <v>6912</v>
      </c>
      <c r="T5662" s="3" t="s">
        <v>4868</v>
      </c>
      <c r="U5662" s="45">
        <v>35</v>
      </c>
      <c r="V5662" t="s">
        <v>8191</v>
      </c>
      <c r="W5662" s="1" t="str">
        <f>HYPERLINK("http://ictvonline.org/taxonomy/p/taxonomy-history?taxnode_id=201905584","ICTVonline=201905584")</f>
        <v>ICTVonline=201905584</v>
      </c>
    </row>
    <row r="5663" spans="1:23">
      <c r="A5663" s="3">
        <v>5662</v>
      </c>
      <c r="B5663" s="1" t="s">
        <v>5910</v>
      </c>
      <c r="D5663" s="1" t="s">
        <v>8672</v>
      </c>
      <c r="F5663" s="1" t="s">
        <v>8673</v>
      </c>
      <c r="H5663" s="1" t="s">
        <v>8674</v>
      </c>
      <c r="J5663" s="1" t="s">
        <v>5053</v>
      </c>
      <c r="L5663" s="1" t="s">
        <v>5054</v>
      </c>
      <c r="N5663" s="1" t="s">
        <v>2003</v>
      </c>
      <c r="P5663" s="1" t="s">
        <v>2005</v>
      </c>
      <c r="Q5663" s="3">
        <v>1</v>
      </c>
      <c r="R5663" s="22" t="s">
        <v>2726</v>
      </c>
      <c r="S5663" s="42" t="s">
        <v>6912</v>
      </c>
      <c r="T5663" s="3" t="s">
        <v>4868</v>
      </c>
      <c r="U5663" s="45">
        <v>35</v>
      </c>
      <c r="V5663" t="s">
        <v>8191</v>
      </c>
      <c r="W5663" s="1" t="str">
        <f>HYPERLINK("http://ictvonline.org/taxonomy/p/taxonomy-history?taxnode_id=201903848","ICTVonline=201903848")</f>
        <v>ICTVonline=201903848</v>
      </c>
    </row>
    <row r="5664" spans="1:23">
      <c r="A5664" s="3">
        <v>5663</v>
      </c>
      <c r="B5664" s="1" t="s">
        <v>5910</v>
      </c>
      <c r="D5664" s="1" t="s">
        <v>8672</v>
      </c>
      <c r="F5664" s="1" t="s">
        <v>8673</v>
      </c>
      <c r="H5664" s="1" t="s">
        <v>8674</v>
      </c>
      <c r="J5664" s="1" t="s">
        <v>5053</v>
      </c>
      <c r="L5664" s="1" t="s">
        <v>5054</v>
      </c>
      <c r="N5664" s="1" t="s">
        <v>2003</v>
      </c>
      <c r="P5664" s="1" t="s">
        <v>2006</v>
      </c>
      <c r="Q5664" s="3">
        <v>0</v>
      </c>
      <c r="R5664" s="22" t="s">
        <v>2726</v>
      </c>
      <c r="S5664" s="42" t="s">
        <v>6912</v>
      </c>
      <c r="T5664" s="3" t="s">
        <v>4868</v>
      </c>
      <c r="U5664" s="45">
        <v>35</v>
      </c>
      <c r="V5664" t="s">
        <v>8191</v>
      </c>
      <c r="W5664" s="1" t="str">
        <f>HYPERLINK("http://ictvonline.org/taxonomy/p/taxonomy-history?taxnode_id=201903849","ICTVonline=201903849")</f>
        <v>ICTVonline=201903849</v>
      </c>
    </row>
    <row r="5665" spans="1:23">
      <c r="A5665" s="3">
        <v>5664</v>
      </c>
      <c r="B5665" s="1" t="s">
        <v>5910</v>
      </c>
      <c r="D5665" s="1" t="s">
        <v>8672</v>
      </c>
      <c r="F5665" s="1" t="s">
        <v>8673</v>
      </c>
      <c r="H5665" s="1" t="s">
        <v>8674</v>
      </c>
      <c r="J5665" s="1" t="s">
        <v>5053</v>
      </c>
      <c r="L5665" s="1" t="s">
        <v>5054</v>
      </c>
      <c r="N5665" s="1" t="s">
        <v>2003</v>
      </c>
      <c r="P5665" s="1" t="s">
        <v>1149</v>
      </c>
      <c r="Q5665" s="3">
        <v>0</v>
      </c>
      <c r="R5665" s="22" t="s">
        <v>2726</v>
      </c>
      <c r="S5665" s="42" t="s">
        <v>6912</v>
      </c>
      <c r="T5665" s="3" t="s">
        <v>4868</v>
      </c>
      <c r="U5665" s="45">
        <v>35</v>
      </c>
      <c r="V5665" t="s">
        <v>8191</v>
      </c>
      <c r="W5665" s="1" t="str">
        <f>HYPERLINK("http://ictvonline.org/taxonomy/p/taxonomy-history?taxnode_id=201903850","ICTVonline=201903850")</f>
        <v>ICTVonline=201903850</v>
      </c>
    </row>
    <row r="5666" spans="1:23">
      <c r="A5666" s="3">
        <v>5665</v>
      </c>
      <c r="B5666" s="1" t="s">
        <v>5910</v>
      </c>
      <c r="D5666" s="1" t="s">
        <v>8672</v>
      </c>
      <c r="F5666" s="1" t="s">
        <v>8673</v>
      </c>
      <c r="H5666" s="1" t="s">
        <v>8674</v>
      </c>
      <c r="J5666" s="1" t="s">
        <v>5053</v>
      </c>
      <c r="L5666" s="1" t="s">
        <v>5054</v>
      </c>
      <c r="N5666" s="1" t="s">
        <v>2003</v>
      </c>
      <c r="P5666" s="1" t="s">
        <v>1150</v>
      </c>
      <c r="Q5666" s="3">
        <v>0</v>
      </c>
      <c r="R5666" s="22" t="s">
        <v>2726</v>
      </c>
      <c r="S5666" s="42" t="s">
        <v>6912</v>
      </c>
      <c r="T5666" s="3" t="s">
        <v>4868</v>
      </c>
      <c r="U5666" s="45">
        <v>35</v>
      </c>
      <c r="V5666" t="s">
        <v>8191</v>
      </c>
      <c r="W5666" s="1" t="str">
        <f>HYPERLINK("http://ictvonline.org/taxonomy/p/taxonomy-history?taxnode_id=201903851","ICTVonline=201903851")</f>
        <v>ICTVonline=201903851</v>
      </c>
    </row>
    <row r="5667" spans="1:23">
      <c r="A5667" s="3">
        <v>5666</v>
      </c>
      <c r="B5667" s="1" t="s">
        <v>5910</v>
      </c>
      <c r="D5667" s="1" t="s">
        <v>8672</v>
      </c>
      <c r="F5667" s="1" t="s">
        <v>8673</v>
      </c>
      <c r="H5667" s="1" t="s">
        <v>8674</v>
      </c>
      <c r="J5667" s="1" t="s">
        <v>5053</v>
      </c>
      <c r="L5667" s="1" t="s">
        <v>5054</v>
      </c>
      <c r="N5667" s="1" t="s">
        <v>2003</v>
      </c>
      <c r="P5667" s="1" t="s">
        <v>1151</v>
      </c>
      <c r="Q5667" s="3">
        <v>0</v>
      </c>
      <c r="R5667" s="22" t="s">
        <v>2726</v>
      </c>
      <c r="S5667" s="42" t="s">
        <v>6912</v>
      </c>
      <c r="T5667" s="3" t="s">
        <v>4868</v>
      </c>
      <c r="U5667" s="45">
        <v>35</v>
      </c>
      <c r="V5667" t="s">
        <v>8191</v>
      </c>
      <c r="W5667" s="1" t="str">
        <f>HYPERLINK("http://ictvonline.org/taxonomy/p/taxonomy-history?taxnode_id=201903852","ICTVonline=201903852")</f>
        <v>ICTVonline=201903852</v>
      </c>
    </row>
    <row r="5668" spans="1:23">
      <c r="A5668" s="3">
        <v>5667</v>
      </c>
      <c r="B5668" s="1" t="s">
        <v>5910</v>
      </c>
      <c r="D5668" s="1" t="s">
        <v>8672</v>
      </c>
      <c r="F5668" s="1" t="s">
        <v>8673</v>
      </c>
      <c r="H5668" s="1" t="s">
        <v>8674</v>
      </c>
      <c r="J5668" s="1" t="s">
        <v>5053</v>
      </c>
      <c r="L5668" s="1" t="s">
        <v>5054</v>
      </c>
      <c r="N5668" s="1" t="s">
        <v>2003</v>
      </c>
      <c r="P5668" s="1" t="s">
        <v>5056</v>
      </c>
      <c r="Q5668" s="3">
        <v>0</v>
      </c>
      <c r="R5668" s="22" t="s">
        <v>2726</v>
      </c>
      <c r="S5668" s="42" t="s">
        <v>6912</v>
      </c>
      <c r="T5668" s="3" t="s">
        <v>4868</v>
      </c>
      <c r="U5668" s="45">
        <v>35</v>
      </c>
      <c r="V5668" t="s">
        <v>8191</v>
      </c>
      <c r="W5668" s="1" t="str">
        <f>HYPERLINK("http://ictvonline.org/taxonomy/p/taxonomy-history?taxnode_id=201905585","ICTVonline=201905585")</f>
        <v>ICTVonline=201905585</v>
      </c>
    </row>
    <row r="5669" spans="1:23">
      <c r="A5669" s="3">
        <v>5668</v>
      </c>
      <c r="B5669" s="1" t="s">
        <v>5910</v>
      </c>
      <c r="D5669" s="1" t="s">
        <v>8672</v>
      </c>
      <c r="F5669" s="1" t="s">
        <v>8673</v>
      </c>
      <c r="H5669" s="1" t="s">
        <v>8674</v>
      </c>
      <c r="J5669" s="1" t="s">
        <v>5053</v>
      </c>
      <c r="L5669" s="1" t="s">
        <v>5054</v>
      </c>
      <c r="N5669" s="1" t="s">
        <v>2003</v>
      </c>
      <c r="P5669" s="1" t="s">
        <v>1670</v>
      </c>
      <c r="Q5669" s="3">
        <v>0</v>
      </c>
      <c r="R5669" s="22" t="s">
        <v>2726</v>
      </c>
      <c r="S5669" s="42" t="s">
        <v>6912</v>
      </c>
      <c r="T5669" s="3" t="s">
        <v>4868</v>
      </c>
      <c r="U5669" s="45">
        <v>35</v>
      </c>
      <c r="V5669" t="s">
        <v>8191</v>
      </c>
      <c r="W5669" s="1" t="str">
        <f>HYPERLINK("http://ictvonline.org/taxonomy/p/taxonomy-history?taxnode_id=201903853","ICTVonline=201903853")</f>
        <v>ICTVonline=201903853</v>
      </c>
    </row>
    <row r="5670" spans="1:23">
      <c r="A5670" s="3">
        <v>5669</v>
      </c>
      <c r="B5670" s="1" t="s">
        <v>5910</v>
      </c>
      <c r="D5670" s="1" t="s">
        <v>8672</v>
      </c>
      <c r="F5670" s="1" t="s">
        <v>8673</v>
      </c>
      <c r="H5670" s="1" t="s">
        <v>8674</v>
      </c>
      <c r="J5670" s="1" t="s">
        <v>5053</v>
      </c>
      <c r="L5670" s="1" t="s">
        <v>5054</v>
      </c>
      <c r="N5670" s="1" t="s">
        <v>2003</v>
      </c>
      <c r="P5670" s="1" t="s">
        <v>5057</v>
      </c>
      <c r="Q5670" s="3">
        <v>0</v>
      </c>
      <c r="R5670" s="22" t="s">
        <v>2726</v>
      </c>
      <c r="S5670" s="42" t="s">
        <v>6912</v>
      </c>
      <c r="T5670" s="3" t="s">
        <v>4868</v>
      </c>
      <c r="U5670" s="45">
        <v>35</v>
      </c>
      <c r="V5670" t="s">
        <v>8191</v>
      </c>
      <c r="W5670" s="1" t="str">
        <f>HYPERLINK("http://ictvonline.org/taxonomy/p/taxonomy-history?taxnode_id=201905586","ICTVonline=201905586")</f>
        <v>ICTVonline=201905586</v>
      </c>
    </row>
    <row r="5671" spans="1:23">
      <c r="A5671" s="3">
        <v>5670</v>
      </c>
      <c r="B5671" s="1" t="s">
        <v>5910</v>
      </c>
      <c r="D5671" s="1" t="s">
        <v>8672</v>
      </c>
      <c r="F5671" s="1" t="s">
        <v>8673</v>
      </c>
      <c r="H5671" s="1" t="s">
        <v>8674</v>
      </c>
      <c r="J5671" s="1" t="s">
        <v>5053</v>
      </c>
      <c r="L5671" s="1" t="s">
        <v>5054</v>
      </c>
      <c r="N5671" s="1" t="s">
        <v>2003</v>
      </c>
      <c r="P5671" s="1" t="s">
        <v>5058</v>
      </c>
      <c r="Q5671" s="3">
        <v>0</v>
      </c>
      <c r="R5671" s="22" t="s">
        <v>2726</v>
      </c>
      <c r="S5671" s="42" t="s">
        <v>6912</v>
      </c>
      <c r="T5671" s="3" t="s">
        <v>4868</v>
      </c>
      <c r="U5671" s="45">
        <v>35</v>
      </c>
      <c r="V5671" t="s">
        <v>8191</v>
      </c>
      <c r="W5671" s="1" t="str">
        <f>HYPERLINK("http://ictvonline.org/taxonomy/p/taxonomy-history?taxnode_id=201903854","ICTVonline=201903854")</f>
        <v>ICTVonline=201903854</v>
      </c>
    </row>
    <row r="5672" spans="1:23">
      <c r="A5672" s="3">
        <v>5671</v>
      </c>
      <c r="B5672" s="1" t="s">
        <v>5910</v>
      </c>
      <c r="D5672" s="1" t="s">
        <v>8672</v>
      </c>
      <c r="F5672" s="1" t="s">
        <v>8673</v>
      </c>
      <c r="H5672" s="1" t="s">
        <v>8674</v>
      </c>
      <c r="J5672" s="1" t="s">
        <v>5053</v>
      </c>
      <c r="L5672" s="1" t="s">
        <v>2000</v>
      </c>
      <c r="N5672" s="1" t="s">
        <v>2001</v>
      </c>
      <c r="P5672" s="1" t="s">
        <v>2002</v>
      </c>
      <c r="Q5672" s="3">
        <v>0</v>
      </c>
      <c r="R5672" s="22" t="s">
        <v>3699</v>
      </c>
      <c r="S5672" s="42" t="s">
        <v>6912</v>
      </c>
      <c r="T5672" s="3" t="s">
        <v>4868</v>
      </c>
      <c r="U5672" s="45">
        <v>35</v>
      </c>
      <c r="V5672" t="s">
        <v>8191</v>
      </c>
      <c r="W5672" s="1" t="str">
        <f>HYPERLINK("http://ictvonline.org/taxonomy/p/taxonomy-history?taxnode_id=201902819","ICTVonline=201902819")</f>
        <v>ICTVonline=201902819</v>
      </c>
    </row>
    <row r="5673" spans="1:23">
      <c r="A5673" s="3">
        <v>5672</v>
      </c>
      <c r="B5673" s="1" t="s">
        <v>5910</v>
      </c>
      <c r="D5673" s="1" t="s">
        <v>8672</v>
      </c>
      <c r="F5673" s="1" t="s">
        <v>8673</v>
      </c>
      <c r="H5673" s="1" t="s">
        <v>8674</v>
      </c>
      <c r="J5673" s="1" t="s">
        <v>5053</v>
      </c>
      <c r="L5673" s="1" t="s">
        <v>2000</v>
      </c>
      <c r="N5673" s="1" t="s">
        <v>2001</v>
      </c>
      <c r="P5673" s="1" t="s">
        <v>2113</v>
      </c>
      <c r="Q5673" s="3">
        <v>0</v>
      </c>
      <c r="R5673" s="22" t="s">
        <v>3699</v>
      </c>
      <c r="S5673" s="42" t="s">
        <v>6912</v>
      </c>
      <c r="T5673" s="3" t="s">
        <v>4868</v>
      </c>
      <c r="U5673" s="45">
        <v>35</v>
      </c>
      <c r="V5673" t="s">
        <v>8191</v>
      </c>
      <c r="W5673" s="1" t="str">
        <f>HYPERLINK("http://ictvonline.org/taxonomy/p/taxonomy-history?taxnode_id=201902820","ICTVonline=201902820")</f>
        <v>ICTVonline=201902820</v>
      </c>
    </row>
    <row r="5674" spans="1:23">
      <c r="A5674" s="3">
        <v>5673</v>
      </c>
      <c r="B5674" s="1" t="s">
        <v>5910</v>
      </c>
      <c r="D5674" s="1" t="s">
        <v>8672</v>
      </c>
      <c r="F5674" s="1" t="s">
        <v>8673</v>
      </c>
      <c r="H5674" s="1" t="s">
        <v>8674</v>
      </c>
      <c r="J5674" s="1" t="s">
        <v>5053</v>
      </c>
      <c r="L5674" s="1" t="s">
        <v>2000</v>
      </c>
      <c r="N5674" s="1" t="s">
        <v>2001</v>
      </c>
      <c r="P5674" s="1" t="s">
        <v>2646</v>
      </c>
      <c r="Q5674" s="3">
        <v>0</v>
      </c>
      <c r="R5674" s="22" t="s">
        <v>3699</v>
      </c>
      <c r="S5674" s="42" t="s">
        <v>6912</v>
      </c>
      <c r="T5674" s="3" t="s">
        <v>4868</v>
      </c>
      <c r="U5674" s="45">
        <v>35</v>
      </c>
      <c r="V5674" t="s">
        <v>8191</v>
      </c>
      <c r="W5674" s="1" t="str">
        <f>HYPERLINK("http://ictvonline.org/taxonomy/p/taxonomy-history?taxnode_id=201902821","ICTVonline=201902821")</f>
        <v>ICTVonline=201902821</v>
      </c>
    </row>
    <row r="5675" spans="1:23">
      <c r="A5675" s="3">
        <v>5674</v>
      </c>
      <c r="B5675" s="1" t="s">
        <v>5910</v>
      </c>
      <c r="D5675" s="1" t="s">
        <v>8672</v>
      </c>
      <c r="F5675" s="1" t="s">
        <v>8673</v>
      </c>
      <c r="H5675" s="1" t="s">
        <v>8674</v>
      </c>
      <c r="J5675" s="1" t="s">
        <v>5053</v>
      </c>
      <c r="L5675" s="1" t="s">
        <v>2000</v>
      </c>
      <c r="N5675" s="1" t="s">
        <v>2001</v>
      </c>
      <c r="P5675" s="1" t="s">
        <v>560</v>
      </c>
      <c r="Q5675" s="3">
        <v>0</v>
      </c>
      <c r="R5675" s="22" t="s">
        <v>3699</v>
      </c>
      <c r="S5675" s="42" t="s">
        <v>6912</v>
      </c>
      <c r="T5675" s="3" t="s">
        <v>4868</v>
      </c>
      <c r="U5675" s="45">
        <v>35</v>
      </c>
      <c r="V5675" t="s">
        <v>8191</v>
      </c>
      <c r="W5675" s="1" t="str">
        <f>HYPERLINK("http://ictvonline.org/taxonomy/p/taxonomy-history?taxnode_id=201902822","ICTVonline=201902822")</f>
        <v>ICTVonline=201902822</v>
      </c>
    </row>
    <row r="5676" spans="1:23">
      <c r="A5676" s="3">
        <v>5675</v>
      </c>
      <c r="B5676" s="1" t="s">
        <v>5910</v>
      </c>
      <c r="D5676" s="1" t="s">
        <v>8672</v>
      </c>
      <c r="F5676" s="1" t="s">
        <v>8673</v>
      </c>
      <c r="H5676" s="1" t="s">
        <v>8674</v>
      </c>
      <c r="J5676" s="1" t="s">
        <v>5053</v>
      </c>
      <c r="L5676" s="1" t="s">
        <v>2000</v>
      </c>
      <c r="N5676" s="1" t="s">
        <v>2001</v>
      </c>
      <c r="P5676" s="1" t="s">
        <v>2114</v>
      </c>
      <c r="Q5676" s="3">
        <v>0</v>
      </c>
      <c r="R5676" s="22" t="s">
        <v>3699</v>
      </c>
      <c r="S5676" s="42" t="s">
        <v>6912</v>
      </c>
      <c r="T5676" s="3" t="s">
        <v>4868</v>
      </c>
      <c r="U5676" s="45">
        <v>35</v>
      </c>
      <c r="V5676" t="s">
        <v>8191</v>
      </c>
      <c r="W5676" s="1" t="str">
        <f>HYPERLINK("http://ictvonline.org/taxonomy/p/taxonomy-history?taxnode_id=201902823","ICTVonline=201902823")</f>
        <v>ICTVonline=201902823</v>
      </c>
    </row>
    <row r="5677" spans="1:23">
      <c r="A5677" s="3">
        <v>5676</v>
      </c>
      <c r="B5677" s="1" t="s">
        <v>5910</v>
      </c>
      <c r="D5677" s="1" t="s">
        <v>8672</v>
      </c>
      <c r="F5677" s="1" t="s">
        <v>8673</v>
      </c>
      <c r="H5677" s="1" t="s">
        <v>8674</v>
      </c>
      <c r="J5677" s="1" t="s">
        <v>5053</v>
      </c>
      <c r="L5677" s="1" t="s">
        <v>2000</v>
      </c>
      <c r="N5677" s="1" t="s">
        <v>2001</v>
      </c>
      <c r="P5677" s="1" t="s">
        <v>2647</v>
      </c>
      <c r="Q5677" s="3">
        <v>0</v>
      </c>
      <c r="R5677" s="22" t="s">
        <v>3699</v>
      </c>
      <c r="S5677" s="42" t="s">
        <v>6912</v>
      </c>
      <c r="T5677" s="3" t="s">
        <v>4868</v>
      </c>
      <c r="U5677" s="45">
        <v>35</v>
      </c>
      <c r="V5677" t="s">
        <v>8191</v>
      </c>
      <c r="W5677" s="1" t="str">
        <f>HYPERLINK("http://ictvonline.org/taxonomy/p/taxonomy-history?taxnode_id=201902824","ICTVonline=201902824")</f>
        <v>ICTVonline=201902824</v>
      </c>
    </row>
    <row r="5678" spans="1:23">
      <c r="A5678" s="3">
        <v>5677</v>
      </c>
      <c r="B5678" s="1" t="s">
        <v>5910</v>
      </c>
      <c r="D5678" s="1" t="s">
        <v>8672</v>
      </c>
      <c r="F5678" s="1" t="s">
        <v>8673</v>
      </c>
      <c r="H5678" s="1" t="s">
        <v>8674</v>
      </c>
      <c r="J5678" s="1" t="s">
        <v>5053</v>
      </c>
      <c r="L5678" s="1" t="s">
        <v>2000</v>
      </c>
      <c r="N5678" s="1" t="s">
        <v>2001</v>
      </c>
      <c r="P5678" s="1" t="s">
        <v>2648</v>
      </c>
      <c r="Q5678" s="3">
        <v>0</v>
      </c>
      <c r="R5678" s="22" t="s">
        <v>3699</v>
      </c>
      <c r="S5678" s="42" t="s">
        <v>6912</v>
      </c>
      <c r="T5678" s="3" t="s">
        <v>4868</v>
      </c>
      <c r="U5678" s="45">
        <v>35</v>
      </c>
      <c r="V5678" t="s">
        <v>8191</v>
      </c>
      <c r="W5678" s="1" t="str">
        <f>HYPERLINK("http://ictvonline.org/taxonomy/p/taxonomy-history?taxnode_id=201902825","ICTVonline=201902825")</f>
        <v>ICTVonline=201902825</v>
      </c>
    </row>
    <row r="5679" spans="1:23">
      <c r="A5679" s="3">
        <v>5678</v>
      </c>
      <c r="B5679" s="1" t="s">
        <v>5910</v>
      </c>
      <c r="D5679" s="1" t="s">
        <v>8672</v>
      </c>
      <c r="F5679" s="1" t="s">
        <v>8673</v>
      </c>
      <c r="H5679" s="1" t="s">
        <v>8674</v>
      </c>
      <c r="J5679" s="1" t="s">
        <v>5053</v>
      </c>
      <c r="L5679" s="1" t="s">
        <v>2000</v>
      </c>
      <c r="N5679" s="1" t="s">
        <v>2001</v>
      </c>
      <c r="P5679" s="1" t="s">
        <v>2649</v>
      </c>
      <c r="Q5679" s="3">
        <v>0</v>
      </c>
      <c r="R5679" s="22" t="s">
        <v>3699</v>
      </c>
      <c r="S5679" s="42" t="s">
        <v>6912</v>
      </c>
      <c r="T5679" s="3" t="s">
        <v>4868</v>
      </c>
      <c r="U5679" s="45">
        <v>35</v>
      </c>
      <c r="V5679" t="s">
        <v>8191</v>
      </c>
      <c r="W5679" s="1" t="str">
        <f>HYPERLINK("http://ictvonline.org/taxonomy/p/taxonomy-history?taxnode_id=201902826","ICTVonline=201902826")</f>
        <v>ICTVonline=201902826</v>
      </c>
    </row>
    <row r="5680" spans="1:23">
      <c r="A5680" s="3">
        <v>5679</v>
      </c>
      <c r="B5680" s="1" t="s">
        <v>5910</v>
      </c>
      <c r="D5680" s="1" t="s">
        <v>8672</v>
      </c>
      <c r="F5680" s="1" t="s">
        <v>8673</v>
      </c>
      <c r="H5680" s="1" t="s">
        <v>8674</v>
      </c>
      <c r="J5680" s="1" t="s">
        <v>5053</v>
      </c>
      <c r="L5680" s="1" t="s">
        <v>2000</v>
      </c>
      <c r="N5680" s="1" t="s">
        <v>2001</v>
      </c>
      <c r="P5680" s="1" t="s">
        <v>2650</v>
      </c>
      <c r="Q5680" s="3">
        <v>0</v>
      </c>
      <c r="R5680" s="22" t="s">
        <v>3699</v>
      </c>
      <c r="S5680" s="42" t="s">
        <v>6912</v>
      </c>
      <c r="T5680" s="3" t="s">
        <v>4868</v>
      </c>
      <c r="U5680" s="45">
        <v>35</v>
      </c>
      <c r="V5680" t="s">
        <v>8191</v>
      </c>
      <c r="W5680" s="1" t="str">
        <f>HYPERLINK("http://ictvonline.org/taxonomy/p/taxonomy-history?taxnode_id=201902827","ICTVonline=201902827")</f>
        <v>ICTVonline=201902827</v>
      </c>
    </row>
    <row r="5681" spans="1:23">
      <c r="A5681" s="3">
        <v>5680</v>
      </c>
      <c r="B5681" s="1" t="s">
        <v>5910</v>
      </c>
      <c r="D5681" s="1" t="s">
        <v>8672</v>
      </c>
      <c r="F5681" s="1" t="s">
        <v>8673</v>
      </c>
      <c r="H5681" s="1" t="s">
        <v>8674</v>
      </c>
      <c r="J5681" s="1" t="s">
        <v>5053</v>
      </c>
      <c r="L5681" s="1" t="s">
        <v>2000</v>
      </c>
      <c r="N5681" s="1" t="s">
        <v>2001</v>
      </c>
      <c r="P5681" s="1" t="s">
        <v>75</v>
      </c>
      <c r="Q5681" s="3">
        <v>0</v>
      </c>
      <c r="R5681" s="22" t="s">
        <v>3699</v>
      </c>
      <c r="S5681" s="42" t="s">
        <v>6912</v>
      </c>
      <c r="T5681" s="3" t="s">
        <v>4868</v>
      </c>
      <c r="U5681" s="45">
        <v>35</v>
      </c>
      <c r="V5681" t="s">
        <v>8191</v>
      </c>
      <c r="W5681" s="1" t="str">
        <f>HYPERLINK("http://ictvonline.org/taxonomy/p/taxonomy-history?taxnode_id=201902828","ICTVonline=201902828")</f>
        <v>ICTVonline=201902828</v>
      </c>
    </row>
    <row r="5682" spans="1:23">
      <c r="A5682" s="3">
        <v>5681</v>
      </c>
      <c r="B5682" s="1" t="s">
        <v>5910</v>
      </c>
      <c r="D5682" s="1" t="s">
        <v>8672</v>
      </c>
      <c r="F5682" s="1" t="s">
        <v>8673</v>
      </c>
      <c r="H5682" s="1" t="s">
        <v>8674</v>
      </c>
      <c r="J5682" s="1" t="s">
        <v>5053</v>
      </c>
      <c r="L5682" s="1" t="s">
        <v>2000</v>
      </c>
      <c r="N5682" s="1" t="s">
        <v>2001</v>
      </c>
      <c r="P5682" s="1" t="s">
        <v>6784</v>
      </c>
      <c r="Q5682" s="3">
        <v>0</v>
      </c>
      <c r="R5682" s="22" t="s">
        <v>3699</v>
      </c>
      <c r="S5682" s="42" t="s">
        <v>6912</v>
      </c>
      <c r="T5682" s="3" t="s">
        <v>4868</v>
      </c>
      <c r="U5682" s="45">
        <v>35</v>
      </c>
      <c r="V5682" t="s">
        <v>8191</v>
      </c>
      <c r="W5682" s="1" t="str">
        <f>HYPERLINK("http://ictvonline.org/taxonomy/p/taxonomy-history?taxnode_id=201906641","ICTVonline=201906641")</f>
        <v>ICTVonline=201906641</v>
      </c>
    </row>
    <row r="5683" spans="1:23">
      <c r="A5683" s="3">
        <v>5682</v>
      </c>
      <c r="B5683" s="1" t="s">
        <v>5910</v>
      </c>
      <c r="D5683" s="1" t="s">
        <v>8672</v>
      </c>
      <c r="F5683" s="1" t="s">
        <v>8673</v>
      </c>
      <c r="H5683" s="1" t="s">
        <v>8674</v>
      </c>
      <c r="J5683" s="1" t="s">
        <v>5053</v>
      </c>
      <c r="L5683" s="1" t="s">
        <v>2000</v>
      </c>
      <c r="N5683" s="1" t="s">
        <v>2001</v>
      </c>
      <c r="P5683" s="1" t="s">
        <v>6785</v>
      </c>
      <c r="Q5683" s="3">
        <v>0</v>
      </c>
      <c r="R5683" s="22" t="s">
        <v>3699</v>
      </c>
      <c r="S5683" s="42" t="s">
        <v>6912</v>
      </c>
      <c r="T5683" s="3" t="s">
        <v>4868</v>
      </c>
      <c r="U5683" s="45">
        <v>35</v>
      </c>
      <c r="V5683" t="s">
        <v>8191</v>
      </c>
      <c r="W5683" s="1" t="str">
        <f>HYPERLINK("http://ictvonline.org/taxonomy/p/taxonomy-history?taxnode_id=201906642","ICTVonline=201906642")</f>
        <v>ICTVonline=201906642</v>
      </c>
    </row>
    <row r="5684" spans="1:23">
      <c r="A5684" s="3">
        <v>5683</v>
      </c>
      <c r="B5684" s="1" t="s">
        <v>5910</v>
      </c>
      <c r="D5684" s="1" t="s">
        <v>8672</v>
      </c>
      <c r="F5684" s="1" t="s">
        <v>8673</v>
      </c>
      <c r="H5684" s="1" t="s">
        <v>8674</v>
      </c>
      <c r="J5684" s="1" t="s">
        <v>5053</v>
      </c>
      <c r="L5684" s="1" t="s">
        <v>2000</v>
      </c>
      <c r="N5684" s="1" t="s">
        <v>2001</v>
      </c>
      <c r="P5684" s="1" t="s">
        <v>76</v>
      </c>
      <c r="Q5684" s="3">
        <v>0</v>
      </c>
      <c r="R5684" s="22" t="s">
        <v>3699</v>
      </c>
      <c r="S5684" s="42" t="s">
        <v>6912</v>
      </c>
      <c r="T5684" s="3" t="s">
        <v>4868</v>
      </c>
      <c r="U5684" s="45">
        <v>35</v>
      </c>
      <c r="V5684" t="s">
        <v>8191</v>
      </c>
      <c r="W5684" s="1" t="str">
        <f>HYPERLINK("http://ictvonline.org/taxonomy/p/taxonomy-history?taxnode_id=201902829","ICTVonline=201902829")</f>
        <v>ICTVonline=201902829</v>
      </c>
    </row>
    <row r="5685" spans="1:23">
      <c r="A5685" s="3">
        <v>5684</v>
      </c>
      <c r="B5685" s="1" t="s">
        <v>5910</v>
      </c>
      <c r="D5685" s="1" t="s">
        <v>8672</v>
      </c>
      <c r="F5685" s="1" t="s">
        <v>8673</v>
      </c>
      <c r="H5685" s="1" t="s">
        <v>8674</v>
      </c>
      <c r="J5685" s="1" t="s">
        <v>5053</v>
      </c>
      <c r="L5685" s="1" t="s">
        <v>2000</v>
      </c>
      <c r="N5685" s="1" t="s">
        <v>2001</v>
      </c>
      <c r="P5685" s="1" t="s">
        <v>6786</v>
      </c>
      <c r="Q5685" s="3">
        <v>0</v>
      </c>
      <c r="R5685" s="22" t="s">
        <v>3699</v>
      </c>
      <c r="S5685" s="42" t="s">
        <v>6912</v>
      </c>
      <c r="T5685" s="3" t="s">
        <v>4868</v>
      </c>
      <c r="U5685" s="45">
        <v>35</v>
      </c>
      <c r="V5685" t="s">
        <v>8191</v>
      </c>
      <c r="W5685" s="1" t="str">
        <f>HYPERLINK("http://ictvonline.org/taxonomy/p/taxonomy-history?taxnode_id=201906647","ICTVonline=201906647")</f>
        <v>ICTVonline=201906647</v>
      </c>
    </row>
    <row r="5686" spans="1:23">
      <c r="A5686" s="3">
        <v>5685</v>
      </c>
      <c r="B5686" s="1" t="s">
        <v>5910</v>
      </c>
      <c r="D5686" s="1" t="s">
        <v>8672</v>
      </c>
      <c r="F5686" s="1" t="s">
        <v>8673</v>
      </c>
      <c r="H5686" s="1" t="s">
        <v>8674</v>
      </c>
      <c r="J5686" s="1" t="s">
        <v>5053</v>
      </c>
      <c r="L5686" s="1" t="s">
        <v>2000</v>
      </c>
      <c r="N5686" s="1" t="s">
        <v>2001</v>
      </c>
      <c r="P5686" s="1" t="s">
        <v>5059</v>
      </c>
      <c r="Q5686" s="3">
        <v>0</v>
      </c>
      <c r="R5686" s="22" t="s">
        <v>3699</v>
      </c>
      <c r="S5686" s="42" t="s">
        <v>6912</v>
      </c>
      <c r="T5686" s="3" t="s">
        <v>4868</v>
      </c>
      <c r="U5686" s="45">
        <v>35</v>
      </c>
      <c r="V5686" t="s">
        <v>8191</v>
      </c>
      <c r="W5686" s="1" t="str">
        <f>HYPERLINK("http://ictvonline.org/taxonomy/p/taxonomy-history?taxnode_id=201905761","ICTVonline=201905761")</f>
        <v>ICTVonline=201905761</v>
      </c>
    </row>
    <row r="5687" spans="1:23">
      <c r="A5687" s="3">
        <v>5686</v>
      </c>
      <c r="B5687" s="1" t="s">
        <v>5910</v>
      </c>
      <c r="D5687" s="1" t="s">
        <v>8672</v>
      </c>
      <c r="F5687" s="1" t="s">
        <v>8673</v>
      </c>
      <c r="H5687" s="1" t="s">
        <v>8674</v>
      </c>
      <c r="J5687" s="1" t="s">
        <v>5053</v>
      </c>
      <c r="L5687" s="1" t="s">
        <v>2000</v>
      </c>
      <c r="N5687" s="1" t="s">
        <v>2001</v>
      </c>
      <c r="P5687" s="1" t="s">
        <v>3700</v>
      </c>
      <c r="Q5687" s="3">
        <v>0</v>
      </c>
      <c r="R5687" s="22" t="s">
        <v>3699</v>
      </c>
      <c r="S5687" s="42" t="s">
        <v>6912</v>
      </c>
      <c r="T5687" s="3" t="s">
        <v>4868</v>
      </c>
      <c r="U5687" s="45">
        <v>35</v>
      </c>
      <c r="V5687" t="s">
        <v>8191</v>
      </c>
      <c r="W5687" s="1" t="str">
        <f>HYPERLINK("http://ictvonline.org/taxonomy/p/taxonomy-history?taxnode_id=201902830","ICTVonline=201902830")</f>
        <v>ICTVonline=201902830</v>
      </c>
    </row>
    <row r="5688" spans="1:23">
      <c r="A5688" s="3">
        <v>5687</v>
      </c>
      <c r="B5688" s="1" t="s">
        <v>5910</v>
      </c>
      <c r="D5688" s="1" t="s">
        <v>8672</v>
      </c>
      <c r="F5688" s="1" t="s">
        <v>8673</v>
      </c>
      <c r="H5688" s="1" t="s">
        <v>8674</v>
      </c>
      <c r="J5688" s="1" t="s">
        <v>5053</v>
      </c>
      <c r="L5688" s="1" t="s">
        <v>2000</v>
      </c>
      <c r="N5688" s="1" t="s">
        <v>2001</v>
      </c>
      <c r="P5688" s="1" t="s">
        <v>6787</v>
      </c>
      <c r="Q5688" s="3">
        <v>0</v>
      </c>
      <c r="R5688" s="22" t="s">
        <v>3699</v>
      </c>
      <c r="S5688" s="42" t="s">
        <v>6912</v>
      </c>
      <c r="T5688" s="3" t="s">
        <v>4868</v>
      </c>
      <c r="U5688" s="45">
        <v>35</v>
      </c>
      <c r="V5688" t="s">
        <v>8191</v>
      </c>
      <c r="W5688" s="1" t="str">
        <f>HYPERLINK("http://ictvonline.org/taxonomy/p/taxonomy-history?taxnode_id=201906643","ICTVonline=201906643")</f>
        <v>ICTVonline=201906643</v>
      </c>
    </row>
    <row r="5689" spans="1:23">
      <c r="A5689" s="3">
        <v>5688</v>
      </c>
      <c r="B5689" s="1" t="s">
        <v>5910</v>
      </c>
      <c r="D5689" s="1" t="s">
        <v>8672</v>
      </c>
      <c r="F5689" s="1" t="s">
        <v>8673</v>
      </c>
      <c r="H5689" s="1" t="s">
        <v>8674</v>
      </c>
      <c r="J5689" s="1" t="s">
        <v>5053</v>
      </c>
      <c r="L5689" s="1" t="s">
        <v>2000</v>
      </c>
      <c r="N5689" s="1" t="s">
        <v>2001</v>
      </c>
      <c r="P5689" s="1" t="s">
        <v>6788</v>
      </c>
      <c r="Q5689" s="3">
        <v>0</v>
      </c>
      <c r="R5689" s="22" t="s">
        <v>3699</v>
      </c>
      <c r="S5689" s="42" t="s">
        <v>6912</v>
      </c>
      <c r="T5689" s="3" t="s">
        <v>4868</v>
      </c>
      <c r="U5689" s="45">
        <v>35</v>
      </c>
      <c r="V5689" t="s">
        <v>8191</v>
      </c>
      <c r="W5689" s="1" t="str">
        <f>HYPERLINK("http://ictvonline.org/taxonomy/p/taxonomy-history?taxnode_id=201906644","ICTVonline=201906644")</f>
        <v>ICTVonline=201906644</v>
      </c>
    </row>
    <row r="5690" spans="1:23">
      <c r="A5690" s="3">
        <v>5689</v>
      </c>
      <c r="B5690" s="1" t="s">
        <v>5910</v>
      </c>
      <c r="D5690" s="1" t="s">
        <v>8672</v>
      </c>
      <c r="F5690" s="1" t="s">
        <v>8673</v>
      </c>
      <c r="H5690" s="1" t="s">
        <v>8674</v>
      </c>
      <c r="J5690" s="1" t="s">
        <v>5053</v>
      </c>
      <c r="L5690" s="1" t="s">
        <v>2000</v>
      </c>
      <c r="N5690" s="1" t="s">
        <v>2001</v>
      </c>
      <c r="P5690" s="1" t="s">
        <v>6789</v>
      </c>
      <c r="Q5690" s="3">
        <v>0</v>
      </c>
      <c r="R5690" s="22" t="s">
        <v>3699</v>
      </c>
      <c r="S5690" s="42" t="s">
        <v>6912</v>
      </c>
      <c r="T5690" s="3" t="s">
        <v>4868</v>
      </c>
      <c r="U5690" s="45">
        <v>35</v>
      </c>
      <c r="V5690" t="s">
        <v>8191</v>
      </c>
      <c r="W5690" s="1" t="str">
        <f>HYPERLINK("http://ictvonline.org/taxonomy/p/taxonomy-history?taxnode_id=201906645","ICTVonline=201906645")</f>
        <v>ICTVonline=201906645</v>
      </c>
    </row>
    <row r="5691" spans="1:23">
      <c r="A5691" s="3">
        <v>5690</v>
      </c>
      <c r="B5691" s="1" t="s">
        <v>5910</v>
      </c>
      <c r="D5691" s="1" t="s">
        <v>8672</v>
      </c>
      <c r="F5691" s="1" t="s">
        <v>8673</v>
      </c>
      <c r="H5691" s="1" t="s">
        <v>8674</v>
      </c>
      <c r="J5691" s="1" t="s">
        <v>5053</v>
      </c>
      <c r="L5691" s="1" t="s">
        <v>2000</v>
      </c>
      <c r="N5691" s="1" t="s">
        <v>2001</v>
      </c>
      <c r="P5691" s="1" t="s">
        <v>6790</v>
      </c>
      <c r="Q5691" s="3">
        <v>0</v>
      </c>
      <c r="R5691" s="22" t="s">
        <v>3699</v>
      </c>
      <c r="S5691" s="42" t="s">
        <v>6912</v>
      </c>
      <c r="T5691" s="3" t="s">
        <v>4868</v>
      </c>
      <c r="U5691" s="45">
        <v>35</v>
      </c>
      <c r="V5691" t="s">
        <v>8191</v>
      </c>
      <c r="W5691" s="1" t="str">
        <f>HYPERLINK("http://ictvonline.org/taxonomy/p/taxonomy-history?taxnode_id=201906646","ICTVonline=201906646")</f>
        <v>ICTVonline=201906646</v>
      </c>
    </row>
    <row r="5692" spans="1:23">
      <c r="A5692" s="3">
        <v>5691</v>
      </c>
      <c r="B5692" s="1" t="s">
        <v>5910</v>
      </c>
      <c r="D5692" s="1" t="s">
        <v>8672</v>
      </c>
      <c r="F5692" s="1" t="s">
        <v>8673</v>
      </c>
      <c r="H5692" s="1" t="s">
        <v>8674</v>
      </c>
      <c r="J5692" s="1" t="s">
        <v>5053</v>
      </c>
      <c r="L5692" s="1" t="s">
        <v>2000</v>
      </c>
      <c r="N5692" s="1" t="s">
        <v>2001</v>
      </c>
      <c r="P5692" s="1" t="s">
        <v>3701</v>
      </c>
      <c r="Q5692" s="3">
        <v>0</v>
      </c>
      <c r="R5692" s="22" t="s">
        <v>3699</v>
      </c>
      <c r="S5692" s="42" t="s">
        <v>6912</v>
      </c>
      <c r="T5692" s="3" t="s">
        <v>4868</v>
      </c>
      <c r="U5692" s="45">
        <v>35</v>
      </c>
      <c r="V5692" t="s">
        <v>8191</v>
      </c>
      <c r="W5692" s="1" t="str">
        <f>HYPERLINK("http://ictvonline.org/taxonomy/p/taxonomy-history?taxnode_id=201902831","ICTVonline=201902831")</f>
        <v>ICTVonline=201902831</v>
      </c>
    </row>
    <row r="5693" spans="1:23">
      <c r="A5693" s="3">
        <v>5692</v>
      </c>
      <c r="B5693" s="1" t="s">
        <v>5910</v>
      </c>
      <c r="D5693" s="1" t="s">
        <v>8672</v>
      </c>
      <c r="F5693" s="1" t="s">
        <v>8673</v>
      </c>
      <c r="H5693" s="1" t="s">
        <v>8674</v>
      </c>
      <c r="J5693" s="1" t="s">
        <v>5053</v>
      </c>
      <c r="L5693" s="1" t="s">
        <v>2000</v>
      </c>
      <c r="N5693" s="1" t="s">
        <v>2001</v>
      </c>
      <c r="P5693" s="1" t="s">
        <v>6791</v>
      </c>
      <c r="Q5693" s="3">
        <v>0</v>
      </c>
      <c r="R5693" s="22" t="s">
        <v>3699</v>
      </c>
      <c r="S5693" s="42" t="s">
        <v>6912</v>
      </c>
      <c r="T5693" s="3" t="s">
        <v>4868</v>
      </c>
      <c r="U5693" s="45">
        <v>35</v>
      </c>
      <c r="V5693" t="s">
        <v>8191</v>
      </c>
      <c r="W5693" s="1" t="str">
        <f>HYPERLINK("http://ictvonline.org/taxonomy/p/taxonomy-history?taxnode_id=201902832","ICTVonline=201902832")</f>
        <v>ICTVonline=201902832</v>
      </c>
    </row>
    <row r="5694" spans="1:23">
      <c r="A5694" s="3">
        <v>5693</v>
      </c>
      <c r="B5694" s="1" t="s">
        <v>5910</v>
      </c>
      <c r="D5694" s="1" t="s">
        <v>8672</v>
      </c>
      <c r="F5694" s="1" t="s">
        <v>8673</v>
      </c>
      <c r="H5694" s="1" t="s">
        <v>8674</v>
      </c>
      <c r="J5694" s="1" t="s">
        <v>5053</v>
      </c>
      <c r="L5694" s="1" t="s">
        <v>2000</v>
      </c>
      <c r="N5694" s="1" t="s">
        <v>2001</v>
      </c>
      <c r="P5694" s="1" t="s">
        <v>5060</v>
      </c>
      <c r="Q5694" s="3">
        <v>0</v>
      </c>
      <c r="R5694" s="22" t="s">
        <v>3699</v>
      </c>
      <c r="S5694" s="42" t="s">
        <v>6912</v>
      </c>
      <c r="T5694" s="3" t="s">
        <v>4868</v>
      </c>
      <c r="U5694" s="45">
        <v>35</v>
      </c>
      <c r="V5694" t="s">
        <v>8191</v>
      </c>
      <c r="W5694" s="1" t="str">
        <f>HYPERLINK("http://ictvonline.org/taxonomy/p/taxonomy-history?taxnode_id=201905762","ICTVonline=201905762")</f>
        <v>ICTVonline=201905762</v>
      </c>
    </row>
    <row r="5695" spans="1:23">
      <c r="A5695" s="3">
        <v>5694</v>
      </c>
      <c r="B5695" s="1" t="s">
        <v>5910</v>
      </c>
      <c r="D5695" s="1" t="s">
        <v>8672</v>
      </c>
      <c r="F5695" s="1" t="s">
        <v>8673</v>
      </c>
      <c r="H5695" s="1" t="s">
        <v>8674</v>
      </c>
      <c r="J5695" s="1" t="s">
        <v>5053</v>
      </c>
      <c r="L5695" s="1" t="s">
        <v>2000</v>
      </c>
      <c r="N5695" s="1" t="s">
        <v>2001</v>
      </c>
      <c r="P5695" s="1" t="s">
        <v>6792</v>
      </c>
      <c r="Q5695" s="3">
        <v>0</v>
      </c>
      <c r="R5695" s="22" t="s">
        <v>3699</v>
      </c>
      <c r="S5695" s="42" t="s">
        <v>6912</v>
      </c>
      <c r="T5695" s="3" t="s">
        <v>4868</v>
      </c>
      <c r="U5695" s="45">
        <v>35</v>
      </c>
      <c r="V5695" t="s">
        <v>8191</v>
      </c>
      <c r="W5695" s="1" t="str">
        <f>HYPERLINK("http://ictvonline.org/taxonomy/p/taxonomy-history?taxnode_id=201906648","ICTVonline=201906648")</f>
        <v>ICTVonline=201906648</v>
      </c>
    </row>
    <row r="5696" spans="1:23">
      <c r="A5696" s="3">
        <v>5695</v>
      </c>
      <c r="B5696" s="1" t="s">
        <v>5910</v>
      </c>
      <c r="D5696" s="1" t="s">
        <v>8672</v>
      </c>
      <c r="F5696" s="1" t="s">
        <v>8673</v>
      </c>
      <c r="H5696" s="1" t="s">
        <v>8674</v>
      </c>
      <c r="J5696" s="1" t="s">
        <v>5053</v>
      </c>
      <c r="L5696" s="1" t="s">
        <v>2000</v>
      </c>
      <c r="N5696" s="1" t="s">
        <v>2001</v>
      </c>
      <c r="P5696" s="1" t="s">
        <v>2007</v>
      </c>
      <c r="Q5696" s="3">
        <v>0</v>
      </c>
      <c r="R5696" s="22" t="s">
        <v>3699</v>
      </c>
      <c r="S5696" s="42" t="s">
        <v>6912</v>
      </c>
      <c r="T5696" s="3" t="s">
        <v>4868</v>
      </c>
      <c r="U5696" s="45">
        <v>35</v>
      </c>
      <c r="V5696" t="s">
        <v>8191</v>
      </c>
      <c r="W5696" s="1" t="str">
        <f>HYPERLINK("http://ictvonline.org/taxonomy/p/taxonomy-history?taxnode_id=201902833","ICTVonline=201902833")</f>
        <v>ICTVonline=201902833</v>
      </c>
    </row>
    <row r="5697" spans="1:23">
      <c r="A5697" s="3">
        <v>5696</v>
      </c>
      <c r="B5697" s="1" t="s">
        <v>5910</v>
      </c>
      <c r="D5697" s="1" t="s">
        <v>8672</v>
      </c>
      <c r="F5697" s="1" t="s">
        <v>8673</v>
      </c>
      <c r="H5697" s="1" t="s">
        <v>8674</v>
      </c>
      <c r="J5697" s="1" t="s">
        <v>5053</v>
      </c>
      <c r="L5697" s="1" t="s">
        <v>2000</v>
      </c>
      <c r="N5697" s="1" t="s">
        <v>2001</v>
      </c>
      <c r="P5697" s="1" t="s">
        <v>77</v>
      </c>
      <c r="Q5697" s="3">
        <v>0</v>
      </c>
      <c r="R5697" s="22" t="s">
        <v>3699</v>
      </c>
      <c r="S5697" s="42" t="s">
        <v>6912</v>
      </c>
      <c r="T5697" s="3" t="s">
        <v>4868</v>
      </c>
      <c r="U5697" s="45">
        <v>35</v>
      </c>
      <c r="V5697" t="s">
        <v>8191</v>
      </c>
      <c r="W5697" s="1" t="str">
        <f>HYPERLINK("http://ictvonline.org/taxonomy/p/taxonomy-history?taxnode_id=201902834","ICTVonline=201902834")</f>
        <v>ICTVonline=201902834</v>
      </c>
    </row>
    <row r="5698" spans="1:23">
      <c r="A5698" s="3">
        <v>5697</v>
      </c>
      <c r="B5698" s="1" t="s">
        <v>5910</v>
      </c>
      <c r="D5698" s="1" t="s">
        <v>8672</v>
      </c>
      <c r="F5698" s="1" t="s">
        <v>8673</v>
      </c>
      <c r="H5698" s="1" t="s">
        <v>8674</v>
      </c>
      <c r="J5698" s="1" t="s">
        <v>5053</v>
      </c>
      <c r="L5698" s="1" t="s">
        <v>2000</v>
      </c>
      <c r="N5698" s="1" t="s">
        <v>2001</v>
      </c>
      <c r="P5698" s="1" t="s">
        <v>8685</v>
      </c>
      <c r="Q5698" s="3">
        <v>0</v>
      </c>
      <c r="R5698" s="22" t="s">
        <v>3699</v>
      </c>
      <c r="S5698" s="42" t="s">
        <v>6914</v>
      </c>
      <c r="T5698" s="3" t="s">
        <v>4866</v>
      </c>
      <c r="U5698" s="45">
        <v>35</v>
      </c>
      <c r="V5698" t="s">
        <v>8686</v>
      </c>
      <c r="W5698" s="1" t="str">
        <f>HYPERLINK("http://ictvonline.org/taxonomy/p/taxonomy-history?taxnode_id=201907426","ICTVonline=201907426")</f>
        <v>ICTVonline=201907426</v>
      </c>
    </row>
    <row r="5699" spans="1:23">
      <c r="A5699" s="3">
        <v>5698</v>
      </c>
      <c r="B5699" s="1" t="s">
        <v>5910</v>
      </c>
      <c r="D5699" s="1" t="s">
        <v>8672</v>
      </c>
      <c r="F5699" s="1" t="s">
        <v>8673</v>
      </c>
      <c r="H5699" s="1" t="s">
        <v>8674</v>
      </c>
      <c r="J5699" s="1" t="s">
        <v>5053</v>
      </c>
      <c r="L5699" s="1" t="s">
        <v>2000</v>
      </c>
      <c r="N5699" s="1" t="s">
        <v>2001</v>
      </c>
      <c r="P5699" s="1" t="s">
        <v>1926</v>
      </c>
      <c r="Q5699" s="3">
        <v>1</v>
      </c>
      <c r="R5699" s="22" t="s">
        <v>3699</v>
      </c>
      <c r="S5699" s="42" t="s">
        <v>6912</v>
      </c>
      <c r="T5699" s="3" t="s">
        <v>4868</v>
      </c>
      <c r="U5699" s="45">
        <v>35</v>
      </c>
      <c r="V5699" t="s">
        <v>8191</v>
      </c>
      <c r="W5699" s="1" t="str">
        <f>HYPERLINK("http://ictvonline.org/taxonomy/p/taxonomy-history?taxnode_id=201902835","ICTVonline=201902835")</f>
        <v>ICTVonline=201902835</v>
      </c>
    </row>
    <row r="5700" spans="1:23">
      <c r="A5700" s="3">
        <v>5699</v>
      </c>
      <c r="B5700" s="1" t="s">
        <v>5910</v>
      </c>
      <c r="D5700" s="1" t="s">
        <v>8672</v>
      </c>
      <c r="F5700" s="1" t="s">
        <v>8673</v>
      </c>
      <c r="H5700" s="1" t="s">
        <v>8674</v>
      </c>
      <c r="J5700" s="1" t="s">
        <v>5053</v>
      </c>
      <c r="L5700" s="1" t="s">
        <v>2000</v>
      </c>
      <c r="N5700" s="1" t="s">
        <v>2001</v>
      </c>
      <c r="P5700" s="1" t="s">
        <v>78</v>
      </c>
      <c r="Q5700" s="3">
        <v>0</v>
      </c>
      <c r="R5700" s="22" t="s">
        <v>3699</v>
      </c>
      <c r="S5700" s="42" t="s">
        <v>6912</v>
      </c>
      <c r="T5700" s="3" t="s">
        <v>4868</v>
      </c>
      <c r="U5700" s="45">
        <v>35</v>
      </c>
      <c r="V5700" t="s">
        <v>8191</v>
      </c>
      <c r="W5700" s="1" t="str">
        <f>HYPERLINK("http://ictvonline.org/taxonomy/p/taxonomy-history?taxnode_id=201902836","ICTVonline=201902836")</f>
        <v>ICTVonline=201902836</v>
      </c>
    </row>
    <row r="5701" spans="1:23">
      <c r="A5701" s="3">
        <v>5700</v>
      </c>
      <c r="B5701" s="1" t="s">
        <v>5910</v>
      </c>
      <c r="D5701" s="1" t="s">
        <v>8672</v>
      </c>
      <c r="F5701" s="1" t="s">
        <v>8673</v>
      </c>
      <c r="H5701" s="1" t="s">
        <v>8674</v>
      </c>
      <c r="J5701" s="1" t="s">
        <v>5053</v>
      </c>
      <c r="L5701" s="1" t="s">
        <v>2000</v>
      </c>
      <c r="N5701" s="1" t="s">
        <v>2001</v>
      </c>
      <c r="P5701" s="1" t="s">
        <v>6793</v>
      </c>
      <c r="Q5701" s="3">
        <v>0</v>
      </c>
      <c r="R5701" s="22" t="s">
        <v>3699</v>
      </c>
      <c r="S5701" s="42" t="s">
        <v>6912</v>
      </c>
      <c r="T5701" s="3" t="s">
        <v>4868</v>
      </c>
      <c r="U5701" s="45">
        <v>35</v>
      </c>
      <c r="V5701" t="s">
        <v>8191</v>
      </c>
      <c r="W5701" s="1" t="str">
        <f>HYPERLINK("http://ictvonline.org/taxonomy/p/taxonomy-history?taxnode_id=201906650","ICTVonline=201906650")</f>
        <v>ICTVonline=201906650</v>
      </c>
    </row>
    <row r="5702" spans="1:23">
      <c r="A5702" s="3">
        <v>5701</v>
      </c>
      <c r="B5702" s="1" t="s">
        <v>5910</v>
      </c>
      <c r="D5702" s="1" t="s">
        <v>8672</v>
      </c>
      <c r="F5702" s="1" t="s">
        <v>8673</v>
      </c>
      <c r="H5702" s="1" t="s">
        <v>8674</v>
      </c>
      <c r="J5702" s="1" t="s">
        <v>5053</v>
      </c>
      <c r="L5702" s="1" t="s">
        <v>2000</v>
      </c>
      <c r="N5702" s="1" t="s">
        <v>2001</v>
      </c>
      <c r="P5702" s="1" t="s">
        <v>6794</v>
      </c>
      <c r="Q5702" s="3">
        <v>0</v>
      </c>
      <c r="R5702" s="22" t="s">
        <v>3699</v>
      </c>
      <c r="S5702" s="42" t="s">
        <v>6912</v>
      </c>
      <c r="T5702" s="3" t="s">
        <v>4868</v>
      </c>
      <c r="U5702" s="45">
        <v>35</v>
      </c>
      <c r="V5702" t="s">
        <v>8191</v>
      </c>
      <c r="W5702" s="1" t="str">
        <f>HYPERLINK("http://ictvonline.org/taxonomy/p/taxonomy-history?taxnode_id=201906649","ICTVonline=201906649")</f>
        <v>ICTVonline=201906649</v>
      </c>
    </row>
    <row r="5703" spans="1:23">
      <c r="A5703" s="3">
        <v>5702</v>
      </c>
      <c r="B5703" s="1" t="s">
        <v>5910</v>
      </c>
      <c r="D5703" s="1" t="s">
        <v>8672</v>
      </c>
      <c r="F5703" s="1" t="s">
        <v>8673</v>
      </c>
      <c r="H5703" s="1" t="s">
        <v>8674</v>
      </c>
      <c r="J5703" s="1" t="s">
        <v>5053</v>
      </c>
      <c r="L5703" s="1" t="s">
        <v>2000</v>
      </c>
      <c r="N5703" s="1" t="s">
        <v>2001</v>
      </c>
      <c r="P5703" s="1" t="s">
        <v>5061</v>
      </c>
      <c r="Q5703" s="3">
        <v>0</v>
      </c>
      <c r="R5703" s="22" t="s">
        <v>3699</v>
      </c>
      <c r="S5703" s="42" t="s">
        <v>6912</v>
      </c>
      <c r="T5703" s="3" t="s">
        <v>4868</v>
      </c>
      <c r="U5703" s="45">
        <v>35</v>
      </c>
      <c r="V5703" t="s">
        <v>8191</v>
      </c>
      <c r="W5703" s="1" t="str">
        <f>HYPERLINK("http://ictvonline.org/taxonomy/p/taxonomy-history?taxnode_id=201905763","ICTVonline=201905763")</f>
        <v>ICTVonline=201905763</v>
      </c>
    </row>
    <row r="5704" spans="1:23">
      <c r="A5704" s="3">
        <v>5703</v>
      </c>
      <c r="B5704" s="1" t="s">
        <v>5910</v>
      </c>
      <c r="D5704" s="1" t="s">
        <v>8672</v>
      </c>
      <c r="F5704" s="1" t="s">
        <v>8673</v>
      </c>
      <c r="H5704" s="1" t="s">
        <v>8674</v>
      </c>
      <c r="J5704" s="1" t="s">
        <v>5053</v>
      </c>
      <c r="L5704" s="1" t="s">
        <v>2000</v>
      </c>
      <c r="N5704" s="1" t="s">
        <v>2001</v>
      </c>
      <c r="P5704" s="1" t="s">
        <v>5062</v>
      </c>
      <c r="Q5704" s="3">
        <v>0</v>
      </c>
      <c r="R5704" s="22" t="s">
        <v>3699</v>
      </c>
      <c r="S5704" s="42" t="s">
        <v>6912</v>
      </c>
      <c r="T5704" s="3" t="s">
        <v>4868</v>
      </c>
      <c r="U5704" s="45">
        <v>35</v>
      </c>
      <c r="V5704" t="s">
        <v>8191</v>
      </c>
      <c r="W5704" s="1" t="str">
        <f>HYPERLINK("http://ictvonline.org/taxonomy/p/taxonomy-history?taxnode_id=201905764","ICTVonline=201905764")</f>
        <v>ICTVonline=201905764</v>
      </c>
    </row>
    <row r="5705" spans="1:23">
      <c r="A5705" s="3">
        <v>5704</v>
      </c>
      <c r="B5705" s="1" t="s">
        <v>5910</v>
      </c>
      <c r="D5705" s="1" t="s">
        <v>8672</v>
      </c>
      <c r="F5705" s="1" t="s">
        <v>8673</v>
      </c>
      <c r="H5705" s="1" t="s">
        <v>8674</v>
      </c>
      <c r="J5705" s="1" t="s">
        <v>5053</v>
      </c>
      <c r="L5705" s="1" t="s">
        <v>2000</v>
      </c>
      <c r="N5705" s="1" t="s">
        <v>2001</v>
      </c>
      <c r="P5705" s="1" t="s">
        <v>79</v>
      </c>
      <c r="Q5705" s="3">
        <v>0</v>
      </c>
      <c r="R5705" s="22" t="s">
        <v>3699</v>
      </c>
      <c r="S5705" s="42" t="s">
        <v>6912</v>
      </c>
      <c r="T5705" s="3" t="s">
        <v>4868</v>
      </c>
      <c r="U5705" s="45">
        <v>35</v>
      </c>
      <c r="V5705" t="s">
        <v>8191</v>
      </c>
      <c r="W5705" s="1" t="str">
        <f>HYPERLINK("http://ictvonline.org/taxonomy/p/taxonomy-history?taxnode_id=201902837","ICTVonline=201902837")</f>
        <v>ICTVonline=201902837</v>
      </c>
    </row>
    <row r="5706" spans="1:23">
      <c r="A5706" s="3">
        <v>5705</v>
      </c>
      <c r="B5706" s="1" t="s">
        <v>5910</v>
      </c>
      <c r="D5706" s="1" t="s">
        <v>8672</v>
      </c>
      <c r="F5706" s="1" t="s">
        <v>8673</v>
      </c>
      <c r="H5706" s="1" t="s">
        <v>8674</v>
      </c>
      <c r="J5706" s="1" t="s">
        <v>5053</v>
      </c>
      <c r="L5706" s="1" t="s">
        <v>2000</v>
      </c>
      <c r="N5706" s="1" t="s">
        <v>2001</v>
      </c>
      <c r="P5706" s="1" t="s">
        <v>5063</v>
      </c>
      <c r="Q5706" s="3">
        <v>0</v>
      </c>
      <c r="R5706" s="22" t="s">
        <v>3699</v>
      </c>
      <c r="S5706" s="42" t="s">
        <v>6912</v>
      </c>
      <c r="T5706" s="3" t="s">
        <v>4868</v>
      </c>
      <c r="U5706" s="45">
        <v>35</v>
      </c>
      <c r="V5706" t="s">
        <v>8191</v>
      </c>
      <c r="W5706" s="1" t="str">
        <f>HYPERLINK("http://ictvonline.org/taxonomy/p/taxonomy-history?taxnode_id=201905765","ICTVonline=201905765")</f>
        <v>ICTVonline=201905765</v>
      </c>
    </row>
    <row r="5707" spans="1:23">
      <c r="A5707" s="3">
        <v>5706</v>
      </c>
      <c r="B5707" s="1" t="s">
        <v>5910</v>
      </c>
      <c r="D5707" s="1" t="s">
        <v>8672</v>
      </c>
      <c r="F5707" s="1" t="s">
        <v>8673</v>
      </c>
      <c r="H5707" s="1" t="s">
        <v>8674</v>
      </c>
      <c r="J5707" s="1" t="s">
        <v>5053</v>
      </c>
      <c r="L5707" s="1" t="s">
        <v>2000</v>
      </c>
      <c r="N5707" s="1" t="s">
        <v>2001</v>
      </c>
      <c r="P5707" s="1" t="s">
        <v>2651</v>
      </c>
      <c r="Q5707" s="3">
        <v>0</v>
      </c>
      <c r="R5707" s="22" t="s">
        <v>3699</v>
      </c>
      <c r="S5707" s="42" t="s">
        <v>6912</v>
      </c>
      <c r="T5707" s="3" t="s">
        <v>4868</v>
      </c>
      <c r="U5707" s="45">
        <v>35</v>
      </c>
      <c r="V5707" t="s">
        <v>8191</v>
      </c>
      <c r="W5707" s="1" t="str">
        <f>HYPERLINK("http://ictvonline.org/taxonomy/p/taxonomy-history?taxnode_id=201902838","ICTVonline=201902838")</f>
        <v>ICTVonline=201902838</v>
      </c>
    </row>
    <row r="5708" spans="1:23">
      <c r="A5708" s="3">
        <v>5707</v>
      </c>
      <c r="B5708" s="1" t="s">
        <v>5910</v>
      </c>
      <c r="D5708" s="1" t="s">
        <v>8672</v>
      </c>
      <c r="F5708" s="1" t="s">
        <v>8673</v>
      </c>
      <c r="H5708" s="1" t="s">
        <v>8674</v>
      </c>
      <c r="J5708" s="1" t="s">
        <v>5053</v>
      </c>
      <c r="L5708" s="1" t="s">
        <v>2000</v>
      </c>
      <c r="N5708" s="1" t="s">
        <v>2001</v>
      </c>
      <c r="P5708" s="1" t="s">
        <v>1152</v>
      </c>
      <c r="Q5708" s="3">
        <v>0</v>
      </c>
      <c r="R5708" s="22" t="s">
        <v>3699</v>
      </c>
      <c r="S5708" s="42" t="s">
        <v>6912</v>
      </c>
      <c r="T5708" s="3" t="s">
        <v>4868</v>
      </c>
      <c r="U5708" s="45">
        <v>35</v>
      </c>
      <c r="V5708" t="s">
        <v>8191</v>
      </c>
      <c r="W5708" s="1" t="str">
        <f>HYPERLINK("http://ictvonline.org/taxonomy/p/taxonomy-history?taxnode_id=201902839","ICTVonline=201902839")</f>
        <v>ICTVonline=201902839</v>
      </c>
    </row>
    <row r="5709" spans="1:23">
      <c r="A5709" s="3">
        <v>5708</v>
      </c>
      <c r="B5709" s="1" t="s">
        <v>5910</v>
      </c>
      <c r="D5709" s="1" t="s">
        <v>8672</v>
      </c>
      <c r="F5709" s="1" t="s">
        <v>8673</v>
      </c>
      <c r="H5709" s="1" t="s">
        <v>8674</v>
      </c>
      <c r="J5709" s="1" t="s">
        <v>5053</v>
      </c>
      <c r="L5709" s="1" t="s">
        <v>2000</v>
      </c>
      <c r="N5709" s="1" t="s">
        <v>2001</v>
      </c>
      <c r="P5709" s="1" t="s">
        <v>8687</v>
      </c>
      <c r="Q5709" s="3">
        <v>0</v>
      </c>
      <c r="R5709" s="22" t="s">
        <v>3699</v>
      </c>
      <c r="S5709" s="42" t="s">
        <v>6914</v>
      </c>
      <c r="T5709" s="3" t="s">
        <v>4866</v>
      </c>
      <c r="U5709" s="45">
        <v>35</v>
      </c>
      <c r="V5709" t="s">
        <v>8686</v>
      </c>
      <c r="W5709" s="1" t="str">
        <f>HYPERLINK("http://ictvonline.org/taxonomy/p/taxonomy-history?taxnode_id=201907427","ICTVonline=201907427")</f>
        <v>ICTVonline=201907427</v>
      </c>
    </row>
    <row r="5710" spans="1:23">
      <c r="A5710" s="3">
        <v>5709</v>
      </c>
      <c r="B5710" s="1" t="s">
        <v>5910</v>
      </c>
      <c r="D5710" s="1" t="s">
        <v>8672</v>
      </c>
      <c r="F5710" s="1" t="s">
        <v>8673</v>
      </c>
      <c r="H5710" s="1" t="s">
        <v>8674</v>
      </c>
      <c r="J5710" s="1" t="s">
        <v>5053</v>
      </c>
      <c r="L5710" s="1" t="s">
        <v>2000</v>
      </c>
      <c r="N5710" s="1" t="s">
        <v>2001</v>
      </c>
      <c r="P5710" s="1" t="s">
        <v>3702</v>
      </c>
      <c r="Q5710" s="3">
        <v>0</v>
      </c>
      <c r="R5710" s="22" t="s">
        <v>3699</v>
      </c>
      <c r="S5710" s="42" t="s">
        <v>6912</v>
      </c>
      <c r="T5710" s="3" t="s">
        <v>4868</v>
      </c>
      <c r="U5710" s="45">
        <v>35</v>
      </c>
      <c r="V5710" t="s">
        <v>8191</v>
      </c>
      <c r="W5710" s="1" t="str">
        <f>HYPERLINK("http://ictvonline.org/taxonomy/p/taxonomy-history?taxnode_id=201902840","ICTVonline=201902840")</f>
        <v>ICTVonline=201902840</v>
      </c>
    </row>
    <row r="5711" spans="1:23">
      <c r="A5711" s="3">
        <v>5710</v>
      </c>
      <c r="B5711" s="1" t="s">
        <v>5910</v>
      </c>
      <c r="D5711" s="1" t="s">
        <v>8672</v>
      </c>
      <c r="F5711" s="1" t="s">
        <v>8673</v>
      </c>
      <c r="H5711" s="1" t="s">
        <v>8674</v>
      </c>
      <c r="J5711" s="1" t="s">
        <v>5053</v>
      </c>
      <c r="L5711" s="1" t="s">
        <v>2000</v>
      </c>
      <c r="N5711" s="1" t="s">
        <v>2001</v>
      </c>
      <c r="P5711" s="1" t="s">
        <v>80</v>
      </c>
      <c r="Q5711" s="3">
        <v>0</v>
      </c>
      <c r="R5711" s="22" t="s">
        <v>3699</v>
      </c>
      <c r="S5711" s="42" t="s">
        <v>6912</v>
      </c>
      <c r="T5711" s="3" t="s">
        <v>4868</v>
      </c>
      <c r="U5711" s="45">
        <v>35</v>
      </c>
      <c r="V5711" t="s">
        <v>8191</v>
      </c>
      <c r="W5711" s="1" t="str">
        <f>HYPERLINK("http://ictvonline.org/taxonomy/p/taxonomy-history?taxnode_id=201902841","ICTVonline=201902841")</f>
        <v>ICTVonline=201902841</v>
      </c>
    </row>
    <row r="5712" spans="1:23">
      <c r="A5712" s="3">
        <v>5711</v>
      </c>
      <c r="B5712" s="1" t="s">
        <v>5910</v>
      </c>
      <c r="D5712" s="1" t="s">
        <v>8672</v>
      </c>
      <c r="F5712" s="1" t="s">
        <v>8673</v>
      </c>
      <c r="H5712" s="1" t="s">
        <v>8674</v>
      </c>
      <c r="J5712" s="1" t="s">
        <v>5053</v>
      </c>
      <c r="L5712" s="1" t="s">
        <v>2000</v>
      </c>
      <c r="N5712" s="1" t="s">
        <v>2001</v>
      </c>
      <c r="P5712" s="1" t="s">
        <v>6795</v>
      </c>
      <c r="Q5712" s="3">
        <v>0</v>
      </c>
      <c r="R5712" s="22" t="s">
        <v>3699</v>
      </c>
      <c r="S5712" s="42" t="s">
        <v>6912</v>
      </c>
      <c r="T5712" s="3" t="s">
        <v>4868</v>
      </c>
      <c r="U5712" s="45">
        <v>35</v>
      </c>
      <c r="V5712" t="s">
        <v>8191</v>
      </c>
      <c r="W5712" s="1" t="str">
        <f>HYPERLINK("http://ictvonline.org/taxonomy/p/taxonomy-history?taxnode_id=201906651","ICTVonline=201906651")</f>
        <v>ICTVonline=201906651</v>
      </c>
    </row>
    <row r="5713" spans="1:23">
      <c r="A5713" s="3">
        <v>5712</v>
      </c>
      <c r="B5713" s="1" t="s">
        <v>5910</v>
      </c>
      <c r="D5713" s="1" t="s">
        <v>8672</v>
      </c>
      <c r="F5713" s="1" t="s">
        <v>8673</v>
      </c>
      <c r="H5713" s="1" t="s">
        <v>8674</v>
      </c>
      <c r="J5713" s="1" t="s">
        <v>5053</v>
      </c>
      <c r="L5713" s="1" t="s">
        <v>2000</v>
      </c>
      <c r="N5713" s="1" t="s">
        <v>2001</v>
      </c>
      <c r="P5713" s="1" t="s">
        <v>5064</v>
      </c>
      <c r="Q5713" s="3">
        <v>0</v>
      </c>
      <c r="R5713" s="22" t="s">
        <v>3699</v>
      </c>
      <c r="S5713" s="42" t="s">
        <v>6912</v>
      </c>
      <c r="T5713" s="3" t="s">
        <v>4868</v>
      </c>
      <c r="U5713" s="45">
        <v>35</v>
      </c>
      <c r="V5713" t="s">
        <v>8191</v>
      </c>
      <c r="W5713" s="1" t="str">
        <f>HYPERLINK("http://ictvonline.org/taxonomy/p/taxonomy-history?taxnode_id=201902842","ICTVonline=201902842")</f>
        <v>ICTVonline=201902842</v>
      </c>
    </row>
    <row r="5714" spans="1:23">
      <c r="A5714" s="3">
        <v>5713</v>
      </c>
      <c r="B5714" s="1" t="s">
        <v>5910</v>
      </c>
      <c r="D5714" s="1" t="s">
        <v>8672</v>
      </c>
      <c r="F5714" s="1" t="s">
        <v>8673</v>
      </c>
      <c r="H5714" s="1" t="s">
        <v>8674</v>
      </c>
      <c r="J5714" s="1" t="s">
        <v>5053</v>
      </c>
      <c r="L5714" s="1" t="s">
        <v>2000</v>
      </c>
      <c r="N5714" s="1" t="s">
        <v>2001</v>
      </c>
      <c r="P5714" s="1" t="s">
        <v>4585</v>
      </c>
      <c r="Q5714" s="3">
        <v>0</v>
      </c>
      <c r="R5714" s="22" t="s">
        <v>3699</v>
      </c>
      <c r="S5714" s="42" t="s">
        <v>6912</v>
      </c>
      <c r="T5714" s="3" t="s">
        <v>4868</v>
      </c>
      <c r="U5714" s="45">
        <v>35</v>
      </c>
      <c r="V5714" t="s">
        <v>8191</v>
      </c>
      <c r="W5714" s="1" t="str">
        <f>HYPERLINK("http://ictvonline.org/taxonomy/p/taxonomy-history?taxnode_id=201902843","ICTVonline=201902843")</f>
        <v>ICTVonline=201902843</v>
      </c>
    </row>
    <row r="5715" spans="1:23">
      <c r="A5715" s="3">
        <v>5714</v>
      </c>
      <c r="B5715" s="1" t="s">
        <v>5910</v>
      </c>
      <c r="D5715" s="1" t="s">
        <v>8672</v>
      </c>
      <c r="F5715" s="1" t="s">
        <v>8673</v>
      </c>
      <c r="H5715" s="1" t="s">
        <v>8674</v>
      </c>
      <c r="J5715" s="1" t="s">
        <v>5053</v>
      </c>
      <c r="L5715" s="1" t="s">
        <v>2000</v>
      </c>
      <c r="N5715" s="1" t="s">
        <v>2001</v>
      </c>
      <c r="P5715" s="1" t="s">
        <v>2652</v>
      </c>
      <c r="Q5715" s="3">
        <v>0</v>
      </c>
      <c r="R5715" s="22" t="s">
        <v>3699</v>
      </c>
      <c r="S5715" s="42" t="s">
        <v>6912</v>
      </c>
      <c r="T5715" s="3" t="s">
        <v>4868</v>
      </c>
      <c r="U5715" s="45">
        <v>35</v>
      </c>
      <c r="V5715" t="s">
        <v>8191</v>
      </c>
      <c r="W5715" s="1" t="str">
        <f>HYPERLINK("http://ictvonline.org/taxonomy/p/taxonomy-history?taxnode_id=201902844","ICTVonline=201902844")</f>
        <v>ICTVonline=201902844</v>
      </c>
    </row>
    <row r="5716" spans="1:23">
      <c r="A5716" s="3">
        <v>5715</v>
      </c>
      <c r="B5716" s="1" t="s">
        <v>5910</v>
      </c>
      <c r="D5716" s="1" t="s">
        <v>8672</v>
      </c>
      <c r="F5716" s="1" t="s">
        <v>8673</v>
      </c>
      <c r="H5716" s="1" t="s">
        <v>8674</v>
      </c>
      <c r="J5716" s="1" t="s">
        <v>5053</v>
      </c>
      <c r="L5716" s="1" t="s">
        <v>2000</v>
      </c>
      <c r="N5716" s="1" t="s">
        <v>2001</v>
      </c>
      <c r="P5716" s="1" t="s">
        <v>81</v>
      </c>
      <c r="Q5716" s="3">
        <v>0</v>
      </c>
      <c r="R5716" s="22" t="s">
        <v>3699</v>
      </c>
      <c r="S5716" s="42" t="s">
        <v>6912</v>
      </c>
      <c r="T5716" s="3" t="s">
        <v>4868</v>
      </c>
      <c r="U5716" s="45">
        <v>35</v>
      </c>
      <c r="V5716" t="s">
        <v>8191</v>
      </c>
      <c r="W5716" s="1" t="str">
        <f>HYPERLINK("http://ictvonline.org/taxonomy/p/taxonomy-history?taxnode_id=201902845","ICTVonline=201902845")</f>
        <v>ICTVonline=201902845</v>
      </c>
    </row>
    <row r="5717" spans="1:23">
      <c r="A5717" s="3">
        <v>5716</v>
      </c>
      <c r="B5717" s="1" t="s">
        <v>5910</v>
      </c>
      <c r="D5717" s="1" t="s">
        <v>8672</v>
      </c>
      <c r="F5717" s="1" t="s">
        <v>8673</v>
      </c>
      <c r="H5717" s="1" t="s">
        <v>8674</v>
      </c>
      <c r="J5717" s="1" t="s">
        <v>5053</v>
      </c>
      <c r="L5717" s="1" t="s">
        <v>2000</v>
      </c>
      <c r="N5717" s="1" t="s">
        <v>2001</v>
      </c>
      <c r="P5717" s="1" t="s">
        <v>82</v>
      </c>
      <c r="Q5717" s="3">
        <v>0</v>
      </c>
      <c r="R5717" s="22" t="s">
        <v>3699</v>
      </c>
      <c r="S5717" s="42" t="s">
        <v>6912</v>
      </c>
      <c r="T5717" s="3" t="s">
        <v>4868</v>
      </c>
      <c r="U5717" s="45">
        <v>35</v>
      </c>
      <c r="V5717" t="s">
        <v>8191</v>
      </c>
      <c r="W5717" s="1" t="str">
        <f>HYPERLINK("http://ictvonline.org/taxonomy/p/taxonomy-history?taxnode_id=201902846","ICTVonline=201902846")</f>
        <v>ICTVonline=201902846</v>
      </c>
    </row>
    <row r="5718" spans="1:23">
      <c r="A5718" s="3">
        <v>5717</v>
      </c>
      <c r="B5718" s="1" t="s">
        <v>5910</v>
      </c>
      <c r="D5718" s="1" t="s">
        <v>8672</v>
      </c>
      <c r="F5718" s="1" t="s">
        <v>8673</v>
      </c>
      <c r="H5718" s="1" t="s">
        <v>8674</v>
      </c>
      <c r="J5718" s="1" t="s">
        <v>5053</v>
      </c>
      <c r="L5718" s="1" t="s">
        <v>2000</v>
      </c>
      <c r="N5718" s="1" t="s">
        <v>2001</v>
      </c>
      <c r="P5718" s="1" t="s">
        <v>2012</v>
      </c>
      <c r="Q5718" s="3">
        <v>0</v>
      </c>
      <c r="R5718" s="22" t="s">
        <v>3699</v>
      </c>
      <c r="S5718" s="42" t="s">
        <v>6912</v>
      </c>
      <c r="T5718" s="3" t="s">
        <v>4868</v>
      </c>
      <c r="U5718" s="45">
        <v>35</v>
      </c>
      <c r="V5718" t="s">
        <v>8191</v>
      </c>
      <c r="W5718" s="1" t="str">
        <f>HYPERLINK("http://ictvonline.org/taxonomy/p/taxonomy-history?taxnode_id=201902847","ICTVonline=201902847")</f>
        <v>ICTVonline=201902847</v>
      </c>
    </row>
    <row r="5719" spans="1:23">
      <c r="A5719" s="3">
        <v>5718</v>
      </c>
      <c r="B5719" s="1" t="s">
        <v>5910</v>
      </c>
      <c r="D5719" s="1" t="s">
        <v>8672</v>
      </c>
      <c r="F5719" s="1" t="s">
        <v>8673</v>
      </c>
      <c r="H5719" s="1" t="s">
        <v>8674</v>
      </c>
      <c r="J5719" s="1" t="s">
        <v>5053</v>
      </c>
      <c r="L5719" s="1" t="s">
        <v>2000</v>
      </c>
      <c r="N5719" s="1" t="s">
        <v>2001</v>
      </c>
      <c r="P5719" s="1" t="s">
        <v>2013</v>
      </c>
      <c r="Q5719" s="3">
        <v>0</v>
      </c>
      <c r="R5719" s="22" t="s">
        <v>3699</v>
      </c>
      <c r="S5719" s="42" t="s">
        <v>6912</v>
      </c>
      <c r="T5719" s="3" t="s">
        <v>4868</v>
      </c>
      <c r="U5719" s="45">
        <v>35</v>
      </c>
      <c r="V5719" t="s">
        <v>8191</v>
      </c>
      <c r="W5719" s="1" t="str">
        <f>HYPERLINK("http://ictvonline.org/taxonomy/p/taxonomy-history?taxnode_id=201902848","ICTVonline=201902848")</f>
        <v>ICTVonline=201902848</v>
      </c>
    </row>
    <row r="5720" spans="1:23">
      <c r="A5720" s="3">
        <v>5719</v>
      </c>
      <c r="B5720" s="1" t="s">
        <v>5910</v>
      </c>
      <c r="D5720" s="1" t="s">
        <v>8672</v>
      </c>
      <c r="F5720" s="1" t="s">
        <v>8673</v>
      </c>
      <c r="H5720" s="1" t="s">
        <v>8674</v>
      </c>
      <c r="J5720" s="1" t="s">
        <v>5053</v>
      </c>
      <c r="L5720" s="1" t="s">
        <v>2000</v>
      </c>
      <c r="N5720" s="1" t="s">
        <v>2001</v>
      </c>
      <c r="P5720" s="1" t="s">
        <v>2014</v>
      </c>
      <c r="Q5720" s="3">
        <v>0</v>
      </c>
      <c r="R5720" s="22" t="s">
        <v>3699</v>
      </c>
      <c r="S5720" s="42" t="s">
        <v>6912</v>
      </c>
      <c r="T5720" s="3" t="s">
        <v>4868</v>
      </c>
      <c r="U5720" s="45">
        <v>35</v>
      </c>
      <c r="V5720" t="s">
        <v>8191</v>
      </c>
      <c r="W5720" s="1" t="str">
        <f>HYPERLINK("http://ictvonline.org/taxonomy/p/taxonomy-history?taxnode_id=201902849","ICTVonline=201902849")</f>
        <v>ICTVonline=201902849</v>
      </c>
    </row>
    <row r="5721" spans="1:23">
      <c r="A5721" s="3">
        <v>5720</v>
      </c>
      <c r="B5721" s="1" t="s">
        <v>5910</v>
      </c>
      <c r="D5721" s="1" t="s">
        <v>8672</v>
      </c>
      <c r="F5721" s="1" t="s">
        <v>8673</v>
      </c>
      <c r="H5721" s="1" t="s">
        <v>8674</v>
      </c>
      <c r="J5721" s="1" t="s">
        <v>5053</v>
      </c>
      <c r="L5721" s="1" t="s">
        <v>2000</v>
      </c>
      <c r="N5721" s="1" t="s">
        <v>2001</v>
      </c>
      <c r="P5721" s="1" t="s">
        <v>2732</v>
      </c>
      <c r="Q5721" s="3">
        <v>0</v>
      </c>
      <c r="R5721" s="22" t="s">
        <v>3699</v>
      </c>
      <c r="S5721" s="42" t="s">
        <v>6912</v>
      </c>
      <c r="T5721" s="3" t="s">
        <v>4868</v>
      </c>
      <c r="U5721" s="45">
        <v>35</v>
      </c>
      <c r="V5721" t="s">
        <v>8191</v>
      </c>
      <c r="W5721" s="1" t="str">
        <f>HYPERLINK("http://ictvonline.org/taxonomy/p/taxonomy-history?taxnode_id=201902850","ICTVonline=201902850")</f>
        <v>ICTVonline=201902850</v>
      </c>
    </row>
    <row r="5722" spans="1:23">
      <c r="A5722" s="3">
        <v>5721</v>
      </c>
      <c r="B5722" s="1" t="s">
        <v>5910</v>
      </c>
      <c r="D5722" s="1" t="s">
        <v>8672</v>
      </c>
      <c r="F5722" s="1" t="s">
        <v>8673</v>
      </c>
      <c r="H5722" s="1" t="s">
        <v>8674</v>
      </c>
      <c r="J5722" s="1" t="s">
        <v>5053</v>
      </c>
      <c r="L5722" s="1" t="s">
        <v>2000</v>
      </c>
      <c r="N5722" s="1" t="s">
        <v>2001</v>
      </c>
      <c r="P5722" s="1" t="s">
        <v>3703</v>
      </c>
      <c r="Q5722" s="3">
        <v>0</v>
      </c>
      <c r="R5722" s="22" t="s">
        <v>3699</v>
      </c>
      <c r="S5722" s="42" t="s">
        <v>6912</v>
      </c>
      <c r="T5722" s="3" t="s">
        <v>4868</v>
      </c>
      <c r="U5722" s="45">
        <v>35</v>
      </c>
      <c r="V5722" t="s">
        <v>8191</v>
      </c>
      <c r="W5722" s="1" t="str">
        <f>HYPERLINK("http://ictvonline.org/taxonomy/p/taxonomy-history?taxnode_id=201902851","ICTVonline=201902851")</f>
        <v>ICTVonline=201902851</v>
      </c>
    </row>
    <row r="5723" spans="1:23">
      <c r="A5723" s="3">
        <v>5722</v>
      </c>
      <c r="B5723" s="1" t="s">
        <v>5910</v>
      </c>
      <c r="D5723" s="1" t="s">
        <v>8672</v>
      </c>
      <c r="F5723" s="1" t="s">
        <v>8673</v>
      </c>
      <c r="H5723" s="1" t="s">
        <v>8674</v>
      </c>
      <c r="J5723" s="1" t="s">
        <v>5053</v>
      </c>
      <c r="L5723" s="1" t="s">
        <v>2000</v>
      </c>
      <c r="N5723" s="1" t="s">
        <v>2001</v>
      </c>
      <c r="P5723" s="1" t="s">
        <v>3704</v>
      </c>
      <c r="Q5723" s="3">
        <v>0</v>
      </c>
      <c r="R5723" s="22" t="s">
        <v>3699</v>
      </c>
      <c r="S5723" s="42" t="s">
        <v>6912</v>
      </c>
      <c r="T5723" s="3" t="s">
        <v>4868</v>
      </c>
      <c r="U5723" s="45">
        <v>35</v>
      </c>
      <c r="V5723" t="s">
        <v>8191</v>
      </c>
      <c r="W5723" s="1" t="str">
        <f>HYPERLINK("http://ictvonline.org/taxonomy/p/taxonomy-history?taxnode_id=201902852","ICTVonline=201902852")</f>
        <v>ICTVonline=201902852</v>
      </c>
    </row>
    <row r="5724" spans="1:23">
      <c r="A5724" s="3">
        <v>5723</v>
      </c>
      <c r="B5724" s="1" t="s">
        <v>5910</v>
      </c>
      <c r="D5724" s="1" t="s">
        <v>8672</v>
      </c>
      <c r="F5724" s="1" t="s">
        <v>8673</v>
      </c>
      <c r="H5724" s="1" t="s">
        <v>8674</v>
      </c>
      <c r="J5724" s="1" t="s">
        <v>5053</v>
      </c>
      <c r="L5724" s="1" t="s">
        <v>2000</v>
      </c>
      <c r="N5724" s="1" t="s">
        <v>2001</v>
      </c>
      <c r="P5724" s="1" t="s">
        <v>2009</v>
      </c>
      <c r="Q5724" s="3">
        <v>0</v>
      </c>
      <c r="R5724" s="22" t="s">
        <v>3699</v>
      </c>
      <c r="S5724" s="42" t="s">
        <v>6912</v>
      </c>
      <c r="T5724" s="3" t="s">
        <v>4868</v>
      </c>
      <c r="U5724" s="45">
        <v>35</v>
      </c>
      <c r="V5724" t="s">
        <v>8191</v>
      </c>
      <c r="W5724" s="1" t="str">
        <f>HYPERLINK("http://ictvonline.org/taxonomy/p/taxonomy-history?taxnode_id=201902853","ICTVonline=201902853")</f>
        <v>ICTVonline=201902853</v>
      </c>
    </row>
    <row r="5725" spans="1:23">
      <c r="A5725" s="3">
        <v>5724</v>
      </c>
      <c r="B5725" s="1" t="s">
        <v>5910</v>
      </c>
      <c r="D5725" s="1" t="s">
        <v>8672</v>
      </c>
      <c r="F5725" s="1" t="s">
        <v>8673</v>
      </c>
      <c r="H5725" s="1" t="s">
        <v>8674</v>
      </c>
      <c r="J5725" s="1" t="s">
        <v>5053</v>
      </c>
      <c r="L5725" s="1" t="s">
        <v>2000</v>
      </c>
      <c r="N5725" s="1" t="s">
        <v>2001</v>
      </c>
      <c r="P5725" s="1" t="s">
        <v>83</v>
      </c>
      <c r="Q5725" s="3">
        <v>0</v>
      </c>
      <c r="R5725" s="22" t="s">
        <v>3699</v>
      </c>
      <c r="S5725" s="42" t="s">
        <v>6912</v>
      </c>
      <c r="T5725" s="3" t="s">
        <v>4868</v>
      </c>
      <c r="U5725" s="45">
        <v>35</v>
      </c>
      <c r="V5725" t="s">
        <v>8191</v>
      </c>
      <c r="W5725" s="1" t="str">
        <f>HYPERLINK("http://ictvonline.org/taxonomy/p/taxonomy-history?taxnode_id=201902854","ICTVonline=201902854")</f>
        <v>ICTVonline=201902854</v>
      </c>
    </row>
    <row r="5726" spans="1:23">
      <c r="A5726" s="3">
        <v>5725</v>
      </c>
      <c r="B5726" s="1" t="s">
        <v>5910</v>
      </c>
      <c r="D5726" s="1" t="s">
        <v>8672</v>
      </c>
      <c r="F5726" s="1" t="s">
        <v>8673</v>
      </c>
      <c r="H5726" s="1" t="s">
        <v>8674</v>
      </c>
      <c r="J5726" s="1" t="s">
        <v>5053</v>
      </c>
      <c r="L5726" s="1" t="s">
        <v>2000</v>
      </c>
      <c r="N5726" s="1" t="s">
        <v>2001</v>
      </c>
      <c r="P5726" s="1" t="s">
        <v>84</v>
      </c>
      <c r="Q5726" s="3">
        <v>0</v>
      </c>
      <c r="R5726" s="22" t="s">
        <v>3699</v>
      </c>
      <c r="S5726" s="42" t="s">
        <v>6912</v>
      </c>
      <c r="T5726" s="3" t="s">
        <v>4868</v>
      </c>
      <c r="U5726" s="45">
        <v>35</v>
      </c>
      <c r="V5726" t="s">
        <v>8191</v>
      </c>
      <c r="W5726" s="1" t="str">
        <f>HYPERLINK("http://ictvonline.org/taxonomy/p/taxonomy-history?taxnode_id=201902855","ICTVonline=201902855")</f>
        <v>ICTVonline=201902855</v>
      </c>
    </row>
    <row r="5727" spans="1:23">
      <c r="A5727" s="3">
        <v>5726</v>
      </c>
      <c r="B5727" s="1" t="s">
        <v>5910</v>
      </c>
      <c r="D5727" s="1" t="s">
        <v>8672</v>
      </c>
      <c r="F5727" s="1" t="s">
        <v>8673</v>
      </c>
      <c r="H5727" s="1" t="s">
        <v>8674</v>
      </c>
      <c r="J5727" s="1" t="s">
        <v>5053</v>
      </c>
      <c r="L5727" s="1" t="s">
        <v>2000</v>
      </c>
      <c r="N5727" s="1" t="s">
        <v>2001</v>
      </c>
      <c r="P5727" s="1" t="s">
        <v>4586</v>
      </c>
      <c r="Q5727" s="3">
        <v>0</v>
      </c>
      <c r="R5727" s="22" t="s">
        <v>3699</v>
      </c>
      <c r="S5727" s="42" t="s">
        <v>6912</v>
      </c>
      <c r="T5727" s="3" t="s">
        <v>4868</v>
      </c>
      <c r="U5727" s="45">
        <v>35</v>
      </c>
      <c r="V5727" t="s">
        <v>8191</v>
      </c>
      <c r="W5727" s="1" t="str">
        <f>HYPERLINK("http://ictvonline.org/taxonomy/p/taxonomy-history?taxnode_id=201902856","ICTVonline=201902856")</f>
        <v>ICTVonline=201902856</v>
      </c>
    </row>
    <row r="5728" spans="1:23">
      <c r="A5728" s="3">
        <v>5727</v>
      </c>
      <c r="B5728" s="1" t="s">
        <v>5910</v>
      </c>
      <c r="D5728" s="1" t="s">
        <v>8672</v>
      </c>
      <c r="F5728" s="1" t="s">
        <v>8673</v>
      </c>
      <c r="H5728" s="1" t="s">
        <v>8674</v>
      </c>
      <c r="J5728" s="1" t="s">
        <v>5053</v>
      </c>
      <c r="L5728" s="1" t="s">
        <v>2000</v>
      </c>
      <c r="N5728" s="1" t="s">
        <v>2001</v>
      </c>
      <c r="P5728" s="1" t="s">
        <v>2010</v>
      </c>
      <c r="Q5728" s="3">
        <v>0</v>
      </c>
      <c r="R5728" s="22" t="s">
        <v>3699</v>
      </c>
      <c r="S5728" s="42" t="s">
        <v>6912</v>
      </c>
      <c r="T5728" s="3" t="s">
        <v>4868</v>
      </c>
      <c r="U5728" s="45">
        <v>35</v>
      </c>
      <c r="V5728" t="s">
        <v>8191</v>
      </c>
      <c r="W5728" s="1" t="str">
        <f>HYPERLINK("http://ictvonline.org/taxonomy/p/taxonomy-history?taxnode_id=201902857","ICTVonline=201902857")</f>
        <v>ICTVonline=201902857</v>
      </c>
    </row>
    <row r="5729" spans="1:23">
      <c r="A5729" s="3">
        <v>5728</v>
      </c>
      <c r="B5729" s="1" t="s">
        <v>5910</v>
      </c>
      <c r="D5729" s="1" t="s">
        <v>8672</v>
      </c>
      <c r="F5729" s="1" t="s">
        <v>8673</v>
      </c>
      <c r="H5729" s="1" t="s">
        <v>8674</v>
      </c>
      <c r="J5729" s="1" t="s">
        <v>5053</v>
      </c>
      <c r="L5729" s="1" t="s">
        <v>2000</v>
      </c>
      <c r="N5729" s="1" t="s">
        <v>2001</v>
      </c>
      <c r="P5729" s="1" t="s">
        <v>5065</v>
      </c>
      <c r="Q5729" s="3">
        <v>0</v>
      </c>
      <c r="R5729" s="22" t="s">
        <v>3699</v>
      </c>
      <c r="S5729" s="42" t="s">
        <v>6912</v>
      </c>
      <c r="T5729" s="3" t="s">
        <v>4868</v>
      </c>
      <c r="U5729" s="45">
        <v>35</v>
      </c>
      <c r="V5729" t="s">
        <v>8191</v>
      </c>
      <c r="W5729" s="1" t="str">
        <f>HYPERLINK("http://ictvonline.org/taxonomy/p/taxonomy-history?taxnode_id=201905766","ICTVonline=201905766")</f>
        <v>ICTVonline=201905766</v>
      </c>
    </row>
    <row r="5730" spans="1:23">
      <c r="A5730" s="3">
        <v>5729</v>
      </c>
      <c r="B5730" s="1" t="s">
        <v>5910</v>
      </c>
      <c r="D5730" s="1" t="s">
        <v>8672</v>
      </c>
      <c r="F5730" s="1" t="s">
        <v>8673</v>
      </c>
      <c r="H5730" s="1" t="s">
        <v>8674</v>
      </c>
      <c r="J5730" s="1" t="s">
        <v>5053</v>
      </c>
      <c r="L5730" s="1" t="s">
        <v>2000</v>
      </c>
      <c r="N5730" s="1" t="s">
        <v>2001</v>
      </c>
      <c r="P5730" s="1" t="s">
        <v>4587</v>
      </c>
      <c r="Q5730" s="3">
        <v>0</v>
      </c>
      <c r="R5730" s="22" t="s">
        <v>3699</v>
      </c>
      <c r="S5730" s="42" t="s">
        <v>6912</v>
      </c>
      <c r="T5730" s="3" t="s">
        <v>4868</v>
      </c>
      <c r="U5730" s="45">
        <v>35</v>
      </c>
      <c r="V5730" t="s">
        <v>8191</v>
      </c>
      <c r="W5730" s="1" t="str">
        <f>HYPERLINK("http://ictvonline.org/taxonomy/p/taxonomy-history?taxnode_id=201902858","ICTVonline=201902858")</f>
        <v>ICTVonline=201902858</v>
      </c>
    </row>
    <row r="5731" spans="1:23">
      <c r="A5731" s="3">
        <v>5730</v>
      </c>
      <c r="B5731" s="1" t="s">
        <v>5910</v>
      </c>
      <c r="D5731" s="1" t="s">
        <v>8672</v>
      </c>
      <c r="F5731" s="1" t="s">
        <v>8673</v>
      </c>
      <c r="H5731" s="1" t="s">
        <v>8674</v>
      </c>
      <c r="J5731" s="1" t="s">
        <v>5053</v>
      </c>
      <c r="L5731" s="1" t="s">
        <v>2000</v>
      </c>
      <c r="N5731" s="1" t="s">
        <v>2118</v>
      </c>
      <c r="P5731" s="1" t="s">
        <v>6796</v>
      </c>
      <c r="Q5731" s="3">
        <v>0</v>
      </c>
      <c r="R5731" s="22" t="s">
        <v>3699</v>
      </c>
      <c r="S5731" s="42" t="s">
        <v>6912</v>
      </c>
      <c r="T5731" s="3" t="s">
        <v>4868</v>
      </c>
      <c r="U5731" s="45">
        <v>35</v>
      </c>
      <c r="V5731" t="s">
        <v>8191</v>
      </c>
      <c r="W5731" s="1" t="str">
        <f>HYPERLINK("http://ictvonline.org/taxonomy/p/taxonomy-history?taxnode_id=201906640","ICTVonline=201906640")</f>
        <v>ICTVonline=201906640</v>
      </c>
    </row>
    <row r="5732" spans="1:23">
      <c r="A5732" s="3">
        <v>5731</v>
      </c>
      <c r="B5732" s="1" t="s">
        <v>5910</v>
      </c>
      <c r="D5732" s="1" t="s">
        <v>8672</v>
      </c>
      <c r="F5732" s="1" t="s">
        <v>8673</v>
      </c>
      <c r="H5732" s="1" t="s">
        <v>8674</v>
      </c>
      <c r="J5732" s="1" t="s">
        <v>5053</v>
      </c>
      <c r="L5732" s="1" t="s">
        <v>2000</v>
      </c>
      <c r="N5732" s="1" t="s">
        <v>2118</v>
      </c>
      <c r="P5732" s="1" t="s">
        <v>4588</v>
      </c>
      <c r="Q5732" s="3">
        <v>0</v>
      </c>
      <c r="R5732" s="22" t="s">
        <v>3699</v>
      </c>
      <c r="S5732" s="42" t="s">
        <v>6912</v>
      </c>
      <c r="T5732" s="3" t="s">
        <v>4868</v>
      </c>
      <c r="U5732" s="45">
        <v>35</v>
      </c>
      <c r="V5732" t="s">
        <v>8191</v>
      </c>
      <c r="W5732" s="1" t="str">
        <f>HYPERLINK("http://ictvonline.org/taxonomy/p/taxonomy-history?taxnode_id=201902860","ICTVonline=201902860")</f>
        <v>ICTVonline=201902860</v>
      </c>
    </row>
    <row r="5733" spans="1:23">
      <c r="A5733" s="3">
        <v>5732</v>
      </c>
      <c r="B5733" s="1" t="s">
        <v>5910</v>
      </c>
      <c r="D5733" s="1" t="s">
        <v>8672</v>
      </c>
      <c r="F5733" s="1" t="s">
        <v>8673</v>
      </c>
      <c r="H5733" s="1" t="s">
        <v>8674</v>
      </c>
      <c r="J5733" s="1" t="s">
        <v>5053</v>
      </c>
      <c r="L5733" s="1" t="s">
        <v>2000</v>
      </c>
      <c r="N5733" s="1" t="s">
        <v>2118</v>
      </c>
      <c r="P5733" s="1" t="s">
        <v>1927</v>
      </c>
      <c r="Q5733" s="3">
        <v>0</v>
      </c>
      <c r="R5733" s="22" t="s">
        <v>3699</v>
      </c>
      <c r="S5733" s="42" t="s">
        <v>6912</v>
      </c>
      <c r="T5733" s="3" t="s">
        <v>4868</v>
      </c>
      <c r="U5733" s="45">
        <v>35</v>
      </c>
      <c r="V5733" t="s">
        <v>8191</v>
      </c>
      <c r="W5733" s="1" t="str">
        <f>HYPERLINK("http://ictvonline.org/taxonomy/p/taxonomy-history?taxnode_id=201902861","ICTVonline=201902861")</f>
        <v>ICTVonline=201902861</v>
      </c>
    </row>
    <row r="5734" spans="1:23">
      <c r="A5734" s="3">
        <v>5733</v>
      </c>
      <c r="B5734" s="1" t="s">
        <v>5910</v>
      </c>
      <c r="D5734" s="1" t="s">
        <v>8672</v>
      </c>
      <c r="F5734" s="1" t="s">
        <v>8673</v>
      </c>
      <c r="H5734" s="1" t="s">
        <v>8674</v>
      </c>
      <c r="J5734" s="1" t="s">
        <v>5053</v>
      </c>
      <c r="L5734" s="1" t="s">
        <v>2000</v>
      </c>
      <c r="N5734" s="1" t="s">
        <v>2118</v>
      </c>
      <c r="P5734" s="1" t="s">
        <v>1928</v>
      </c>
      <c r="Q5734" s="3">
        <v>1</v>
      </c>
      <c r="R5734" s="22" t="s">
        <v>3699</v>
      </c>
      <c r="S5734" s="42" t="s">
        <v>6912</v>
      </c>
      <c r="T5734" s="3" t="s">
        <v>4868</v>
      </c>
      <c r="U5734" s="45">
        <v>35</v>
      </c>
      <c r="V5734" t="s">
        <v>8191</v>
      </c>
      <c r="W5734" s="1" t="str">
        <f>HYPERLINK("http://ictvonline.org/taxonomy/p/taxonomy-history?taxnode_id=201902862","ICTVonline=201902862")</f>
        <v>ICTVonline=201902862</v>
      </c>
    </row>
    <row r="5735" spans="1:23">
      <c r="A5735" s="3">
        <v>5734</v>
      </c>
      <c r="B5735" s="1" t="s">
        <v>5910</v>
      </c>
      <c r="D5735" s="1" t="s">
        <v>8672</v>
      </c>
      <c r="F5735" s="1" t="s">
        <v>8673</v>
      </c>
      <c r="H5735" s="1" t="s">
        <v>8674</v>
      </c>
      <c r="J5735" s="1" t="s">
        <v>5053</v>
      </c>
      <c r="L5735" s="1" t="s">
        <v>2000</v>
      </c>
      <c r="N5735" s="1" t="s">
        <v>2118</v>
      </c>
      <c r="P5735" s="1" t="s">
        <v>2023</v>
      </c>
      <c r="Q5735" s="3">
        <v>0</v>
      </c>
      <c r="R5735" s="22" t="s">
        <v>3699</v>
      </c>
      <c r="S5735" s="42" t="s">
        <v>6912</v>
      </c>
      <c r="T5735" s="3" t="s">
        <v>4868</v>
      </c>
      <c r="U5735" s="45">
        <v>35</v>
      </c>
      <c r="V5735" t="s">
        <v>8191</v>
      </c>
      <c r="W5735" s="1" t="str">
        <f>HYPERLINK("http://ictvonline.org/taxonomy/p/taxonomy-history?taxnode_id=201902863","ICTVonline=201902863")</f>
        <v>ICTVonline=201902863</v>
      </c>
    </row>
    <row r="5736" spans="1:23">
      <c r="A5736" s="3">
        <v>5735</v>
      </c>
      <c r="B5736" s="1" t="s">
        <v>5910</v>
      </c>
      <c r="D5736" s="1" t="s">
        <v>8672</v>
      </c>
      <c r="F5736" s="1" t="s">
        <v>8673</v>
      </c>
      <c r="H5736" s="1" t="s">
        <v>8674</v>
      </c>
      <c r="J5736" s="1" t="s">
        <v>5053</v>
      </c>
      <c r="L5736" s="1" t="s">
        <v>2000</v>
      </c>
      <c r="N5736" s="1" t="s">
        <v>2118</v>
      </c>
      <c r="P5736" s="1" t="s">
        <v>1763</v>
      </c>
      <c r="Q5736" s="3">
        <v>0</v>
      </c>
      <c r="R5736" s="22" t="s">
        <v>3699</v>
      </c>
      <c r="S5736" s="42" t="s">
        <v>6912</v>
      </c>
      <c r="T5736" s="3" t="s">
        <v>4868</v>
      </c>
      <c r="U5736" s="45">
        <v>35</v>
      </c>
      <c r="V5736" t="s">
        <v>8191</v>
      </c>
      <c r="W5736" s="1" t="str">
        <f>HYPERLINK("http://ictvonline.org/taxonomy/p/taxonomy-history?taxnode_id=201902864","ICTVonline=201902864")</f>
        <v>ICTVonline=201902864</v>
      </c>
    </row>
    <row r="5737" spans="1:23">
      <c r="A5737" s="3">
        <v>5736</v>
      </c>
      <c r="B5737" s="1" t="s">
        <v>5910</v>
      </c>
      <c r="D5737" s="1" t="s">
        <v>8672</v>
      </c>
      <c r="F5737" s="1" t="s">
        <v>8673</v>
      </c>
      <c r="H5737" s="1" t="s">
        <v>8674</v>
      </c>
      <c r="J5737" s="1" t="s">
        <v>5053</v>
      </c>
      <c r="L5737" s="1" t="s">
        <v>2000</v>
      </c>
      <c r="N5737" s="1" t="s">
        <v>2118</v>
      </c>
      <c r="P5737" s="1" t="s">
        <v>1764</v>
      </c>
      <c r="Q5737" s="3">
        <v>0</v>
      </c>
      <c r="R5737" s="22" t="s">
        <v>3699</v>
      </c>
      <c r="S5737" s="42" t="s">
        <v>6912</v>
      </c>
      <c r="T5737" s="3" t="s">
        <v>4868</v>
      </c>
      <c r="U5737" s="45">
        <v>35</v>
      </c>
      <c r="V5737" t="s">
        <v>8191</v>
      </c>
      <c r="W5737" s="1" t="str">
        <f>HYPERLINK("http://ictvonline.org/taxonomy/p/taxonomy-history?taxnode_id=201902865","ICTVonline=201902865")</f>
        <v>ICTVonline=201902865</v>
      </c>
    </row>
    <row r="5738" spans="1:23">
      <c r="A5738" s="3">
        <v>5737</v>
      </c>
      <c r="B5738" s="1" t="s">
        <v>5910</v>
      </c>
      <c r="D5738" s="1" t="s">
        <v>8672</v>
      </c>
      <c r="F5738" s="1" t="s">
        <v>8673</v>
      </c>
      <c r="H5738" s="1" t="s">
        <v>8674</v>
      </c>
      <c r="J5738" s="1" t="s">
        <v>5053</v>
      </c>
      <c r="L5738" s="1" t="s">
        <v>2000</v>
      </c>
      <c r="N5738" s="1" t="s">
        <v>2118</v>
      </c>
      <c r="P5738" s="1" t="s">
        <v>85</v>
      </c>
      <c r="Q5738" s="3">
        <v>0</v>
      </c>
      <c r="R5738" s="22" t="s">
        <v>3699</v>
      </c>
      <c r="S5738" s="42" t="s">
        <v>6912</v>
      </c>
      <c r="T5738" s="3" t="s">
        <v>4868</v>
      </c>
      <c r="U5738" s="45">
        <v>35</v>
      </c>
      <c r="V5738" t="s">
        <v>8191</v>
      </c>
      <c r="W5738" s="1" t="str">
        <f>HYPERLINK("http://ictvonline.org/taxonomy/p/taxonomy-history?taxnode_id=201902866","ICTVonline=201902866")</f>
        <v>ICTVonline=201902866</v>
      </c>
    </row>
    <row r="5739" spans="1:23">
      <c r="A5739" s="3">
        <v>5738</v>
      </c>
      <c r="B5739" s="1" t="s">
        <v>5910</v>
      </c>
      <c r="D5739" s="1" t="s">
        <v>8672</v>
      </c>
      <c r="F5739" s="1" t="s">
        <v>8673</v>
      </c>
      <c r="H5739" s="1" t="s">
        <v>8674</v>
      </c>
      <c r="J5739" s="1" t="s">
        <v>5053</v>
      </c>
      <c r="L5739" s="1" t="s">
        <v>2000</v>
      </c>
      <c r="N5739" s="1" t="s">
        <v>2118</v>
      </c>
      <c r="P5739" s="1" t="s">
        <v>736</v>
      </c>
      <c r="Q5739" s="3">
        <v>0</v>
      </c>
      <c r="R5739" s="22" t="s">
        <v>3699</v>
      </c>
      <c r="S5739" s="42" t="s">
        <v>6912</v>
      </c>
      <c r="T5739" s="3" t="s">
        <v>4868</v>
      </c>
      <c r="U5739" s="45">
        <v>35</v>
      </c>
      <c r="V5739" t="s">
        <v>8191</v>
      </c>
      <c r="W5739" s="1" t="str">
        <f>HYPERLINK("http://ictvonline.org/taxonomy/p/taxonomy-history?taxnode_id=201902867","ICTVonline=201902867")</f>
        <v>ICTVonline=201902867</v>
      </c>
    </row>
    <row r="5740" spans="1:23">
      <c r="A5740" s="3">
        <v>5739</v>
      </c>
      <c r="B5740" s="1" t="s">
        <v>5910</v>
      </c>
      <c r="D5740" s="1" t="s">
        <v>8672</v>
      </c>
      <c r="F5740" s="1" t="s">
        <v>8673</v>
      </c>
      <c r="H5740" s="1" t="s">
        <v>8674</v>
      </c>
      <c r="J5740" s="1" t="s">
        <v>5053</v>
      </c>
      <c r="L5740" s="1" t="s">
        <v>2000</v>
      </c>
      <c r="N5740" s="1" t="s">
        <v>2118</v>
      </c>
      <c r="P5740" s="1" t="s">
        <v>6797</v>
      </c>
      <c r="Q5740" s="3">
        <v>0</v>
      </c>
      <c r="R5740" s="22" t="s">
        <v>3699</v>
      </c>
      <c r="S5740" s="42" t="s">
        <v>6912</v>
      </c>
      <c r="T5740" s="3" t="s">
        <v>4868</v>
      </c>
      <c r="U5740" s="45">
        <v>35</v>
      </c>
      <c r="V5740" t="s">
        <v>8191</v>
      </c>
      <c r="W5740" s="1" t="str">
        <f>HYPERLINK("http://ictvonline.org/taxonomy/p/taxonomy-history?taxnode_id=201906652","ICTVonline=201906652")</f>
        <v>ICTVonline=201906652</v>
      </c>
    </row>
    <row r="5741" spans="1:23">
      <c r="A5741" s="3">
        <v>5740</v>
      </c>
      <c r="B5741" s="1" t="s">
        <v>5910</v>
      </c>
      <c r="D5741" s="1" t="s">
        <v>8672</v>
      </c>
      <c r="F5741" s="1" t="s">
        <v>8673</v>
      </c>
      <c r="H5741" s="1" t="s">
        <v>8674</v>
      </c>
      <c r="J5741" s="1" t="s">
        <v>5053</v>
      </c>
      <c r="L5741" s="1" t="s">
        <v>2000</v>
      </c>
      <c r="N5741" s="1" t="s">
        <v>2118</v>
      </c>
      <c r="P5741" s="1" t="s">
        <v>2653</v>
      </c>
      <c r="Q5741" s="3">
        <v>0</v>
      </c>
      <c r="R5741" s="22" t="s">
        <v>3699</v>
      </c>
      <c r="S5741" s="42" t="s">
        <v>6912</v>
      </c>
      <c r="T5741" s="3" t="s">
        <v>4868</v>
      </c>
      <c r="U5741" s="45">
        <v>35</v>
      </c>
      <c r="V5741" t="s">
        <v>8191</v>
      </c>
      <c r="W5741" s="1" t="str">
        <f>HYPERLINK("http://ictvonline.org/taxonomy/p/taxonomy-history?taxnode_id=201902868","ICTVonline=201902868")</f>
        <v>ICTVonline=201902868</v>
      </c>
    </row>
    <row r="5742" spans="1:23">
      <c r="A5742" s="3">
        <v>5741</v>
      </c>
      <c r="B5742" s="1" t="s">
        <v>5910</v>
      </c>
      <c r="D5742" s="1" t="s">
        <v>8672</v>
      </c>
      <c r="F5742" s="1" t="s">
        <v>8673</v>
      </c>
      <c r="H5742" s="1" t="s">
        <v>8674</v>
      </c>
      <c r="J5742" s="1" t="s">
        <v>5053</v>
      </c>
      <c r="L5742" s="1" t="s">
        <v>2000</v>
      </c>
      <c r="N5742" s="1" t="s">
        <v>2118</v>
      </c>
      <c r="P5742" s="1" t="s">
        <v>737</v>
      </c>
      <c r="Q5742" s="3">
        <v>0</v>
      </c>
      <c r="R5742" s="22" t="s">
        <v>3699</v>
      </c>
      <c r="S5742" s="42" t="s">
        <v>6912</v>
      </c>
      <c r="T5742" s="3" t="s">
        <v>4868</v>
      </c>
      <c r="U5742" s="45">
        <v>35</v>
      </c>
      <c r="V5742" t="s">
        <v>8191</v>
      </c>
      <c r="W5742" s="1" t="str">
        <f>HYPERLINK("http://ictvonline.org/taxonomy/p/taxonomy-history?taxnode_id=201902869","ICTVonline=201902869")</f>
        <v>ICTVonline=201902869</v>
      </c>
    </row>
    <row r="5743" spans="1:23">
      <c r="A5743" s="3">
        <v>5742</v>
      </c>
      <c r="B5743" s="1" t="s">
        <v>5910</v>
      </c>
      <c r="D5743" s="1" t="s">
        <v>8672</v>
      </c>
      <c r="F5743" s="1" t="s">
        <v>8673</v>
      </c>
      <c r="H5743" s="1" t="s">
        <v>8674</v>
      </c>
      <c r="J5743" s="1" t="s">
        <v>5053</v>
      </c>
      <c r="L5743" s="1" t="s">
        <v>2000</v>
      </c>
      <c r="N5743" s="1" t="s">
        <v>2118</v>
      </c>
      <c r="P5743" s="1" t="s">
        <v>738</v>
      </c>
      <c r="Q5743" s="3">
        <v>0</v>
      </c>
      <c r="R5743" s="22" t="s">
        <v>3699</v>
      </c>
      <c r="S5743" s="42" t="s">
        <v>6912</v>
      </c>
      <c r="T5743" s="3" t="s">
        <v>4868</v>
      </c>
      <c r="U5743" s="45">
        <v>35</v>
      </c>
      <c r="V5743" t="s">
        <v>8191</v>
      </c>
      <c r="W5743" s="1" t="str">
        <f>HYPERLINK("http://ictvonline.org/taxonomy/p/taxonomy-history?taxnode_id=201902870","ICTVonline=201902870")</f>
        <v>ICTVonline=201902870</v>
      </c>
    </row>
    <row r="5744" spans="1:23">
      <c r="A5744" s="3">
        <v>5743</v>
      </c>
      <c r="B5744" s="1" t="s">
        <v>5910</v>
      </c>
      <c r="D5744" s="1" t="s">
        <v>8672</v>
      </c>
      <c r="F5744" s="1" t="s">
        <v>8673</v>
      </c>
      <c r="H5744" s="1" t="s">
        <v>8674</v>
      </c>
      <c r="J5744" s="1" t="s">
        <v>5053</v>
      </c>
      <c r="L5744" s="1" t="s">
        <v>2000</v>
      </c>
      <c r="N5744" s="1" t="s">
        <v>739</v>
      </c>
      <c r="P5744" s="1" t="s">
        <v>740</v>
      </c>
      <c r="Q5744" s="3">
        <v>1</v>
      </c>
      <c r="R5744" s="22" t="s">
        <v>3699</v>
      </c>
      <c r="S5744" s="42" t="s">
        <v>6912</v>
      </c>
      <c r="T5744" s="3" t="s">
        <v>4868</v>
      </c>
      <c r="U5744" s="45">
        <v>35</v>
      </c>
      <c r="V5744" t="s">
        <v>8191</v>
      </c>
      <c r="W5744" s="1" t="str">
        <f>HYPERLINK("http://ictvonline.org/taxonomy/p/taxonomy-history?taxnode_id=201902872","ICTVonline=201902872")</f>
        <v>ICTVonline=201902872</v>
      </c>
    </row>
    <row r="5745" spans="1:23">
      <c r="A5745" s="3">
        <v>5744</v>
      </c>
      <c r="B5745" s="1" t="s">
        <v>5910</v>
      </c>
      <c r="D5745" s="1" t="s">
        <v>8672</v>
      </c>
      <c r="F5745" s="1" t="s">
        <v>8673</v>
      </c>
      <c r="H5745" s="1" t="s">
        <v>8674</v>
      </c>
      <c r="J5745" s="1" t="s">
        <v>5053</v>
      </c>
      <c r="L5745" s="1" t="s">
        <v>2000</v>
      </c>
      <c r="N5745" s="1" t="s">
        <v>739</v>
      </c>
      <c r="P5745" s="1" t="s">
        <v>1710</v>
      </c>
      <c r="Q5745" s="3">
        <v>0</v>
      </c>
      <c r="R5745" s="22" t="s">
        <v>3699</v>
      </c>
      <c r="S5745" s="42" t="s">
        <v>6912</v>
      </c>
      <c r="T5745" s="3" t="s">
        <v>4868</v>
      </c>
      <c r="U5745" s="45">
        <v>35</v>
      </c>
      <c r="V5745" t="s">
        <v>8191</v>
      </c>
      <c r="W5745" s="1" t="str">
        <f>HYPERLINK("http://ictvonline.org/taxonomy/p/taxonomy-history?taxnode_id=201902873","ICTVonline=201902873")</f>
        <v>ICTVonline=201902873</v>
      </c>
    </row>
    <row r="5746" spans="1:23">
      <c r="A5746" s="3">
        <v>5745</v>
      </c>
      <c r="B5746" s="1" t="s">
        <v>5910</v>
      </c>
      <c r="D5746" s="1" t="s">
        <v>8672</v>
      </c>
      <c r="F5746" s="1" t="s">
        <v>8673</v>
      </c>
      <c r="H5746" s="1" t="s">
        <v>8674</v>
      </c>
      <c r="J5746" s="1" t="s">
        <v>5053</v>
      </c>
      <c r="L5746" s="1" t="s">
        <v>2000</v>
      </c>
      <c r="N5746" s="1" t="s">
        <v>8688</v>
      </c>
      <c r="P5746" s="1" t="s">
        <v>8689</v>
      </c>
      <c r="Q5746" s="3">
        <v>1</v>
      </c>
      <c r="R5746" s="22" t="s">
        <v>3699</v>
      </c>
      <c r="S5746" s="42" t="s">
        <v>6914</v>
      </c>
      <c r="T5746" s="3" t="s">
        <v>4866</v>
      </c>
      <c r="U5746" s="45">
        <v>35</v>
      </c>
      <c r="V5746" t="s">
        <v>8686</v>
      </c>
      <c r="W5746" s="1" t="str">
        <f>HYPERLINK("http://ictvonline.org/taxonomy/p/taxonomy-history?taxnode_id=201907423","ICTVonline=201907423")</f>
        <v>ICTVonline=201907423</v>
      </c>
    </row>
    <row r="5747" spans="1:23">
      <c r="A5747" s="3">
        <v>5746</v>
      </c>
      <c r="B5747" s="1" t="s">
        <v>5910</v>
      </c>
      <c r="D5747" s="1" t="s">
        <v>8672</v>
      </c>
      <c r="F5747" s="1" t="s">
        <v>8673</v>
      </c>
      <c r="H5747" s="1" t="s">
        <v>8674</v>
      </c>
      <c r="J5747" s="1" t="s">
        <v>5053</v>
      </c>
      <c r="L5747" s="1" t="s">
        <v>2000</v>
      </c>
      <c r="N5747" s="1" t="s">
        <v>742</v>
      </c>
      <c r="P5747" s="1" t="s">
        <v>1193</v>
      </c>
      <c r="Q5747" s="3">
        <v>1</v>
      </c>
      <c r="R5747" s="22" t="s">
        <v>3699</v>
      </c>
      <c r="S5747" s="42" t="s">
        <v>6912</v>
      </c>
      <c r="T5747" s="3" t="s">
        <v>4868</v>
      </c>
      <c r="U5747" s="45">
        <v>35</v>
      </c>
      <c r="V5747" t="s">
        <v>8191</v>
      </c>
      <c r="W5747" s="1" t="str">
        <f>HYPERLINK("http://ictvonline.org/taxonomy/p/taxonomy-history?taxnode_id=201902875","ICTVonline=201902875")</f>
        <v>ICTVonline=201902875</v>
      </c>
    </row>
    <row r="5748" spans="1:23">
      <c r="A5748" s="3">
        <v>5747</v>
      </c>
      <c r="B5748" s="1" t="s">
        <v>5910</v>
      </c>
      <c r="D5748" s="1" t="s">
        <v>8672</v>
      </c>
      <c r="F5748" s="1" t="s">
        <v>8673</v>
      </c>
      <c r="H5748" s="1" t="s">
        <v>8674</v>
      </c>
      <c r="J5748" s="1" t="s">
        <v>5053</v>
      </c>
      <c r="L5748" s="1" t="s">
        <v>2000</v>
      </c>
      <c r="N5748" s="1" t="s">
        <v>2654</v>
      </c>
      <c r="P5748" s="1" t="s">
        <v>2655</v>
      </c>
      <c r="Q5748" s="3">
        <v>1</v>
      </c>
      <c r="R5748" s="22" t="s">
        <v>3699</v>
      </c>
      <c r="S5748" s="42" t="s">
        <v>6912</v>
      </c>
      <c r="T5748" s="3" t="s">
        <v>4868</v>
      </c>
      <c r="U5748" s="45">
        <v>35</v>
      </c>
      <c r="V5748" t="s">
        <v>8191</v>
      </c>
      <c r="W5748" s="1" t="str">
        <f>HYPERLINK("http://ictvonline.org/taxonomy/p/taxonomy-history?taxnode_id=201902877","ICTVonline=201902877")</f>
        <v>ICTVonline=201902877</v>
      </c>
    </row>
    <row r="5749" spans="1:23">
      <c r="A5749" s="3">
        <v>5748</v>
      </c>
      <c r="B5749" s="1" t="s">
        <v>5910</v>
      </c>
      <c r="D5749" s="1" t="s">
        <v>8672</v>
      </c>
      <c r="F5749" s="1" t="s">
        <v>8673</v>
      </c>
      <c r="H5749" s="1" t="s">
        <v>8674</v>
      </c>
      <c r="J5749" s="1" t="s">
        <v>5053</v>
      </c>
      <c r="L5749" s="1" t="s">
        <v>2000</v>
      </c>
      <c r="N5749" s="1" t="s">
        <v>86</v>
      </c>
      <c r="P5749" s="1" t="s">
        <v>87</v>
      </c>
      <c r="Q5749" s="3">
        <v>0</v>
      </c>
      <c r="R5749" s="22" t="s">
        <v>3699</v>
      </c>
      <c r="S5749" s="42" t="s">
        <v>6912</v>
      </c>
      <c r="T5749" s="3" t="s">
        <v>4868</v>
      </c>
      <c r="U5749" s="45">
        <v>35</v>
      </c>
      <c r="V5749" t="s">
        <v>8191</v>
      </c>
      <c r="W5749" s="1" t="str">
        <f>HYPERLINK("http://ictvonline.org/taxonomy/p/taxonomy-history?taxnode_id=201902879","ICTVonline=201902879")</f>
        <v>ICTVonline=201902879</v>
      </c>
    </row>
    <row r="5750" spans="1:23">
      <c r="A5750" s="3">
        <v>5749</v>
      </c>
      <c r="B5750" s="1" t="s">
        <v>5910</v>
      </c>
      <c r="D5750" s="1" t="s">
        <v>8672</v>
      </c>
      <c r="F5750" s="1" t="s">
        <v>8673</v>
      </c>
      <c r="H5750" s="1" t="s">
        <v>8674</v>
      </c>
      <c r="J5750" s="1" t="s">
        <v>5053</v>
      </c>
      <c r="L5750" s="1" t="s">
        <v>2000</v>
      </c>
      <c r="N5750" s="1" t="s">
        <v>86</v>
      </c>
      <c r="P5750" s="1" t="s">
        <v>741</v>
      </c>
      <c r="Q5750" s="3">
        <v>1</v>
      </c>
      <c r="R5750" s="22" t="s">
        <v>3699</v>
      </c>
      <c r="S5750" s="42" t="s">
        <v>6912</v>
      </c>
      <c r="T5750" s="3" t="s">
        <v>4868</v>
      </c>
      <c r="U5750" s="45">
        <v>35</v>
      </c>
      <c r="V5750" t="s">
        <v>8191</v>
      </c>
      <c r="W5750" s="1" t="str">
        <f>HYPERLINK("http://ictvonline.org/taxonomy/p/taxonomy-history?taxnode_id=201902880","ICTVonline=201902880")</f>
        <v>ICTVonline=201902880</v>
      </c>
    </row>
    <row r="5751" spans="1:23">
      <c r="A5751" s="3">
        <v>5750</v>
      </c>
      <c r="B5751" s="1" t="s">
        <v>5910</v>
      </c>
      <c r="D5751" s="1" t="s">
        <v>8672</v>
      </c>
      <c r="F5751" s="1" t="s">
        <v>8673</v>
      </c>
      <c r="H5751" s="1" t="s">
        <v>8674</v>
      </c>
      <c r="J5751" s="1" t="s">
        <v>5053</v>
      </c>
      <c r="L5751" s="1" t="s">
        <v>2000</v>
      </c>
      <c r="N5751" s="1" t="s">
        <v>1194</v>
      </c>
      <c r="P5751" s="1" t="s">
        <v>1195</v>
      </c>
      <c r="Q5751" s="3">
        <v>0</v>
      </c>
      <c r="R5751" s="22" t="s">
        <v>3699</v>
      </c>
      <c r="S5751" s="42" t="s">
        <v>6912</v>
      </c>
      <c r="T5751" s="3" t="s">
        <v>4868</v>
      </c>
      <c r="U5751" s="45">
        <v>35</v>
      </c>
      <c r="V5751" t="s">
        <v>8191</v>
      </c>
      <c r="W5751" s="1" t="str">
        <f>HYPERLINK("http://ictvonline.org/taxonomy/p/taxonomy-history?taxnode_id=201902882","ICTVonline=201902882")</f>
        <v>ICTVonline=201902882</v>
      </c>
    </row>
    <row r="5752" spans="1:23">
      <c r="A5752" s="3">
        <v>5751</v>
      </c>
      <c r="B5752" s="1" t="s">
        <v>5910</v>
      </c>
      <c r="D5752" s="1" t="s">
        <v>8672</v>
      </c>
      <c r="F5752" s="1" t="s">
        <v>8673</v>
      </c>
      <c r="H5752" s="1" t="s">
        <v>8674</v>
      </c>
      <c r="J5752" s="1" t="s">
        <v>5053</v>
      </c>
      <c r="L5752" s="1" t="s">
        <v>2000</v>
      </c>
      <c r="N5752" s="1" t="s">
        <v>1194</v>
      </c>
      <c r="P5752" s="1" t="s">
        <v>88</v>
      </c>
      <c r="Q5752" s="3">
        <v>0</v>
      </c>
      <c r="R5752" s="22" t="s">
        <v>3699</v>
      </c>
      <c r="S5752" s="42" t="s">
        <v>6912</v>
      </c>
      <c r="T5752" s="3" t="s">
        <v>4868</v>
      </c>
      <c r="U5752" s="45">
        <v>35</v>
      </c>
      <c r="V5752" t="s">
        <v>8191</v>
      </c>
      <c r="W5752" s="1" t="str">
        <f>HYPERLINK("http://ictvonline.org/taxonomy/p/taxonomy-history?taxnode_id=201902883","ICTVonline=201902883")</f>
        <v>ICTVonline=201902883</v>
      </c>
    </row>
    <row r="5753" spans="1:23">
      <c r="A5753" s="3">
        <v>5752</v>
      </c>
      <c r="B5753" s="1" t="s">
        <v>5910</v>
      </c>
      <c r="D5753" s="1" t="s">
        <v>8672</v>
      </c>
      <c r="F5753" s="1" t="s">
        <v>8673</v>
      </c>
      <c r="H5753" s="1" t="s">
        <v>8674</v>
      </c>
      <c r="J5753" s="1" t="s">
        <v>5053</v>
      </c>
      <c r="L5753" s="1" t="s">
        <v>2000</v>
      </c>
      <c r="N5753" s="1" t="s">
        <v>1194</v>
      </c>
      <c r="P5753" s="1" t="s">
        <v>1196</v>
      </c>
      <c r="Q5753" s="3">
        <v>0</v>
      </c>
      <c r="R5753" s="22" t="s">
        <v>3699</v>
      </c>
      <c r="S5753" s="42" t="s">
        <v>6912</v>
      </c>
      <c r="T5753" s="3" t="s">
        <v>4868</v>
      </c>
      <c r="U5753" s="45">
        <v>35</v>
      </c>
      <c r="V5753" t="s">
        <v>8191</v>
      </c>
      <c r="W5753" s="1" t="str">
        <f>HYPERLINK("http://ictvonline.org/taxonomy/p/taxonomy-history?taxnode_id=201902884","ICTVonline=201902884")</f>
        <v>ICTVonline=201902884</v>
      </c>
    </row>
    <row r="5754" spans="1:23">
      <c r="A5754" s="3">
        <v>5753</v>
      </c>
      <c r="B5754" s="1" t="s">
        <v>5910</v>
      </c>
      <c r="D5754" s="1" t="s">
        <v>8672</v>
      </c>
      <c r="F5754" s="1" t="s">
        <v>8673</v>
      </c>
      <c r="H5754" s="1" t="s">
        <v>8674</v>
      </c>
      <c r="J5754" s="1" t="s">
        <v>5053</v>
      </c>
      <c r="L5754" s="1" t="s">
        <v>2000</v>
      </c>
      <c r="N5754" s="1" t="s">
        <v>1194</v>
      </c>
      <c r="P5754" s="1" t="s">
        <v>1197</v>
      </c>
      <c r="Q5754" s="3">
        <v>1</v>
      </c>
      <c r="R5754" s="22" t="s">
        <v>3699</v>
      </c>
      <c r="S5754" s="42" t="s">
        <v>6912</v>
      </c>
      <c r="T5754" s="3" t="s">
        <v>4868</v>
      </c>
      <c r="U5754" s="45">
        <v>35</v>
      </c>
      <c r="V5754" t="s">
        <v>8191</v>
      </c>
      <c r="W5754" s="1" t="str">
        <f>HYPERLINK("http://ictvonline.org/taxonomy/p/taxonomy-history?taxnode_id=201902885","ICTVonline=201902885")</f>
        <v>ICTVonline=201902885</v>
      </c>
    </row>
    <row r="5755" spans="1:23">
      <c r="A5755" s="3">
        <v>5754</v>
      </c>
      <c r="B5755" s="1" t="s">
        <v>5910</v>
      </c>
      <c r="D5755" s="1" t="s">
        <v>8672</v>
      </c>
      <c r="F5755" s="1" t="s">
        <v>8673</v>
      </c>
      <c r="H5755" s="1" t="s">
        <v>8674</v>
      </c>
      <c r="J5755" s="1" t="s">
        <v>5053</v>
      </c>
      <c r="L5755" s="1" t="s">
        <v>2000</v>
      </c>
      <c r="N5755" s="1" t="s">
        <v>1198</v>
      </c>
      <c r="P5755" s="1" t="s">
        <v>751</v>
      </c>
      <c r="Q5755" s="3">
        <v>1</v>
      </c>
      <c r="R5755" s="22" t="s">
        <v>3699</v>
      </c>
      <c r="S5755" s="42" t="s">
        <v>6912</v>
      </c>
      <c r="T5755" s="3" t="s">
        <v>4868</v>
      </c>
      <c r="U5755" s="45">
        <v>35</v>
      </c>
      <c r="V5755" t="s">
        <v>8191</v>
      </c>
      <c r="W5755" s="1" t="str">
        <f>HYPERLINK("http://ictvonline.org/taxonomy/p/taxonomy-history?taxnode_id=201902887","ICTVonline=201902887")</f>
        <v>ICTVonline=201902887</v>
      </c>
    </row>
    <row r="5756" spans="1:23">
      <c r="A5756" s="3">
        <v>5755</v>
      </c>
      <c r="B5756" s="1" t="s">
        <v>5910</v>
      </c>
      <c r="D5756" s="1" t="s">
        <v>8672</v>
      </c>
      <c r="F5756" s="1" t="s">
        <v>8673</v>
      </c>
      <c r="H5756" s="1" t="s">
        <v>8674</v>
      </c>
      <c r="J5756" s="1" t="s">
        <v>5053</v>
      </c>
      <c r="L5756" s="1" t="s">
        <v>2000</v>
      </c>
      <c r="N5756" s="1" t="s">
        <v>8690</v>
      </c>
      <c r="P5756" s="1" t="s">
        <v>8691</v>
      </c>
      <c r="Q5756" s="3">
        <v>1</v>
      </c>
      <c r="R5756" s="22" t="s">
        <v>3699</v>
      </c>
      <c r="S5756" s="42" t="s">
        <v>6914</v>
      </c>
      <c r="T5756" s="3" t="s">
        <v>4866</v>
      </c>
      <c r="U5756" s="45">
        <v>35</v>
      </c>
      <c r="V5756" t="s">
        <v>8686</v>
      </c>
      <c r="W5756" s="1" t="str">
        <f>HYPERLINK("http://ictvonline.org/taxonomy/p/taxonomy-history?taxnode_id=201907425","ICTVonline=201907425")</f>
        <v>ICTVonline=201907425</v>
      </c>
    </row>
    <row r="5757" spans="1:23">
      <c r="A5757" s="3">
        <v>5756</v>
      </c>
      <c r="B5757" s="1" t="s">
        <v>5910</v>
      </c>
      <c r="D5757" s="1" t="s">
        <v>8672</v>
      </c>
      <c r="F5757" s="1" t="s">
        <v>8673</v>
      </c>
      <c r="H5757" s="1" t="s">
        <v>8674</v>
      </c>
      <c r="J5757" s="1" t="s">
        <v>5053</v>
      </c>
      <c r="L5757" s="1" t="s">
        <v>1630</v>
      </c>
      <c r="N5757" s="1" t="s">
        <v>1042</v>
      </c>
      <c r="P5757" s="1" t="s">
        <v>1043</v>
      </c>
      <c r="Q5757" s="3">
        <v>0</v>
      </c>
      <c r="R5757" s="22" t="s">
        <v>2726</v>
      </c>
      <c r="S5757" s="42" t="s">
        <v>6912</v>
      </c>
      <c r="T5757" s="3" t="s">
        <v>4868</v>
      </c>
      <c r="U5757" s="45">
        <v>35</v>
      </c>
      <c r="V5757" t="s">
        <v>8191</v>
      </c>
      <c r="W5757" s="1" t="str">
        <f>HYPERLINK("http://ictvonline.org/taxonomy/p/taxonomy-history?taxnode_id=201903814","ICTVonline=201903814")</f>
        <v>ICTVonline=201903814</v>
      </c>
    </row>
    <row r="5758" spans="1:23">
      <c r="A5758" s="3">
        <v>5757</v>
      </c>
      <c r="B5758" s="1" t="s">
        <v>5910</v>
      </c>
      <c r="D5758" s="1" t="s">
        <v>8672</v>
      </c>
      <c r="F5758" s="1" t="s">
        <v>8673</v>
      </c>
      <c r="H5758" s="1" t="s">
        <v>8674</v>
      </c>
      <c r="J5758" s="1" t="s">
        <v>5053</v>
      </c>
      <c r="L5758" s="1" t="s">
        <v>1630</v>
      </c>
      <c r="N5758" s="1" t="s">
        <v>1042</v>
      </c>
      <c r="P5758" s="1" t="s">
        <v>1044</v>
      </c>
      <c r="Q5758" s="3">
        <v>0</v>
      </c>
      <c r="R5758" s="22" t="s">
        <v>2726</v>
      </c>
      <c r="S5758" s="42" t="s">
        <v>6912</v>
      </c>
      <c r="T5758" s="3" t="s">
        <v>4868</v>
      </c>
      <c r="U5758" s="45">
        <v>35</v>
      </c>
      <c r="V5758" t="s">
        <v>8191</v>
      </c>
      <c r="W5758" s="1" t="str">
        <f>HYPERLINK("http://ictvonline.org/taxonomy/p/taxonomy-history?taxnode_id=201903815","ICTVonline=201903815")</f>
        <v>ICTVonline=201903815</v>
      </c>
    </row>
    <row r="5759" spans="1:23">
      <c r="A5759" s="3">
        <v>5758</v>
      </c>
      <c r="B5759" s="1" t="s">
        <v>5910</v>
      </c>
      <c r="D5759" s="1" t="s">
        <v>8672</v>
      </c>
      <c r="F5759" s="1" t="s">
        <v>8673</v>
      </c>
      <c r="H5759" s="1" t="s">
        <v>8674</v>
      </c>
      <c r="J5759" s="1" t="s">
        <v>5053</v>
      </c>
      <c r="L5759" s="1" t="s">
        <v>1630</v>
      </c>
      <c r="N5759" s="1" t="s">
        <v>1042</v>
      </c>
      <c r="P5759" s="1" t="s">
        <v>5066</v>
      </c>
      <c r="Q5759" s="3">
        <v>0</v>
      </c>
      <c r="R5759" s="22" t="s">
        <v>2726</v>
      </c>
      <c r="S5759" s="42" t="s">
        <v>6912</v>
      </c>
      <c r="T5759" s="3" t="s">
        <v>4868</v>
      </c>
      <c r="U5759" s="45">
        <v>35</v>
      </c>
      <c r="V5759" t="s">
        <v>8191</v>
      </c>
      <c r="W5759" s="1" t="str">
        <f>HYPERLINK("http://ictvonline.org/taxonomy/p/taxonomy-history?taxnode_id=201903816","ICTVonline=201903816")</f>
        <v>ICTVonline=201903816</v>
      </c>
    </row>
    <row r="5760" spans="1:23">
      <c r="A5760" s="3">
        <v>5759</v>
      </c>
      <c r="B5760" s="1" t="s">
        <v>5910</v>
      </c>
      <c r="D5760" s="1" t="s">
        <v>8672</v>
      </c>
      <c r="F5760" s="1" t="s">
        <v>8673</v>
      </c>
      <c r="H5760" s="1" t="s">
        <v>8674</v>
      </c>
      <c r="J5760" s="1" t="s">
        <v>5053</v>
      </c>
      <c r="L5760" s="1" t="s">
        <v>1630</v>
      </c>
      <c r="N5760" s="1" t="s">
        <v>1042</v>
      </c>
      <c r="P5760" s="1" t="s">
        <v>1045</v>
      </c>
      <c r="Q5760" s="3">
        <v>0</v>
      </c>
      <c r="R5760" s="22" t="s">
        <v>2726</v>
      </c>
      <c r="S5760" s="42" t="s">
        <v>6912</v>
      </c>
      <c r="T5760" s="3" t="s">
        <v>4868</v>
      </c>
      <c r="U5760" s="45">
        <v>35</v>
      </c>
      <c r="V5760" t="s">
        <v>8191</v>
      </c>
      <c r="W5760" s="1" t="str">
        <f>HYPERLINK("http://ictvonline.org/taxonomy/p/taxonomy-history?taxnode_id=201903817","ICTVonline=201903817")</f>
        <v>ICTVonline=201903817</v>
      </c>
    </row>
    <row r="5761" spans="1:23">
      <c r="A5761" s="3">
        <v>5760</v>
      </c>
      <c r="B5761" s="1" t="s">
        <v>5910</v>
      </c>
      <c r="D5761" s="1" t="s">
        <v>8672</v>
      </c>
      <c r="F5761" s="1" t="s">
        <v>8673</v>
      </c>
      <c r="H5761" s="1" t="s">
        <v>8674</v>
      </c>
      <c r="J5761" s="1" t="s">
        <v>5053</v>
      </c>
      <c r="L5761" s="1" t="s">
        <v>1630</v>
      </c>
      <c r="N5761" s="1" t="s">
        <v>1042</v>
      </c>
      <c r="P5761" s="1" t="s">
        <v>674</v>
      </c>
      <c r="Q5761" s="3">
        <v>1</v>
      </c>
      <c r="R5761" s="22" t="s">
        <v>2726</v>
      </c>
      <c r="S5761" s="42" t="s">
        <v>6912</v>
      </c>
      <c r="T5761" s="3" t="s">
        <v>4868</v>
      </c>
      <c r="U5761" s="45">
        <v>35</v>
      </c>
      <c r="V5761" t="s">
        <v>8191</v>
      </c>
      <c r="W5761" s="1" t="str">
        <f>HYPERLINK("http://ictvonline.org/taxonomy/p/taxonomy-history?taxnode_id=201903818","ICTVonline=201903818")</f>
        <v>ICTVonline=201903818</v>
      </c>
    </row>
    <row r="5762" spans="1:23">
      <c r="A5762" s="3">
        <v>5761</v>
      </c>
      <c r="B5762" s="1" t="s">
        <v>5910</v>
      </c>
      <c r="D5762" s="1" t="s">
        <v>8672</v>
      </c>
      <c r="F5762" s="1" t="s">
        <v>8673</v>
      </c>
      <c r="H5762" s="1" t="s">
        <v>8674</v>
      </c>
      <c r="J5762" s="1" t="s">
        <v>5053</v>
      </c>
      <c r="L5762" s="1" t="s">
        <v>1630</v>
      </c>
      <c r="N5762" s="1" t="s">
        <v>1042</v>
      </c>
      <c r="P5762" s="1" t="s">
        <v>675</v>
      </c>
      <c r="Q5762" s="3">
        <v>0</v>
      </c>
      <c r="R5762" s="22" t="s">
        <v>2726</v>
      </c>
      <c r="S5762" s="42" t="s">
        <v>6912</v>
      </c>
      <c r="T5762" s="3" t="s">
        <v>4868</v>
      </c>
      <c r="U5762" s="45">
        <v>35</v>
      </c>
      <c r="V5762" t="s">
        <v>8191</v>
      </c>
      <c r="W5762" s="1" t="str">
        <f>HYPERLINK("http://ictvonline.org/taxonomy/p/taxonomy-history?taxnode_id=201903819","ICTVonline=201903819")</f>
        <v>ICTVonline=201903819</v>
      </c>
    </row>
    <row r="5763" spans="1:23">
      <c r="A5763" s="3">
        <v>5762</v>
      </c>
      <c r="B5763" s="1" t="s">
        <v>5910</v>
      </c>
      <c r="D5763" s="1" t="s">
        <v>8672</v>
      </c>
      <c r="F5763" s="1" t="s">
        <v>8673</v>
      </c>
      <c r="H5763" s="1" t="s">
        <v>8674</v>
      </c>
      <c r="J5763" s="1" t="s">
        <v>5053</v>
      </c>
      <c r="L5763" s="1" t="s">
        <v>1630</v>
      </c>
      <c r="N5763" s="1" t="s">
        <v>1042</v>
      </c>
      <c r="P5763" s="1" t="s">
        <v>676</v>
      </c>
      <c r="Q5763" s="3">
        <v>0</v>
      </c>
      <c r="R5763" s="22" t="s">
        <v>2726</v>
      </c>
      <c r="S5763" s="42" t="s">
        <v>6912</v>
      </c>
      <c r="T5763" s="3" t="s">
        <v>4868</v>
      </c>
      <c r="U5763" s="45">
        <v>35</v>
      </c>
      <c r="V5763" t="s">
        <v>8191</v>
      </c>
      <c r="W5763" s="1" t="str">
        <f>HYPERLINK("http://ictvonline.org/taxonomy/p/taxonomy-history?taxnode_id=201903820","ICTVonline=201903820")</f>
        <v>ICTVonline=201903820</v>
      </c>
    </row>
    <row r="5764" spans="1:23">
      <c r="A5764" s="3">
        <v>5763</v>
      </c>
      <c r="B5764" s="1" t="s">
        <v>5910</v>
      </c>
      <c r="D5764" s="1" t="s">
        <v>8672</v>
      </c>
      <c r="F5764" s="1" t="s">
        <v>8673</v>
      </c>
      <c r="H5764" s="1" t="s">
        <v>8674</v>
      </c>
      <c r="J5764" s="1" t="s">
        <v>5053</v>
      </c>
      <c r="L5764" s="1" t="s">
        <v>1630</v>
      </c>
      <c r="N5764" s="1" t="s">
        <v>1042</v>
      </c>
      <c r="P5764" s="1" t="s">
        <v>677</v>
      </c>
      <c r="Q5764" s="3">
        <v>0</v>
      </c>
      <c r="R5764" s="22" t="s">
        <v>2726</v>
      </c>
      <c r="S5764" s="42" t="s">
        <v>6912</v>
      </c>
      <c r="T5764" s="3" t="s">
        <v>4868</v>
      </c>
      <c r="U5764" s="45">
        <v>35</v>
      </c>
      <c r="V5764" t="s">
        <v>8191</v>
      </c>
      <c r="W5764" s="1" t="str">
        <f>HYPERLINK("http://ictvonline.org/taxonomy/p/taxonomy-history?taxnode_id=201903821","ICTVonline=201903821")</f>
        <v>ICTVonline=201903821</v>
      </c>
    </row>
    <row r="5765" spans="1:23">
      <c r="A5765" s="3">
        <v>5764</v>
      </c>
      <c r="B5765" s="1" t="s">
        <v>5910</v>
      </c>
      <c r="D5765" s="1" t="s">
        <v>8672</v>
      </c>
      <c r="F5765" s="1" t="s">
        <v>8673</v>
      </c>
      <c r="H5765" s="1" t="s">
        <v>8674</v>
      </c>
      <c r="J5765" s="1" t="s">
        <v>5053</v>
      </c>
      <c r="L5765" s="1" t="s">
        <v>1630</v>
      </c>
      <c r="N5765" s="1" t="s">
        <v>1042</v>
      </c>
      <c r="P5765" s="1" t="s">
        <v>678</v>
      </c>
      <c r="Q5765" s="3">
        <v>0</v>
      </c>
      <c r="R5765" s="22" t="s">
        <v>2726</v>
      </c>
      <c r="S5765" s="42" t="s">
        <v>6912</v>
      </c>
      <c r="T5765" s="3" t="s">
        <v>4868</v>
      </c>
      <c r="U5765" s="45">
        <v>35</v>
      </c>
      <c r="V5765" t="s">
        <v>8191</v>
      </c>
      <c r="W5765" s="1" t="str">
        <f>HYPERLINK("http://ictvonline.org/taxonomy/p/taxonomy-history?taxnode_id=201903822","ICTVonline=201903822")</f>
        <v>ICTVonline=201903822</v>
      </c>
    </row>
    <row r="5766" spans="1:23">
      <c r="A5766" s="3">
        <v>5765</v>
      </c>
      <c r="B5766" s="1" t="s">
        <v>5910</v>
      </c>
      <c r="D5766" s="1" t="s">
        <v>8672</v>
      </c>
      <c r="F5766" s="1" t="s">
        <v>8673</v>
      </c>
      <c r="H5766" s="1" t="s">
        <v>8674</v>
      </c>
      <c r="J5766" s="1" t="s">
        <v>5053</v>
      </c>
      <c r="L5766" s="1" t="s">
        <v>1630</v>
      </c>
      <c r="N5766" s="1" t="s">
        <v>1042</v>
      </c>
      <c r="P5766" s="1" t="s">
        <v>1047</v>
      </c>
      <c r="Q5766" s="3">
        <v>0</v>
      </c>
      <c r="R5766" s="22" t="s">
        <v>2726</v>
      </c>
      <c r="S5766" s="42" t="s">
        <v>6912</v>
      </c>
      <c r="T5766" s="3" t="s">
        <v>4868</v>
      </c>
      <c r="U5766" s="45">
        <v>35</v>
      </c>
      <c r="V5766" t="s">
        <v>8191</v>
      </c>
      <c r="W5766" s="1" t="str">
        <f>HYPERLINK("http://ictvonline.org/taxonomy/p/taxonomy-history?taxnode_id=201903823","ICTVonline=201903823")</f>
        <v>ICTVonline=201903823</v>
      </c>
    </row>
    <row r="5767" spans="1:23">
      <c r="A5767" s="3">
        <v>5766</v>
      </c>
      <c r="B5767" s="1" t="s">
        <v>5910</v>
      </c>
      <c r="D5767" s="1" t="s">
        <v>8672</v>
      </c>
      <c r="F5767" s="1" t="s">
        <v>8673</v>
      </c>
      <c r="H5767" s="1" t="s">
        <v>8674</v>
      </c>
      <c r="J5767" s="1" t="s">
        <v>5053</v>
      </c>
      <c r="L5767" s="1" t="s">
        <v>1630</v>
      </c>
      <c r="N5767" s="1" t="s">
        <v>1048</v>
      </c>
      <c r="P5767" s="1" t="s">
        <v>1049</v>
      </c>
      <c r="Q5767" s="3">
        <v>0</v>
      </c>
      <c r="R5767" s="22" t="s">
        <v>2726</v>
      </c>
      <c r="S5767" s="42" t="s">
        <v>6912</v>
      </c>
      <c r="T5767" s="3" t="s">
        <v>4868</v>
      </c>
      <c r="U5767" s="45">
        <v>35</v>
      </c>
      <c r="V5767" t="s">
        <v>8191</v>
      </c>
      <c r="W5767" s="1" t="str">
        <f>HYPERLINK("http://ictvonline.org/taxonomy/p/taxonomy-history?taxnode_id=201903825","ICTVonline=201903825")</f>
        <v>ICTVonline=201903825</v>
      </c>
    </row>
    <row r="5768" spans="1:23">
      <c r="A5768" s="3">
        <v>5767</v>
      </c>
      <c r="B5768" s="1" t="s">
        <v>5910</v>
      </c>
      <c r="D5768" s="1" t="s">
        <v>8672</v>
      </c>
      <c r="F5768" s="1" t="s">
        <v>8673</v>
      </c>
      <c r="H5768" s="1" t="s">
        <v>8674</v>
      </c>
      <c r="J5768" s="1" t="s">
        <v>5053</v>
      </c>
      <c r="L5768" s="1" t="s">
        <v>1630</v>
      </c>
      <c r="N5768" s="1" t="s">
        <v>1048</v>
      </c>
      <c r="P5768" s="1" t="s">
        <v>1050</v>
      </c>
      <c r="Q5768" s="3">
        <v>0</v>
      </c>
      <c r="R5768" s="22" t="s">
        <v>2726</v>
      </c>
      <c r="S5768" s="42" t="s">
        <v>6912</v>
      </c>
      <c r="T5768" s="3" t="s">
        <v>4868</v>
      </c>
      <c r="U5768" s="45">
        <v>35</v>
      </c>
      <c r="V5768" t="s">
        <v>8191</v>
      </c>
      <c r="W5768" s="1" t="str">
        <f>HYPERLINK("http://ictvonline.org/taxonomy/p/taxonomy-history?taxnode_id=201903826","ICTVonline=201903826")</f>
        <v>ICTVonline=201903826</v>
      </c>
    </row>
    <row r="5769" spans="1:23">
      <c r="A5769" s="3">
        <v>5768</v>
      </c>
      <c r="B5769" s="1" t="s">
        <v>5910</v>
      </c>
      <c r="D5769" s="1" t="s">
        <v>8672</v>
      </c>
      <c r="F5769" s="1" t="s">
        <v>8673</v>
      </c>
      <c r="H5769" s="1" t="s">
        <v>8674</v>
      </c>
      <c r="J5769" s="1" t="s">
        <v>5053</v>
      </c>
      <c r="L5769" s="1" t="s">
        <v>1630</v>
      </c>
      <c r="N5769" s="1" t="s">
        <v>1048</v>
      </c>
      <c r="P5769" s="1" t="s">
        <v>1051</v>
      </c>
      <c r="Q5769" s="3">
        <v>0</v>
      </c>
      <c r="R5769" s="22" t="s">
        <v>2726</v>
      </c>
      <c r="S5769" s="42" t="s">
        <v>6912</v>
      </c>
      <c r="T5769" s="3" t="s">
        <v>4868</v>
      </c>
      <c r="U5769" s="45">
        <v>35</v>
      </c>
      <c r="V5769" t="s">
        <v>8191</v>
      </c>
      <c r="W5769" s="1" t="str">
        <f>HYPERLINK("http://ictvonline.org/taxonomy/p/taxonomy-history?taxnode_id=201903827","ICTVonline=201903827")</f>
        <v>ICTVonline=201903827</v>
      </c>
    </row>
    <row r="5770" spans="1:23">
      <c r="A5770" s="3">
        <v>5769</v>
      </c>
      <c r="B5770" s="1" t="s">
        <v>5910</v>
      </c>
      <c r="D5770" s="1" t="s">
        <v>8672</v>
      </c>
      <c r="F5770" s="1" t="s">
        <v>8673</v>
      </c>
      <c r="H5770" s="1" t="s">
        <v>8674</v>
      </c>
      <c r="J5770" s="1" t="s">
        <v>5053</v>
      </c>
      <c r="L5770" s="1" t="s">
        <v>1630</v>
      </c>
      <c r="N5770" s="1" t="s">
        <v>1048</v>
      </c>
      <c r="P5770" s="1" t="s">
        <v>1052</v>
      </c>
      <c r="Q5770" s="3">
        <v>0</v>
      </c>
      <c r="R5770" s="22" t="s">
        <v>2726</v>
      </c>
      <c r="S5770" s="42" t="s">
        <v>6912</v>
      </c>
      <c r="T5770" s="3" t="s">
        <v>4868</v>
      </c>
      <c r="U5770" s="45">
        <v>35</v>
      </c>
      <c r="V5770" t="s">
        <v>8191</v>
      </c>
      <c r="W5770" s="1" t="str">
        <f>HYPERLINK("http://ictvonline.org/taxonomy/p/taxonomy-history?taxnode_id=201903828","ICTVonline=201903828")</f>
        <v>ICTVonline=201903828</v>
      </c>
    </row>
    <row r="5771" spans="1:23">
      <c r="A5771" s="3">
        <v>5770</v>
      </c>
      <c r="B5771" s="1" t="s">
        <v>5910</v>
      </c>
      <c r="D5771" s="1" t="s">
        <v>8672</v>
      </c>
      <c r="F5771" s="1" t="s">
        <v>8673</v>
      </c>
      <c r="H5771" s="1" t="s">
        <v>8674</v>
      </c>
      <c r="J5771" s="1" t="s">
        <v>5053</v>
      </c>
      <c r="L5771" s="1" t="s">
        <v>1630</v>
      </c>
      <c r="N5771" s="1" t="s">
        <v>1048</v>
      </c>
      <c r="P5771" s="1" t="s">
        <v>1053</v>
      </c>
      <c r="Q5771" s="3">
        <v>0</v>
      </c>
      <c r="R5771" s="22" t="s">
        <v>2726</v>
      </c>
      <c r="S5771" s="42" t="s">
        <v>6912</v>
      </c>
      <c r="T5771" s="3" t="s">
        <v>4868</v>
      </c>
      <c r="U5771" s="45">
        <v>35</v>
      </c>
      <c r="V5771" t="s">
        <v>8191</v>
      </c>
      <c r="W5771" s="1" t="str">
        <f>HYPERLINK("http://ictvonline.org/taxonomy/p/taxonomy-history?taxnode_id=201903829","ICTVonline=201903829")</f>
        <v>ICTVonline=201903829</v>
      </c>
    </row>
    <row r="5772" spans="1:23">
      <c r="A5772" s="3">
        <v>5771</v>
      </c>
      <c r="B5772" s="1" t="s">
        <v>5910</v>
      </c>
      <c r="D5772" s="1" t="s">
        <v>8672</v>
      </c>
      <c r="F5772" s="1" t="s">
        <v>8673</v>
      </c>
      <c r="H5772" s="1" t="s">
        <v>8674</v>
      </c>
      <c r="J5772" s="1" t="s">
        <v>5053</v>
      </c>
      <c r="L5772" s="1" t="s">
        <v>1630</v>
      </c>
      <c r="N5772" s="1" t="s">
        <v>1048</v>
      </c>
      <c r="P5772" s="1" t="s">
        <v>1054</v>
      </c>
      <c r="Q5772" s="3">
        <v>0</v>
      </c>
      <c r="R5772" s="22" t="s">
        <v>2726</v>
      </c>
      <c r="S5772" s="42" t="s">
        <v>6912</v>
      </c>
      <c r="T5772" s="3" t="s">
        <v>4868</v>
      </c>
      <c r="U5772" s="45">
        <v>35</v>
      </c>
      <c r="V5772" t="s">
        <v>8191</v>
      </c>
      <c r="W5772" s="1" t="str">
        <f>HYPERLINK("http://ictvonline.org/taxonomy/p/taxonomy-history?taxnode_id=201903830","ICTVonline=201903830")</f>
        <v>ICTVonline=201903830</v>
      </c>
    </row>
    <row r="5773" spans="1:23">
      <c r="A5773" s="3">
        <v>5772</v>
      </c>
      <c r="B5773" s="1" t="s">
        <v>5910</v>
      </c>
      <c r="D5773" s="1" t="s">
        <v>8672</v>
      </c>
      <c r="F5773" s="1" t="s">
        <v>8673</v>
      </c>
      <c r="H5773" s="1" t="s">
        <v>8674</v>
      </c>
      <c r="J5773" s="1" t="s">
        <v>5053</v>
      </c>
      <c r="L5773" s="1" t="s">
        <v>1630</v>
      </c>
      <c r="N5773" s="1" t="s">
        <v>1048</v>
      </c>
      <c r="P5773" s="1" t="s">
        <v>1140</v>
      </c>
      <c r="Q5773" s="3">
        <v>0</v>
      </c>
      <c r="R5773" s="22" t="s">
        <v>2726</v>
      </c>
      <c r="S5773" s="42" t="s">
        <v>6912</v>
      </c>
      <c r="T5773" s="3" t="s">
        <v>4868</v>
      </c>
      <c r="U5773" s="45">
        <v>35</v>
      </c>
      <c r="V5773" t="s">
        <v>8191</v>
      </c>
      <c r="W5773" s="1" t="str">
        <f>HYPERLINK("http://ictvonline.org/taxonomy/p/taxonomy-history?taxnode_id=201903831","ICTVonline=201903831")</f>
        <v>ICTVonline=201903831</v>
      </c>
    </row>
    <row r="5774" spans="1:23">
      <c r="A5774" s="3">
        <v>5773</v>
      </c>
      <c r="B5774" s="1" t="s">
        <v>5910</v>
      </c>
      <c r="D5774" s="1" t="s">
        <v>8672</v>
      </c>
      <c r="F5774" s="1" t="s">
        <v>8673</v>
      </c>
      <c r="H5774" s="1" t="s">
        <v>8674</v>
      </c>
      <c r="J5774" s="1" t="s">
        <v>5053</v>
      </c>
      <c r="L5774" s="1" t="s">
        <v>1630</v>
      </c>
      <c r="N5774" s="1" t="s">
        <v>1048</v>
      </c>
      <c r="P5774" s="1" t="s">
        <v>1141</v>
      </c>
      <c r="Q5774" s="3">
        <v>0</v>
      </c>
      <c r="R5774" s="22" t="s">
        <v>2726</v>
      </c>
      <c r="S5774" s="42" t="s">
        <v>6912</v>
      </c>
      <c r="T5774" s="3" t="s">
        <v>4868</v>
      </c>
      <c r="U5774" s="45">
        <v>35</v>
      </c>
      <c r="V5774" t="s">
        <v>8191</v>
      </c>
      <c r="W5774" s="1" t="str">
        <f>HYPERLINK("http://ictvonline.org/taxonomy/p/taxonomy-history?taxnode_id=201903832","ICTVonline=201903832")</f>
        <v>ICTVonline=201903832</v>
      </c>
    </row>
    <row r="5775" spans="1:23">
      <c r="A5775" s="3">
        <v>5774</v>
      </c>
      <c r="B5775" s="1" t="s">
        <v>5910</v>
      </c>
      <c r="D5775" s="1" t="s">
        <v>8672</v>
      </c>
      <c r="F5775" s="1" t="s">
        <v>8673</v>
      </c>
      <c r="H5775" s="1" t="s">
        <v>8674</v>
      </c>
      <c r="J5775" s="1" t="s">
        <v>5053</v>
      </c>
      <c r="L5775" s="1" t="s">
        <v>1630</v>
      </c>
      <c r="N5775" s="1" t="s">
        <v>1048</v>
      </c>
      <c r="P5775" s="1" t="s">
        <v>1142</v>
      </c>
      <c r="Q5775" s="3">
        <v>0</v>
      </c>
      <c r="R5775" s="22" t="s">
        <v>2726</v>
      </c>
      <c r="S5775" s="42" t="s">
        <v>6912</v>
      </c>
      <c r="T5775" s="3" t="s">
        <v>4868</v>
      </c>
      <c r="U5775" s="45">
        <v>35</v>
      </c>
      <c r="V5775" t="s">
        <v>8191</v>
      </c>
      <c r="W5775" s="1" t="str">
        <f>HYPERLINK("http://ictvonline.org/taxonomy/p/taxonomy-history?taxnode_id=201903833","ICTVonline=201903833")</f>
        <v>ICTVonline=201903833</v>
      </c>
    </row>
    <row r="5776" spans="1:23">
      <c r="A5776" s="3">
        <v>5775</v>
      </c>
      <c r="B5776" s="1" t="s">
        <v>5910</v>
      </c>
      <c r="D5776" s="1" t="s">
        <v>8672</v>
      </c>
      <c r="F5776" s="1" t="s">
        <v>8673</v>
      </c>
      <c r="H5776" s="1" t="s">
        <v>8674</v>
      </c>
      <c r="J5776" s="1" t="s">
        <v>5053</v>
      </c>
      <c r="L5776" s="1" t="s">
        <v>1630</v>
      </c>
      <c r="N5776" s="1" t="s">
        <v>1048</v>
      </c>
      <c r="P5776" s="1" t="s">
        <v>1143</v>
      </c>
      <c r="Q5776" s="3">
        <v>0</v>
      </c>
      <c r="R5776" s="22" t="s">
        <v>2726</v>
      </c>
      <c r="S5776" s="42" t="s">
        <v>6912</v>
      </c>
      <c r="T5776" s="3" t="s">
        <v>4868</v>
      </c>
      <c r="U5776" s="45">
        <v>35</v>
      </c>
      <c r="V5776" t="s">
        <v>8191</v>
      </c>
      <c r="W5776" s="1" t="str">
        <f>HYPERLINK("http://ictvonline.org/taxonomy/p/taxonomy-history?taxnode_id=201903834","ICTVonline=201903834")</f>
        <v>ICTVonline=201903834</v>
      </c>
    </row>
    <row r="5777" spans="1:23">
      <c r="A5777" s="3">
        <v>5776</v>
      </c>
      <c r="B5777" s="1" t="s">
        <v>5910</v>
      </c>
      <c r="D5777" s="1" t="s">
        <v>8672</v>
      </c>
      <c r="F5777" s="1" t="s">
        <v>8673</v>
      </c>
      <c r="H5777" s="1" t="s">
        <v>8674</v>
      </c>
      <c r="J5777" s="1" t="s">
        <v>5053</v>
      </c>
      <c r="L5777" s="1" t="s">
        <v>1630</v>
      </c>
      <c r="N5777" s="1" t="s">
        <v>1048</v>
      </c>
      <c r="P5777" s="1" t="s">
        <v>1144</v>
      </c>
      <c r="Q5777" s="3">
        <v>0</v>
      </c>
      <c r="R5777" s="22" t="s">
        <v>2726</v>
      </c>
      <c r="S5777" s="42" t="s">
        <v>6912</v>
      </c>
      <c r="T5777" s="3" t="s">
        <v>4868</v>
      </c>
      <c r="U5777" s="45">
        <v>35</v>
      </c>
      <c r="V5777" t="s">
        <v>8191</v>
      </c>
      <c r="W5777" s="1" t="str">
        <f>HYPERLINK("http://ictvonline.org/taxonomy/p/taxonomy-history?taxnode_id=201903835","ICTVonline=201903835")</f>
        <v>ICTVonline=201903835</v>
      </c>
    </row>
    <row r="5778" spans="1:23">
      <c r="A5778" s="3">
        <v>5777</v>
      </c>
      <c r="B5778" s="1" t="s">
        <v>5910</v>
      </c>
      <c r="D5778" s="1" t="s">
        <v>8672</v>
      </c>
      <c r="F5778" s="1" t="s">
        <v>8673</v>
      </c>
      <c r="H5778" s="1" t="s">
        <v>8674</v>
      </c>
      <c r="J5778" s="1" t="s">
        <v>5053</v>
      </c>
      <c r="L5778" s="1" t="s">
        <v>1630</v>
      </c>
      <c r="N5778" s="1" t="s">
        <v>1048</v>
      </c>
      <c r="P5778" s="1" t="s">
        <v>1145</v>
      </c>
      <c r="Q5778" s="3">
        <v>0</v>
      </c>
      <c r="R5778" s="22" t="s">
        <v>2726</v>
      </c>
      <c r="S5778" s="42" t="s">
        <v>6912</v>
      </c>
      <c r="T5778" s="3" t="s">
        <v>4868</v>
      </c>
      <c r="U5778" s="45">
        <v>35</v>
      </c>
      <c r="V5778" t="s">
        <v>8191</v>
      </c>
      <c r="W5778" s="1" t="str">
        <f>HYPERLINK("http://ictvonline.org/taxonomy/p/taxonomy-history?taxnode_id=201903836","ICTVonline=201903836")</f>
        <v>ICTVonline=201903836</v>
      </c>
    </row>
    <row r="5779" spans="1:23">
      <c r="A5779" s="3">
        <v>5778</v>
      </c>
      <c r="B5779" s="1" t="s">
        <v>5910</v>
      </c>
      <c r="D5779" s="1" t="s">
        <v>8672</v>
      </c>
      <c r="F5779" s="1" t="s">
        <v>8673</v>
      </c>
      <c r="H5779" s="1" t="s">
        <v>8674</v>
      </c>
      <c r="J5779" s="1" t="s">
        <v>5053</v>
      </c>
      <c r="L5779" s="1" t="s">
        <v>1630</v>
      </c>
      <c r="N5779" s="1" t="s">
        <v>1048</v>
      </c>
      <c r="P5779" s="1" t="s">
        <v>1662</v>
      </c>
      <c r="Q5779" s="3">
        <v>0</v>
      </c>
      <c r="R5779" s="22" t="s">
        <v>2726</v>
      </c>
      <c r="S5779" s="42" t="s">
        <v>6912</v>
      </c>
      <c r="T5779" s="3" t="s">
        <v>4868</v>
      </c>
      <c r="U5779" s="45">
        <v>35</v>
      </c>
      <c r="V5779" t="s">
        <v>8191</v>
      </c>
      <c r="W5779" s="1" t="str">
        <f>HYPERLINK("http://ictvonline.org/taxonomy/p/taxonomy-history?taxnode_id=201903837","ICTVonline=201903837")</f>
        <v>ICTVonline=201903837</v>
      </c>
    </row>
    <row r="5780" spans="1:23">
      <c r="A5780" s="3">
        <v>5779</v>
      </c>
      <c r="B5780" s="1" t="s">
        <v>5910</v>
      </c>
      <c r="D5780" s="1" t="s">
        <v>8672</v>
      </c>
      <c r="F5780" s="1" t="s">
        <v>8673</v>
      </c>
      <c r="H5780" s="1" t="s">
        <v>8674</v>
      </c>
      <c r="J5780" s="1" t="s">
        <v>5053</v>
      </c>
      <c r="L5780" s="1" t="s">
        <v>1630</v>
      </c>
      <c r="N5780" s="1" t="s">
        <v>1048</v>
      </c>
      <c r="P5780" s="1" t="s">
        <v>1663</v>
      </c>
      <c r="Q5780" s="3">
        <v>0</v>
      </c>
      <c r="R5780" s="22" t="s">
        <v>2726</v>
      </c>
      <c r="S5780" s="42" t="s">
        <v>6912</v>
      </c>
      <c r="T5780" s="3" t="s">
        <v>4868</v>
      </c>
      <c r="U5780" s="45">
        <v>35</v>
      </c>
      <c r="V5780" t="s">
        <v>8191</v>
      </c>
      <c r="W5780" s="1" t="str">
        <f>HYPERLINK("http://ictvonline.org/taxonomy/p/taxonomy-history?taxnode_id=201903838","ICTVonline=201903838")</f>
        <v>ICTVonline=201903838</v>
      </c>
    </row>
    <row r="5781" spans="1:23">
      <c r="A5781" s="3">
        <v>5780</v>
      </c>
      <c r="B5781" s="1" t="s">
        <v>5910</v>
      </c>
      <c r="D5781" s="1" t="s">
        <v>8672</v>
      </c>
      <c r="F5781" s="1" t="s">
        <v>8673</v>
      </c>
      <c r="H5781" s="1" t="s">
        <v>8674</v>
      </c>
      <c r="J5781" s="1" t="s">
        <v>5053</v>
      </c>
      <c r="L5781" s="1" t="s">
        <v>1630</v>
      </c>
      <c r="N5781" s="1" t="s">
        <v>1048</v>
      </c>
      <c r="P5781" s="1" t="s">
        <v>1664</v>
      </c>
      <c r="Q5781" s="3">
        <v>0</v>
      </c>
      <c r="R5781" s="22" t="s">
        <v>2726</v>
      </c>
      <c r="S5781" s="42" t="s">
        <v>6912</v>
      </c>
      <c r="T5781" s="3" t="s">
        <v>4868</v>
      </c>
      <c r="U5781" s="45">
        <v>35</v>
      </c>
      <c r="V5781" t="s">
        <v>8191</v>
      </c>
      <c r="W5781" s="1" t="str">
        <f>HYPERLINK("http://ictvonline.org/taxonomy/p/taxonomy-history?taxnode_id=201903839","ICTVonline=201903839")</f>
        <v>ICTVonline=201903839</v>
      </c>
    </row>
    <row r="5782" spans="1:23">
      <c r="A5782" s="3">
        <v>5781</v>
      </c>
      <c r="B5782" s="1" t="s">
        <v>5910</v>
      </c>
      <c r="D5782" s="1" t="s">
        <v>8672</v>
      </c>
      <c r="F5782" s="1" t="s">
        <v>8673</v>
      </c>
      <c r="H5782" s="1" t="s">
        <v>8674</v>
      </c>
      <c r="J5782" s="1" t="s">
        <v>5053</v>
      </c>
      <c r="L5782" s="1" t="s">
        <v>1630</v>
      </c>
      <c r="N5782" s="1" t="s">
        <v>1048</v>
      </c>
      <c r="P5782" s="1" t="s">
        <v>1665</v>
      </c>
      <c r="Q5782" s="3">
        <v>1</v>
      </c>
      <c r="R5782" s="22" t="s">
        <v>2726</v>
      </c>
      <c r="S5782" s="42" t="s">
        <v>6912</v>
      </c>
      <c r="T5782" s="3" t="s">
        <v>4868</v>
      </c>
      <c r="U5782" s="45">
        <v>35</v>
      </c>
      <c r="V5782" t="s">
        <v>8191</v>
      </c>
      <c r="W5782" s="1" t="str">
        <f>HYPERLINK("http://ictvonline.org/taxonomy/p/taxonomy-history?taxnode_id=201903840","ICTVonline=201903840")</f>
        <v>ICTVonline=201903840</v>
      </c>
    </row>
    <row r="5783" spans="1:23">
      <c r="A5783" s="3">
        <v>5782</v>
      </c>
      <c r="B5783" s="1" t="s">
        <v>5910</v>
      </c>
      <c r="D5783" s="1" t="s">
        <v>8672</v>
      </c>
      <c r="F5783" s="1" t="s">
        <v>8673</v>
      </c>
      <c r="H5783" s="1" t="s">
        <v>8674</v>
      </c>
      <c r="J5783" s="1" t="s">
        <v>5053</v>
      </c>
      <c r="L5783" s="1" t="s">
        <v>1630</v>
      </c>
      <c r="N5783" s="1" t="s">
        <v>1048</v>
      </c>
      <c r="P5783" s="1" t="s">
        <v>1666</v>
      </c>
      <c r="Q5783" s="3">
        <v>0</v>
      </c>
      <c r="R5783" s="22" t="s">
        <v>2726</v>
      </c>
      <c r="S5783" s="42" t="s">
        <v>6912</v>
      </c>
      <c r="T5783" s="3" t="s">
        <v>4868</v>
      </c>
      <c r="U5783" s="45">
        <v>35</v>
      </c>
      <c r="V5783" t="s">
        <v>8191</v>
      </c>
      <c r="W5783" s="1" t="str">
        <f>HYPERLINK("http://ictvonline.org/taxonomy/p/taxonomy-history?taxnode_id=201903841","ICTVonline=201903841")</f>
        <v>ICTVonline=201903841</v>
      </c>
    </row>
    <row r="5784" spans="1:23">
      <c r="A5784" s="3">
        <v>5783</v>
      </c>
      <c r="B5784" s="1" t="s">
        <v>5910</v>
      </c>
      <c r="D5784" s="1" t="s">
        <v>8672</v>
      </c>
      <c r="F5784" s="1" t="s">
        <v>8673</v>
      </c>
      <c r="H5784" s="1" t="s">
        <v>8674</v>
      </c>
      <c r="J5784" s="1" t="s">
        <v>5053</v>
      </c>
      <c r="L5784" s="1" t="s">
        <v>1630</v>
      </c>
      <c r="N5784" s="1" t="s">
        <v>1048</v>
      </c>
      <c r="P5784" s="1" t="s">
        <v>1658</v>
      </c>
      <c r="Q5784" s="3">
        <v>0</v>
      </c>
      <c r="R5784" s="22" t="s">
        <v>2726</v>
      </c>
      <c r="S5784" s="42" t="s">
        <v>6912</v>
      </c>
      <c r="T5784" s="3" t="s">
        <v>4868</v>
      </c>
      <c r="U5784" s="45">
        <v>35</v>
      </c>
      <c r="V5784" t="s">
        <v>8191</v>
      </c>
      <c r="W5784" s="1" t="str">
        <f>HYPERLINK("http://ictvonline.org/taxonomy/p/taxonomy-history?taxnode_id=201903842","ICTVonline=201903842")</f>
        <v>ICTVonline=201903842</v>
      </c>
    </row>
    <row r="5785" spans="1:23">
      <c r="A5785" s="3">
        <v>5784</v>
      </c>
      <c r="B5785" s="1" t="s">
        <v>5910</v>
      </c>
      <c r="D5785" s="1" t="s">
        <v>8672</v>
      </c>
      <c r="F5785" s="1" t="s">
        <v>8673</v>
      </c>
      <c r="H5785" s="1" t="s">
        <v>8674</v>
      </c>
      <c r="J5785" s="1" t="s">
        <v>5053</v>
      </c>
      <c r="L5785" s="1" t="s">
        <v>1630</v>
      </c>
      <c r="N5785" s="1" t="s">
        <v>1048</v>
      </c>
      <c r="P5785" s="1" t="s">
        <v>1659</v>
      </c>
      <c r="Q5785" s="3">
        <v>0</v>
      </c>
      <c r="R5785" s="22" t="s">
        <v>2726</v>
      </c>
      <c r="S5785" s="42" t="s">
        <v>6912</v>
      </c>
      <c r="T5785" s="3" t="s">
        <v>4868</v>
      </c>
      <c r="U5785" s="45">
        <v>35</v>
      </c>
      <c r="V5785" t="s">
        <v>8191</v>
      </c>
      <c r="W5785" s="1" t="str">
        <f>HYPERLINK("http://ictvonline.org/taxonomy/p/taxonomy-history?taxnode_id=201903843","ICTVonline=201903843")</f>
        <v>ICTVonline=201903843</v>
      </c>
    </row>
    <row r="5786" spans="1:23">
      <c r="A5786" s="3">
        <v>5785</v>
      </c>
      <c r="B5786" s="1" t="s">
        <v>5910</v>
      </c>
      <c r="D5786" s="1" t="s">
        <v>8672</v>
      </c>
      <c r="F5786" s="1" t="s">
        <v>8673</v>
      </c>
      <c r="H5786" s="1" t="s">
        <v>8674</v>
      </c>
      <c r="J5786" s="1" t="s">
        <v>5053</v>
      </c>
      <c r="L5786" s="1" t="s">
        <v>1630</v>
      </c>
      <c r="N5786" s="1" t="s">
        <v>1048</v>
      </c>
      <c r="P5786" s="1" t="s">
        <v>1660</v>
      </c>
      <c r="Q5786" s="3">
        <v>0</v>
      </c>
      <c r="R5786" s="22" t="s">
        <v>2726</v>
      </c>
      <c r="S5786" s="42" t="s">
        <v>6912</v>
      </c>
      <c r="T5786" s="3" t="s">
        <v>4868</v>
      </c>
      <c r="U5786" s="45">
        <v>35</v>
      </c>
      <c r="V5786" t="s">
        <v>8191</v>
      </c>
      <c r="W5786" s="1" t="str">
        <f>HYPERLINK("http://ictvonline.org/taxonomy/p/taxonomy-history?taxnode_id=201903844","ICTVonline=201903844")</f>
        <v>ICTVonline=201903844</v>
      </c>
    </row>
    <row r="5787" spans="1:23">
      <c r="A5787" s="3">
        <v>5786</v>
      </c>
      <c r="B5787" s="1" t="s">
        <v>5910</v>
      </c>
      <c r="D5787" s="1" t="s">
        <v>8672</v>
      </c>
      <c r="F5787" s="1" t="s">
        <v>8673</v>
      </c>
      <c r="H5787" s="1" t="s">
        <v>8674</v>
      </c>
      <c r="J5787" s="1" t="s">
        <v>5053</v>
      </c>
      <c r="L5787" s="1" t="s">
        <v>1630</v>
      </c>
      <c r="N5787" s="1" t="s">
        <v>1048</v>
      </c>
      <c r="P5787" s="1" t="s">
        <v>1661</v>
      </c>
      <c r="Q5787" s="3">
        <v>0</v>
      </c>
      <c r="R5787" s="22" t="s">
        <v>2726</v>
      </c>
      <c r="S5787" s="42" t="s">
        <v>6912</v>
      </c>
      <c r="T5787" s="3" t="s">
        <v>4868</v>
      </c>
      <c r="U5787" s="45">
        <v>35</v>
      </c>
      <c r="V5787" t="s">
        <v>8191</v>
      </c>
      <c r="W5787" s="1" t="str">
        <f>HYPERLINK("http://ictvonline.org/taxonomy/p/taxonomy-history?taxnode_id=201903845","ICTVonline=201903845")</f>
        <v>ICTVonline=201903845</v>
      </c>
    </row>
    <row r="5788" spans="1:23">
      <c r="A5788" s="3">
        <v>5787</v>
      </c>
      <c r="B5788" s="1" t="s">
        <v>5910</v>
      </c>
      <c r="D5788" s="1" t="s">
        <v>8672</v>
      </c>
      <c r="F5788" s="1" t="s">
        <v>8673</v>
      </c>
      <c r="H5788" s="1" t="s">
        <v>8674</v>
      </c>
      <c r="J5788" s="1" t="s">
        <v>5053</v>
      </c>
      <c r="L5788" s="1" t="s">
        <v>2120</v>
      </c>
      <c r="N5788" s="1" t="s">
        <v>2121</v>
      </c>
      <c r="P5788" s="1" t="s">
        <v>1511</v>
      </c>
      <c r="Q5788" s="3">
        <v>0</v>
      </c>
      <c r="R5788" s="22" t="s">
        <v>2726</v>
      </c>
      <c r="S5788" s="42" t="s">
        <v>6912</v>
      </c>
      <c r="T5788" s="3" t="s">
        <v>4868</v>
      </c>
      <c r="U5788" s="45">
        <v>35</v>
      </c>
      <c r="V5788" t="s">
        <v>8191</v>
      </c>
      <c r="W5788" s="1" t="str">
        <f>HYPERLINK("http://ictvonline.org/taxonomy/p/taxonomy-history?taxnode_id=201904830","ICTVonline=201904830")</f>
        <v>ICTVonline=201904830</v>
      </c>
    </row>
    <row r="5789" spans="1:23">
      <c r="A5789" s="3">
        <v>5788</v>
      </c>
      <c r="B5789" s="1" t="s">
        <v>5910</v>
      </c>
      <c r="D5789" s="1" t="s">
        <v>8672</v>
      </c>
      <c r="F5789" s="1" t="s">
        <v>8673</v>
      </c>
      <c r="H5789" s="1" t="s">
        <v>8674</v>
      </c>
      <c r="J5789" s="1" t="s">
        <v>5053</v>
      </c>
      <c r="L5789" s="1" t="s">
        <v>2120</v>
      </c>
      <c r="N5789" s="1" t="s">
        <v>2121</v>
      </c>
      <c r="P5789" s="1" t="s">
        <v>1512</v>
      </c>
      <c r="Q5789" s="3">
        <v>0</v>
      </c>
      <c r="R5789" s="22" t="s">
        <v>2726</v>
      </c>
      <c r="S5789" s="42" t="s">
        <v>6912</v>
      </c>
      <c r="T5789" s="3" t="s">
        <v>4868</v>
      </c>
      <c r="U5789" s="45">
        <v>35</v>
      </c>
      <c r="V5789" t="s">
        <v>8191</v>
      </c>
      <c r="W5789" s="1" t="str">
        <f>HYPERLINK("http://ictvonline.org/taxonomy/p/taxonomy-history?taxnode_id=201904831","ICTVonline=201904831")</f>
        <v>ICTVonline=201904831</v>
      </c>
    </row>
    <row r="5790" spans="1:23">
      <c r="A5790" s="3">
        <v>5789</v>
      </c>
      <c r="B5790" s="1" t="s">
        <v>5910</v>
      </c>
      <c r="D5790" s="1" t="s">
        <v>8672</v>
      </c>
      <c r="F5790" s="1" t="s">
        <v>8673</v>
      </c>
      <c r="H5790" s="1" t="s">
        <v>8674</v>
      </c>
      <c r="J5790" s="1" t="s">
        <v>5053</v>
      </c>
      <c r="L5790" s="1" t="s">
        <v>2120</v>
      </c>
      <c r="N5790" s="1" t="s">
        <v>2121</v>
      </c>
      <c r="P5790" s="1" t="s">
        <v>1547</v>
      </c>
      <c r="Q5790" s="3">
        <v>0</v>
      </c>
      <c r="R5790" s="22" t="s">
        <v>2726</v>
      </c>
      <c r="S5790" s="42" t="s">
        <v>6912</v>
      </c>
      <c r="T5790" s="3" t="s">
        <v>4868</v>
      </c>
      <c r="U5790" s="45">
        <v>35</v>
      </c>
      <c r="V5790" t="s">
        <v>8191</v>
      </c>
      <c r="W5790" s="1" t="str">
        <f>HYPERLINK("http://ictvonline.org/taxonomy/p/taxonomy-history?taxnode_id=201904832","ICTVonline=201904832")</f>
        <v>ICTVonline=201904832</v>
      </c>
    </row>
    <row r="5791" spans="1:23">
      <c r="A5791" s="3">
        <v>5790</v>
      </c>
      <c r="B5791" s="1" t="s">
        <v>5910</v>
      </c>
      <c r="D5791" s="1" t="s">
        <v>8672</v>
      </c>
      <c r="F5791" s="1" t="s">
        <v>8673</v>
      </c>
      <c r="H5791" s="1" t="s">
        <v>8674</v>
      </c>
      <c r="J5791" s="1" t="s">
        <v>5053</v>
      </c>
      <c r="L5791" s="1" t="s">
        <v>2120</v>
      </c>
      <c r="N5791" s="1" t="s">
        <v>2121</v>
      </c>
      <c r="P5791" s="1" t="s">
        <v>1548</v>
      </c>
      <c r="Q5791" s="3">
        <v>0</v>
      </c>
      <c r="R5791" s="22" t="s">
        <v>2726</v>
      </c>
      <c r="S5791" s="42" t="s">
        <v>6912</v>
      </c>
      <c r="T5791" s="3" t="s">
        <v>4868</v>
      </c>
      <c r="U5791" s="45">
        <v>35</v>
      </c>
      <c r="V5791" t="s">
        <v>8191</v>
      </c>
      <c r="W5791" s="1" t="str">
        <f>HYPERLINK("http://ictvonline.org/taxonomy/p/taxonomy-history?taxnode_id=201904833","ICTVonline=201904833")</f>
        <v>ICTVonline=201904833</v>
      </c>
    </row>
    <row r="5792" spans="1:23">
      <c r="A5792" s="3">
        <v>5791</v>
      </c>
      <c r="B5792" s="1" t="s">
        <v>5910</v>
      </c>
      <c r="D5792" s="1" t="s">
        <v>8672</v>
      </c>
      <c r="F5792" s="1" t="s">
        <v>8673</v>
      </c>
      <c r="H5792" s="1" t="s">
        <v>8674</v>
      </c>
      <c r="J5792" s="1" t="s">
        <v>5053</v>
      </c>
      <c r="L5792" s="1" t="s">
        <v>2120</v>
      </c>
      <c r="N5792" s="1" t="s">
        <v>2121</v>
      </c>
      <c r="P5792" s="1" t="s">
        <v>1860</v>
      </c>
      <c r="Q5792" s="3">
        <v>1</v>
      </c>
      <c r="R5792" s="22" t="s">
        <v>2726</v>
      </c>
      <c r="S5792" s="42" t="s">
        <v>6912</v>
      </c>
      <c r="T5792" s="3" t="s">
        <v>4868</v>
      </c>
      <c r="U5792" s="45">
        <v>35</v>
      </c>
      <c r="V5792" t="s">
        <v>8191</v>
      </c>
      <c r="W5792" s="1" t="str">
        <f>HYPERLINK("http://ictvonline.org/taxonomy/p/taxonomy-history?taxnode_id=201904834","ICTVonline=201904834")</f>
        <v>ICTVonline=201904834</v>
      </c>
    </row>
    <row r="5793" spans="1:23">
      <c r="A5793" s="3">
        <v>5792</v>
      </c>
      <c r="B5793" s="1" t="s">
        <v>5910</v>
      </c>
      <c r="D5793" s="1" t="s">
        <v>8672</v>
      </c>
      <c r="F5793" s="1" t="s">
        <v>8673</v>
      </c>
      <c r="H5793" s="1" t="s">
        <v>8674</v>
      </c>
      <c r="J5793" s="1" t="s">
        <v>5053</v>
      </c>
      <c r="L5793" s="1" t="s">
        <v>2120</v>
      </c>
      <c r="N5793" s="1" t="s">
        <v>2121</v>
      </c>
      <c r="P5793" s="1" t="s">
        <v>1861</v>
      </c>
      <c r="Q5793" s="3">
        <v>0</v>
      </c>
      <c r="R5793" s="22" t="s">
        <v>2726</v>
      </c>
      <c r="S5793" s="42" t="s">
        <v>6912</v>
      </c>
      <c r="T5793" s="3" t="s">
        <v>4868</v>
      </c>
      <c r="U5793" s="45">
        <v>35</v>
      </c>
      <c r="V5793" t="s">
        <v>8191</v>
      </c>
      <c r="W5793" s="1" t="str">
        <f>HYPERLINK("http://ictvonline.org/taxonomy/p/taxonomy-history?taxnode_id=201904835","ICTVonline=201904835")</f>
        <v>ICTVonline=201904835</v>
      </c>
    </row>
    <row r="5794" spans="1:23">
      <c r="A5794" s="3">
        <v>5793</v>
      </c>
      <c r="B5794" s="1" t="s">
        <v>5910</v>
      </c>
      <c r="D5794" s="1" t="s">
        <v>8672</v>
      </c>
      <c r="F5794" s="1" t="s">
        <v>8673</v>
      </c>
      <c r="H5794" s="1" t="s">
        <v>8674</v>
      </c>
      <c r="J5794" s="1" t="s">
        <v>5053</v>
      </c>
      <c r="L5794" s="1" t="s">
        <v>2120</v>
      </c>
      <c r="N5794" s="1" t="s">
        <v>2121</v>
      </c>
      <c r="P5794" s="1" t="s">
        <v>2063</v>
      </c>
      <c r="Q5794" s="3">
        <v>0</v>
      </c>
      <c r="R5794" s="22" t="s">
        <v>2726</v>
      </c>
      <c r="S5794" s="42" t="s">
        <v>6912</v>
      </c>
      <c r="T5794" s="3" t="s">
        <v>4868</v>
      </c>
      <c r="U5794" s="45">
        <v>35</v>
      </c>
      <c r="V5794" t="s">
        <v>8191</v>
      </c>
      <c r="W5794" s="1" t="str">
        <f>HYPERLINK("http://ictvonline.org/taxonomy/p/taxonomy-history?taxnode_id=201904836","ICTVonline=201904836")</f>
        <v>ICTVonline=201904836</v>
      </c>
    </row>
    <row r="5795" spans="1:23">
      <c r="A5795" s="3">
        <v>5794</v>
      </c>
      <c r="B5795" s="1" t="s">
        <v>5910</v>
      </c>
      <c r="D5795" s="1" t="s">
        <v>8672</v>
      </c>
      <c r="F5795" s="1" t="s">
        <v>8673</v>
      </c>
      <c r="H5795" s="1" t="s">
        <v>8674</v>
      </c>
      <c r="J5795" s="1" t="s">
        <v>5053</v>
      </c>
      <c r="L5795" s="1" t="s">
        <v>2120</v>
      </c>
      <c r="N5795" s="1" t="s">
        <v>2121</v>
      </c>
      <c r="P5795" s="1" t="s">
        <v>1878</v>
      </c>
      <c r="Q5795" s="3">
        <v>0</v>
      </c>
      <c r="R5795" s="22" t="s">
        <v>2726</v>
      </c>
      <c r="S5795" s="42" t="s">
        <v>6912</v>
      </c>
      <c r="T5795" s="3" t="s">
        <v>4868</v>
      </c>
      <c r="U5795" s="45">
        <v>35</v>
      </c>
      <c r="V5795" t="s">
        <v>8191</v>
      </c>
      <c r="W5795" s="1" t="str">
        <f>HYPERLINK("http://ictvonline.org/taxonomy/p/taxonomy-history?taxnode_id=201904837","ICTVonline=201904837")</f>
        <v>ICTVonline=201904837</v>
      </c>
    </row>
    <row r="5796" spans="1:23">
      <c r="A5796" s="3">
        <v>5795</v>
      </c>
      <c r="B5796" s="1" t="s">
        <v>5910</v>
      </c>
      <c r="D5796" s="1" t="s">
        <v>8672</v>
      </c>
      <c r="F5796" s="1" t="s">
        <v>8673</v>
      </c>
      <c r="H5796" s="1" t="s">
        <v>8674</v>
      </c>
      <c r="J5796" s="1" t="s">
        <v>5053</v>
      </c>
      <c r="L5796" s="1" t="s">
        <v>2120</v>
      </c>
      <c r="N5796" s="1" t="s">
        <v>1879</v>
      </c>
      <c r="P5796" s="1" t="s">
        <v>285</v>
      </c>
      <c r="Q5796" s="3">
        <v>0</v>
      </c>
      <c r="R5796" s="22" t="s">
        <v>2726</v>
      </c>
      <c r="S5796" s="42" t="s">
        <v>6912</v>
      </c>
      <c r="T5796" s="3" t="s">
        <v>4868</v>
      </c>
      <c r="U5796" s="45">
        <v>35</v>
      </c>
      <c r="V5796" t="s">
        <v>8191</v>
      </c>
      <c r="W5796" s="1" t="str">
        <f>HYPERLINK("http://ictvonline.org/taxonomy/p/taxonomy-history?taxnode_id=201904839","ICTVonline=201904839")</f>
        <v>ICTVonline=201904839</v>
      </c>
    </row>
    <row r="5797" spans="1:23">
      <c r="A5797" s="3">
        <v>5796</v>
      </c>
      <c r="B5797" s="1" t="s">
        <v>5910</v>
      </c>
      <c r="D5797" s="1" t="s">
        <v>8672</v>
      </c>
      <c r="F5797" s="1" t="s">
        <v>8673</v>
      </c>
      <c r="H5797" s="1" t="s">
        <v>8674</v>
      </c>
      <c r="J5797" s="1" t="s">
        <v>5053</v>
      </c>
      <c r="L5797" s="1" t="s">
        <v>2120</v>
      </c>
      <c r="N5797" s="1" t="s">
        <v>1879</v>
      </c>
      <c r="P5797" s="1" t="s">
        <v>286</v>
      </c>
      <c r="Q5797" s="3">
        <v>0</v>
      </c>
      <c r="R5797" s="22" t="s">
        <v>2726</v>
      </c>
      <c r="S5797" s="42" t="s">
        <v>6912</v>
      </c>
      <c r="T5797" s="3" t="s">
        <v>4868</v>
      </c>
      <c r="U5797" s="45">
        <v>35</v>
      </c>
      <c r="V5797" t="s">
        <v>8191</v>
      </c>
      <c r="W5797" s="1" t="str">
        <f>HYPERLINK("http://ictvonline.org/taxonomy/p/taxonomy-history?taxnode_id=201904840","ICTVonline=201904840")</f>
        <v>ICTVonline=201904840</v>
      </c>
    </row>
    <row r="5798" spans="1:23">
      <c r="A5798" s="3">
        <v>5797</v>
      </c>
      <c r="B5798" s="1" t="s">
        <v>5910</v>
      </c>
      <c r="D5798" s="1" t="s">
        <v>8672</v>
      </c>
      <c r="F5798" s="1" t="s">
        <v>8673</v>
      </c>
      <c r="H5798" s="1" t="s">
        <v>8674</v>
      </c>
      <c r="J5798" s="1" t="s">
        <v>5053</v>
      </c>
      <c r="L5798" s="1" t="s">
        <v>2120</v>
      </c>
      <c r="N5798" s="1" t="s">
        <v>1879</v>
      </c>
      <c r="P5798" s="1" t="s">
        <v>2733</v>
      </c>
      <c r="Q5798" s="3">
        <v>0</v>
      </c>
      <c r="R5798" s="22" t="s">
        <v>2726</v>
      </c>
      <c r="S5798" s="42" t="s">
        <v>6912</v>
      </c>
      <c r="T5798" s="3" t="s">
        <v>4868</v>
      </c>
      <c r="U5798" s="45">
        <v>35</v>
      </c>
      <c r="V5798" t="s">
        <v>8191</v>
      </c>
      <c r="W5798" s="1" t="str">
        <f>HYPERLINK("http://ictvonline.org/taxonomy/p/taxonomy-history?taxnode_id=201904841","ICTVonline=201904841")</f>
        <v>ICTVonline=201904841</v>
      </c>
    </row>
    <row r="5799" spans="1:23">
      <c r="A5799" s="3">
        <v>5798</v>
      </c>
      <c r="B5799" s="1" t="s">
        <v>5910</v>
      </c>
      <c r="D5799" s="1" t="s">
        <v>8672</v>
      </c>
      <c r="F5799" s="1" t="s">
        <v>8673</v>
      </c>
      <c r="H5799" s="1" t="s">
        <v>8674</v>
      </c>
      <c r="J5799" s="1" t="s">
        <v>5053</v>
      </c>
      <c r="L5799" s="1" t="s">
        <v>2120</v>
      </c>
      <c r="N5799" s="1" t="s">
        <v>1879</v>
      </c>
      <c r="P5799" s="1" t="s">
        <v>1277</v>
      </c>
      <c r="Q5799" s="3">
        <v>0</v>
      </c>
      <c r="R5799" s="22" t="s">
        <v>2726</v>
      </c>
      <c r="S5799" s="42" t="s">
        <v>6912</v>
      </c>
      <c r="T5799" s="3" t="s">
        <v>4868</v>
      </c>
      <c r="U5799" s="45">
        <v>35</v>
      </c>
      <c r="V5799" t="s">
        <v>8191</v>
      </c>
      <c r="W5799" s="1" t="str">
        <f>HYPERLINK("http://ictvonline.org/taxonomy/p/taxonomy-history?taxnode_id=201904842","ICTVonline=201904842")</f>
        <v>ICTVonline=201904842</v>
      </c>
    </row>
    <row r="5800" spans="1:23">
      <c r="A5800" s="3">
        <v>5799</v>
      </c>
      <c r="B5800" s="1" t="s">
        <v>5910</v>
      </c>
      <c r="D5800" s="1" t="s">
        <v>8672</v>
      </c>
      <c r="F5800" s="1" t="s">
        <v>8673</v>
      </c>
      <c r="H5800" s="1" t="s">
        <v>8674</v>
      </c>
      <c r="J5800" s="1" t="s">
        <v>5053</v>
      </c>
      <c r="L5800" s="1" t="s">
        <v>2120</v>
      </c>
      <c r="N5800" s="1" t="s">
        <v>1879</v>
      </c>
      <c r="P5800" s="1" t="s">
        <v>1278</v>
      </c>
      <c r="Q5800" s="3">
        <v>0</v>
      </c>
      <c r="R5800" s="22" t="s">
        <v>2726</v>
      </c>
      <c r="S5800" s="42" t="s">
        <v>6912</v>
      </c>
      <c r="T5800" s="3" t="s">
        <v>4868</v>
      </c>
      <c r="U5800" s="45">
        <v>35</v>
      </c>
      <c r="V5800" t="s">
        <v>8191</v>
      </c>
      <c r="W5800" s="1" t="str">
        <f>HYPERLINK("http://ictvonline.org/taxonomy/p/taxonomy-history?taxnode_id=201904843","ICTVonline=201904843")</f>
        <v>ICTVonline=201904843</v>
      </c>
    </row>
    <row r="5801" spans="1:23">
      <c r="A5801" s="3">
        <v>5800</v>
      </c>
      <c r="B5801" s="1" t="s">
        <v>5910</v>
      </c>
      <c r="D5801" s="1" t="s">
        <v>8672</v>
      </c>
      <c r="F5801" s="1" t="s">
        <v>8673</v>
      </c>
      <c r="H5801" s="1" t="s">
        <v>8674</v>
      </c>
      <c r="J5801" s="1" t="s">
        <v>5053</v>
      </c>
      <c r="L5801" s="1" t="s">
        <v>2120</v>
      </c>
      <c r="N5801" s="1" t="s">
        <v>1879</v>
      </c>
      <c r="P5801" s="1" t="s">
        <v>1279</v>
      </c>
      <c r="Q5801" s="3">
        <v>0</v>
      </c>
      <c r="R5801" s="22" t="s">
        <v>2726</v>
      </c>
      <c r="S5801" s="42" t="s">
        <v>6912</v>
      </c>
      <c r="T5801" s="3" t="s">
        <v>4868</v>
      </c>
      <c r="U5801" s="45">
        <v>35</v>
      </c>
      <c r="V5801" t="s">
        <v>8191</v>
      </c>
      <c r="W5801" s="1" t="str">
        <f>HYPERLINK("http://ictvonline.org/taxonomy/p/taxonomy-history?taxnode_id=201904844","ICTVonline=201904844")</f>
        <v>ICTVonline=201904844</v>
      </c>
    </row>
    <row r="5802" spans="1:23">
      <c r="A5802" s="3">
        <v>5801</v>
      </c>
      <c r="B5802" s="1" t="s">
        <v>5910</v>
      </c>
      <c r="D5802" s="1" t="s">
        <v>8672</v>
      </c>
      <c r="F5802" s="1" t="s">
        <v>8673</v>
      </c>
      <c r="H5802" s="1" t="s">
        <v>8674</v>
      </c>
      <c r="J5802" s="1" t="s">
        <v>5053</v>
      </c>
      <c r="L5802" s="1" t="s">
        <v>2120</v>
      </c>
      <c r="N5802" s="1" t="s">
        <v>1879</v>
      </c>
      <c r="P5802" s="1" t="s">
        <v>1280</v>
      </c>
      <c r="Q5802" s="3">
        <v>0</v>
      </c>
      <c r="R5802" s="22" t="s">
        <v>2726</v>
      </c>
      <c r="S5802" s="42" t="s">
        <v>6912</v>
      </c>
      <c r="T5802" s="3" t="s">
        <v>4868</v>
      </c>
      <c r="U5802" s="45">
        <v>35</v>
      </c>
      <c r="V5802" t="s">
        <v>8191</v>
      </c>
      <c r="W5802" s="1" t="str">
        <f>HYPERLINK("http://ictvonline.org/taxonomy/p/taxonomy-history?taxnode_id=201904845","ICTVonline=201904845")</f>
        <v>ICTVonline=201904845</v>
      </c>
    </row>
    <row r="5803" spans="1:23">
      <c r="A5803" s="3">
        <v>5802</v>
      </c>
      <c r="B5803" s="1" t="s">
        <v>5910</v>
      </c>
      <c r="D5803" s="1" t="s">
        <v>8672</v>
      </c>
      <c r="F5803" s="1" t="s">
        <v>8673</v>
      </c>
      <c r="H5803" s="1" t="s">
        <v>8674</v>
      </c>
      <c r="J5803" s="1" t="s">
        <v>5053</v>
      </c>
      <c r="L5803" s="1" t="s">
        <v>2120</v>
      </c>
      <c r="N5803" s="1" t="s">
        <v>1879</v>
      </c>
      <c r="P5803" s="1" t="s">
        <v>1281</v>
      </c>
      <c r="Q5803" s="3">
        <v>0</v>
      </c>
      <c r="R5803" s="22" t="s">
        <v>2726</v>
      </c>
      <c r="S5803" s="42" t="s">
        <v>6912</v>
      </c>
      <c r="T5803" s="3" t="s">
        <v>4868</v>
      </c>
      <c r="U5803" s="45">
        <v>35</v>
      </c>
      <c r="V5803" t="s">
        <v>8191</v>
      </c>
      <c r="W5803" s="1" t="str">
        <f>HYPERLINK("http://ictvonline.org/taxonomy/p/taxonomy-history?taxnode_id=201904846","ICTVonline=201904846")</f>
        <v>ICTVonline=201904846</v>
      </c>
    </row>
    <row r="5804" spans="1:23">
      <c r="A5804" s="3">
        <v>5803</v>
      </c>
      <c r="B5804" s="1" t="s">
        <v>5910</v>
      </c>
      <c r="D5804" s="1" t="s">
        <v>8672</v>
      </c>
      <c r="F5804" s="1" t="s">
        <v>8673</v>
      </c>
      <c r="H5804" s="1" t="s">
        <v>8674</v>
      </c>
      <c r="J5804" s="1" t="s">
        <v>5053</v>
      </c>
      <c r="L5804" s="1" t="s">
        <v>2120</v>
      </c>
      <c r="N5804" s="1" t="s">
        <v>1879</v>
      </c>
      <c r="P5804" s="1" t="s">
        <v>1282</v>
      </c>
      <c r="Q5804" s="3">
        <v>0</v>
      </c>
      <c r="R5804" s="22" t="s">
        <v>2726</v>
      </c>
      <c r="S5804" s="42" t="s">
        <v>6912</v>
      </c>
      <c r="T5804" s="3" t="s">
        <v>4868</v>
      </c>
      <c r="U5804" s="45">
        <v>35</v>
      </c>
      <c r="V5804" t="s">
        <v>8191</v>
      </c>
      <c r="W5804" s="1" t="str">
        <f>HYPERLINK("http://ictvonline.org/taxonomy/p/taxonomy-history?taxnode_id=201904847","ICTVonline=201904847")</f>
        <v>ICTVonline=201904847</v>
      </c>
    </row>
    <row r="5805" spans="1:23">
      <c r="A5805" s="3">
        <v>5804</v>
      </c>
      <c r="B5805" s="1" t="s">
        <v>5910</v>
      </c>
      <c r="D5805" s="1" t="s">
        <v>8672</v>
      </c>
      <c r="F5805" s="1" t="s">
        <v>8673</v>
      </c>
      <c r="H5805" s="1" t="s">
        <v>8674</v>
      </c>
      <c r="J5805" s="1" t="s">
        <v>5053</v>
      </c>
      <c r="L5805" s="1" t="s">
        <v>2120</v>
      </c>
      <c r="N5805" s="1" t="s">
        <v>1879</v>
      </c>
      <c r="P5805" s="1" t="s">
        <v>1283</v>
      </c>
      <c r="Q5805" s="3">
        <v>0</v>
      </c>
      <c r="R5805" s="22" t="s">
        <v>2726</v>
      </c>
      <c r="S5805" s="42" t="s">
        <v>6912</v>
      </c>
      <c r="T5805" s="3" t="s">
        <v>4868</v>
      </c>
      <c r="U5805" s="45">
        <v>35</v>
      </c>
      <c r="V5805" t="s">
        <v>8191</v>
      </c>
      <c r="W5805" s="1" t="str">
        <f>HYPERLINK("http://ictvonline.org/taxonomy/p/taxonomy-history?taxnode_id=201904848","ICTVonline=201904848")</f>
        <v>ICTVonline=201904848</v>
      </c>
    </row>
    <row r="5806" spans="1:23">
      <c r="A5806" s="3">
        <v>5805</v>
      </c>
      <c r="B5806" s="1" t="s">
        <v>5910</v>
      </c>
      <c r="D5806" s="1" t="s">
        <v>8672</v>
      </c>
      <c r="F5806" s="1" t="s">
        <v>8673</v>
      </c>
      <c r="H5806" s="1" t="s">
        <v>8674</v>
      </c>
      <c r="J5806" s="1" t="s">
        <v>5053</v>
      </c>
      <c r="L5806" s="1" t="s">
        <v>2120</v>
      </c>
      <c r="N5806" s="1" t="s">
        <v>1879</v>
      </c>
      <c r="P5806" s="1" t="s">
        <v>1672</v>
      </c>
      <c r="Q5806" s="3">
        <v>0</v>
      </c>
      <c r="R5806" s="22" t="s">
        <v>2726</v>
      </c>
      <c r="S5806" s="42" t="s">
        <v>6912</v>
      </c>
      <c r="T5806" s="3" t="s">
        <v>4868</v>
      </c>
      <c r="U5806" s="45">
        <v>35</v>
      </c>
      <c r="V5806" t="s">
        <v>8191</v>
      </c>
      <c r="W5806" s="1" t="str">
        <f>HYPERLINK("http://ictvonline.org/taxonomy/p/taxonomy-history?taxnode_id=201904849","ICTVonline=201904849")</f>
        <v>ICTVonline=201904849</v>
      </c>
    </row>
    <row r="5807" spans="1:23">
      <c r="A5807" s="3">
        <v>5806</v>
      </c>
      <c r="B5807" s="1" t="s">
        <v>5910</v>
      </c>
      <c r="D5807" s="1" t="s">
        <v>8672</v>
      </c>
      <c r="F5807" s="1" t="s">
        <v>8673</v>
      </c>
      <c r="H5807" s="1" t="s">
        <v>8674</v>
      </c>
      <c r="J5807" s="1" t="s">
        <v>5053</v>
      </c>
      <c r="L5807" s="1" t="s">
        <v>2120</v>
      </c>
      <c r="N5807" s="1" t="s">
        <v>1879</v>
      </c>
      <c r="P5807" s="1" t="s">
        <v>1673</v>
      </c>
      <c r="Q5807" s="3">
        <v>0</v>
      </c>
      <c r="R5807" s="22" t="s">
        <v>2726</v>
      </c>
      <c r="S5807" s="42" t="s">
        <v>6912</v>
      </c>
      <c r="T5807" s="3" t="s">
        <v>4868</v>
      </c>
      <c r="U5807" s="45">
        <v>35</v>
      </c>
      <c r="V5807" t="s">
        <v>8191</v>
      </c>
      <c r="W5807" s="1" t="str">
        <f>HYPERLINK("http://ictvonline.org/taxonomy/p/taxonomy-history?taxnode_id=201904850","ICTVonline=201904850")</f>
        <v>ICTVonline=201904850</v>
      </c>
    </row>
    <row r="5808" spans="1:23">
      <c r="A5808" s="3">
        <v>5807</v>
      </c>
      <c r="B5808" s="1" t="s">
        <v>5910</v>
      </c>
      <c r="D5808" s="1" t="s">
        <v>8672</v>
      </c>
      <c r="F5808" s="1" t="s">
        <v>8673</v>
      </c>
      <c r="H5808" s="1" t="s">
        <v>8674</v>
      </c>
      <c r="J5808" s="1" t="s">
        <v>5053</v>
      </c>
      <c r="L5808" s="1" t="s">
        <v>2120</v>
      </c>
      <c r="N5808" s="1" t="s">
        <v>1879</v>
      </c>
      <c r="P5808" s="1" t="s">
        <v>1674</v>
      </c>
      <c r="Q5808" s="3">
        <v>0</v>
      </c>
      <c r="R5808" s="22" t="s">
        <v>2726</v>
      </c>
      <c r="S5808" s="42" t="s">
        <v>6912</v>
      </c>
      <c r="T5808" s="3" t="s">
        <v>4868</v>
      </c>
      <c r="U5808" s="45">
        <v>35</v>
      </c>
      <c r="V5808" t="s">
        <v>8191</v>
      </c>
      <c r="W5808" s="1" t="str">
        <f>HYPERLINK("http://ictvonline.org/taxonomy/p/taxonomy-history?taxnode_id=201904851","ICTVonline=201904851")</f>
        <v>ICTVonline=201904851</v>
      </c>
    </row>
    <row r="5809" spans="1:23">
      <c r="A5809" s="3">
        <v>5808</v>
      </c>
      <c r="B5809" s="1" t="s">
        <v>5910</v>
      </c>
      <c r="D5809" s="1" t="s">
        <v>8672</v>
      </c>
      <c r="F5809" s="1" t="s">
        <v>8673</v>
      </c>
      <c r="H5809" s="1" t="s">
        <v>8674</v>
      </c>
      <c r="J5809" s="1" t="s">
        <v>5053</v>
      </c>
      <c r="L5809" s="1" t="s">
        <v>2120</v>
      </c>
      <c r="N5809" s="1" t="s">
        <v>1879</v>
      </c>
      <c r="P5809" s="1" t="s">
        <v>1675</v>
      </c>
      <c r="Q5809" s="3">
        <v>1</v>
      </c>
      <c r="R5809" s="22" t="s">
        <v>2726</v>
      </c>
      <c r="S5809" s="42" t="s">
        <v>6912</v>
      </c>
      <c r="T5809" s="3" t="s">
        <v>4868</v>
      </c>
      <c r="U5809" s="45">
        <v>35</v>
      </c>
      <c r="V5809" t="s">
        <v>8191</v>
      </c>
      <c r="W5809" s="1" t="str">
        <f>HYPERLINK("http://ictvonline.org/taxonomy/p/taxonomy-history?taxnode_id=201904852","ICTVonline=201904852")</f>
        <v>ICTVonline=201904852</v>
      </c>
    </row>
    <row r="5810" spans="1:23">
      <c r="A5810" s="3">
        <v>5809</v>
      </c>
      <c r="B5810" s="1" t="s">
        <v>5910</v>
      </c>
      <c r="D5810" s="1" t="s">
        <v>8672</v>
      </c>
      <c r="F5810" s="1" t="s">
        <v>8673</v>
      </c>
      <c r="H5810" s="1" t="s">
        <v>8674</v>
      </c>
      <c r="J5810" s="1" t="s">
        <v>5053</v>
      </c>
      <c r="L5810" s="1" t="s">
        <v>2120</v>
      </c>
      <c r="N5810" s="1" t="s">
        <v>1879</v>
      </c>
      <c r="P5810" s="1" t="s">
        <v>1676</v>
      </c>
      <c r="Q5810" s="3">
        <v>0</v>
      </c>
      <c r="R5810" s="22" t="s">
        <v>2726</v>
      </c>
      <c r="S5810" s="42" t="s">
        <v>6912</v>
      </c>
      <c r="T5810" s="3" t="s">
        <v>4868</v>
      </c>
      <c r="U5810" s="45">
        <v>35</v>
      </c>
      <c r="V5810" t="s">
        <v>8191</v>
      </c>
      <c r="W5810" s="1" t="str">
        <f>HYPERLINK("http://ictvonline.org/taxonomy/p/taxonomy-history?taxnode_id=201904853","ICTVonline=201904853")</f>
        <v>ICTVonline=201904853</v>
      </c>
    </row>
    <row r="5811" spans="1:23">
      <c r="A5811" s="3">
        <v>5810</v>
      </c>
      <c r="B5811" s="1" t="s">
        <v>5910</v>
      </c>
      <c r="D5811" s="1" t="s">
        <v>8672</v>
      </c>
      <c r="F5811" s="1" t="s">
        <v>8673</v>
      </c>
      <c r="H5811" s="1" t="s">
        <v>8674</v>
      </c>
      <c r="J5811" s="1" t="s">
        <v>5053</v>
      </c>
      <c r="L5811" s="1" t="s">
        <v>2120</v>
      </c>
      <c r="N5811" s="1" t="s">
        <v>1879</v>
      </c>
      <c r="P5811" s="1" t="s">
        <v>709</v>
      </c>
      <c r="Q5811" s="3">
        <v>0</v>
      </c>
      <c r="R5811" s="22" t="s">
        <v>2726</v>
      </c>
      <c r="S5811" s="42" t="s">
        <v>6912</v>
      </c>
      <c r="T5811" s="3" t="s">
        <v>4868</v>
      </c>
      <c r="U5811" s="45">
        <v>35</v>
      </c>
      <c r="V5811" t="s">
        <v>8191</v>
      </c>
      <c r="W5811" s="1" t="str">
        <f>HYPERLINK("http://ictvonline.org/taxonomy/p/taxonomy-history?taxnode_id=201904854","ICTVonline=201904854")</f>
        <v>ICTVonline=201904854</v>
      </c>
    </row>
    <row r="5812" spans="1:23">
      <c r="A5812" s="3">
        <v>5811</v>
      </c>
      <c r="B5812" s="1" t="s">
        <v>5910</v>
      </c>
      <c r="D5812" s="1" t="s">
        <v>8672</v>
      </c>
      <c r="F5812" s="1" t="s">
        <v>8673</v>
      </c>
      <c r="H5812" s="1" t="s">
        <v>8674</v>
      </c>
      <c r="J5812" s="1" t="s">
        <v>5053</v>
      </c>
      <c r="L5812" s="1" t="s">
        <v>2120</v>
      </c>
      <c r="N5812" s="1" t="s">
        <v>1879</v>
      </c>
      <c r="P5812" s="1" t="s">
        <v>1746</v>
      </c>
      <c r="Q5812" s="3">
        <v>0</v>
      </c>
      <c r="R5812" s="22" t="s">
        <v>2726</v>
      </c>
      <c r="S5812" s="42" t="s">
        <v>6912</v>
      </c>
      <c r="T5812" s="3" t="s">
        <v>4868</v>
      </c>
      <c r="U5812" s="45">
        <v>35</v>
      </c>
      <c r="V5812" t="s">
        <v>8191</v>
      </c>
      <c r="W5812" s="1" t="str">
        <f>HYPERLINK("http://ictvonline.org/taxonomy/p/taxonomy-history?taxnode_id=201904855","ICTVonline=201904855")</f>
        <v>ICTVonline=201904855</v>
      </c>
    </row>
    <row r="5813" spans="1:23">
      <c r="A5813" s="3">
        <v>5812</v>
      </c>
      <c r="B5813" s="1" t="s">
        <v>5910</v>
      </c>
      <c r="D5813" s="1" t="s">
        <v>8672</v>
      </c>
      <c r="F5813" s="1" t="s">
        <v>8673</v>
      </c>
      <c r="H5813" s="1" t="s">
        <v>8674</v>
      </c>
      <c r="J5813" s="1" t="s">
        <v>5053</v>
      </c>
      <c r="L5813" s="1" t="s">
        <v>2120</v>
      </c>
      <c r="N5813" s="1" t="s">
        <v>1879</v>
      </c>
      <c r="P5813" s="1" t="s">
        <v>5068</v>
      </c>
      <c r="Q5813" s="3">
        <v>0</v>
      </c>
      <c r="R5813" s="22" t="s">
        <v>2726</v>
      </c>
      <c r="S5813" s="42" t="s">
        <v>6912</v>
      </c>
      <c r="T5813" s="3" t="s">
        <v>4868</v>
      </c>
      <c r="U5813" s="45">
        <v>35</v>
      </c>
      <c r="V5813" t="s">
        <v>8191</v>
      </c>
      <c r="W5813" s="1" t="str">
        <f>HYPERLINK("http://ictvonline.org/taxonomy/p/taxonomy-history?taxnode_id=201904856","ICTVonline=201904856")</f>
        <v>ICTVonline=201904856</v>
      </c>
    </row>
    <row r="5814" spans="1:23">
      <c r="A5814" s="3">
        <v>5813</v>
      </c>
      <c r="B5814" s="1" t="s">
        <v>5910</v>
      </c>
      <c r="D5814" s="1" t="s">
        <v>8672</v>
      </c>
      <c r="F5814" s="1" t="s">
        <v>8673</v>
      </c>
      <c r="H5814" s="1" t="s">
        <v>8674</v>
      </c>
      <c r="J5814" s="1" t="s">
        <v>5053</v>
      </c>
      <c r="L5814" s="1" t="s">
        <v>2120</v>
      </c>
      <c r="N5814" s="1" t="s">
        <v>1879</v>
      </c>
      <c r="P5814" s="1" t="s">
        <v>1747</v>
      </c>
      <c r="Q5814" s="3">
        <v>0</v>
      </c>
      <c r="R5814" s="22" t="s">
        <v>2726</v>
      </c>
      <c r="S5814" s="42" t="s">
        <v>6912</v>
      </c>
      <c r="T5814" s="3" t="s">
        <v>4868</v>
      </c>
      <c r="U5814" s="45">
        <v>35</v>
      </c>
      <c r="V5814" t="s">
        <v>8191</v>
      </c>
      <c r="W5814" s="1" t="str">
        <f>HYPERLINK("http://ictvonline.org/taxonomy/p/taxonomy-history?taxnode_id=201904857","ICTVonline=201904857")</f>
        <v>ICTVonline=201904857</v>
      </c>
    </row>
    <row r="5815" spans="1:23">
      <c r="A5815" s="3">
        <v>5814</v>
      </c>
      <c r="B5815" s="1" t="s">
        <v>5910</v>
      </c>
      <c r="D5815" s="1" t="s">
        <v>8672</v>
      </c>
      <c r="F5815" s="1" t="s">
        <v>8673</v>
      </c>
      <c r="H5815" s="1" t="s">
        <v>8674</v>
      </c>
      <c r="J5815" s="1" t="s">
        <v>5053</v>
      </c>
      <c r="L5815" s="1" t="s">
        <v>2120</v>
      </c>
      <c r="N5815" s="1" t="s">
        <v>1879</v>
      </c>
      <c r="P5815" s="1" t="s">
        <v>5069</v>
      </c>
      <c r="Q5815" s="3">
        <v>0</v>
      </c>
      <c r="R5815" s="22" t="s">
        <v>2726</v>
      </c>
      <c r="S5815" s="42" t="s">
        <v>6912</v>
      </c>
      <c r="T5815" s="3" t="s">
        <v>4868</v>
      </c>
      <c r="U5815" s="45">
        <v>35</v>
      </c>
      <c r="V5815" t="s">
        <v>8191</v>
      </c>
      <c r="W5815" s="1" t="str">
        <f>HYPERLINK("http://ictvonline.org/taxonomy/p/taxonomy-history?taxnode_id=201904858","ICTVonline=201904858")</f>
        <v>ICTVonline=201904858</v>
      </c>
    </row>
    <row r="5816" spans="1:23">
      <c r="A5816" s="3">
        <v>5815</v>
      </c>
      <c r="B5816" s="1" t="s">
        <v>5910</v>
      </c>
      <c r="D5816" s="1" t="s">
        <v>8672</v>
      </c>
      <c r="F5816" s="1" t="s">
        <v>8673</v>
      </c>
      <c r="H5816" s="1" t="s">
        <v>8674</v>
      </c>
      <c r="J5816" s="1" t="s">
        <v>5053</v>
      </c>
      <c r="L5816" s="1" t="s">
        <v>2120</v>
      </c>
      <c r="N5816" s="1" t="s">
        <v>712</v>
      </c>
      <c r="P5816" s="1" t="s">
        <v>713</v>
      </c>
      <c r="Q5816" s="3">
        <v>0</v>
      </c>
      <c r="R5816" s="22" t="s">
        <v>2726</v>
      </c>
      <c r="S5816" s="42" t="s">
        <v>6912</v>
      </c>
      <c r="T5816" s="3" t="s">
        <v>4868</v>
      </c>
      <c r="U5816" s="45">
        <v>35</v>
      </c>
      <c r="V5816" t="s">
        <v>8191</v>
      </c>
      <c r="W5816" s="1" t="str">
        <f>HYPERLINK("http://ictvonline.org/taxonomy/p/taxonomy-history?taxnode_id=201904860","ICTVonline=201904860")</f>
        <v>ICTVonline=201904860</v>
      </c>
    </row>
    <row r="5817" spans="1:23">
      <c r="A5817" s="3">
        <v>5816</v>
      </c>
      <c r="B5817" s="1" t="s">
        <v>5910</v>
      </c>
      <c r="D5817" s="1" t="s">
        <v>8672</v>
      </c>
      <c r="F5817" s="1" t="s">
        <v>8673</v>
      </c>
      <c r="H5817" s="1" t="s">
        <v>8674</v>
      </c>
      <c r="J5817" s="1" t="s">
        <v>5053</v>
      </c>
      <c r="L5817" s="1" t="s">
        <v>2120</v>
      </c>
      <c r="N5817" s="1" t="s">
        <v>712</v>
      </c>
      <c r="P5817" s="1" t="s">
        <v>714</v>
      </c>
      <c r="Q5817" s="3">
        <v>1</v>
      </c>
      <c r="R5817" s="22" t="s">
        <v>2726</v>
      </c>
      <c r="S5817" s="42" t="s">
        <v>6912</v>
      </c>
      <c r="T5817" s="3" t="s">
        <v>4868</v>
      </c>
      <c r="U5817" s="45">
        <v>35</v>
      </c>
      <c r="V5817" t="s">
        <v>8191</v>
      </c>
      <c r="W5817" s="1" t="str">
        <f>HYPERLINK("http://ictvonline.org/taxonomy/p/taxonomy-history?taxnode_id=201904861","ICTVonline=201904861")</f>
        <v>ICTVonline=201904861</v>
      </c>
    </row>
    <row r="5818" spans="1:23">
      <c r="A5818" s="3">
        <v>5817</v>
      </c>
      <c r="B5818" s="1" t="s">
        <v>5910</v>
      </c>
      <c r="D5818" s="1" t="s">
        <v>8672</v>
      </c>
      <c r="F5818" s="1" t="s">
        <v>8673</v>
      </c>
      <c r="H5818" s="1" t="s">
        <v>8674</v>
      </c>
      <c r="J5818" s="1" t="s">
        <v>5053</v>
      </c>
      <c r="L5818" s="1" t="s">
        <v>2120</v>
      </c>
      <c r="N5818" s="1" t="s">
        <v>712</v>
      </c>
      <c r="P5818" s="1" t="s">
        <v>715</v>
      </c>
      <c r="Q5818" s="3">
        <v>0</v>
      </c>
      <c r="R5818" s="22" t="s">
        <v>2726</v>
      </c>
      <c r="S5818" s="42" t="s">
        <v>6912</v>
      </c>
      <c r="T5818" s="3" t="s">
        <v>4868</v>
      </c>
      <c r="U5818" s="45">
        <v>35</v>
      </c>
      <c r="V5818" t="s">
        <v>8191</v>
      </c>
      <c r="W5818" s="1" t="str">
        <f>HYPERLINK("http://ictvonline.org/taxonomy/p/taxonomy-history?taxnode_id=201904862","ICTVonline=201904862")</f>
        <v>ICTVonline=201904862</v>
      </c>
    </row>
    <row r="5819" spans="1:23">
      <c r="A5819" s="3">
        <v>5818</v>
      </c>
      <c r="B5819" s="1" t="s">
        <v>5910</v>
      </c>
      <c r="D5819" s="1" t="s">
        <v>8672</v>
      </c>
      <c r="F5819" s="1" t="s">
        <v>8673</v>
      </c>
      <c r="H5819" s="1" t="s">
        <v>8674</v>
      </c>
      <c r="J5819" s="1" t="s">
        <v>5053</v>
      </c>
      <c r="L5819" s="1" t="s">
        <v>2120</v>
      </c>
      <c r="N5819" s="1" t="s">
        <v>712</v>
      </c>
      <c r="P5819" s="1" t="s">
        <v>5070</v>
      </c>
      <c r="Q5819" s="3">
        <v>0</v>
      </c>
      <c r="R5819" s="22" t="s">
        <v>2726</v>
      </c>
      <c r="S5819" s="42" t="s">
        <v>6912</v>
      </c>
      <c r="T5819" s="3" t="s">
        <v>4868</v>
      </c>
      <c r="U5819" s="45">
        <v>35</v>
      </c>
      <c r="V5819" t="s">
        <v>8191</v>
      </c>
      <c r="W5819" s="1" t="str">
        <f>HYPERLINK("http://ictvonline.org/taxonomy/p/taxonomy-history?taxnode_id=201904863","ICTVonline=201904863")</f>
        <v>ICTVonline=201904863</v>
      </c>
    </row>
    <row r="5820" spans="1:23">
      <c r="A5820" s="3">
        <v>5819</v>
      </c>
      <c r="B5820" s="1" t="s">
        <v>5910</v>
      </c>
      <c r="D5820" s="1" t="s">
        <v>8672</v>
      </c>
      <c r="F5820" s="1" t="s">
        <v>8673</v>
      </c>
      <c r="H5820" s="1" t="s">
        <v>8674</v>
      </c>
      <c r="J5820" s="1" t="s">
        <v>5053</v>
      </c>
      <c r="L5820" s="1" t="s">
        <v>2120</v>
      </c>
      <c r="N5820" s="1" t="s">
        <v>712</v>
      </c>
      <c r="P5820" s="1" t="s">
        <v>5071</v>
      </c>
      <c r="Q5820" s="3">
        <v>0</v>
      </c>
      <c r="R5820" s="22" t="s">
        <v>2726</v>
      </c>
      <c r="S5820" s="42" t="s">
        <v>6912</v>
      </c>
      <c r="T5820" s="3" t="s">
        <v>4868</v>
      </c>
      <c r="U5820" s="45">
        <v>35</v>
      </c>
      <c r="V5820" t="s">
        <v>8191</v>
      </c>
      <c r="W5820" s="1" t="str">
        <f>HYPERLINK("http://ictvonline.org/taxonomy/p/taxonomy-history?taxnode_id=201904864","ICTVonline=201904864")</f>
        <v>ICTVonline=201904864</v>
      </c>
    </row>
    <row r="5821" spans="1:23">
      <c r="A5821" s="3">
        <v>5820</v>
      </c>
      <c r="B5821" s="1" t="s">
        <v>5910</v>
      </c>
      <c r="D5821" s="1" t="s">
        <v>8672</v>
      </c>
      <c r="F5821" s="1" t="s">
        <v>8673</v>
      </c>
      <c r="H5821" s="1" t="s">
        <v>8674</v>
      </c>
      <c r="J5821" s="1" t="s">
        <v>5053</v>
      </c>
      <c r="L5821" s="1" t="s">
        <v>2120</v>
      </c>
      <c r="P5821" s="1" t="s">
        <v>1751</v>
      </c>
      <c r="Q5821" s="3">
        <v>0</v>
      </c>
      <c r="R5821" s="22" t="s">
        <v>2726</v>
      </c>
      <c r="S5821" s="42" t="s">
        <v>6912</v>
      </c>
      <c r="T5821" s="3" t="s">
        <v>4868</v>
      </c>
      <c r="U5821" s="45">
        <v>35</v>
      </c>
      <c r="V5821" t="s">
        <v>8191</v>
      </c>
      <c r="W5821" s="1" t="str">
        <f>HYPERLINK("http://ictvonline.org/taxonomy/p/taxonomy-history?taxnode_id=201904866","ICTVonline=201904866")</f>
        <v>ICTVonline=201904866</v>
      </c>
    </row>
    <row r="5822" spans="1:23">
      <c r="A5822" s="3">
        <v>5821</v>
      </c>
      <c r="B5822" s="1" t="s">
        <v>5910</v>
      </c>
      <c r="D5822" s="1" t="s">
        <v>8672</v>
      </c>
      <c r="F5822" s="1" t="s">
        <v>8673</v>
      </c>
      <c r="H5822" s="1" t="s">
        <v>8674</v>
      </c>
      <c r="J5822" s="1" t="s">
        <v>5053</v>
      </c>
      <c r="L5822" s="1" t="s">
        <v>357</v>
      </c>
      <c r="M5822" s="1" t="s">
        <v>358</v>
      </c>
      <c r="N5822" s="1" t="s">
        <v>359</v>
      </c>
      <c r="P5822" s="1" t="s">
        <v>239</v>
      </c>
      <c r="Q5822" s="3">
        <v>0</v>
      </c>
      <c r="R5822" s="22" t="s">
        <v>2726</v>
      </c>
      <c r="S5822" s="42" t="s">
        <v>6912</v>
      </c>
      <c r="T5822" s="3" t="s">
        <v>4868</v>
      </c>
      <c r="U5822" s="45">
        <v>35</v>
      </c>
      <c r="V5822" t="s">
        <v>8191</v>
      </c>
      <c r="W5822" s="1" t="str">
        <f>HYPERLINK("http://ictvonline.org/taxonomy/p/taxonomy-history?taxnode_id=201904982","ICTVonline=201904982")</f>
        <v>ICTVonline=201904982</v>
      </c>
    </row>
    <row r="5823" spans="1:23">
      <c r="A5823" s="3">
        <v>5822</v>
      </c>
      <c r="B5823" s="1" t="s">
        <v>5910</v>
      </c>
      <c r="D5823" s="1" t="s">
        <v>8672</v>
      </c>
      <c r="F5823" s="1" t="s">
        <v>8673</v>
      </c>
      <c r="H5823" s="1" t="s">
        <v>8674</v>
      </c>
      <c r="J5823" s="1" t="s">
        <v>5053</v>
      </c>
      <c r="L5823" s="1" t="s">
        <v>357</v>
      </c>
      <c r="M5823" s="1" t="s">
        <v>358</v>
      </c>
      <c r="N5823" s="1" t="s">
        <v>359</v>
      </c>
      <c r="P5823" s="1" t="s">
        <v>363</v>
      </c>
      <c r="Q5823" s="3">
        <v>1</v>
      </c>
      <c r="R5823" s="22" t="s">
        <v>2726</v>
      </c>
      <c r="S5823" s="42" t="s">
        <v>6912</v>
      </c>
      <c r="T5823" s="3" t="s">
        <v>4868</v>
      </c>
      <c r="U5823" s="45">
        <v>35</v>
      </c>
      <c r="V5823" t="s">
        <v>8191</v>
      </c>
      <c r="W5823" s="1" t="str">
        <f>HYPERLINK("http://ictvonline.org/taxonomy/p/taxonomy-history?taxnode_id=201904983","ICTVonline=201904983")</f>
        <v>ICTVonline=201904983</v>
      </c>
    </row>
    <row r="5824" spans="1:23">
      <c r="A5824" s="3">
        <v>5823</v>
      </c>
      <c r="B5824" s="1" t="s">
        <v>5910</v>
      </c>
      <c r="D5824" s="1" t="s">
        <v>8672</v>
      </c>
      <c r="F5824" s="1" t="s">
        <v>8673</v>
      </c>
      <c r="H5824" s="1" t="s">
        <v>8674</v>
      </c>
      <c r="J5824" s="1" t="s">
        <v>5053</v>
      </c>
      <c r="L5824" s="1" t="s">
        <v>357</v>
      </c>
      <c r="M5824" s="1" t="s">
        <v>358</v>
      </c>
      <c r="N5824" s="1" t="s">
        <v>359</v>
      </c>
      <c r="P5824" s="1" t="s">
        <v>240</v>
      </c>
      <c r="Q5824" s="3">
        <v>0</v>
      </c>
      <c r="R5824" s="22" t="s">
        <v>2726</v>
      </c>
      <c r="S5824" s="42" t="s">
        <v>6912</v>
      </c>
      <c r="T5824" s="3" t="s">
        <v>4868</v>
      </c>
      <c r="U5824" s="45">
        <v>35</v>
      </c>
      <c r="V5824" t="s">
        <v>8191</v>
      </c>
      <c r="W5824" s="1" t="str">
        <f>HYPERLINK("http://ictvonline.org/taxonomy/p/taxonomy-history?taxnode_id=201904984","ICTVonline=201904984")</f>
        <v>ICTVonline=201904984</v>
      </c>
    </row>
    <row r="5825" spans="1:23">
      <c r="A5825" s="3">
        <v>5824</v>
      </c>
      <c r="B5825" s="1" t="s">
        <v>5910</v>
      </c>
      <c r="D5825" s="1" t="s">
        <v>8672</v>
      </c>
      <c r="F5825" s="1" t="s">
        <v>8673</v>
      </c>
      <c r="H5825" s="1" t="s">
        <v>8674</v>
      </c>
      <c r="J5825" s="1" t="s">
        <v>5053</v>
      </c>
      <c r="L5825" s="1" t="s">
        <v>357</v>
      </c>
      <c r="M5825" s="1" t="s">
        <v>358</v>
      </c>
      <c r="N5825" s="1" t="s">
        <v>359</v>
      </c>
      <c r="P5825" s="1" t="s">
        <v>241</v>
      </c>
      <c r="Q5825" s="3">
        <v>0</v>
      </c>
      <c r="R5825" s="22" t="s">
        <v>2726</v>
      </c>
      <c r="S5825" s="42" t="s">
        <v>6912</v>
      </c>
      <c r="T5825" s="3" t="s">
        <v>4868</v>
      </c>
      <c r="U5825" s="45">
        <v>35</v>
      </c>
      <c r="V5825" t="s">
        <v>8191</v>
      </c>
      <c r="W5825" s="1" t="str">
        <f>HYPERLINK("http://ictvonline.org/taxonomy/p/taxonomy-history?taxnode_id=201904985","ICTVonline=201904985")</f>
        <v>ICTVonline=201904985</v>
      </c>
    </row>
    <row r="5826" spans="1:23">
      <c r="A5826" s="3">
        <v>5825</v>
      </c>
      <c r="B5826" s="1" t="s">
        <v>5910</v>
      </c>
      <c r="D5826" s="1" t="s">
        <v>8672</v>
      </c>
      <c r="F5826" s="1" t="s">
        <v>8673</v>
      </c>
      <c r="H5826" s="1" t="s">
        <v>8674</v>
      </c>
      <c r="J5826" s="1" t="s">
        <v>5053</v>
      </c>
      <c r="L5826" s="1" t="s">
        <v>357</v>
      </c>
      <c r="M5826" s="1" t="s">
        <v>358</v>
      </c>
      <c r="N5826" s="1" t="s">
        <v>359</v>
      </c>
      <c r="P5826" s="1" t="s">
        <v>242</v>
      </c>
      <c r="Q5826" s="3">
        <v>0</v>
      </c>
      <c r="R5826" s="22" t="s">
        <v>2726</v>
      </c>
      <c r="S5826" s="42" t="s">
        <v>6912</v>
      </c>
      <c r="T5826" s="3" t="s">
        <v>4868</v>
      </c>
      <c r="U5826" s="45">
        <v>35</v>
      </c>
      <c r="V5826" t="s">
        <v>8191</v>
      </c>
      <c r="W5826" s="1" t="str">
        <f>HYPERLINK("http://ictvonline.org/taxonomy/p/taxonomy-history?taxnode_id=201904986","ICTVonline=201904986")</f>
        <v>ICTVonline=201904986</v>
      </c>
    </row>
    <row r="5827" spans="1:23">
      <c r="A5827" s="3">
        <v>5826</v>
      </c>
      <c r="B5827" s="1" t="s">
        <v>5910</v>
      </c>
      <c r="D5827" s="1" t="s">
        <v>8672</v>
      </c>
      <c r="F5827" s="1" t="s">
        <v>8673</v>
      </c>
      <c r="H5827" s="1" t="s">
        <v>8674</v>
      </c>
      <c r="J5827" s="1" t="s">
        <v>5053</v>
      </c>
      <c r="L5827" s="1" t="s">
        <v>357</v>
      </c>
      <c r="M5827" s="1" t="s">
        <v>358</v>
      </c>
      <c r="N5827" s="1" t="s">
        <v>359</v>
      </c>
      <c r="P5827" s="1" t="s">
        <v>1801</v>
      </c>
      <c r="Q5827" s="3">
        <v>0</v>
      </c>
      <c r="R5827" s="22" t="s">
        <v>2726</v>
      </c>
      <c r="S5827" s="42" t="s">
        <v>6912</v>
      </c>
      <c r="T5827" s="3" t="s">
        <v>4868</v>
      </c>
      <c r="U5827" s="45">
        <v>35</v>
      </c>
      <c r="V5827" t="s">
        <v>8191</v>
      </c>
      <c r="W5827" s="1" t="str">
        <f>HYPERLINK("http://ictvonline.org/taxonomy/p/taxonomy-history?taxnode_id=201904987","ICTVonline=201904987")</f>
        <v>ICTVonline=201904987</v>
      </c>
    </row>
    <row r="5828" spans="1:23">
      <c r="A5828" s="3">
        <v>5827</v>
      </c>
      <c r="B5828" s="1" t="s">
        <v>5910</v>
      </c>
      <c r="D5828" s="1" t="s">
        <v>8672</v>
      </c>
      <c r="F5828" s="1" t="s">
        <v>8673</v>
      </c>
      <c r="H5828" s="1" t="s">
        <v>8674</v>
      </c>
      <c r="J5828" s="1" t="s">
        <v>5053</v>
      </c>
      <c r="L5828" s="1" t="s">
        <v>357</v>
      </c>
      <c r="M5828" s="1" t="s">
        <v>358</v>
      </c>
      <c r="N5828" s="1" t="s">
        <v>359</v>
      </c>
      <c r="P5828" s="1" t="s">
        <v>1802</v>
      </c>
      <c r="Q5828" s="3">
        <v>0</v>
      </c>
      <c r="R5828" s="22" t="s">
        <v>2726</v>
      </c>
      <c r="S5828" s="42" t="s">
        <v>6912</v>
      </c>
      <c r="T5828" s="3" t="s">
        <v>4868</v>
      </c>
      <c r="U5828" s="45">
        <v>35</v>
      </c>
      <c r="V5828" t="s">
        <v>8191</v>
      </c>
      <c r="W5828" s="1" t="str">
        <f>HYPERLINK("http://ictvonline.org/taxonomy/p/taxonomy-history?taxnode_id=201904988","ICTVonline=201904988")</f>
        <v>ICTVonline=201904988</v>
      </c>
    </row>
    <row r="5829" spans="1:23">
      <c r="A5829" s="3">
        <v>5828</v>
      </c>
      <c r="B5829" s="1" t="s">
        <v>5910</v>
      </c>
      <c r="D5829" s="1" t="s">
        <v>8672</v>
      </c>
      <c r="F5829" s="1" t="s">
        <v>8673</v>
      </c>
      <c r="H5829" s="1" t="s">
        <v>8674</v>
      </c>
      <c r="J5829" s="1" t="s">
        <v>5053</v>
      </c>
      <c r="L5829" s="1" t="s">
        <v>357</v>
      </c>
      <c r="M5829" s="1" t="s">
        <v>358</v>
      </c>
      <c r="N5829" s="1" t="s">
        <v>359</v>
      </c>
      <c r="P5829" s="1" t="s">
        <v>690</v>
      </c>
      <c r="Q5829" s="3">
        <v>0</v>
      </c>
      <c r="R5829" s="22" t="s">
        <v>2726</v>
      </c>
      <c r="S5829" s="42" t="s">
        <v>6912</v>
      </c>
      <c r="T5829" s="3" t="s">
        <v>4868</v>
      </c>
      <c r="U5829" s="45">
        <v>35</v>
      </c>
      <c r="V5829" t="s">
        <v>8191</v>
      </c>
      <c r="W5829" s="1" t="str">
        <f>HYPERLINK("http://ictvonline.org/taxonomy/p/taxonomy-history?taxnode_id=201904989","ICTVonline=201904989")</f>
        <v>ICTVonline=201904989</v>
      </c>
    </row>
    <row r="5830" spans="1:23">
      <c r="A5830" s="3">
        <v>5829</v>
      </c>
      <c r="B5830" s="1" t="s">
        <v>5910</v>
      </c>
      <c r="D5830" s="1" t="s">
        <v>8672</v>
      </c>
      <c r="F5830" s="1" t="s">
        <v>8673</v>
      </c>
      <c r="H5830" s="1" t="s">
        <v>8674</v>
      </c>
      <c r="J5830" s="1" t="s">
        <v>5053</v>
      </c>
      <c r="L5830" s="1" t="s">
        <v>357</v>
      </c>
      <c r="M5830" s="1" t="s">
        <v>358</v>
      </c>
      <c r="N5830" s="1" t="s">
        <v>359</v>
      </c>
      <c r="P5830" s="1" t="s">
        <v>691</v>
      </c>
      <c r="Q5830" s="3">
        <v>0</v>
      </c>
      <c r="R5830" s="22" t="s">
        <v>2726</v>
      </c>
      <c r="S5830" s="42" t="s">
        <v>6912</v>
      </c>
      <c r="T5830" s="3" t="s">
        <v>4868</v>
      </c>
      <c r="U5830" s="45">
        <v>35</v>
      </c>
      <c r="V5830" t="s">
        <v>8191</v>
      </c>
      <c r="W5830" s="1" t="str">
        <f>HYPERLINK("http://ictvonline.org/taxonomy/p/taxonomy-history?taxnode_id=201904990","ICTVonline=201904990")</f>
        <v>ICTVonline=201904990</v>
      </c>
    </row>
    <row r="5831" spans="1:23">
      <c r="A5831" s="3">
        <v>5830</v>
      </c>
      <c r="B5831" s="1" t="s">
        <v>5910</v>
      </c>
      <c r="D5831" s="1" t="s">
        <v>8672</v>
      </c>
      <c r="F5831" s="1" t="s">
        <v>8673</v>
      </c>
      <c r="H5831" s="1" t="s">
        <v>8674</v>
      </c>
      <c r="J5831" s="1" t="s">
        <v>5053</v>
      </c>
      <c r="L5831" s="1" t="s">
        <v>357</v>
      </c>
      <c r="M5831" s="1" t="s">
        <v>358</v>
      </c>
      <c r="N5831" s="1" t="s">
        <v>692</v>
      </c>
      <c r="P5831" s="1" t="s">
        <v>791</v>
      </c>
      <c r="Q5831" s="3">
        <v>0</v>
      </c>
      <c r="R5831" s="22" t="s">
        <v>2726</v>
      </c>
      <c r="S5831" s="42" t="s">
        <v>6912</v>
      </c>
      <c r="T5831" s="3" t="s">
        <v>4868</v>
      </c>
      <c r="U5831" s="45">
        <v>35</v>
      </c>
      <c r="V5831" t="s">
        <v>8191</v>
      </c>
      <c r="W5831" s="1" t="str">
        <f>HYPERLINK("http://ictvonline.org/taxonomy/p/taxonomy-history?taxnode_id=201904992","ICTVonline=201904992")</f>
        <v>ICTVonline=201904992</v>
      </c>
    </row>
    <row r="5832" spans="1:23">
      <c r="A5832" s="3">
        <v>5831</v>
      </c>
      <c r="B5832" s="1" t="s">
        <v>5910</v>
      </c>
      <c r="D5832" s="1" t="s">
        <v>8672</v>
      </c>
      <c r="F5832" s="1" t="s">
        <v>8673</v>
      </c>
      <c r="H5832" s="1" t="s">
        <v>8674</v>
      </c>
      <c r="J5832" s="1" t="s">
        <v>5053</v>
      </c>
      <c r="L5832" s="1" t="s">
        <v>357</v>
      </c>
      <c r="M5832" s="1" t="s">
        <v>358</v>
      </c>
      <c r="N5832" s="1" t="s">
        <v>692</v>
      </c>
      <c r="P5832" s="1" t="s">
        <v>792</v>
      </c>
      <c r="Q5832" s="3">
        <v>0</v>
      </c>
      <c r="R5832" s="22" t="s">
        <v>2726</v>
      </c>
      <c r="S5832" s="42" t="s">
        <v>6912</v>
      </c>
      <c r="T5832" s="3" t="s">
        <v>4868</v>
      </c>
      <c r="U5832" s="45">
        <v>35</v>
      </c>
      <c r="V5832" t="s">
        <v>8191</v>
      </c>
      <c r="W5832" s="1" t="str">
        <f>HYPERLINK("http://ictvonline.org/taxonomy/p/taxonomy-history?taxnode_id=201904993","ICTVonline=201904993")</f>
        <v>ICTVonline=201904993</v>
      </c>
    </row>
    <row r="5833" spans="1:23">
      <c r="A5833" s="3">
        <v>5832</v>
      </c>
      <c r="B5833" s="1" t="s">
        <v>5910</v>
      </c>
      <c r="D5833" s="1" t="s">
        <v>8672</v>
      </c>
      <c r="F5833" s="1" t="s">
        <v>8673</v>
      </c>
      <c r="H5833" s="1" t="s">
        <v>8674</v>
      </c>
      <c r="J5833" s="1" t="s">
        <v>5053</v>
      </c>
      <c r="L5833" s="1" t="s">
        <v>357</v>
      </c>
      <c r="M5833" s="1" t="s">
        <v>358</v>
      </c>
      <c r="N5833" s="1" t="s">
        <v>692</v>
      </c>
      <c r="P5833" s="1" t="s">
        <v>793</v>
      </c>
      <c r="Q5833" s="3">
        <v>0</v>
      </c>
      <c r="R5833" s="22" t="s">
        <v>2726</v>
      </c>
      <c r="S5833" s="42" t="s">
        <v>6912</v>
      </c>
      <c r="T5833" s="3" t="s">
        <v>4868</v>
      </c>
      <c r="U5833" s="45">
        <v>35</v>
      </c>
      <c r="V5833" t="s">
        <v>8191</v>
      </c>
      <c r="W5833" s="1" t="str">
        <f>HYPERLINK("http://ictvonline.org/taxonomy/p/taxonomy-history?taxnode_id=201904994","ICTVonline=201904994")</f>
        <v>ICTVonline=201904994</v>
      </c>
    </row>
    <row r="5834" spans="1:23">
      <c r="A5834" s="3">
        <v>5833</v>
      </c>
      <c r="B5834" s="1" t="s">
        <v>5910</v>
      </c>
      <c r="D5834" s="1" t="s">
        <v>8672</v>
      </c>
      <c r="F5834" s="1" t="s">
        <v>8673</v>
      </c>
      <c r="H5834" s="1" t="s">
        <v>8674</v>
      </c>
      <c r="J5834" s="1" t="s">
        <v>5053</v>
      </c>
      <c r="L5834" s="1" t="s">
        <v>357</v>
      </c>
      <c r="M5834" s="1" t="s">
        <v>358</v>
      </c>
      <c r="N5834" s="1" t="s">
        <v>692</v>
      </c>
      <c r="P5834" s="1" t="s">
        <v>788</v>
      </c>
      <c r="Q5834" s="3">
        <v>1</v>
      </c>
      <c r="R5834" s="22" t="s">
        <v>2726</v>
      </c>
      <c r="S5834" s="42" t="s">
        <v>6912</v>
      </c>
      <c r="T5834" s="3" t="s">
        <v>4868</v>
      </c>
      <c r="U5834" s="45">
        <v>35</v>
      </c>
      <c r="V5834" t="s">
        <v>8191</v>
      </c>
      <c r="W5834" s="1" t="str">
        <f>HYPERLINK("http://ictvonline.org/taxonomy/p/taxonomy-history?taxnode_id=201904995","ICTVonline=201904995")</f>
        <v>ICTVonline=201904995</v>
      </c>
    </row>
    <row r="5835" spans="1:23">
      <c r="A5835" s="3">
        <v>5834</v>
      </c>
      <c r="B5835" s="1" t="s">
        <v>5910</v>
      </c>
      <c r="D5835" s="1" t="s">
        <v>8672</v>
      </c>
      <c r="F5835" s="1" t="s">
        <v>8673</v>
      </c>
      <c r="H5835" s="1" t="s">
        <v>8674</v>
      </c>
      <c r="J5835" s="1" t="s">
        <v>5053</v>
      </c>
      <c r="L5835" s="1" t="s">
        <v>357</v>
      </c>
      <c r="M5835" s="1" t="s">
        <v>358</v>
      </c>
      <c r="N5835" s="1" t="s">
        <v>692</v>
      </c>
      <c r="P5835" s="1" t="s">
        <v>789</v>
      </c>
      <c r="Q5835" s="3">
        <v>0</v>
      </c>
      <c r="R5835" s="22" t="s">
        <v>2726</v>
      </c>
      <c r="S5835" s="42" t="s">
        <v>6912</v>
      </c>
      <c r="T5835" s="3" t="s">
        <v>4868</v>
      </c>
      <c r="U5835" s="45">
        <v>35</v>
      </c>
      <c r="V5835" t="s">
        <v>8191</v>
      </c>
      <c r="W5835" s="1" t="str">
        <f>HYPERLINK("http://ictvonline.org/taxonomy/p/taxonomy-history?taxnode_id=201904996","ICTVonline=201904996")</f>
        <v>ICTVonline=201904996</v>
      </c>
    </row>
    <row r="5836" spans="1:23">
      <c r="A5836" s="3">
        <v>5835</v>
      </c>
      <c r="B5836" s="1" t="s">
        <v>5910</v>
      </c>
      <c r="D5836" s="1" t="s">
        <v>8672</v>
      </c>
      <c r="F5836" s="1" t="s">
        <v>8673</v>
      </c>
      <c r="H5836" s="1" t="s">
        <v>8674</v>
      </c>
      <c r="J5836" s="1" t="s">
        <v>5053</v>
      </c>
      <c r="L5836" s="1" t="s">
        <v>357</v>
      </c>
      <c r="M5836" s="1" t="s">
        <v>358</v>
      </c>
      <c r="N5836" s="1" t="s">
        <v>790</v>
      </c>
      <c r="P5836" s="1" t="s">
        <v>1257</v>
      </c>
      <c r="Q5836" s="3">
        <v>1</v>
      </c>
      <c r="R5836" s="22" t="s">
        <v>2726</v>
      </c>
      <c r="S5836" s="42" t="s">
        <v>6912</v>
      </c>
      <c r="T5836" s="3" t="s">
        <v>4868</v>
      </c>
      <c r="U5836" s="45">
        <v>35</v>
      </c>
      <c r="V5836" t="s">
        <v>8191</v>
      </c>
      <c r="W5836" s="1" t="str">
        <f>HYPERLINK("http://ictvonline.org/taxonomy/p/taxonomy-history?taxnode_id=201904998","ICTVonline=201904998")</f>
        <v>ICTVonline=201904998</v>
      </c>
    </row>
    <row r="5837" spans="1:23">
      <c r="A5837" s="3">
        <v>5836</v>
      </c>
      <c r="B5837" s="1" t="s">
        <v>5910</v>
      </c>
      <c r="D5837" s="1" t="s">
        <v>8672</v>
      </c>
      <c r="F5837" s="1" t="s">
        <v>8673</v>
      </c>
      <c r="H5837" s="1" t="s">
        <v>8674</v>
      </c>
      <c r="J5837" s="1" t="s">
        <v>5053</v>
      </c>
      <c r="L5837" s="1" t="s">
        <v>357</v>
      </c>
      <c r="M5837" s="1" t="s">
        <v>358</v>
      </c>
      <c r="N5837" s="1" t="s">
        <v>790</v>
      </c>
      <c r="P5837" s="1" t="s">
        <v>1258</v>
      </c>
      <c r="Q5837" s="3">
        <v>0</v>
      </c>
      <c r="R5837" s="22" t="s">
        <v>2726</v>
      </c>
      <c r="S5837" s="42" t="s">
        <v>6912</v>
      </c>
      <c r="T5837" s="3" t="s">
        <v>4868</v>
      </c>
      <c r="U5837" s="45">
        <v>35</v>
      </c>
      <c r="V5837" t="s">
        <v>8191</v>
      </c>
      <c r="W5837" s="1" t="str">
        <f>HYPERLINK("http://ictvonline.org/taxonomy/p/taxonomy-history?taxnode_id=201904999","ICTVonline=201904999")</f>
        <v>ICTVonline=201904999</v>
      </c>
    </row>
    <row r="5838" spans="1:23">
      <c r="A5838" s="3">
        <v>5837</v>
      </c>
      <c r="B5838" s="1" t="s">
        <v>5910</v>
      </c>
      <c r="D5838" s="1" t="s">
        <v>8672</v>
      </c>
      <c r="F5838" s="1" t="s">
        <v>8673</v>
      </c>
      <c r="H5838" s="1" t="s">
        <v>8674</v>
      </c>
      <c r="J5838" s="1" t="s">
        <v>5053</v>
      </c>
      <c r="L5838" s="1" t="s">
        <v>357</v>
      </c>
      <c r="M5838" s="1" t="s">
        <v>358</v>
      </c>
      <c r="N5838" s="1" t="s">
        <v>790</v>
      </c>
      <c r="P5838" s="1" t="s">
        <v>1259</v>
      </c>
      <c r="Q5838" s="3">
        <v>0</v>
      </c>
      <c r="R5838" s="22" t="s">
        <v>2726</v>
      </c>
      <c r="S5838" s="42" t="s">
        <v>6912</v>
      </c>
      <c r="T5838" s="3" t="s">
        <v>4868</v>
      </c>
      <c r="U5838" s="45">
        <v>35</v>
      </c>
      <c r="V5838" t="s">
        <v>8191</v>
      </c>
      <c r="W5838" s="1" t="str">
        <f>HYPERLINK("http://ictvonline.org/taxonomy/p/taxonomy-history?taxnode_id=201905000","ICTVonline=201905000")</f>
        <v>ICTVonline=201905000</v>
      </c>
    </row>
    <row r="5839" spans="1:23">
      <c r="A5839" s="3">
        <v>5838</v>
      </c>
      <c r="B5839" s="1" t="s">
        <v>5910</v>
      </c>
      <c r="D5839" s="1" t="s">
        <v>8672</v>
      </c>
      <c r="F5839" s="1" t="s">
        <v>8673</v>
      </c>
      <c r="H5839" s="1" t="s">
        <v>8674</v>
      </c>
      <c r="J5839" s="1" t="s">
        <v>5053</v>
      </c>
      <c r="L5839" s="1" t="s">
        <v>357</v>
      </c>
      <c r="M5839" s="1" t="s">
        <v>358</v>
      </c>
      <c r="N5839" s="1" t="s">
        <v>790</v>
      </c>
      <c r="P5839" s="1" t="s">
        <v>794</v>
      </c>
      <c r="Q5839" s="3">
        <v>0</v>
      </c>
      <c r="R5839" s="22" t="s">
        <v>2726</v>
      </c>
      <c r="S5839" s="42" t="s">
        <v>6912</v>
      </c>
      <c r="T5839" s="3" t="s">
        <v>4868</v>
      </c>
      <c r="U5839" s="45">
        <v>35</v>
      </c>
      <c r="V5839" t="s">
        <v>8191</v>
      </c>
      <c r="W5839" s="1" t="str">
        <f>HYPERLINK("http://ictvonline.org/taxonomy/p/taxonomy-history?taxnode_id=201905001","ICTVonline=201905001")</f>
        <v>ICTVonline=201905001</v>
      </c>
    </row>
    <row r="5840" spans="1:23">
      <c r="A5840" s="3">
        <v>5839</v>
      </c>
      <c r="B5840" s="1" t="s">
        <v>5910</v>
      </c>
      <c r="D5840" s="1" t="s">
        <v>8672</v>
      </c>
      <c r="F5840" s="1" t="s">
        <v>8673</v>
      </c>
      <c r="H5840" s="1" t="s">
        <v>8674</v>
      </c>
      <c r="J5840" s="1" t="s">
        <v>5053</v>
      </c>
      <c r="L5840" s="1" t="s">
        <v>357</v>
      </c>
      <c r="M5840" s="1" t="s">
        <v>358</v>
      </c>
      <c r="N5840" s="1" t="s">
        <v>795</v>
      </c>
      <c r="P5840" s="1" t="s">
        <v>796</v>
      </c>
      <c r="Q5840" s="3">
        <v>1</v>
      </c>
      <c r="R5840" s="22" t="s">
        <v>2726</v>
      </c>
      <c r="S5840" s="42" t="s">
        <v>6912</v>
      </c>
      <c r="T5840" s="3" t="s">
        <v>4868</v>
      </c>
      <c r="U5840" s="45">
        <v>35</v>
      </c>
      <c r="V5840" t="s">
        <v>8191</v>
      </c>
      <c r="W5840" s="1" t="str">
        <f>HYPERLINK("http://ictvonline.org/taxonomy/p/taxonomy-history?taxnode_id=201905003","ICTVonline=201905003")</f>
        <v>ICTVonline=201905003</v>
      </c>
    </row>
    <row r="5841" spans="1:23">
      <c r="A5841" s="3">
        <v>5840</v>
      </c>
      <c r="B5841" s="1" t="s">
        <v>5910</v>
      </c>
      <c r="D5841" s="1" t="s">
        <v>8672</v>
      </c>
      <c r="F5841" s="1" t="s">
        <v>8673</v>
      </c>
      <c r="H5841" s="1" t="s">
        <v>8674</v>
      </c>
      <c r="J5841" s="1" t="s">
        <v>5053</v>
      </c>
      <c r="L5841" s="1" t="s">
        <v>357</v>
      </c>
      <c r="M5841" s="1" t="s">
        <v>358</v>
      </c>
      <c r="N5841" s="1" t="s">
        <v>795</v>
      </c>
      <c r="P5841" s="1" t="s">
        <v>797</v>
      </c>
      <c r="Q5841" s="3">
        <v>0</v>
      </c>
      <c r="R5841" s="22" t="s">
        <v>2726</v>
      </c>
      <c r="S5841" s="42" t="s">
        <v>6912</v>
      </c>
      <c r="T5841" s="3" t="s">
        <v>4868</v>
      </c>
      <c r="U5841" s="45">
        <v>35</v>
      </c>
      <c r="V5841" t="s">
        <v>8191</v>
      </c>
      <c r="W5841" s="1" t="str">
        <f>HYPERLINK("http://ictvonline.org/taxonomy/p/taxonomy-history?taxnode_id=201905004","ICTVonline=201905004")</f>
        <v>ICTVonline=201905004</v>
      </c>
    </row>
    <row r="5842" spans="1:23">
      <c r="A5842" s="3">
        <v>5841</v>
      </c>
      <c r="B5842" s="1" t="s">
        <v>5910</v>
      </c>
      <c r="D5842" s="1" t="s">
        <v>8672</v>
      </c>
      <c r="F5842" s="1" t="s">
        <v>8673</v>
      </c>
      <c r="H5842" s="1" t="s">
        <v>8674</v>
      </c>
      <c r="J5842" s="1" t="s">
        <v>5053</v>
      </c>
      <c r="L5842" s="1" t="s">
        <v>357</v>
      </c>
      <c r="M5842" s="1" t="s">
        <v>358</v>
      </c>
      <c r="N5842" s="1" t="s">
        <v>795</v>
      </c>
      <c r="P5842" s="1" t="s">
        <v>798</v>
      </c>
      <c r="Q5842" s="3">
        <v>0</v>
      </c>
      <c r="R5842" s="22" t="s">
        <v>2726</v>
      </c>
      <c r="S5842" s="42" t="s">
        <v>6912</v>
      </c>
      <c r="T5842" s="3" t="s">
        <v>4868</v>
      </c>
      <c r="U5842" s="45">
        <v>35</v>
      </c>
      <c r="V5842" t="s">
        <v>8191</v>
      </c>
      <c r="W5842" s="1" t="str">
        <f>HYPERLINK("http://ictvonline.org/taxonomy/p/taxonomy-history?taxnode_id=201905005","ICTVonline=201905005")</f>
        <v>ICTVonline=201905005</v>
      </c>
    </row>
    <row r="5843" spans="1:23">
      <c r="A5843" s="3">
        <v>5842</v>
      </c>
      <c r="B5843" s="1" t="s">
        <v>5910</v>
      </c>
      <c r="D5843" s="1" t="s">
        <v>8672</v>
      </c>
      <c r="F5843" s="1" t="s">
        <v>8673</v>
      </c>
      <c r="H5843" s="1" t="s">
        <v>8674</v>
      </c>
      <c r="J5843" s="1" t="s">
        <v>5053</v>
      </c>
      <c r="L5843" s="1" t="s">
        <v>357</v>
      </c>
      <c r="M5843" s="1" t="s">
        <v>358</v>
      </c>
      <c r="N5843" s="1" t="s">
        <v>799</v>
      </c>
      <c r="P5843" s="1" t="s">
        <v>800</v>
      </c>
      <c r="Q5843" s="3">
        <v>0</v>
      </c>
      <c r="R5843" s="22" t="s">
        <v>2726</v>
      </c>
      <c r="S5843" s="42" t="s">
        <v>6912</v>
      </c>
      <c r="T5843" s="3" t="s">
        <v>4868</v>
      </c>
      <c r="U5843" s="45">
        <v>35</v>
      </c>
      <c r="V5843" t="s">
        <v>8191</v>
      </c>
      <c r="W5843" s="1" t="str">
        <f>HYPERLINK("http://ictvonline.org/taxonomy/p/taxonomy-history?taxnode_id=201905007","ICTVonline=201905007")</f>
        <v>ICTVonline=201905007</v>
      </c>
    </row>
    <row r="5844" spans="1:23">
      <c r="A5844" s="3">
        <v>5843</v>
      </c>
      <c r="B5844" s="1" t="s">
        <v>5910</v>
      </c>
      <c r="D5844" s="1" t="s">
        <v>8672</v>
      </c>
      <c r="F5844" s="1" t="s">
        <v>8673</v>
      </c>
      <c r="H5844" s="1" t="s">
        <v>8674</v>
      </c>
      <c r="J5844" s="1" t="s">
        <v>5053</v>
      </c>
      <c r="L5844" s="1" t="s">
        <v>357</v>
      </c>
      <c r="M5844" s="1" t="s">
        <v>358</v>
      </c>
      <c r="N5844" s="1" t="s">
        <v>799</v>
      </c>
      <c r="P5844" s="1" t="s">
        <v>801</v>
      </c>
      <c r="Q5844" s="3">
        <v>0</v>
      </c>
      <c r="R5844" s="22" t="s">
        <v>2726</v>
      </c>
      <c r="S5844" s="42" t="s">
        <v>6912</v>
      </c>
      <c r="T5844" s="3" t="s">
        <v>4868</v>
      </c>
      <c r="U5844" s="45">
        <v>35</v>
      </c>
      <c r="V5844" t="s">
        <v>8191</v>
      </c>
      <c r="W5844" s="1" t="str">
        <f>HYPERLINK("http://ictvonline.org/taxonomy/p/taxonomy-history?taxnode_id=201905008","ICTVonline=201905008")</f>
        <v>ICTVonline=201905008</v>
      </c>
    </row>
    <row r="5845" spans="1:23">
      <c r="A5845" s="3">
        <v>5844</v>
      </c>
      <c r="B5845" s="1" t="s">
        <v>5910</v>
      </c>
      <c r="D5845" s="1" t="s">
        <v>8672</v>
      </c>
      <c r="F5845" s="1" t="s">
        <v>8673</v>
      </c>
      <c r="H5845" s="1" t="s">
        <v>8674</v>
      </c>
      <c r="J5845" s="1" t="s">
        <v>5053</v>
      </c>
      <c r="L5845" s="1" t="s">
        <v>357</v>
      </c>
      <c r="M5845" s="1" t="s">
        <v>358</v>
      </c>
      <c r="N5845" s="1" t="s">
        <v>799</v>
      </c>
      <c r="P5845" s="1" t="s">
        <v>802</v>
      </c>
      <c r="Q5845" s="3">
        <v>0</v>
      </c>
      <c r="R5845" s="22" t="s">
        <v>2726</v>
      </c>
      <c r="S5845" s="42" t="s">
        <v>6912</v>
      </c>
      <c r="T5845" s="3" t="s">
        <v>4868</v>
      </c>
      <c r="U5845" s="45">
        <v>35</v>
      </c>
      <c r="V5845" t="s">
        <v>8191</v>
      </c>
      <c r="W5845" s="1" t="str">
        <f>HYPERLINK("http://ictvonline.org/taxonomy/p/taxonomy-history?taxnode_id=201905009","ICTVonline=201905009")</f>
        <v>ICTVonline=201905009</v>
      </c>
    </row>
    <row r="5846" spans="1:23">
      <c r="A5846" s="3">
        <v>5845</v>
      </c>
      <c r="B5846" s="1" t="s">
        <v>5910</v>
      </c>
      <c r="D5846" s="1" t="s">
        <v>8672</v>
      </c>
      <c r="F5846" s="1" t="s">
        <v>8673</v>
      </c>
      <c r="H5846" s="1" t="s">
        <v>8674</v>
      </c>
      <c r="J5846" s="1" t="s">
        <v>5053</v>
      </c>
      <c r="L5846" s="1" t="s">
        <v>357</v>
      </c>
      <c r="M5846" s="1" t="s">
        <v>358</v>
      </c>
      <c r="N5846" s="1" t="s">
        <v>799</v>
      </c>
      <c r="P5846" s="1" t="s">
        <v>1271</v>
      </c>
      <c r="Q5846" s="3">
        <v>0</v>
      </c>
      <c r="R5846" s="22" t="s">
        <v>2726</v>
      </c>
      <c r="S5846" s="42" t="s">
        <v>6912</v>
      </c>
      <c r="T5846" s="3" t="s">
        <v>4868</v>
      </c>
      <c r="U5846" s="45">
        <v>35</v>
      </c>
      <c r="V5846" t="s">
        <v>8191</v>
      </c>
      <c r="W5846" s="1" t="str">
        <f>HYPERLINK("http://ictvonline.org/taxonomy/p/taxonomy-history?taxnode_id=201905010","ICTVonline=201905010")</f>
        <v>ICTVonline=201905010</v>
      </c>
    </row>
    <row r="5847" spans="1:23">
      <c r="A5847" s="3">
        <v>5846</v>
      </c>
      <c r="B5847" s="1" t="s">
        <v>5910</v>
      </c>
      <c r="D5847" s="1" t="s">
        <v>8672</v>
      </c>
      <c r="F5847" s="1" t="s">
        <v>8673</v>
      </c>
      <c r="H5847" s="1" t="s">
        <v>8674</v>
      </c>
      <c r="J5847" s="1" t="s">
        <v>5053</v>
      </c>
      <c r="L5847" s="1" t="s">
        <v>357</v>
      </c>
      <c r="M5847" s="1" t="s">
        <v>358</v>
      </c>
      <c r="N5847" s="1" t="s">
        <v>799</v>
      </c>
      <c r="P5847" s="1" t="s">
        <v>1272</v>
      </c>
      <c r="Q5847" s="3">
        <v>0</v>
      </c>
      <c r="R5847" s="22" t="s">
        <v>2726</v>
      </c>
      <c r="S5847" s="42" t="s">
        <v>6912</v>
      </c>
      <c r="T5847" s="3" t="s">
        <v>4868</v>
      </c>
      <c r="U5847" s="45">
        <v>35</v>
      </c>
      <c r="V5847" t="s">
        <v>8191</v>
      </c>
      <c r="W5847" s="1" t="str">
        <f>HYPERLINK("http://ictvonline.org/taxonomy/p/taxonomy-history?taxnode_id=201905011","ICTVonline=201905011")</f>
        <v>ICTVonline=201905011</v>
      </c>
    </row>
    <row r="5848" spans="1:23">
      <c r="A5848" s="3">
        <v>5847</v>
      </c>
      <c r="B5848" s="1" t="s">
        <v>5910</v>
      </c>
      <c r="D5848" s="1" t="s">
        <v>8672</v>
      </c>
      <c r="F5848" s="1" t="s">
        <v>8673</v>
      </c>
      <c r="H5848" s="1" t="s">
        <v>8674</v>
      </c>
      <c r="J5848" s="1" t="s">
        <v>5053</v>
      </c>
      <c r="L5848" s="1" t="s">
        <v>357</v>
      </c>
      <c r="M5848" s="1" t="s">
        <v>358</v>
      </c>
      <c r="N5848" s="1" t="s">
        <v>799</v>
      </c>
      <c r="P5848" s="1" t="s">
        <v>1273</v>
      </c>
      <c r="Q5848" s="3">
        <v>0</v>
      </c>
      <c r="R5848" s="22" t="s">
        <v>2726</v>
      </c>
      <c r="S5848" s="42" t="s">
        <v>6912</v>
      </c>
      <c r="T5848" s="3" t="s">
        <v>4868</v>
      </c>
      <c r="U5848" s="45">
        <v>35</v>
      </c>
      <c r="V5848" t="s">
        <v>8191</v>
      </c>
      <c r="W5848" s="1" t="str">
        <f>HYPERLINK("http://ictvonline.org/taxonomy/p/taxonomy-history?taxnode_id=201905012","ICTVonline=201905012")</f>
        <v>ICTVonline=201905012</v>
      </c>
    </row>
    <row r="5849" spans="1:23">
      <c r="A5849" s="3">
        <v>5848</v>
      </c>
      <c r="B5849" s="1" t="s">
        <v>5910</v>
      </c>
      <c r="D5849" s="1" t="s">
        <v>8672</v>
      </c>
      <c r="F5849" s="1" t="s">
        <v>8673</v>
      </c>
      <c r="H5849" s="1" t="s">
        <v>8674</v>
      </c>
      <c r="J5849" s="1" t="s">
        <v>5053</v>
      </c>
      <c r="L5849" s="1" t="s">
        <v>357</v>
      </c>
      <c r="M5849" s="1" t="s">
        <v>358</v>
      </c>
      <c r="N5849" s="1" t="s">
        <v>799</v>
      </c>
      <c r="P5849" s="1" t="s">
        <v>1274</v>
      </c>
      <c r="Q5849" s="3">
        <v>0</v>
      </c>
      <c r="R5849" s="22" t="s">
        <v>2726</v>
      </c>
      <c r="S5849" s="42" t="s">
        <v>6912</v>
      </c>
      <c r="T5849" s="3" t="s">
        <v>4868</v>
      </c>
      <c r="U5849" s="45">
        <v>35</v>
      </c>
      <c r="V5849" t="s">
        <v>8191</v>
      </c>
      <c r="W5849" s="1" t="str">
        <f>HYPERLINK("http://ictvonline.org/taxonomy/p/taxonomy-history?taxnode_id=201905013","ICTVonline=201905013")</f>
        <v>ICTVonline=201905013</v>
      </c>
    </row>
    <row r="5850" spans="1:23">
      <c r="A5850" s="3">
        <v>5849</v>
      </c>
      <c r="B5850" s="1" t="s">
        <v>5910</v>
      </c>
      <c r="D5850" s="1" t="s">
        <v>8672</v>
      </c>
      <c r="F5850" s="1" t="s">
        <v>8673</v>
      </c>
      <c r="H5850" s="1" t="s">
        <v>8674</v>
      </c>
      <c r="J5850" s="1" t="s">
        <v>5053</v>
      </c>
      <c r="L5850" s="1" t="s">
        <v>357</v>
      </c>
      <c r="M5850" s="1" t="s">
        <v>358</v>
      </c>
      <c r="N5850" s="1" t="s">
        <v>799</v>
      </c>
      <c r="P5850" s="1" t="s">
        <v>1275</v>
      </c>
      <c r="Q5850" s="3">
        <v>0</v>
      </c>
      <c r="R5850" s="22" t="s">
        <v>2726</v>
      </c>
      <c r="S5850" s="42" t="s">
        <v>6912</v>
      </c>
      <c r="T5850" s="3" t="s">
        <v>4868</v>
      </c>
      <c r="U5850" s="45">
        <v>35</v>
      </c>
      <c r="V5850" t="s">
        <v>8191</v>
      </c>
      <c r="W5850" s="1" t="str">
        <f>HYPERLINK("http://ictvonline.org/taxonomy/p/taxonomy-history?taxnode_id=201905014","ICTVonline=201905014")</f>
        <v>ICTVonline=201905014</v>
      </c>
    </row>
    <row r="5851" spans="1:23">
      <c r="A5851" s="3">
        <v>5850</v>
      </c>
      <c r="B5851" s="1" t="s">
        <v>5910</v>
      </c>
      <c r="D5851" s="1" t="s">
        <v>8672</v>
      </c>
      <c r="F5851" s="1" t="s">
        <v>8673</v>
      </c>
      <c r="H5851" s="1" t="s">
        <v>8674</v>
      </c>
      <c r="J5851" s="1" t="s">
        <v>5053</v>
      </c>
      <c r="L5851" s="1" t="s">
        <v>357</v>
      </c>
      <c r="M5851" s="1" t="s">
        <v>358</v>
      </c>
      <c r="N5851" s="1" t="s">
        <v>799</v>
      </c>
      <c r="P5851" s="1" t="s">
        <v>735</v>
      </c>
      <c r="Q5851" s="3">
        <v>0</v>
      </c>
      <c r="R5851" s="22" t="s">
        <v>2726</v>
      </c>
      <c r="S5851" s="42" t="s">
        <v>6912</v>
      </c>
      <c r="T5851" s="3" t="s">
        <v>4868</v>
      </c>
      <c r="U5851" s="45">
        <v>35</v>
      </c>
      <c r="V5851" t="s">
        <v>8191</v>
      </c>
      <c r="W5851" s="1" t="str">
        <f>HYPERLINK("http://ictvonline.org/taxonomy/p/taxonomy-history?taxnode_id=201905015","ICTVonline=201905015")</f>
        <v>ICTVonline=201905015</v>
      </c>
    </row>
    <row r="5852" spans="1:23">
      <c r="A5852" s="3">
        <v>5851</v>
      </c>
      <c r="B5852" s="1" t="s">
        <v>5910</v>
      </c>
      <c r="D5852" s="1" t="s">
        <v>8672</v>
      </c>
      <c r="F5852" s="1" t="s">
        <v>8673</v>
      </c>
      <c r="H5852" s="1" t="s">
        <v>8674</v>
      </c>
      <c r="J5852" s="1" t="s">
        <v>5053</v>
      </c>
      <c r="L5852" s="1" t="s">
        <v>357</v>
      </c>
      <c r="M5852" s="1" t="s">
        <v>358</v>
      </c>
      <c r="N5852" s="1" t="s">
        <v>799</v>
      </c>
      <c r="P5852" s="1" t="s">
        <v>4772</v>
      </c>
      <c r="Q5852" s="3">
        <v>0</v>
      </c>
      <c r="R5852" s="22" t="s">
        <v>2726</v>
      </c>
      <c r="S5852" s="42" t="s">
        <v>6912</v>
      </c>
      <c r="T5852" s="3" t="s">
        <v>4868</v>
      </c>
      <c r="U5852" s="45">
        <v>35</v>
      </c>
      <c r="V5852" t="s">
        <v>8191</v>
      </c>
      <c r="W5852" s="1" t="str">
        <f>HYPERLINK("http://ictvonline.org/taxonomy/p/taxonomy-history?taxnode_id=201905016","ICTVonline=201905016")</f>
        <v>ICTVonline=201905016</v>
      </c>
    </row>
    <row r="5853" spans="1:23">
      <c r="A5853" s="3">
        <v>5852</v>
      </c>
      <c r="B5853" s="1" t="s">
        <v>5910</v>
      </c>
      <c r="D5853" s="1" t="s">
        <v>8672</v>
      </c>
      <c r="F5853" s="1" t="s">
        <v>8673</v>
      </c>
      <c r="H5853" s="1" t="s">
        <v>8674</v>
      </c>
      <c r="J5853" s="1" t="s">
        <v>5053</v>
      </c>
      <c r="L5853" s="1" t="s">
        <v>357</v>
      </c>
      <c r="M5853" s="1" t="s">
        <v>358</v>
      </c>
      <c r="N5853" s="1" t="s">
        <v>799</v>
      </c>
      <c r="P5853" s="1" t="s">
        <v>1189</v>
      </c>
      <c r="Q5853" s="3">
        <v>0</v>
      </c>
      <c r="R5853" s="22" t="s">
        <v>2726</v>
      </c>
      <c r="S5853" s="42" t="s">
        <v>6912</v>
      </c>
      <c r="T5853" s="3" t="s">
        <v>4868</v>
      </c>
      <c r="U5853" s="45">
        <v>35</v>
      </c>
      <c r="V5853" t="s">
        <v>8191</v>
      </c>
      <c r="W5853" s="1" t="str">
        <f>HYPERLINK("http://ictvonline.org/taxonomy/p/taxonomy-history?taxnode_id=201905017","ICTVonline=201905017")</f>
        <v>ICTVonline=201905017</v>
      </c>
    </row>
    <row r="5854" spans="1:23">
      <c r="A5854" s="3">
        <v>5853</v>
      </c>
      <c r="B5854" s="1" t="s">
        <v>5910</v>
      </c>
      <c r="D5854" s="1" t="s">
        <v>8672</v>
      </c>
      <c r="F5854" s="1" t="s">
        <v>8673</v>
      </c>
      <c r="H5854" s="1" t="s">
        <v>8674</v>
      </c>
      <c r="J5854" s="1" t="s">
        <v>5053</v>
      </c>
      <c r="L5854" s="1" t="s">
        <v>357</v>
      </c>
      <c r="M5854" s="1" t="s">
        <v>358</v>
      </c>
      <c r="N5854" s="1" t="s">
        <v>799</v>
      </c>
      <c r="P5854" s="1" t="s">
        <v>1190</v>
      </c>
      <c r="Q5854" s="3">
        <v>1</v>
      </c>
      <c r="R5854" s="22" t="s">
        <v>2726</v>
      </c>
      <c r="S5854" s="42" t="s">
        <v>6912</v>
      </c>
      <c r="T5854" s="3" t="s">
        <v>4868</v>
      </c>
      <c r="U5854" s="45">
        <v>35</v>
      </c>
      <c r="V5854" t="s">
        <v>8191</v>
      </c>
      <c r="W5854" s="1" t="str">
        <f>HYPERLINK("http://ictvonline.org/taxonomy/p/taxonomy-history?taxnode_id=201905018","ICTVonline=201905018")</f>
        <v>ICTVonline=201905018</v>
      </c>
    </row>
    <row r="5855" spans="1:23">
      <c r="A5855" s="3">
        <v>5854</v>
      </c>
      <c r="B5855" s="1" t="s">
        <v>5910</v>
      </c>
      <c r="D5855" s="1" t="s">
        <v>8672</v>
      </c>
      <c r="F5855" s="1" t="s">
        <v>8673</v>
      </c>
      <c r="H5855" s="1" t="s">
        <v>8674</v>
      </c>
      <c r="J5855" s="1" t="s">
        <v>5053</v>
      </c>
      <c r="L5855" s="1" t="s">
        <v>357</v>
      </c>
      <c r="M5855" s="1" t="s">
        <v>358</v>
      </c>
      <c r="N5855" s="1" t="s">
        <v>799</v>
      </c>
      <c r="P5855" s="1" t="s">
        <v>1191</v>
      </c>
      <c r="Q5855" s="3">
        <v>0</v>
      </c>
      <c r="R5855" s="22" t="s">
        <v>2726</v>
      </c>
      <c r="S5855" s="42" t="s">
        <v>6912</v>
      </c>
      <c r="T5855" s="3" t="s">
        <v>4868</v>
      </c>
      <c r="U5855" s="45">
        <v>35</v>
      </c>
      <c r="V5855" t="s">
        <v>8191</v>
      </c>
      <c r="W5855" s="1" t="str">
        <f>HYPERLINK("http://ictvonline.org/taxonomy/p/taxonomy-history?taxnode_id=201905019","ICTVonline=201905019")</f>
        <v>ICTVonline=201905019</v>
      </c>
    </row>
    <row r="5856" spans="1:23">
      <c r="A5856" s="3">
        <v>5855</v>
      </c>
      <c r="B5856" s="1" t="s">
        <v>5910</v>
      </c>
      <c r="D5856" s="1" t="s">
        <v>8672</v>
      </c>
      <c r="F5856" s="1" t="s">
        <v>8673</v>
      </c>
      <c r="H5856" s="1" t="s">
        <v>8674</v>
      </c>
      <c r="J5856" s="1" t="s">
        <v>5053</v>
      </c>
      <c r="L5856" s="1" t="s">
        <v>357</v>
      </c>
      <c r="M5856" s="1" t="s">
        <v>358</v>
      </c>
      <c r="N5856" s="1" t="s">
        <v>799</v>
      </c>
      <c r="P5856" s="1" t="s">
        <v>1192</v>
      </c>
      <c r="Q5856" s="3">
        <v>0</v>
      </c>
      <c r="R5856" s="22" t="s">
        <v>2726</v>
      </c>
      <c r="S5856" s="42" t="s">
        <v>6912</v>
      </c>
      <c r="T5856" s="3" t="s">
        <v>4868</v>
      </c>
      <c r="U5856" s="45">
        <v>35</v>
      </c>
      <c r="V5856" t="s">
        <v>8191</v>
      </c>
      <c r="W5856" s="1" t="str">
        <f>HYPERLINK("http://ictvonline.org/taxonomy/p/taxonomy-history?taxnode_id=201905020","ICTVonline=201905020")</f>
        <v>ICTVonline=201905020</v>
      </c>
    </row>
    <row r="5857" spans="1:23">
      <c r="A5857" s="3">
        <v>5856</v>
      </c>
      <c r="B5857" s="1" t="s">
        <v>5910</v>
      </c>
      <c r="D5857" s="1" t="s">
        <v>8672</v>
      </c>
      <c r="F5857" s="1" t="s">
        <v>8673</v>
      </c>
      <c r="H5857" s="1" t="s">
        <v>8674</v>
      </c>
      <c r="J5857" s="1" t="s">
        <v>5053</v>
      </c>
      <c r="L5857" s="1" t="s">
        <v>357</v>
      </c>
      <c r="M5857" s="1" t="s">
        <v>358</v>
      </c>
      <c r="N5857" s="1" t="s">
        <v>799</v>
      </c>
      <c r="P5857" s="1" t="s">
        <v>1417</v>
      </c>
      <c r="Q5857" s="3">
        <v>0</v>
      </c>
      <c r="R5857" s="22" t="s">
        <v>2726</v>
      </c>
      <c r="S5857" s="42" t="s">
        <v>6912</v>
      </c>
      <c r="T5857" s="3" t="s">
        <v>4868</v>
      </c>
      <c r="U5857" s="45">
        <v>35</v>
      </c>
      <c r="V5857" t="s">
        <v>8191</v>
      </c>
      <c r="W5857" s="1" t="str">
        <f>HYPERLINK("http://ictvonline.org/taxonomy/p/taxonomy-history?taxnode_id=201905021","ICTVonline=201905021")</f>
        <v>ICTVonline=201905021</v>
      </c>
    </row>
    <row r="5858" spans="1:23">
      <c r="A5858" s="3">
        <v>5857</v>
      </c>
      <c r="B5858" s="1" t="s">
        <v>5910</v>
      </c>
      <c r="D5858" s="1" t="s">
        <v>8672</v>
      </c>
      <c r="F5858" s="1" t="s">
        <v>8673</v>
      </c>
      <c r="H5858" s="1" t="s">
        <v>8674</v>
      </c>
      <c r="J5858" s="1" t="s">
        <v>5053</v>
      </c>
      <c r="L5858" s="1" t="s">
        <v>357</v>
      </c>
      <c r="M5858" s="1" t="s">
        <v>358</v>
      </c>
      <c r="N5858" s="1" t="s">
        <v>799</v>
      </c>
      <c r="P5858" s="1" t="s">
        <v>1418</v>
      </c>
      <c r="Q5858" s="3">
        <v>0</v>
      </c>
      <c r="R5858" s="22" t="s">
        <v>2726</v>
      </c>
      <c r="S5858" s="42" t="s">
        <v>6912</v>
      </c>
      <c r="T5858" s="3" t="s">
        <v>4868</v>
      </c>
      <c r="U5858" s="45">
        <v>35</v>
      </c>
      <c r="V5858" t="s">
        <v>8191</v>
      </c>
      <c r="W5858" s="1" t="str">
        <f>HYPERLINK("http://ictvonline.org/taxonomy/p/taxonomy-history?taxnode_id=201905022","ICTVonline=201905022")</f>
        <v>ICTVonline=201905022</v>
      </c>
    </row>
    <row r="5859" spans="1:23">
      <c r="A5859" s="3">
        <v>5858</v>
      </c>
      <c r="B5859" s="1" t="s">
        <v>5910</v>
      </c>
      <c r="D5859" s="1" t="s">
        <v>8672</v>
      </c>
      <c r="F5859" s="1" t="s">
        <v>8673</v>
      </c>
      <c r="H5859" s="1" t="s">
        <v>8674</v>
      </c>
      <c r="J5859" s="1" t="s">
        <v>5053</v>
      </c>
      <c r="L5859" s="1" t="s">
        <v>357</v>
      </c>
      <c r="M5859" s="1" t="s">
        <v>358</v>
      </c>
      <c r="N5859" s="1" t="s">
        <v>799</v>
      </c>
      <c r="P5859" s="1" t="s">
        <v>1419</v>
      </c>
      <c r="Q5859" s="3">
        <v>0</v>
      </c>
      <c r="R5859" s="22" t="s">
        <v>2726</v>
      </c>
      <c r="S5859" s="42" t="s">
        <v>6912</v>
      </c>
      <c r="T5859" s="3" t="s">
        <v>4868</v>
      </c>
      <c r="U5859" s="45">
        <v>35</v>
      </c>
      <c r="V5859" t="s">
        <v>8191</v>
      </c>
      <c r="W5859" s="1" t="str">
        <f>HYPERLINK("http://ictvonline.org/taxonomy/p/taxonomy-history?taxnode_id=201905023","ICTVonline=201905023")</f>
        <v>ICTVonline=201905023</v>
      </c>
    </row>
    <row r="5860" spans="1:23">
      <c r="A5860" s="3">
        <v>5859</v>
      </c>
      <c r="B5860" s="1" t="s">
        <v>5910</v>
      </c>
      <c r="D5860" s="1" t="s">
        <v>8672</v>
      </c>
      <c r="F5860" s="1" t="s">
        <v>8673</v>
      </c>
      <c r="H5860" s="1" t="s">
        <v>8674</v>
      </c>
      <c r="J5860" s="1" t="s">
        <v>5053</v>
      </c>
      <c r="L5860" s="1" t="s">
        <v>357</v>
      </c>
      <c r="M5860" s="1" t="s">
        <v>358</v>
      </c>
      <c r="N5860" s="1" t="s">
        <v>799</v>
      </c>
      <c r="P5860" s="1" t="s">
        <v>1420</v>
      </c>
      <c r="Q5860" s="3">
        <v>0</v>
      </c>
      <c r="R5860" s="22" t="s">
        <v>2726</v>
      </c>
      <c r="S5860" s="42" t="s">
        <v>6912</v>
      </c>
      <c r="T5860" s="3" t="s">
        <v>4868</v>
      </c>
      <c r="U5860" s="45">
        <v>35</v>
      </c>
      <c r="V5860" t="s">
        <v>8191</v>
      </c>
      <c r="W5860" s="1" t="str">
        <f>HYPERLINK("http://ictvonline.org/taxonomy/p/taxonomy-history?taxnode_id=201905024","ICTVonline=201905024")</f>
        <v>ICTVonline=201905024</v>
      </c>
    </row>
    <row r="5861" spans="1:23">
      <c r="A5861" s="3">
        <v>5860</v>
      </c>
      <c r="B5861" s="1" t="s">
        <v>5910</v>
      </c>
      <c r="D5861" s="1" t="s">
        <v>8672</v>
      </c>
      <c r="F5861" s="1" t="s">
        <v>8673</v>
      </c>
      <c r="H5861" s="1" t="s">
        <v>8674</v>
      </c>
      <c r="J5861" s="1" t="s">
        <v>5053</v>
      </c>
      <c r="L5861" s="1" t="s">
        <v>357</v>
      </c>
      <c r="M5861" s="1" t="s">
        <v>358</v>
      </c>
      <c r="N5861" s="1" t="s">
        <v>1421</v>
      </c>
      <c r="P5861" s="1" t="s">
        <v>1359</v>
      </c>
      <c r="Q5861" s="3">
        <v>0</v>
      </c>
      <c r="R5861" s="22" t="s">
        <v>2726</v>
      </c>
      <c r="S5861" s="42" t="s">
        <v>6912</v>
      </c>
      <c r="T5861" s="3" t="s">
        <v>4868</v>
      </c>
      <c r="U5861" s="45">
        <v>35</v>
      </c>
      <c r="V5861" t="s">
        <v>8191</v>
      </c>
      <c r="W5861" s="1" t="str">
        <f>HYPERLINK("http://ictvonline.org/taxonomy/p/taxonomy-history?taxnode_id=201905026","ICTVonline=201905026")</f>
        <v>ICTVonline=201905026</v>
      </c>
    </row>
    <row r="5862" spans="1:23">
      <c r="A5862" s="3">
        <v>5861</v>
      </c>
      <c r="B5862" s="1" t="s">
        <v>5910</v>
      </c>
      <c r="D5862" s="1" t="s">
        <v>8672</v>
      </c>
      <c r="F5862" s="1" t="s">
        <v>8673</v>
      </c>
      <c r="H5862" s="1" t="s">
        <v>8674</v>
      </c>
      <c r="J5862" s="1" t="s">
        <v>5053</v>
      </c>
      <c r="L5862" s="1" t="s">
        <v>357</v>
      </c>
      <c r="M5862" s="1" t="s">
        <v>358</v>
      </c>
      <c r="N5862" s="1" t="s">
        <v>1421</v>
      </c>
      <c r="P5862" s="1" t="s">
        <v>1199</v>
      </c>
      <c r="Q5862" s="3">
        <v>0</v>
      </c>
      <c r="R5862" s="22" t="s">
        <v>2726</v>
      </c>
      <c r="S5862" s="42" t="s">
        <v>6912</v>
      </c>
      <c r="T5862" s="3" t="s">
        <v>4868</v>
      </c>
      <c r="U5862" s="45">
        <v>35</v>
      </c>
      <c r="V5862" t="s">
        <v>8191</v>
      </c>
      <c r="W5862" s="1" t="str">
        <f>HYPERLINK("http://ictvonline.org/taxonomy/p/taxonomy-history?taxnode_id=201905027","ICTVonline=201905027")</f>
        <v>ICTVonline=201905027</v>
      </c>
    </row>
    <row r="5863" spans="1:23">
      <c r="A5863" s="3">
        <v>5862</v>
      </c>
      <c r="B5863" s="1" t="s">
        <v>5910</v>
      </c>
      <c r="D5863" s="1" t="s">
        <v>8672</v>
      </c>
      <c r="F5863" s="1" t="s">
        <v>8673</v>
      </c>
      <c r="H5863" s="1" t="s">
        <v>8674</v>
      </c>
      <c r="J5863" s="1" t="s">
        <v>5053</v>
      </c>
      <c r="L5863" s="1" t="s">
        <v>357</v>
      </c>
      <c r="M5863" s="1" t="s">
        <v>358</v>
      </c>
      <c r="N5863" s="1" t="s">
        <v>1421</v>
      </c>
      <c r="P5863" s="1" t="s">
        <v>1200</v>
      </c>
      <c r="Q5863" s="3">
        <v>0</v>
      </c>
      <c r="R5863" s="22" t="s">
        <v>2726</v>
      </c>
      <c r="S5863" s="42" t="s">
        <v>6912</v>
      </c>
      <c r="T5863" s="3" t="s">
        <v>4868</v>
      </c>
      <c r="U5863" s="45">
        <v>35</v>
      </c>
      <c r="V5863" t="s">
        <v>8191</v>
      </c>
      <c r="W5863" s="1" t="str">
        <f>HYPERLINK("http://ictvonline.org/taxonomy/p/taxonomy-history?taxnode_id=201905028","ICTVonline=201905028")</f>
        <v>ICTVonline=201905028</v>
      </c>
    </row>
    <row r="5864" spans="1:23">
      <c r="A5864" s="3">
        <v>5863</v>
      </c>
      <c r="B5864" s="1" t="s">
        <v>5910</v>
      </c>
      <c r="D5864" s="1" t="s">
        <v>8672</v>
      </c>
      <c r="F5864" s="1" t="s">
        <v>8673</v>
      </c>
      <c r="H5864" s="1" t="s">
        <v>8674</v>
      </c>
      <c r="J5864" s="1" t="s">
        <v>5053</v>
      </c>
      <c r="L5864" s="1" t="s">
        <v>357</v>
      </c>
      <c r="M5864" s="1" t="s">
        <v>358</v>
      </c>
      <c r="N5864" s="1" t="s">
        <v>1421</v>
      </c>
      <c r="P5864" s="1" t="s">
        <v>1201</v>
      </c>
      <c r="Q5864" s="3">
        <v>0</v>
      </c>
      <c r="R5864" s="22" t="s">
        <v>2726</v>
      </c>
      <c r="S5864" s="42" t="s">
        <v>6912</v>
      </c>
      <c r="T5864" s="3" t="s">
        <v>4868</v>
      </c>
      <c r="U5864" s="45">
        <v>35</v>
      </c>
      <c r="V5864" t="s">
        <v>8191</v>
      </c>
      <c r="W5864" s="1" t="str">
        <f>HYPERLINK("http://ictvonline.org/taxonomy/p/taxonomy-history?taxnode_id=201905029","ICTVonline=201905029")</f>
        <v>ICTVonline=201905029</v>
      </c>
    </row>
    <row r="5865" spans="1:23">
      <c r="A5865" s="3">
        <v>5864</v>
      </c>
      <c r="B5865" s="1" t="s">
        <v>5910</v>
      </c>
      <c r="D5865" s="1" t="s">
        <v>8672</v>
      </c>
      <c r="F5865" s="1" t="s">
        <v>8673</v>
      </c>
      <c r="H5865" s="1" t="s">
        <v>8674</v>
      </c>
      <c r="J5865" s="1" t="s">
        <v>5053</v>
      </c>
      <c r="L5865" s="1" t="s">
        <v>357</v>
      </c>
      <c r="M5865" s="1" t="s">
        <v>358</v>
      </c>
      <c r="N5865" s="1" t="s">
        <v>1421</v>
      </c>
      <c r="P5865" s="1" t="s">
        <v>1202</v>
      </c>
      <c r="Q5865" s="3">
        <v>1</v>
      </c>
      <c r="R5865" s="22" t="s">
        <v>2726</v>
      </c>
      <c r="S5865" s="42" t="s">
        <v>6912</v>
      </c>
      <c r="T5865" s="3" t="s">
        <v>4868</v>
      </c>
      <c r="U5865" s="45">
        <v>35</v>
      </c>
      <c r="V5865" t="s">
        <v>8191</v>
      </c>
      <c r="W5865" s="1" t="str">
        <f>HYPERLINK("http://ictvonline.org/taxonomy/p/taxonomy-history?taxnode_id=201905030","ICTVonline=201905030")</f>
        <v>ICTVonline=201905030</v>
      </c>
    </row>
    <row r="5866" spans="1:23">
      <c r="A5866" s="3">
        <v>5865</v>
      </c>
      <c r="B5866" s="1" t="s">
        <v>5910</v>
      </c>
      <c r="D5866" s="1" t="s">
        <v>8672</v>
      </c>
      <c r="F5866" s="1" t="s">
        <v>8673</v>
      </c>
      <c r="H5866" s="1" t="s">
        <v>8674</v>
      </c>
      <c r="J5866" s="1" t="s">
        <v>5053</v>
      </c>
      <c r="L5866" s="1" t="s">
        <v>357</v>
      </c>
      <c r="M5866" s="1" t="s">
        <v>358</v>
      </c>
      <c r="N5866" s="1" t="s">
        <v>1421</v>
      </c>
      <c r="P5866" s="1" t="s">
        <v>1203</v>
      </c>
      <c r="Q5866" s="3">
        <v>0</v>
      </c>
      <c r="R5866" s="22" t="s">
        <v>2726</v>
      </c>
      <c r="S5866" s="42" t="s">
        <v>6912</v>
      </c>
      <c r="T5866" s="3" t="s">
        <v>4868</v>
      </c>
      <c r="U5866" s="45">
        <v>35</v>
      </c>
      <c r="V5866" t="s">
        <v>8191</v>
      </c>
      <c r="W5866" s="1" t="str">
        <f>HYPERLINK("http://ictvonline.org/taxonomy/p/taxonomy-history?taxnode_id=201905031","ICTVonline=201905031")</f>
        <v>ICTVonline=201905031</v>
      </c>
    </row>
    <row r="5867" spans="1:23">
      <c r="A5867" s="3">
        <v>5866</v>
      </c>
      <c r="B5867" s="1" t="s">
        <v>5910</v>
      </c>
      <c r="D5867" s="1" t="s">
        <v>8672</v>
      </c>
      <c r="F5867" s="1" t="s">
        <v>8673</v>
      </c>
      <c r="H5867" s="1" t="s">
        <v>8674</v>
      </c>
      <c r="J5867" s="1" t="s">
        <v>5053</v>
      </c>
      <c r="L5867" s="1" t="s">
        <v>357</v>
      </c>
      <c r="M5867" s="1" t="s">
        <v>358</v>
      </c>
      <c r="N5867" s="1" t="s">
        <v>1421</v>
      </c>
      <c r="P5867" s="1" t="s">
        <v>4773</v>
      </c>
      <c r="Q5867" s="3">
        <v>0</v>
      </c>
      <c r="R5867" s="22" t="s">
        <v>2726</v>
      </c>
      <c r="S5867" s="42" t="s">
        <v>6912</v>
      </c>
      <c r="T5867" s="3" t="s">
        <v>4868</v>
      </c>
      <c r="U5867" s="45">
        <v>35</v>
      </c>
      <c r="V5867" t="s">
        <v>8191</v>
      </c>
      <c r="W5867" s="1" t="str">
        <f>HYPERLINK("http://ictvonline.org/taxonomy/p/taxonomy-history?taxnode_id=201905032","ICTVonline=201905032")</f>
        <v>ICTVonline=201905032</v>
      </c>
    </row>
    <row r="5868" spans="1:23">
      <c r="A5868" s="3">
        <v>5867</v>
      </c>
      <c r="B5868" s="1" t="s">
        <v>5910</v>
      </c>
      <c r="D5868" s="1" t="s">
        <v>8672</v>
      </c>
      <c r="F5868" s="1" t="s">
        <v>8673</v>
      </c>
      <c r="H5868" s="1" t="s">
        <v>8674</v>
      </c>
      <c r="J5868" s="1" t="s">
        <v>5053</v>
      </c>
      <c r="L5868" s="1" t="s">
        <v>357</v>
      </c>
      <c r="M5868" s="1" t="s">
        <v>358</v>
      </c>
      <c r="N5868" s="1" t="s">
        <v>1421</v>
      </c>
      <c r="P5868" s="1" t="s">
        <v>1204</v>
      </c>
      <c r="Q5868" s="3">
        <v>0</v>
      </c>
      <c r="R5868" s="22" t="s">
        <v>2726</v>
      </c>
      <c r="S5868" s="42" t="s">
        <v>6912</v>
      </c>
      <c r="T5868" s="3" t="s">
        <v>4868</v>
      </c>
      <c r="U5868" s="45">
        <v>35</v>
      </c>
      <c r="V5868" t="s">
        <v>8191</v>
      </c>
      <c r="W5868" s="1" t="str">
        <f>HYPERLINK("http://ictvonline.org/taxonomy/p/taxonomy-history?taxnode_id=201905033","ICTVonline=201905033")</f>
        <v>ICTVonline=201905033</v>
      </c>
    </row>
    <row r="5869" spans="1:23">
      <c r="A5869" s="3">
        <v>5868</v>
      </c>
      <c r="B5869" s="1" t="s">
        <v>5910</v>
      </c>
      <c r="D5869" s="1" t="s">
        <v>8672</v>
      </c>
      <c r="F5869" s="1" t="s">
        <v>8673</v>
      </c>
      <c r="H5869" s="1" t="s">
        <v>8674</v>
      </c>
      <c r="J5869" s="1" t="s">
        <v>5053</v>
      </c>
      <c r="L5869" s="1" t="s">
        <v>357</v>
      </c>
      <c r="M5869" s="1" t="s">
        <v>358</v>
      </c>
      <c r="N5869" s="1" t="s">
        <v>1421</v>
      </c>
      <c r="P5869" s="1" t="s">
        <v>1205</v>
      </c>
      <c r="Q5869" s="3">
        <v>0</v>
      </c>
      <c r="R5869" s="22" t="s">
        <v>2726</v>
      </c>
      <c r="S5869" s="42" t="s">
        <v>6912</v>
      </c>
      <c r="T5869" s="3" t="s">
        <v>4868</v>
      </c>
      <c r="U5869" s="45">
        <v>35</v>
      </c>
      <c r="V5869" t="s">
        <v>8191</v>
      </c>
      <c r="W5869" s="1" t="str">
        <f>HYPERLINK("http://ictvonline.org/taxonomy/p/taxonomy-history?taxnode_id=201905034","ICTVonline=201905034")</f>
        <v>ICTVonline=201905034</v>
      </c>
    </row>
    <row r="5870" spans="1:23">
      <c r="A5870" s="3">
        <v>5869</v>
      </c>
      <c r="B5870" s="1" t="s">
        <v>5910</v>
      </c>
      <c r="D5870" s="1" t="s">
        <v>8672</v>
      </c>
      <c r="F5870" s="1" t="s">
        <v>8673</v>
      </c>
      <c r="H5870" s="1" t="s">
        <v>8674</v>
      </c>
      <c r="J5870" s="1" t="s">
        <v>5053</v>
      </c>
      <c r="L5870" s="1" t="s">
        <v>357</v>
      </c>
      <c r="M5870" s="1" t="s">
        <v>358</v>
      </c>
      <c r="N5870" s="1" t="s">
        <v>1421</v>
      </c>
      <c r="P5870" s="1" t="s">
        <v>5072</v>
      </c>
      <c r="Q5870" s="3">
        <v>0</v>
      </c>
      <c r="R5870" s="22" t="s">
        <v>2726</v>
      </c>
      <c r="S5870" s="42" t="s">
        <v>6912</v>
      </c>
      <c r="T5870" s="3" t="s">
        <v>4868</v>
      </c>
      <c r="U5870" s="45">
        <v>35</v>
      </c>
      <c r="V5870" t="s">
        <v>8191</v>
      </c>
      <c r="W5870" s="1" t="str">
        <f>HYPERLINK("http://ictvonline.org/taxonomy/p/taxonomy-history?taxnode_id=201905035","ICTVonline=201905035")</f>
        <v>ICTVonline=201905035</v>
      </c>
    </row>
    <row r="5871" spans="1:23">
      <c r="A5871" s="3">
        <v>5870</v>
      </c>
      <c r="B5871" s="1" t="s">
        <v>5910</v>
      </c>
      <c r="D5871" s="1" t="s">
        <v>8672</v>
      </c>
      <c r="F5871" s="1" t="s">
        <v>8673</v>
      </c>
      <c r="H5871" s="1" t="s">
        <v>8674</v>
      </c>
      <c r="J5871" s="1" t="s">
        <v>5053</v>
      </c>
      <c r="L5871" s="1" t="s">
        <v>357</v>
      </c>
      <c r="M5871" s="1" t="s">
        <v>1206</v>
      </c>
      <c r="N5871" s="1" t="s">
        <v>5073</v>
      </c>
      <c r="P5871" s="1" t="s">
        <v>1360</v>
      </c>
      <c r="Q5871" s="3">
        <v>1</v>
      </c>
      <c r="R5871" s="22" t="s">
        <v>2726</v>
      </c>
      <c r="S5871" s="42" t="s">
        <v>6912</v>
      </c>
      <c r="T5871" s="3" t="s">
        <v>4868</v>
      </c>
      <c r="U5871" s="45">
        <v>35</v>
      </c>
      <c r="V5871" t="s">
        <v>8191</v>
      </c>
      <c r="W5871" s="1" t="str">
        <f>HYPERLINK("http://ictvonline.org/taxonomy/p/taxonomy-history?taxnode_id=201905039","ICTVonline=201905039")</f>
        <v>ICTVonline=201905039</v>
      </c>
    </row>
    <row r="5872" spans="1:23">
      <c r="A5872" s="3">
        <v>5871</v>
      </c>
      <c r="B5872" s="1" t="s">
        <v>5910</v>
      </c>
      <c r="D5872" s="1" t="s">
        <v>8672</v>
      </c>
      <c r="F5872" s="1" t="s">
        <v>8673</v>
      </c>
      <c r="H5872" s="1" t="s">
        <v>8674</v>
      </c>
      <c r="J5872" s="1" t="s">
        <v>5053</v>
      </c>
      <c r="L5872" s="1" t="s">
        <v>357</v>
      </c>
      <c r="M5872" s="1" t="s">
        <v>1206</v>
      </c>
      <c r="N5872" s="1" t="s">
        <v>5074</v>
      </c>
      <c r="P5872" s="1" t="s">
        <v>1361</v>
      </c>
      <c r="Q5872" s="3">
        <v>1</v>
      </c>
      <c r="R5872" s="22" t="s">
        <v>2726</v>
      </c>
      <c r="S5872" s="42" t="s">
        <v>6912</v>
      </c>
      <c r="T5872" s="3" t="s">
        <v>4868</v>
      </c>
      <c r="U5872" s="45">
        <v>35</v>
      </c>
      <c r="V5872" t="s">
        <v>8191</v>
      </c>
      <c r="W5872" s="1" t="str">
        <f>HYPERLINK("http://ictvonline.org/taxonomy/p/taxonomy-history?taxnode_id=201905040","ICTVonline=201905040")</f>
        <v>ICTVonline=201905040</v>
      </c>
    </row>
    <row r="5873" spans="1:23">
      <c r="A5873" s="3">
        <v>5872</v>
      </c>
      <c r="B5873" s="1" t="s">
        <v>5910</v>
      </c>
      <c r="D5873" s="1" t="s">
        <v>8672</v>
      </c>
      <c r="F5873" s="1" t="s">
        <v>8673</v>
      </c>
      <c r="H5873" s="1" t="s">
        <v>8674</v>
      </c>
      <c r="J5873" s="1" t="s">
        <v>5053</v>
      </c>
      <c r="L5873" s="1" t="s">
        <v>357</v>
      </c>
      <c r="M5873" s="1" t="s">
        <v>1206</v>
      </c>
      <c r="N5873" s="1" t="s">
        <v>5075</v>
      </c>
      <c r="P5873" s="1" t="s">
        <v>1362</v>
      </c>
      <c r="Q5873" s="3">
        <v>1</v>
      </c>
      <c r="R5873" s="22" t="s">
        <v>2726</v>
      </c>
      <c r="S5873" s="42" t="s">
        <v>6912</v>
      </c>
      <c r="T5873" s="3" t="s">
        <v>4868</v>
      </c>
      <c r="U5873" s="45">
        <v>35</v>
      </c>
      <c r="V5873" t="s">
        <v>8191</v>
      </c>
      <c r="W5873" s="1" t="str">
        <f>HYPERLINK("http://ictvonline.org/taxonomy/p/taxonomy-history?taxnode_id=201905041","ICTVonline=201905041")</f>
        <v>ICTVonline=201905041</v>
      </c>
    </row>
    <row r="5874" spans="1:23">
      <c r="A5874" s="3">
        <v>5873</v>
      </c>
      <c r="B5874" s="1" t="s">
        <v>5910</v>
      </c>
      <c r="D5874" s="1" t="s">
        <v>8672</v>
      </c>
      <c r="F5874" s="1" t="s">
        <v>8673</v>
      </c>
      <c r="H5874" s="1" t="s">
        <v>8674</v>
      </c>
      <c r="J5874" s="1" t="s">
        <v>5053</v>
      </c>
      <c r="L5874" s="1" t="s">
        <v>357</v>
      </c>
      <c r="M5874" s="1" t="s">
        <v>1206</v>
      </c>
      <c r="N5874" s="1" t="s">
        <v>5076</v>
      </c>
      <c r="P5874" s="1" t="s">
        <v>5077</v>
      </c>
      <c r="Q5874" s="3">
        <v>1</v>
      </c>
      <c r="R5874" s="22" t="s">
        <v>2726</v>
      </c>
      <c r="S5874" s="42" t="s">
        <v>6912</v>
      </c>
      <c r="T5874" s="3" t="s">
        <v>4868</v>
      </c>
      <c r="U5874" s="45">
        <v>35</v>
      </c>
      <c r="V5874" t="s">
        <v>8191</v>
      </c>
      <c r="W5874" s="1" t="str">
        <f>HYPERLINK("http://ictvonline.org/taxonomy/p/taxonomy-history?taxnode_id=201905932","ICTVonline=201905932")</f>
        <v>ICTVonline=201905932</v>
      </c>
    </row>
    <row r="5875" spans="1:23">
      <c r="A5875" s="3">
        <v>5874</v>
      </c>
      <c r="B5875" s="1" t="s">
        <v>5910</v>
      </c>
      <c r="D5875" s="1" t="s">
        <v>8672</v>
      </c>
      <c r="F5875" s="1" t="s">
        <v>8673</v>
      </c>
      <c r="H5875" s="1" t="s">
        <v>8674</v>
      </c>
      <c r="J5875" s="1" t="s">
        <v>5053</v>
      </c>
      <c r="L5875" s="1" t="s">
        <v>357</v>
      </c>
      <c r="M5875" s="1" t="s">
        <v>1206</v>
      </c>
      <c r="N5875" s="1" t="s">
        <v>5078</v>
      </c>
      <c r="P5875" s="1" t="s">
        <v>5079</v>
      </c>
      <c r="Q5875" s="3">
        <v>0</v>
      </c>
      <c r="R5875" s="22" t="s">
        <v>2726</v>
      </c>
      <c r="S5875" s="42" t="s">
        <v>6912</v>
      </c>
      <c r="T5875" s="3" t="s">
        <v>4868</v>
      </c>
      <c r="U5875" s="45">
        <v>35</v>
      </c>
      <c r="V5875" t="s">
        <v>8191</v>
      </c>
      <c r="W5875" s="1" t="str">
        <f>HYPERLINK("http://ictvonline.org/taxonomy/p/taxonomy-history?taxnode_id=201905934","ICTVonline=201905934")</f>
        <v>ICTVonline=201905934</v>
      </c>
    </row>
    <row r="5876" spans="1:23">
      <c r="A5876" s="3">
        <v>5875</v>
      </c>
      <c r="B5876" s="1" t="s">
        <v>5910</v>
      </c>
      <c r="D5876" s="1" t="s">
        <v>8672</v>
      </c>
      <c r="F5876" s="1" t="s">
        <v>8673</v>
      </c>
      <c r="H5876" s="1" t="s">
        <v>8674</v>
      </c>
      <c r="J5876" s="1" t="s">
        <v>5053</v>
      </c>
      <c r="L5876" s="1" t="s">
        <v>357</v>
      </c>
      <c r="M5876" s="1" t="s">
        <v>1206</v>
      </c>
      <c r="N5876" s="1" t="s">
        <v>5078</v>
      </c>
      <c r="P5876" s="1" t="s">
        <v>6798</v>
      </c>
      <c r="Q5876" s="3">
        <v>0</v>
      </c>
      <c r="R5876" s="22" t="s">
        <v>2726</v>
      </c>
      <c r="S5876" s="42" t="s">
        <v>6912</v>
      </c>
      <c r="T5876" s="3" t="s">
        <v>4868</v>
      </c>
      <c r="U5876" s="45">
        <v>35</v>
      </c>
      <c r="V5876" t="s">
        <v>8191</v>
      </c>
      <c r="W5876" s="1" t="str">
        <f>HYPERLINK("http://ictvonline.org/taxonomy/p/taxonomy-history?taxnode_id=201905935","ICTVonline=201905935")</f>
        <v>ICTVonline=201905935</v>
      </c>
    </row>
    <row r="5877" spans="1:23">
      <c r="A5877" s="3">
        <v>5876</v>
      </c>
      <c r="B5877" s="1" t="s">
        <v>5910</v>
      </c>
      <c r="D5877" s="1" t="s">
        <v>8672</v>
      </c>
      <c r="F5877" s="1" t="s">
        <v>8673</v>
      </c>
      <c r="H5877" s="1" t="s">
        <v>8674</v>
      </c>
      <c r="J5877" s="1" t="s">
        <v>5053</v>
      </c>
      <c r="L5877" s="1" t="s">
        <v>357</v>
      </c>
      <c r="M5877" s="1" t="s">
        <v>1206</v>
      </c>
      <c r="N5877" s="1" t="s">
        <v>5078</v>
      </c>
      <c r="P5877" s="1" t="s">
        <v>6799</v>
      </c>
      <c r="Q5877" s="3">
        <v>0</v>
      </c>
      <c r="R5877" s="22" t="s">
        <v>2726</v>
      </c>
      <c r="S5877" s="42" t="s">
        <v>6912</v>
      </c>
      <c r="T5877" s="3" t="s">
        <v>4868</v>
      </c>
      <c r="U5877" s="45">
        <v>35</v>
      </c>
      <c r="V5877" t="s">
        <v>8191</v>
      </c>
      <c r="W5877" s="1" t="str">
        <f>HYPERLINK("http://ictvonline.org/taxonomy/p/taxonomy-history?taxnode_id=201906445","ICTVonline=201906445")</f>
        <v>ICTVonline=201906445</v>
      </c>
    </row>
    <row r="5878" spans="1:23">
      <c r="A5878" s="3">
        <v>5877</v>
      </c>
      <c r="B5878" s="1" t="s">
        <v>5910</v>
      </c>
      <c r="D5878" s="1" t="s">
        <v>8672</v>
      </c>
      <c r="F5878" s="1" t="s">
        <v>8673</v>
      </c>
      <c r="H5878" s="1" t="s">
        <v>8674</v>
      </c>
      <c r="J5878" s="1" t="s">
        <v>5053</v>
      </c>
      <c r="L5878" s="1" t="s">
        <v>357</v>
      </c>
      <c r="M5878" s="1" t="s">
        <v>1206</v>
      </c>
      <c r="N5878" s="1" t="s">
        <v>5078</v>
      </c>
      <c r="P5878" s="1" t="s">
        <v>5080</v>
      </c>
      <c r="Q5878" s="3">
        <v>1</v>
      </c>
      <c r="R5878" s="22" t="s">
        <v>2726</v>
      </c>
      <c r="S5878" s="42" t="s">
        <v>6912</v>
      </c>
      <c r="T5878" s="3" t="s">
        <v>4868</v>
      </c>
      <c r="U5878" s="45">
        <v>35</v>
      </c>
      <c r="V5878" t="s">
        <v>8191</v>
      </c>
      <c r="W5878" s="1" t="str">
        <f>HYPERLINK("http://ictvonline.org/taxonomy/p/taxonomy-history?taxnode_id=201905043","ICTVonline=201905043")</f>
        <v>ICTVonline=201905043</v>
      </c>
    </row>
    <row r="5879" spans="1:23">
      <c r="A5879" s="3">
        <v>5878</v>
      </c>
      <c r="B5879" s="1" t="s">
        <v>5910</v>
      </c>
      <c r="D5879" s="1" t="s">
        <v>8672</v>
      </c>
      <c r="F5879" s="1" t="s">
        <v>8673</v>
      </c>
      <c r="H5879" s="1" t="s">
        <v>8674</v>
      </c>
      <c r="J5879" s="1" t="s">
        <v>5053</v>
      </c>
      <c r="L5879" s="1" t="s">
        <v>357</v>
      </c>
      <c r="M5879" s="1" t="s">
        <v>1206</v>
      </c>
      <c r="N5879" s="1" t="s">
        <v>5078</v>
      </c>
      <c r="P5879" s="1" t="s">
        <v>5081</v>
      </c>
      <c r="Q5879" s="3">
        <v>0</v>
      </c>
      <c r="R5879" s="22" t="s">
        <v>2726</v>
      </c>
      <c r="S5879" s="42" t="s">
        <v>6912</v>
      </c>
      <c r="T5879" s="3" t="s">
        <v>4868</v>
      </c>
      <c r="U5879" s="45">
        <v>35</v>
      </c>
      <c r="V5879" t="s">
        <v>8191</v>
      </c>
      <c r="W5879" s="1" t="str">
        <f>HYPERLINK("http://ictvonline.org/taxonomy/p/taxonomy-history?taxnode_id=201905038","ICTVonline=201905038")</f>
        <v>ICTVonline=201905038</v>
      </c>
    </row>
    <row r="5880" spans="1:23">
      <c r="A5880" s="3">
        <v>5879</v>
      </c>
      <c r="B5880" s="1" t="s">
        <v>5910</v>
      </c>
      <c r="D5880" s="1" t="s">
        <v>8672</v>
      </c>
      <c r="F5880" s="1" t="s">
        <v>8673</v>
      </c>
      <c r="H5880" s="1" t="s">
        <v>8674</v>
      </c>
      <c r="J5880" s="1" t="s">
        <v>5053</v>
      </c>
      <c r="L5880" s="1" t="s">
        <v>357</v>
      </c>
      <c r="M5880" s="1" t="s">
        <v>1206</v>
      </c>
      <c r="N5880" s="1" t="s">
        <v>5078</v>
      </c>
      <c r="P5880" s="1" t="s">
        <v>5082</v>
      </c>
      <c r="Q5880" s="3">
        <v>0</v>
      </c>
      <c r="R5880" s="22" t="s">
        <v>2726</v>
      </c>
      <c r="S5880" s="42" t="s">
        <v>6912</v>
      </c>
      <c r="T5880" s="3" t="s">
        <v>4868</v>
      </c>
      <c r="U5880" s="45">
        <v>35</v>
      </c>
      <c r="V5880" t="s">
        <v>8191</v>
      </c>
      <c r="W5880" s="1" t="str">
        <f>HYPERLINK("http://ictvonline.org/taxonomy/p/taxonomy-history?taxnode_id=201905936","ICTVonline=201905936")</f>
        <v>ICTVonline=201905936</v>
      </c>
    </row>
    <row r="5881" spans="1:23">
      <c r="A5881" s="3">
        <v>5880</v>
      </c>
      <c r="B5881" s="1" t="s">
        <v>5910</v>
      </c>
      <c r="D5881" s="1" t="s">
        <v>8672</v>
      </c>
      <c r="F5881" s="1" t="s">
        <v>8673</v>
      </c>
      <c r="H5881" s="1" t="s">
        <v>8674</v>
      </c>
      <c r="J5881" s="1" t="s">
        <v>5053</v>
      </c>
      <c r="L5881" s="1" t="s">
        <v>357</v>
      </c>
      <c r="M5881" s="1" t="s">
        <v>1206</v>
      </c>
      <c r="N5881" s="1" t="s">
        <v>5078</v>
      </c>
      <c r="P5881" s="1" t="s">
        <v>5083</v>
      </c>
      <c r="Q5881" s="3">
        <v>0</v>
      </c>
      <c r="R5881" s="22" t="s">
        <v>2726</v>
      </c>
      <c r="S5881" s="42" t="s">
        <v>6912</v>
      </c>
      <c r="T5881" s="3" t="s">
        <v>4868</v>
      </c>
      <c r="U5881" s="45">
        <v>35</v>
      </c>
      <c r="V5881" t="s">
        <v>8191</v>
      </c>
      <c r="W5881" s="1" t="str">
        <f>HYPERLINK("http://ictvonline.org/taxonomy/p/taxonomy-history?taxnode_id=201905937","ICTVonline=201905937")</f>
        <v>ICTVonline=201905937</v>
      </c>
    </row>
    <row r="5882" spans="1:23">
      <c r="A5882" s="3">
        <v>5881</v>
      </c>
      <c r="B5882" s="1" t="s">
        <v>5910</v>
      </c>
      <c r="D5882" s="1" t="s">
        <v>8672</v>
      </c>
      <c r="F5882" s="1" t="s">
        <v>8673</v>
      </c>
      <c r="H5882" s="1" t="s">
        <v>8674</v>
      </c>
      <c r="J5882" s="1" t="s">
        <v>5053</v>
      </c>
      <c r="L5882" s="1" t="s">
        <v>357</v>
      </c>
      <c r="M5882" s="1" t="s">
        <v>1206</v>
      </c>
      <c r="N5882" s="1" t="s">
        <v>5078</v>
      </c>
      <c r="P5882" s="1" t="s">
        <v>5084</v>
      </c>
      <c r="Q5882" s="3">
        <v>0</v>
      </c>
      <c r="R5882" s="22" t="s">
        <v>2726</v>
      </c>
      <c r="S5882" s="42" t="s">
        <v>6912</v>
      </c>
      <c r="T5882" s="3" t="s">
        <v>4868</v>
      </c>
      <c r="U5882" s="45">
        <v>35</v>
      </c>
      <c r="V5882" t="s">
        <v>8191</v>
      </c>
      <c r="W5882" s="1" t="str">
        <f>HYPERLINK("http://ictvonline.org/taxonomy/p/taxonomy-history?taxnode_id=201905938","ICTVonline=201905938")</f>
        <v>ICTVonline=201905938</v>
      </c>
    </row>
    <row r="5883" spans="1:23">
      <c r="A5883" s="3">
        <v>5882</v>
      </c>
      <c r="B5883" s="1" t="s">
        <v>5910</v>
      </c>
      <c r="D5883" s="1" t="s">
        <v>8672</v>
      </c>
      <c r="F5883" s="1" t="s">
        <v>8673</v>
      </c>
      <c r="H5883" s="1" t="s">
        <v>8674</v>
      </c>
      <c r="J5883" s="1" t="s">
        <v>5053</v>
      </c>
      <c r="L5883" s="1" t="s">
        <v>357</v>
      </c>
      <c r="M5883" s="1" t="s">
        <v>1206</v>
      </c>
      <c r="N5883" s="1" t="s">
        <v>5078</v>
      </c>
      <c r="P5883" s="1" t="s">
        <v>5085</v>
      </c>
      <c r="Q5883" s="3">
        <v>0</v>
      </c>
      <c r="R5883" s="22" t="s">
        <v>2726</v>
      </c>
      <c r="S5883" s="42" t="s">
        <v>6912</v>
      </c>
      <c r="T5883" s="3" t="s">
        <v>4868</v>
      </c>
      <c r="U5883" s="45">
        <v>35</v>
      </c>
      <c r="V5883" t="s">
        <v>8191</v>
      </c>
      <c r="W5883" s="1" t="str">
        <f>HYPERLINK("http://ictvonline.org/taxonomy/p/taxonomy-history?taxnode_id=201905939","ICTVonline=201905939")</f>
        <v>ICTVonline=201905939</v>
      </c>
    </row>
    <row r="5884" spans="1:23">
      <c r="A5884" s="3">
        <v>5883</v>
      </c>
      <c r="B5884" s="1" t="s">
        <v>5910</v>
      </c>
      <c r="D5884" s="1" t="s">
        <v>8672</v>
      </c>
      <c r="F5884" s="1" t="s">
        <v>8673</v>
      </c>
      <c r="H5884" s="1" t="s">
        <v>8674</v>
      </c>
      <c r="J5884" s="1" t="s">
        <v>5053</v>
      </c>
      <c r="L5884" s="1" t="s">
        <v>357</v>
      </c>
      <c r="M5884" s="1" t="s">
        <v>1206</v>
      </c>
      <c r="N5884" s="1" t="s">
        <v>5078</v>
      </c>
      <c r="P5884" s="1" t="s">
        <v>5086</v>
      </c>
      <c r="Q5884" s="3">
        <v>0</v>
      </c>
      <c r="R5884" s="22" t="s">
        <v>2726</v>
      </c>
      <c r="S5884" s="42" t="s">
        <v>6912</v>
      </c>
      <c r="T5884" s="3" t="s">
        <v>4868</v>
      </c>
      <c r="U5884" s="45">
        <v>35</v>
      </c>
      <c r="V5884" t="s">
        <v>8191</v>
      </c>
      <c r="W5884" s="1" t="str">
        <f>HYPERLINK("http://ictvonline.org/taxonomy/p/taxonomy-history?taxnode_id=201905940","ICTVonline=201905940")</f>
        <v>ICTVonline=201905940</v>
      </c>
    </row>
    <row r="5885" spans="1:23">
      <c r="A5885" s="3">
        <v>5884</v>
      </c>
      <c r="B5885" s="1" t="s">
        <v>5910</v>
      </c>
      <c r="D5885" s="1" t="s">
        <v>8672</v>
      </c>
      <c r="F5885" s="1" t="s">
        <v>8673</v>
      </c>
      <c r="H5885" s="1" t="s">
        <v>8674</v>
      </c>
      <c r="J5885" s="1" t="s">
        <v>5053</v>
      </c>
      <c r="L5885" s="1" t="s">
        <v>357</v>
      </c>
      <c r="M5885" s="1" t="s">
        <v>1206</v>
      </c>
      <c r="N5885" s="1" t="s">
        <v>5078</v>
      </c>
      <c r="P5885" s="1" t="s">
        <v>5087</v>
      </c>
      <c r="Q5885" s="3">
        <v>0</v>
      </c>
      <c r="R5885" s="22" t="s">
        <v>2726</v>
      </c>
      <c r="S5885" s="42" t="s">
        <v>6912</v>
      </c>
      <c r="T5885" s="3" t="s">
        <v>4868</v>
      </c>
      <c r="U5885" s="45">
        <v>35</v>
      </c>
      <c r="V5885" t="s">
        <v>8191</v>
      </c>
      <c r="W5885" s="1" t="str">
        <f>HYPERLINK("http://ictvonline.org/taxonomy/p/taxonomy-history?taxnode_id=201905042","ICTVonline=201905042")</f>
        <v>ICTVonline=201905042</v>
      </c>
    </row>
    <row r="5886" spans="1:23">
      <c r="A5886" s="3">
        <v>5885</v>
      </c>
      <c r="B5886" s="1" t="s">
        <v>5910</v>
      </c>
      <c r="D5886" s="1" t="s">
        <v>8672</v>
      </c>
      <c r="F5886" s="1" t="s">
        <v>8673</v>
      </c>
      <c r="H5886" s="1" t="s">
        <v>8674</v>
      </c>
      <c r="J5886" s="1" t="s">
        <v>5053</v>
      </c>
      <c r="L5886" s="1" t="s">
        <v>357</v>
      </c>
      <c r="M5886" s="1" t="s">
        <v>1206</v>
      </c>
      <c r="N5886" s="1" t="s">
        <v>5078</v>
      </c>
      <c r="P5886" s="1" t="s">
        <v>5088</v>
      </c>
      <c r="Q5886" s="3">
        <v>0</v>
      </c>
      <c r="R5886" s="22" t="s">
        <v>2726</v>
      </c>
      <c r="S5886" s="42" t="s">
        <v>6912</v>
      </c>
      <c r="T5886" s="3" t="s">
        <v>4868</v>
      </c>
      <c r="U5886" s="45">
        <v>35</v>
      </c>
      <c r="V5886" t="s">
        <v>8191</v>
      </c>
      <c r="W5886" s="1" t="str">
        <f>HYPERLINK("http://ictvonline.org/taxonomy/p/taxonomy-history?taxnode_id=201905941","ICTVonline=201905941")</f>
        <v>ICTVonline=201905941</v>
      </c>
    </row>
    <row r="5887" spans="1:23">
      <c r="A5887" s="3">
        <v>5886</v>
      </c>
      <c r="B5887" s="1" t="s">
        <v>5910</v>
      </c>
      <c r="D5887" s="1" t="s">
        <v>8672</v>
      </c>
      <c r="F5887" s="1" t="s">
        <v>8673</v>
      </c>
      <c r="H5887" s="1" t="s">
        <v>8674</v>
      </c>
      <c r="J5887" s="1" t="s">
        <v>5053</v>
      </c>
      <c r="L5887" s="1" t="s">
        <v>357</v>
      </c>
      <c r="M5887" s="1" t="s">
        <v>1206</v>
      </c>
      <c r="N5887" s="1" t="s">
        <v>5078</v>
      </c>
      <c r="P5887" s="1" t="s">
        <v>5089</v>
      </c>
      <c r="Q5887" s="3">
        <v>0</v>
      </c>
      <c r="R5887" s="22" t="s">
        <v>2726</v>
      </c>
      <c r="S5887" s="42" t="s">
        <v>6912</v>
      </c>
      <c r="T5887" s="3" t="s">
        <v>4868</v>
      </c>
      <c r="U5887" s="45">
        <v>35</v>
      </c>
      <c r="V5887" t="s">
        <v>8191</v>
      </c>
      <c r="W5887" s="1" t="str">
        <f>HYPERLINK("http://ictvonline.org/taxonomy/p/taxonomy-history?taxnode_id=201905942","ICTVonline=201905942")</f>
        <v>ICTVonline=201905942</v>
      </c>
    </row>
    <row r="5888" spans="1:23">
      <c r="A5888" s="3">
        <v>5887</v>
      </c>
      <c r="B5888" s="1" t="s">
        <v>5910</v>
      </c>
      <c r="D5888" s="1" t="s">
        <v>8672</v>
      </c>
      <c r="F5888" s="1" t="s">
        <v>8673</v>
      </c>
      <c r="H5888" s="1" t="s">
        <v>8674</v>
      </c>
      <c r="J5888" s="1" t="s">
        <v>5053</v>
      </c>
      <c r="L5888" s="1" t="s">
        <v>357</v>
      </c>
      <c r="M5888" s="1" t="s">
        <v>1206</v>
      </c>
      <c r="N5888" s="1" t="s">
        <v>5078</v>
      </c>
      <c r="P5888" s="1" t="s">
        <v>5090</v>
      </c>
      <c r="Q5888" s="3">
        <v>0</v>
      </c>
      <c r="R5888" s="22" t="s">
        <v>2726</v>
      </c>
      <c r="S5888" s="42" t="s">
        <v>6912</v>
      </c>
      <c r="T5888" s="3" t="s">
        <v>4868</v>
      </c>
      <c r="U5888" s="45">
        <v>35</v>
      </c>
      <c r="V5888" t="s">
        <v>8191</v>
      </c>
      <c r="W5888" s="1" t="str">
        <f>HYPERLINK("http://ictvonline.org/taxonomy/p/taxonomy-history?taxnode_id=201905943","ICTVonline=201905943")</f>
        <v>ICTVonline=201905943</v>
      </c>
    </row>
    <row r="5889" spans="1:23">
      <c r="A5889" s="3">
        <v>5888</v>
      </c>
      <c r="B5889" s="1" t="s">
        <v>5910</v>
      </c>
      <c r="D5889" s="1" t="s">
        <v>8672</v>
      </c>
      <c r="F5889" s="1" t="s">
        <v>8673</v>
      </c>
      <c r="H5889" s="1" t="s">
        <v>8674</v>
      </c>
      <c r="J5889" s="1" t="s">
        <v>5053</v>
      </c>
      <c r="L5889" s="1" t="s">
        <v>357</v>
      </c>
      <c r="M5889" s="1" t="s">
        <v>1206</v>
      </c>
      <c r="N5889" s="1" t="s">
        <v>5078</v>
      </c>
      <c r="P5889" s="1" t="s">
        <v>5091</v>
      </c>
      <c r="Q5889" s="3">
        <v>0</v>
      </c>
      <c r="R5889" s="22" t="s">
        <v>2726</v>
      </c>
      <c r="S5889" s="42" t="s">
        <v>6912</v>
      </c>
      <c r="T5889" s="3" t="s">
        <v>4868</v>
      </c>
      <c r="U5889" s="45">
        <v>35</v>
      </c>
      <c r="V5889" t="s">
        <v>8191</v>
      </c>
      <c r="W5889" s="1" t="str">
        <f>HYPERLINK("http://ictvonline.org/taxonomy/p/taxonomy-history?taxnode_id=201905944","ICTVonline=201905944")</f>
        <v>ICTVonline=201905944</v>
      </c>
    </row>
    <row r="5890" spans="1:23">
      <c r="A5890" s="3">
        <v>5889</v>
      </c>
      <c r="B5890" s="1" t="s">
        <v>5910</v>
      </c>
      <c r="L5890" s="1" t="s">
        <v>8692</v>
      </c>
      <c r="N5890" s="1" t="s">
        <v>8693</v>
      </c>
      <c r="P5890" s="1" t="s">
        <v>8694</v>
      </c>
      <c r="Q5890" s="3">
        <v>1</v>
      </c>
      <c r="R5890" s="22" t="s">
        <v>2725</v>
      </c>
      <c r="S5890" s="42" t="s">
        <v>6914</v>
      </c>
      <c r="T5890" s="3" t="s">
        <v>4866</v>
      </c>
      <c r="U5890" s="45">
        <v>35</v>
      </c>
      <c r="V5890" t="s">
        <v>8695</v>
      </c>
      <c r="W5890" s="1" t="str">
        <f>HYPERLINK("http://ictvonline.org/taxonomy/p/taxonomy-history?taxnode_id=201908685","ICTVonline=201908685")</f>
        <v>ICTVonline=201908685</v>
      </c>
    </row>
    <row r="5891" spans="1:23">
      <c r="A5891" s="3">
        <v>5890</v>
      </c>
      <c r="B5891" s="1" t="s">
        <v>5910</v>
      </c>
      <c r="L5891" s="1" t="s">
        <v>8692</v>
      </c>
      <c r="N5891" s="1" t="s">
        <v>8693</v>
      </c>
      <c r="P5891" s="1" t="s">
        <v>8696</v>
      </c>
      <c r="Q5891" s="3">
        <v>0</v>
      </c>
      <c r="R5891" s="22" t="s">
        <v>2725</v>
      </c>
      <c r="S5891" s="42" t="s">
        <v>6914</v>
      </c>
      <c r="T5891" s="3" t="s">
        <v>4866</v>
      </c>
      <c r="U5891" s="45">
        <v>35</v>
      </c>
      <c r="V5891" t="s">
        <v>8695</v>
      </c>
      <c r="W5891" s="1" t="str">
        <f>HYPERLINK("http://ictvonline.org/taxonomy/p/taxonomy-history?taxnode_id=201908686","ICTVonline=201908686")</f>
        <v>ICTVonline=201908686</v>
      </c>
    </row>
    <row r="5892" spans="1:23">
      <c r="A5892" s="3">
        <v>5891</v>
      </c>
      <c r="B5892" s="1" t="s">
        <v>5910</v>
      </c>
      <c r="L5892" s="1" t="s">
        <v>8692</v>
      </c>
      <c r="N5892" s="1" t="s">
        <v>8693</v>
      </c>
      <c r="P5892" s="1" t="s">
        <v>8697</v>
      </c>
      <c r="Q5892" s="3">
        <v>0</v>
      </c>
      <c r="R5892" s="22" t="s">
        <v>2725</v>
      </c>
      <c r="S5892" s="42" t="s">
        <v>6914</v>
      </c>
      <c r="T5892" s="3" t="s">
        <v>4866</v>
      </c>
      <c r="U5892" s="45">
        <v>35</v>
      </c>
      <c r="V5892" t="s">
        <v>8695</v>
      </c>
      <c r="W5892" s="1" t="str">
        <f>HYPERLINK("http://ictvonline.org/taxonomy/p/taxonomy-history?taxnode_id=201908687","ICTVonline=201908687")</f>
        <v>ICTVonline=201908687</v>
      </c>
    </row>
    <row r="5893" spans="1:23">
      <c r="A5893" s="3">
        <v>5892</v>
      </c>
      <c r="B5893" s="1" t="s">
        <v>5910</v>
      </c>
      <c r="L5893" s="1" t="s">
        <v>8692</v>
      </c>
      <c r="N5893" s="1" t="s">
        <v>8693</v>
      </c>
      <c r="P5893" s="1" t="s">
        <v>8698</v>
      </c>
      <c r="Q5893" s="3">
        <v>0</v>
      </c>
      <c r="R5893" s="22" t="s">
        <v>2725</v>
      </c>
      <c r="S5893" s="42" t="s">
        <v>6914</v>
      </c>
      <c r="T5893" s="3" t="s">
        <v>4866</v>
      </c>
      <c r="U5893" s="45">
        <v>35</v>
      </c>
      <c r="V5893" t="s">
        <v>8695</v>
      </c>
      <c r="W5893" s="1" t="str">
        <f>HYPERLINK("http://ictvonline.org/taxonomy/p/taxonomy-history?taxnode_id=201908688","ICTVonline=201908688")</f>
        <v>ICTVonline=201908688</v>
      </c>
    </row>
    <row r="5894" spans="1:23">
      <c r="A5894" s="3">
        <v>5893</v>
      </c>
      <c r="B5894" s="1" t="s">
        <v>5910</v>
      </c>
      <c r="L5894" s="1" t="s">
        <v>8692</v>
      </c>
      <c r="N5894" s="1" t="s">
        <v>8693</v>
      </c>
      <c r="P5894" s="1" t="s">
        <v>8699</v>
      </c>
      <c r="Q5894" s="3">
        <v>0</v>
      </c>
      <c r="R5894" s="22" t="s">
        <v>2725</v>
      </c>
      <c r="S5894" s="42" t="s">
        <v>6914</v>
      </c>
      <c r="T5894" s="3" t="s">
        <v>4866</v>
      </c>
      <c r="U5894" s="45">
        <v>35</v>
      </c>
      <c r="V5894" t="s">
        <v>8695</v>
      </c>
      <c r="W5894" s="1" t="str">
        <f>HYPERLINK("http://ictvonline.org/taxonomy/p/taxonomy-history?taxnode_id=201908689","ICTVonline=201908689")</f>
        <v>ICTVonline=201908689</v>
      </c>
    </row>
    <row r="5895" spans="1:23">
      <c r="A5895" s="3">
        <v>5894</v>
      </c>
      <c r="B5895" s="1" t="s">
        <v>5910</v>
      </c>
      <c r="L5895" s="1" t="s">
        <v>8692</v>
      </c>
      <c r="N5895" s="1" t="s">
        <v>8693</v>
      </c>
      <c r="P5895" s="1" t="s">
        <v>8700</v>
      </c>
      <c r="Q5895" s="3">
        <v>0</v>
      </c>
      <c r="R5895" s="22" t="s">
        <v>2725</v>
      </c>
      <c r="S5895" s="42" t="s">
        <v>6914</v>
      </c>
      <c r="T5895" s="3" t="s">
        <v>4866</v>
      </c>
      <c r="U5895" s="45">
        <v>35</v>
      </c>
      <c r="V5895" t="s">
        <v>8695</v>
      </c>
      <c r="W5895" s="1" t="str">
        <f>HYPERLINK("http://ictvonline.org/taxonomy/p/taxonomy-history?taxnode_id=201908690","ICTVonline=201908690")</f>
        <v>ICTVonline=201908690</v>
      </c>
    </row>
    <row r="5896" spans="1:23">
      <c r="A5896" s="3">
        <v>5895</v>
      </c>
      <c r="B5896" s="1" t="s">
        <v>5910</v>
      </c>
      <c r="L5896" s="1" t="s">
        <v>8692</v>
      </c>
      <c r="N5896" s="1" t="s">
        <v>8693</v>
      </c>
      <c r="P5896" s="1" t="s">
        <v>8701</v>
      </c>
      <c r="Q5896" s="3">
        <v>0</v>
      </c>
      <c r="R5896" s="22" t="s">
        <v>2725</v>
      </c>
      <c r="S5896" s="42" t="s">
        <v>6914</v>
      </c>
      <c r="T5896" s="3" t="s">
        <v>4866</v>
      </c>
      <c r="U5896" s="45">
        <v>35</v>
      </c>
      <c r="V5896" t="s">
        <v>8695</v>
      </c>
      <c r="W5896" s="1" t="str">
        <f>HYPERLINK("http://ictvonline.org/taxonomy/p/taxonomy-history?taxnode_id=201908691","ICTVonline=201908691")</f>
        <v>ICTVonline=201908691</v>
      </c>
    </row>
    <row r="5897" spans="1:23">
      <c r="A5897" s="3">
        <v>5896</v>
      </c>
      <c r="B5897" s="1" t="s">
        <v>5910</v>
      </c>
      <c r="L5897" s="1" t="s">
        <v>8692</v>
      </c>
      <c r="N5897" s="1" t="s">
        <v>8693</v>
      </c>
      <c r="P5897" s="1" t="s">
        <v>8702</v>
      </c>
      <c r="Q5897" s="3">
        <v>0</v>
      </c>
      <c r="R5897" s="22" t="s">
        <v>2725</v>
      </c>
      <c r="S5897" s="42" t="s">
        <v>6914</v>
      </c>
      <c r="T5897" s="3" t="s">
        <v>4866</v>
      </c>
      <c r="U5897" s="45">
        <v>35</v>
      </c>
      <c r="V5897" t="s">
        <v>8695</v>
      </c>
      <c r="W5897" s="1" t="str">
        <f>HYPERLINK("http://ictvonline.org/taxonomy/p/taxonomy-history?taxnode_id=201908692","ICTVonline=201908692")</f>
        <v>ICTVonline=201908692</v>
      </c>
    </row>
    <row r="5898" spans="1:23">
      <c r="A5898" s="3">
        <v>5897</v>
      </c>
      <c r="B5898" s="1" t="s">
        <v>5910</v>
      </c>
      <c r="L5898" s="1" t="s">
        <v>8692</v>
      </c>
      <c r="N5898" s="1" t="s">
        <v>8693</v>
      </c>
      <c r="P5898" s="1" t="s">
        <v>8703</v>
      </c>
      <c r="Q5898" s="3">
        <v>0</v>
      </c>
      <c r="R5898" s="22" t="s">
        <v>2725</v>
      </c>
      <c r="S5898" s="42" t="s">
        <v>6914</v>
      </c>
      <c r="T5898" s="3" t="s">
        <v>4866</v>
      </c>
      <c r="U5898" s="45">
        <v>35</v>
      </c>
      <c r="V5898" t="s">
        <v>8695</v>
      </c>
      <c r="W5898" s="1" t="str">
        <f>HYPERLINK("http://ictvonline.org/taxonomy/p/taxonomy-history?taxnode_id=201908694","ICTVonline=201908694")</f>
        <v>ICTVonline=201908694</v>
      </c>
    </row>
    <row r="5899" spans="1:23">
      <c r="A5899" s="3">
        <v>5898</v>
      </c>
      <c r="B5899" s="1" t="s">
        <v>5910</v>
      </c>
      <c r="L5899" s="1" t="s">
        <v>8692</v>
      </c>
      <c r="N5899" s="1" t="s">
        <v>8693</v>
      </c>
      <c r="P5899" s="1" t="s">
        <v>8704</v>
      </c>
      <c r="Q5899" s="3">
        <v>0</v>
      </c>
      <c r="R5899" s="22" t="s">
        <v>2725</v>
      </c>
      <c r="S5899" s="42" t="s">
        <v>6914</v>
      </c>
      <c r="T5899" s="3" t="s">
        <v>4866</v>
      </c>
      <c r="U5899" s="45">
        <v>35</v>
      </c>
      <c r="V5899" t="s">
        <v>8695</v>
      </c>
      <c r="W5899" s="1" t="str">
        <f>HYPERLINK("http://ictvonline.org/taxonomy/p/taxonomy-history?taxnode_id=201908693","ICTVonline=201908693")</f>
        <v>ICTVonline=201908693</v>
      </c>
    </row>
    <row r="5900" spans="1:23">
      <c r="A5900" s="3">
        <v>5899</v>
      </c>
      <c r="B5900" s="1" t="s">
        <v>5910</v>
      </c>
      <c r="L5900" s="1" t="s">
        <v>3960</v>
      </c>
      <c r="N5900" s="1" t="s">
        <v>3961</v>
      </c>
      <c r="P5900" s="1" t="s">
        <v>3962</v>
      </c>
      <c r="Q5900" s="3">
        <v>1</v>
      </c>
      <c r="R5900" s="22" t="s">
        <v>2723</v>
      </c>
      <c r="S5900" s="42" t="s">
        <v>6912</v>
      </c>
      <c r="T5900" s="3" t="s">
        <v>4868</v>
      </c>
      <c r="U5900" s="45">
        <v>34</v>
      </c>
      <c r="V5900" t="s">
        <v>5911</v>
      </c>
      <c r="W5900" s="1" t="str">
        <f>HYPERLINK("http://ictvonline.org/taxonomy/p/taxonomy-history?taxnode_id=201905047","ICTVonline=201905047")</f>
        <v>ICTVonline=201905047</v>
      </c>
    </row>
    <row r="5901" spans="1:23">
      <c r="A5901" s="3">
        <v>5900</v>
      </c>
      <c r="B5901" s="1" t="s">
        <v>5910</v>
      </c>
      <c r="N5901" s="1" t="s">
        <v>3972</v>
      </c>
      <c r="P5901" s="1" t="s">
        <v>3973</v>
      </c>
      <c r="Q5901" s="3">
        <v>1</v>
      </c>
      <c r="R5901" s="22" t="s">
        <v>2723</v>
      </c>
      <c r="S5901" s="42" t="s">
        <v>6913</v>
      </c>
      <c r="T5901" s="3" t="s">
        <v>4868</v>
      </c>
      <c r="U5901" s="45">
        <v>34</v>
      </c>
      <c r="V5901" t="s">
        <v>5911</v>
      </c>
      <c r="W5901" s="1" t="str">
        <f>HYPERLINK("http://ictvonline.org/taxonomy/p/taxonomy-history?taxnode_id=201905333","ICTVonline=201905333")</f>
        <v>ICTVonline=201905333</v>
      </c>
    </row>
    <row r="5902" spans="1:23">
      <c r="A5902" s="3">
        <v>5901</v>
      </c>
      <c r="B5902" s="1" t="s">
        <v>5910</v>
      </c>
      <c r="N5902" s="1" t="s">
        <v>3972</v>
      </c>
      <c r="P5902" s="1" t="s">
        <v>3974</v>
      </c>
      <c r="Q5902" s="3">
        <v>0</v>
      </c>
      <c r="R5902" s="22" t="s">
        <v>2723</v>
      </c>
      <c r="S5902" s="42" t="s">
        <v>6913</v>
      </c>
      <c r="T5902" s="3" t="s">
        <v>4868</v>
      </c>
      <c r="U5902" s="45">
        <v>34</v>
      </c>
      <c r="V5902" t="s">
        <v>5911</v>
      </c>
      <c r="W5902" s="1" t="str">
        <f>HYPERLINK("http://ictvonline.org/taxonomy/p/taxonomy-history?taxnode_id=201905334","ICTVonline=201905334")</f>
        <v>ICTVonline=201905334</v>
      </c>
    </row>
    <row r="5903" spans="1:23">
      <c r="A5903" s="3">
        <v>5902</v>
      </c>
      <c r="B5903" s="1" t="s">
        <v>5910</v>
      </c>
      <c r="N5903" s="1" t="s">
        <v>3972</v>
      </c>
      <c r="P5903" s="1" t="s">
        <v>3975</v>
      </c>
      <c r="Q5903" s="3">
        <v>0</v>
      </c>
      <c r="R5903" s="22" t="s">
        <v>2723</v>
      </c>
      <c r="S5903" s="42" t="s">
        <v>6913</v>
      </c>
      <c r="T5903" s="3" t="s">
        <v>4868</v>
      </c>
      <c r="U5903" s="45">
        <v>34</v>
      </c>
      <c r="V5903" t="s">
        <v>5911</v>
      </c>
      <c r="W5903" s="1" t="str">
        <f>HYPERLINK("http://ictvonline.org/taxonomy/p/taxonomy-history?taxnode_id=201905335","ICTVonline=201905335")</f>
        <v>ICTVonline=201905335</v>
      </c>
    </row>
    <row r="5904" spans="1:23">
      <c r="A5904" s="3">
        <v>5903</v>
      </c>
      <c r="B5904" s="1" t="s">
        <v>5910</v>
      </c>
      <c r="N5904" s="1" t="s">
        <v>3976</v>
      </c>
      <c r="P5904" s="1" t="s">
        <v>3977</v>
      </c>
      <c r="Q5904" s="3">
        <v>1</v>
      </c>
      <c r="R5904" s="22" t="s">
        <v>2723</v>
      </c>
      <c r="S5904" s="42" t="s">
        <v>6913</v>
      </c>
      <c r="T5904" s="3" t="s">
        <v>4868</v>
      </c>
      <c r="U5904" s="45">
        <v>34</v>
      </c>
      <c r="V5904" t="s">
        <v>5911</v>
      </c>
      <c r="W5904" s="1" t="str">
        <f>HYPERLINK("http://ictvonline.org/taxonomy/p/taxonomy-history?taxnode_id=201905337","ICTVonline=201905337")</f>
        <v>ICTVonline=201905337</v>
      </c>
    </row>
    <row r="5905" spans="1:23">
      <c r="A5905" s="3">
        <v>5904</v>
      </c>
      <c r="B5905" s="1" t="s">
        <v>5910</v>
      </c>
      <c r="N5905" s="1" t="s">
        <v>3980</v>
      </c>
      <c r="P5905" s="1" t="s">
        <v>3981</v>
      </c>
      <c r="Q5905" s="3">
        <v>1</v>
      </c>
      <c r="R5905" s="22" t="s">
        <v>2723</v>
      </c>
      <c r="S5905" s="42" t="s">
        <v>6913</v>
      </c>
      <c r="T5905" s="3" t="s">
        <v>4868</v>
      </c>
      <c r="U5905" s="45">
        <v>34</v>
      </c>
      <c r="V5905" t="s">
        <v>5911</v>
      </c>
      <c r="W5905" s="1" t="str">
        <f>HYPERLINK("http://ictvonline.org/taxonomy/p/taxonomy-history?taxnode_id=201905360","ICTVonline=201905360")</f>
        <v>ICTVonline=201905360</v>
      </c>
    </row>
    <row r="5906" spans="1:23">
      <c r="A5906" s="3">
        <v>5905</v>
      </c>
      <c r="B5906" s="1" t="s">
        <v>5910</v>
      </c>
      <c r="N5906" s="1" t="s">
        <v>3990</v>
      </c>
      <c r="P5906" s="1" t="s">
        <v>3991</v>
      </c>
      <c r="Q5906" s="3">
        <v>1</v>
      </c>
      <c r="R5906" s="22" t="s">
        <v>2723</v>
      </c>
      <c r="S5906" s="42" t="s">
        <v>6913</v>
      </c>
      <c r="T5906" s="3" t="s">
        <v>4868</v>
      </c>
      <c r="U5906" s="45">
        <v>34</v>
      </c>
      <c r="V5906" t="s">
        <v>5911</v>
      </c>
      <c r="W5906" s="1" t="str">
        <f>HYPERLINK("http://ictvonline.org/taxonomy/p/taxonomy-history?taxnode_id=201905393","ICTVonline=201905393")</f>
        <v>ICTVonline=201905393</v>
      </c>
    </row>
    <row r="5907" spans="1:23">
      <c r="A5907" s="3">
        <v>5906</v>
      </c>
      <c r="B5907" s="1" t="s">
        <v>8705</v>
      </c>
      <c r="D5907" s="1" t="s">
        <v>8706</v>
      </c>
      <c r="F5907" s="1" t="s">
        <v>8707</v>
      </c>
      <c r="H5907" s="1" t="s">
        <v>8708</v>
      </c>
      <c r="J5907" s="1" t="s">
        <v>8709</v>
      </c>
      <c r="L5907" s="1" t="s">
        <v>1342</v>
      </c>
      <c r="N5907" s="1" t="s">
        <v>1343</v>
      </c>
      <c r="P5907" s="1" t="s">
        <v>189</v>
      </c>
      <c r="Q5907" s="3">
        <v>0</v>
      </c>
      <c r="R5907" s="22" t="s">
        <v>2721</v>
      </c>
      <c r="S5907" s="42" t="s">
        <v>6912</v>
      </c>
      <c r="T5907" s="3" t="s">
        <v>4868</v>
      </c>
      <c r="U5907" s="45">
        <v>35</v>
      </c>
      <c r="V5907" t="s">
        <v>8710</v>
      </c>
      <c r="W5907" s="1" t="str">
        <f>HYPERLINK("http://ictvonline.org/taxonomy/p/taxonomy-history?taxnode_id=201904293","ICTVonline=201904293")</f>
        <v>ICTVonline=201904293</v>
      </c>
    </row>
    <row r="5908" spans="1:23">
      <c r="A5908" s="3">
        <v>5907</v>
      </c>
      <c r="B5908" s="1" t="s">
        <v>8705</v>
      </c>
      <c r="D5908" s="1" t="s">
        <v>8706</v>
      </c>
      <c r="F5908" s="1" t="s">
        <v>8707</v>
      </c>
      <c r="H5908" s="1" t="s">
        <v>8708</v>
      </c>
      <c r="J5908" s="1" t="s">
        <v>8709</v>
      </c>
      <c r="L5908" s="1" t="s">
        <v>1342</v>
      </c>
      <c r="N5908" s="1" t="s">
        <v>1343</v>
      </c>
      <c r="P5908" s="1" t="s">
        <v>1344</v>
      </c>
      <c r="Q5908" s="3">
        <v>0</v>
      </c>
      <c r="R5908" s="22" t="s">
        <v>2721</v>
      </c>
      <c r="S5908" s="42" t="s">
        <v>6912</v>
      </c>
      <c r="T5908" s="3" t="s">
        <v>4868</v>
      </c>
      <c r="U5908" s="45">
        <v>35</v>
      </c>
      <c r="V5908" t="s">
        <v>8710</v>
      </c>
      <c r="W5908" s="1" t="str">
        <f>HYPERLINK("http://ictvonline.org/taxonomy/p/taxonomy-history?taxnode_id=201904294","ICTVonline=201904294")</f>
        <v>ICTVonline=201904294</v>
      </c>
    </row>
    <row r="5909" spans="1:23">
      <c r="A5909" s="3">
        <v>5908</v>
      </c>
      <c r="B5909" s="1" t="s">
        <v>8705</v>
      </c>
      <c r="D5909" s="1" t="s">
        <v>8706</v>
      </c>
      <c r="F5909" s="1" t="s">
        <v>8707</v>
      </c>
      <c r="H5909" s="1" t="s">
        <v>8708</v>
      </c>
      <c r="J5909" s="1" t="s">
        <v>8709</v>
      </c>
      <c r="L5909" s="1" t="s">
        <v>1342</v>
      </c>
      <c r="N5909" s="1" t="s">
        <v>1343</v>
      </c>
      <c r="P5909" s="1" t="s">
        <v>1345</v>
      </c>
      <c r="Q5909" s="3">
        <v>1</v>
      </c>
      <c r="R5909" s="22" t="s">
        <v>2721</v>
      </c>
      <c r="S5909" s="42" t="s">
        <v>6912</v>
      </c>
      <c r="T5909" s="3" t="s">
        <v>4868</v>
      </c>
      <c r="U5909" s="45">
        <v>35</v>
      </c>
      <c r="V5909" t="s">
        <v>8710</v>
      </c>
      <c r="W5909" s="1" t="str">
        <f>HYPERLINK("http://ictvonline.org/taxonomy/p/taxonomy-history?taxnode_id=201904295","ICTVonline=201904295")</f>
        <v>ICTVonline=201904295</v>
      </c>
    </row>
    <row r="5910" spans="1:23">
      <c r="A5910" s="3">
        <v>5909</v>
      </c>
      <c r="B5910" s="1" t="s">
        <v>8705</v>
      </c>
      <c r="D5910" s="1" t="s">
        <v>8706</v>
      </c>
      <c r="F5910" s="1" t="s">
        <v>8707</v>
      </c>
      <c r="H5910" s="1" t="s">
        <v>8708</v>
      </c>
      <c r="J5910" s="1" t="s">
        <v>8709</v>
      </c>
      <c r="L5910" s="1" t="s">
        <v>1342</v>
      </c>
      <c r="N5910" s="1" t="s">
        <v>1343</v>
      </c>
      <c r="P5910" s="1" t="s">
        <v>1346</v>
      </c>
      <c r="Q5910" s="3">
        <v>0</v>
      </c>
      <c r="R5910" s="22" t="s">
        <v>2721</v>
      </c>
      <c r="S5910" s="42" t="s">
        <v>6912</v>
      </c>
      <c r="T5910" s="3" t="s">
        <v>4868</v>
      </c>
      <c r="U5910" s="45">
        <v>35</v>
      </c>
      <c r="V5910" t="s">
        <v>8710</v>
      </c>
      <c r="W5910" s="1" t="str">
        <f>HYPERLINK("http://ictvonline.org/taxonomy/p/taxonomy-history?taxnode_id=201904296","ICTVonline=201904296")</f>
        <v>ICTVonline=201904296</v>
      </c>
    </row>
    <row r="5911" spans="1:23">
      <c r="A5911" s="3">
        <v>5910</v>
      </c>
      <c r="B5911" s="1" t="s">
        <v>8705</v>
      </c>
      <c r="D5911" s="1" t="s">
        <v>8706</v>
      </c>
      <c r="F5911" s="1" t="s">
        <v>8707</v>
      </c>
      <c r="H5911" s="1" t="s">
        <v>8708</v>
      </c>
      <c r="J5911" s="1" t="s">
        <v>8709</v>
      </c>
      <c r="L5911" s="1" t="s">
        <v>1342</v>
      </c>
      <c r="N5911" s="1" t="s">
        <v>1343</v>
      </c>
      <c r="P5911" s="1" t="s">
        <v>1347</v>
      </c>
      <c r="Q5911" s="3">
        <v>0</v>
      </c>
      <c r="R5911" s="22" t="s">
        <v>2721</v>
      </c>
      <c r="S5911" s="42" t="s">
        <v>6912</v>
      </c>
      <c r="T5911" s="3" t="s">
        <v>4868</v>
      </c>
      <c r="U5911" s="45">
        <v>35</v>
      </c>
      <c r="V5911" t="s">
        <v>8710</v>
      </c>
      <c r="W5911" s="1" t="str">
        <f>HYPERLINK("http://ictvonline.org/taxonomy/p/taxonomy-history?taxnode_id=201904297","ICTVonline=201904297")</f>
        <v>ICTVonline=201904297</v>
      </c>
    </row>
    <row r="5912" spans="1:23">
      <c r="A5912" s="3">
        <v>5911</v>
      </c>
      <c r="B5912" s="1" t="s">
        <v>8705</v>
      </c>
      <c r="D5912" s="1" t="s">
        <v>8706</v>
      </c>
      <c r="F5912" s="1" t="s">
        <v>8707</v>
      </c>
      <c r="H5912" s="1" t="s">
        <v>8708</v>
      </c>
      <c r="J5912" s="1" t="s">
        <v>8709</v>
      </c>
      <c r="L5912" s="1" t="s">
        <v>1342</v>
      </c>
      <c r="N5912" s="1" t="s">
        <v>1343</v>
      </c>
      <c r="P5912" s="1" t="s">
        <v>992</v>
      </c>
      <c r="Q5912" s="3">
        <v>0</v>
      </c>
      <c r="R5912" s="22" t="s">
        <v>2721</v>
      </c>
      <c r="S5912" s="42" t="s">
        <v>6912</v>
      </c>
      <c r="T5912" s="3" t="s">
        <v>4868</v>
      </c>
      <c r="U5912" s="45">
        <v>35</v>
      </c>
      <c r="V5912" t="s">
        <v>8710</v>
      </c>
      <c r="W5912" s="1" t="str">
        <f>HYPERLINK("http://ictvonline.org/taxonomy/p/taxonomy-history?taxnode_id=201904298","ICTVonline=201904298")</f>
        <v>ICTVonline=201904298</v>
      </c>
    </row>
    <row r="5913" spans="1:23">
      <c r="A5913" s="3">
        <v>5912</v>
      </c>
      <c r="B5913" s="1" t="s">
        <v>8705</v>
      </c>
      <c r="D5913" s="1" t="s">
        <v>8706</v>
      </c>
      <c r="F5913" s="1" t="s">
        <v>8707</v>
      </c>
      <c r="H5913" s="1" t="s">
        <v>8708</v>
      </c>
      <c r="J5913" s="1" t="s">
        <v>8709</v>
      </c>
      <c r="L5913" s="1" t="s">
        <v>1342</v>
      </c>
      <c r="N5913" s="1" t="s">
        <v>1343</v>
      </c>
      <c r="P5913" s="1" t="s">
        <v>993</v>
      </c>
      <c r="Q5913" s="3">
        <v>0</v>
      </c>
      <c r="R5913" s="22" t="s">
        <v>2721</v>
      </c>
      <c r="S5913" s="42" t="s">
        <v>6912</v>
      </c>
      <c r="T5913" s="3" t="s">
        <v>4868</v>
      </c>
      <c r="U5913" s="45">
        <v>35</v>
      </c>
      <c r="V5913" t="s">
        <v>8710</v>
      </c>
      <c r="W5913" s="1" t="str">
        <f>HYPERLINK("http://ictvonline.org/taxonomy/p/taxonomy-history?taxnode_id=201904299","ICTVonline=201904299")</f>
        <v>ICTVonline=201904299</v>
      </c>
    </row>
    <row r="5914" spans="1:23">
      <c r="A5914" s="3">
        <v>5913</v>
      </c>
      <c r="B5914" s="1" t="s">
        <v>8705</v>
      </c>
      <c r="D5914" s="1" t="s">
        <v>8706</v>
      </c>
      <c r="F5914" s="1" t="s">
        <v>8707</v>
      </c>
      <c r="H5914" s="1" t="s">
        <v>8708</v>
      </c>
      <c r="J5914" s="1" t="s">
        <v>8709</v>
      </c>
      <c r="L5914" s="1" t="s">
        <v>1342</v>
      </c>
      <c r="N5914" s="1" t="s">
        <v>1343</v>
      </c>
      <c r="P5914" s="1" t="s">
        <v>653</v>
      </c>
      <c r="Q5914" s="3">
        <v>0</v>
      </c>
      <c r="R5914" s="22" t="s">
        <v>2721</v>
      </c>
      <c r="S5914" s="42" t="s">
        <v>6912</v>
      </c>
      <c r="T5914" s="3" t="s">
        <v>4868</v>
      </c>
      <c r="U5914" s="45">
        <v>35</v>
      </c>
      <c r="V5914" t="s">
        <v>8710</v>
      </c>
      <c r="W5914" s="1" t="str">
        <f>HYPERLINK("http://ictvonline.org/taxonomy/p/taxonomy-history?taxnode_id=201904300","ICTVonline=201904300")</f>
        <v>ICTVonline=201904300</v>
      </c>
    </row>
    <row r="5915" spans="1:23">
      <c r="A5915" s="3">
        <v>5914</v>
      </c>
      <c r="B5915" s="1" t="s">
        <v>8705</v>
      </c>
      <c r="D5915" s="1" t="s">
        <v>8706</v>
      </c>
      <c r="F5915" s="1" t="s">
        <v>8707</v>
      </c>
      <c r="H5915" s="1" t="s">
        <v>8708</v>
      </c>
      <c r="J5915" s="1" t="s">
        <v>8709</v>
      </c>
      <c r="L5915" s="1" t="s">
        <v>1342</v>
      </c>
      <c r="N5915" s="1" t="s">
        <v>1343</v>
      </c>
      <c r="P5915" s="1" t="s">
        <v>654</v>
      </c>
      <c r="Q5915" s="3">
        <v>0</v>
      </c>
      <c r="R5915" s="22" t="s">
        <v>2721</v>
      </c>
      <c r="S5915" s="42" t="s">
        <v>6912</v>
      </c>
      <c r="T5915" s="3" t="s">
        <v>4868</v>
      </c>
      <c r="U5915" s="45">
        <v>35</v>
      </c>
      <c r="V5915" t="s">
        <v>8710</v>
      </c>
      <c r="W5915" s="1" t="str">
        <f>HYPERLINK("http://ictvonline.org/taxonomy/p/taxonomy-history?taxnode_id=201904301","ICTVonline=201904301")</f>
        <v>ICTVonline=201904301</v>
      </c>
    </row>
    <row r="5916" spans="1:23">
      <c r="A5916" s="3">
        <v>5915</v>
      </c>
      <c r="B5916" s="1" t="s">
        <v>8705</v>
      </c>
      <c r="D5916" s="1" t="s">
        <v>8706</v>
      </c>
      <c r="F5916" s="1" t="s">
        <v>8707</v>
      </c>
      <c r="H5916" s="1" t="s">
        <v>8708</v>
      </c>
      <c r="J5916" s="1" t="s">
        <v>8709</v>
      </c>
      <c r="L5916" s="1" t="s">
        <v>1342</v>
      </c>
      <c r="N5916" s="1" t="s">
        <v>1343</v>
      </c>
      <c r="P5916" s="1" t="s">
        <v>655</v>
      </c>
      <c r="Q5916" s="3">
        <v>0</v>
      </c>
      <c r="R5916" s="22" t="s">
        <v>2721</v>
      </c>
      <c r="S5916" s="42" t="s">
        <v>6912</v>
      </c>
      <c r="T5916" s="3" t="s">
        <v>4868</v>
      </c>
      <c r="U5916" s="45">
        <v>35</v>
      </c>
      <c r="V5916" t="s">
        <v>8710</v>
      </c>
      <c r="W5916" s="1" t="str">
        <f>HYPERLINK("http://ictvonline.org/taxonomy/p/taxonomy-history?taxnode_id=201904302","ICTVonline=201904302")</f>
        <v>ICTVonline=201904302</v>
      </c>
    </row>
    <row r="5917" spans="1:23">
      <c r="A5917" s="3">
        <v>5916</v>
      </c>
      <c r="B5917" s="1" t="s">
        <v>8705</v>
      </c>
      <c r="D5917" s="1" t="s">
        <v>8706</v>
      </c>
      <c r="F5917" s="1" t="s">
        <v>8707</v>
      </c>
      <c r="H5917" s="1" t="s">
        <v>8708</v>
      </c>
      <c r="J5917" s="1" t="s">
        <v>8709</v>
      </c>
      <c r="L5917" s="1" t="s">
        <v>1342</v>
      </c>
      <c r="N5917" s="1" t="s">
        <v>1343</v>
      </c>
      <c r="P5917" s="1" t="s">
        <v>827</v>
      </c>
      <c r="Q5917" s="3">
        <v>0</v>
      </c>
      <c r="R5917" s="22" t="s">
        <v>2721</v>
      </c>
      <c r="S5917" s="42" t="s">
        <v>6912</v>
      </c>
      <c r="T5917" s="3" t="s">
        <v>4868</v>
      </c>
      <c r="U5917" s="45">
        <v>35</v>
      </c>
      <c r="V5917" t="s">
        <v>8710</v>
      </c>
      <c r="W5917" s="1" t="str">
        <f>HYPERLINK("http://ictvonline.org/taxonomy/p/taxonomy-history?taxnode_id=201904303","ICTVonline=201904303")</f>
        <v>ICTVonline=201904303</v>
      </c>
    </row>
    <row r="5918" spans="1:23">
      <c r="A5918" s="3">
        <v>5917</v>
      </c>
      <c r="B5918" s="1" t="s">
        <v>8705</v>
      </c>
      <c r="D5918" s="1" t="s">
        <v>8706</v>
      </c>
      <c r="F5918" s="1" t="s">
        <v>8707</v>
      </c>
      <c r="H5918" s="1" t="s">
        <v>8708</v>
      </c>
      <c r="J5918" s="1" t="s">
        <v>8709</v>
      </c>
      <c r="L5918" s="1" t="s">
        <v>1342</v>
      </c>
      <c r="N5918" s="1" t="s">
        <v>1343</v>
      </c>
      <c r="P5918" s="1" t="s">
        <v>1840</v>
      </c>
      <c r="Q5918" s="3">
        <v>0</v>
      </c>
      <c r="R5918" s="22" t="s">
        <v>2721</v>
      </c>
      <c r="S5918" s="42" t="s">
        <v>6912</v>
      </c>
      <c r="T5918" s="3" t="s">
        <v>4868</v>
      </c>
      <c r="U5918" s="45">
        <v>35</v>
      </c>
      <c r="V5918" t="s">
        <v>8710</v>
      </c>
      <c r="W5918" s="1" t="str">
        <f>HYPERLINK("http://ictvonline.org/taxonomy/p/taxonomy-history?taxnode_id=201904304","ICTVonline=201904304")</f>
        <v>ICTVonline=201904304</v>
      </c>
    </row>
    <row r="5919" spans="1:23">
      <c r="A5919" s="3">
        <v>5918</v>
      </c>
      <c r="B5919" s="1" t="s">
        <v>8705</v>
      </c>
      <c r="D5919" s="1" t="s">
        <v>8706</v>
      </c>
      <c r="F5919" s="1" t="s">
        <v>8707</v>
      </c>
      <c r="H5919" s="1" t="s">
        <v>8708</v>
      </c>
      <c r="J5919" s="1" t="s">
        <v>8709</v>
      </c>
      <c r="L5919" s="1" t="s">
        <v>1342</v>
      </c>
      <c r="N5919" s="1" t="s">
        <v>1343</v>
      </c>
      <c r="P5919" s="1" t="s">
        <v>1841</v>
      </c>
      <c r="Q5919" s="3">
        <v>0</v>
      </c>
      <c r="R5919" s="22" t="s">
        <v>2721</v>
      </c>
      <c r="S5919" s="42" t="s">
        <v>6912</v>
      </c>
      <c r="T5919" s="3" t="s">
        <v>4868</v>
      </c>
      <c r="U5919" s="45">
        <v>35</v>
      </c>
      <c r="V5919" t="s">
        <v>8710</v>
      </c>
      <c r="W5919" s="1" t="str">
        <f>HYPERLINK("http://ictvonline.org/taxonomy/p/taxonomy-history?taxnode_id=201904305","ICTVonline=201904305")</f>
        <v>ICTVonline=201904305</v>
      </c>
    </row>
    <row r="5920" spans="1:23">
      <c r="A5920" s="3">
        <v>5919</v>
      </c>
      <c r="B5920" s="1" t="s">
        <v>8705</v>
      </c>
      <c r="D5920" s="1" t="s">
        <v>8706</v>
      </c>
      <c r="F5920" s="1" t="s">
        <v>8707</v>
      </c>
      <c r="H5920" s="1" t="s">
        <v>8708</v>
      </c>
      <c r="J5920" s="1" t="s">
        <v>8709</v>
      </c>
      <c r="L5920" s="1" t="s">
        <v>1342</v>
      </c>
      <c r="N5920" s="1" t="s">
        <v>1343</v>
      </c>
      <c r="P5920" s="1" t="s">
        <v>1842</v>
      </c>
      <c r="Q5920" s="3">
        <v>0</v>
      </c>
      <c r="R5920" s="22" t="s">
        <v>2721</v>
      </c>
      <c r="S5920" s="42" t="s">
        <v>6912</v>
      </c>
      <c r="T5920" s="3" t="s">
        <v>4868</v>
      </c>
      <c r="U5920" s="45">
        <v>35</v>
      </c>
      <c r="V5920" t="s">
        <v>8710</v>
      </c>
      <c r="W5920" s="1" t="str">
        <f>HYPERLINK("http://ictvonline.org/taxonomy/p/taxonomy-history?taxnode_id=201904306","ICTVonline=201904306")</f>
        <v>ICTVonline=201904306</v>
      </c>
    </row>
    <row r="5921" spans="1:23">
      <c r="A5921" s="3">
        <v>5920</v>
      </c>
      <c r="B5921" s="1" t="s">
        <v>8705</v>
      </c>
      <c r="D5921" s="1" t="s">
        <v>8706</v>
      </c>
      <c r="F5921" s="1" t="s">
        <v>8707</v>
      </c>
      <c r="H5921" s="1" t="s">
        <v>8708</v>
      </c>
      <c r="J5921" s="1" t="s">
        <v>8709</v>
      </c>
      <c r="L5921" s="1" t="s">
        <v>1342</v>
      </c>
      <c r="N5921" s="1" t="s">
        <v>1343</v>
      </c>
      <c r="P5921" s="1" t="s">
        <v>831</v>
      </c>
      <c r="Q5921" s="3">
        <v>0</v>
      </c>
      <c r="R5921" s="22" t="s">
        <v>2721</v>
      </c>
      <c r="S5921" s="42" t="s">
        <v>6912</v>
      </c>
      <c r="T5921" s="3" t="s">
        <v>4868</v>
      </c>
      <c r="U5921" s="45">
        <v>35</v>
      </c>
      <c r="V5921" t="s">
        <v>8710</v>
      </c>
      <c r="W5921" s="1" t="str">
        <f>HYPERLINK("http://ictvonline.org/taxonomy/p/taxonomy-history?taxnode_id=201904307","ICTVonline=201904307")</f>
        <v>ICTVonline=201904307</v>
      </c>
    </row>
    <row r="5922" spans="1:23">
      <c r="A5922" s="3">
        <v>5921</v>
      </c>
      <c r="B5922" s="1" t="s">
        <v>8705</v>
      </c>
      <c r="D5922" s="1" t="s">
        <v>8706</v>
      </c>
      <c r="F5922" s="1" t="s">
        <v>8707</v>
      </c>
      <c r="H5922" s="1" t="s">
        <v>8708</v>
      </c>
      <c r="J5922" s="1" t="s">
        <v>8709</v>
      </c>
      <c r="L5922" s="1" t="s">
        <v>1342</v>
      </c>
      <c r="N5922" s="1" t="s">
        <v>1343</v>
      </c>
      <c r="P5922" s="1" t="s">
        <v>832</v>
      </c>
      <c r="Q5922" s="3">
        <v>0</v>
      </c>
      <c r="R5922" s="22" t="s">
        <v>2721</v>
      </c>
      <c r="S5922" s="42" t="s">
        <v>6912</v>
      </c>
      <c r="T5922" s="3" t="s">
        <v>4868</v>
      </c>
      <c r="U5922" s="45">
        <v>35</v>
      </c>
      <c r="V5922" t="s">
        <v>8710</v>
      </c>
      <c r="W5922" s="1" t="str">
        <f>HYPERLINK("http://ictvonline.org/taxonomy/p/taxonomy-history?taxnode_id=201904308","ICTVonline=201904308")</f>
        <v>ICTVonline=201904308</v>
      </c>
    </row>
    <row r="5923" spans="1:23">
      <c r="A5923" s="3">
        <v>5922</v>
      </c>
      <c r="B5923" s="1" t="s">
        <v>8705</v>
      </c>
      <c r="D5923" s="1" t="s">
        <v>8706</v>
      </c>
      <c r="F5923" s="1" t="s">
        <v>8707</v>
      </c>
      <c r="H5923" s="1" t="s">
        <v>8708</v>
      </c>
      <c r="J5923" s="1" t="s">
        <v>8709</v>
      </c>
      <c r="L5923" s="1" t="s">
        <v>1342</v>
      </c>
      <c r="N5923" s="1" t="s">
        <v>1343</v>
      </c>
      <c r="P5923" s="1" t="s">
        <v>1846</v>
      </c>
      <c r="Q5923" s="3">
        <v>0</v>
      </c>
      <c r="R5923" s="22" t="s">
        <v>2721</v>
      </c>
      <c r="S5923" s="42" t="s">
        <v>6912</v>
      </c>
      <c r="T5923" s="3" t="s">
        <v>4868</v>
      </c>
      <c r="U5923" s="45">
        <v>35</v>
      </c>
      <c r="V5923" t="s">
        <v>8710</v>
      </c>
      <c r="W5923" s="1" t="str">
        <f>HYPERLINK("http://ictvonline.org/taxonomy/p/taxonomy-history?taxnode_id=201904309","ICTVonline=201904309")</f>
        <v>ICTVonline=201904309</v>
      </c>
    </row>
    <row r="5924" spans="1:23">
      <c r="A5924" s="3">
        <v>5923</v>
      </c>
      <c r="B5924" s="1" t="s">
        <v>8705</v>
      </c>
      <c r="D5924" s="1" t="s">
        <v>8706</v>
      </c>
      <c r="F5924" s="1" t="s">
        <v>8707</v>
      </c>
      <c r="H5924" s="1" t="s">
        <v>8708</v>
      </c>
      <c r="J5924" s="1" t="s">
        <v>8709</v>
      </c>
      <c r="L5924" s="1" t="s">
        <v>1342</v>
      </c>
      <c r="N5924" s="1" t="s">
        <v>1343</v>
      </c>
      <c r="P5924" s="1" t="s">
        <v>828</v>
      </c>
      <c r="Q5924" s="3">
        <v>0</v>
      </c>
      <c r="R5924" s="22" t="s">
        <v>2721</v>
      </c>
      <c r="S5924" s="42" t="s">
        <v>6912</v>
      </c>
      <c r="T5924" s="3" t="s">
        <v>4868</v>
      </c>
      <c r="U5924" s="45">
        <v>35</v>
      </c>
      <c r="V5924" t="s">
        <v>8710</v>
      </c>
      <c r="W5924" s="1" t="str">
        <f>HYPERLINK("http://ictvonline.org/taxonomy/p/taxonomy-history?taxnode_id=201904310","ICTVonline=201904310")</f>
        <v>ICTVonline=201904310</v>
      </c>
    </row>
    <row r="5925" spans="1:23">
      <c r="A5925" s="3">
        <v>5924</v>
      </c>
      <c r="B5925" s="1" t="s">
        <v>8705</v>
      </c>
      <c r="D5925" s="1" t="s">
        <v>8706</v>
      </c>
      <c r="F5925" s="1" t="s">
        <v>8707</v>
      </c>
      <c r="H5925" s="1" t="s">
        <v>8708</v>
      </c>
      <c r="J5925" s="1" t="s">
        <v>8709</v>
      </c>
      <c r="L5925" s="1" t="s">
        <v>1342</v>
      </c>
      <c r="N5925" s="1" t="s">
        <v>1343</v>
      </c>
      <c r="P5925" s="1" t="s">
        <v>829</v>
      </c>
      <c r="Q5925" s="3">
        <v>0</v>
      </c>
      <c r="R5925" s="22" t="s">
        <v>2721</v>
      </c>
      <c r="S5925" s="42" t="s">
        <v>6912</v>
      </c>
      <c r="T5925" s="3" t="s">
        <v>4868</v>
      </c>
      <c r="U5925" s="45">
        <v>35</v>
      </c>
      <c r="V5925" t="s">
        <v>8710</v>
      </c>
      <c r="W5925" s="1" t="str">
        <f>HYPERLINK("http://ictvonline.org/taxonomy/p/taxonomy-history?taxnode_id=201904311","ICTVonline=201904311")</f>
        <v>ICTVonline=201904311</v>
      </c>
    </row>
    <row r="5926" spans="1:23">
      <c r="A5926" s="3">
        <v>5925</v>
      </c>
      <c r="B5926" s="1" t="s">
        <v>8705</v>
      </c>
      <c r="D5926" s="1" t="s">
        <v>8706</v>
      </c>
      <c r="F5926" s="1" t="s">
        <v>8707</v>
      </c>
      <c r="H5926" s="1" t="s">
        <v>8708</v>
      </c>
      <c r="J5926" s="1" t="s">
        <v>8709</v>
      </c>
      <c r="L5926" s="1" t="s">
        <v>1342</v>
      </c>
      <c r="N5926" s="1" t="s">
        <v>830</v>
      </c>
      <c r="P5926" s="1" t="s">
        <v>906</v>
      </c>
      <c r="Q5926" s="3">
        <v>1</v>
      </c>
      <c r="R5926" s="22" t="s">
        <v>2721</v>
      </c>
      <c r="S5926" s="42" t="s">
        <v>6912</v>
      </c>
      <c r="T5926" s="3" t="s">
        <v>4868</v>
      </c>
      <c r="U5926" s="45">
        <v>35</v>
      </c>
      <c r="V5926" t="s">
        <v>8710</v>
      </c>
      <c r="W5926" s="1" t="str">
        <f>HYPERLINK("http://ictvonline.org/taxonomy/p/taxonomy-history?taxnode_id=201904313","ICTVonline=201904313")</f>
        <v>ICTVonline=201904313</v>
      </c>
    </row>
    <row r="5927" spans="1:23">
      <c r="A5927" s="3">
        <v>5926</v>
      </c>
      <c r="B5927" s="1" t="s">
        <v>8705</v>
      </c>
      <c r="D5927" s="1" t="s">
        <v>8706</v>
      </c>
      <c r="F5927" s="1" t="s">
        <v>8707</v>
      </c>
      <c r="H5927" s="1" t="s">
        <v>8708</v>
      </c>
      <c r="J5927" s="1" t="s">
        <v>8709</v>
      </c>
      <c r="L5927" s="1" t="s">
        <v>1342</v>
      </c>
      <c r="N5927" s="1" t="s">
        <v>907</v>
      </c>
      <c r="P5927" s="1" t="s">
        <v>908</v>
      </c>
      <c r="Q5927" s="3">
        <v>0</v>
      </c>
      <c r="R5927" s="22" t="s">
        <v>2721</v>
      </c>
      <c r="S5927" s="42" t="s">
        <v>6912</v>
      </c>
      <c r="T5927" s="3" t="s">
        <v>4868</v>
      </c>
      <c r="U5927" s="45">
        <v>35</v>
      </c>
      <c r="V5927" t="s">
        <v>8710</v>
      </c>
      <c r="W5927" s="1" t="str">
        <f>HYPERLINK("http://ictvonline.org/taxonomy/p/taxonomy-history?taxnode_id=201904315","ICTVonline=201904315")</f>
        <v>ICTVonline=201904315</v>
      </c>
    </row>
    <row r="5928" spans="1:23">
      <c r="A5928" s="3">
        <v>5927</v>
      </c>
      <c r="B5928" s="1" t="s">
        <v>8705</v>
      </c>
      <c r="D5928" s="1" t="s">
        <v>8706</v>
      </c>
      <c r="F5928" s="1" t="s">
        <v>8707</v>
      </c>
      <c r="H5928" s="1" t="s">
        <v>8708</v>
      </c>
      <c r="J5928" s="1" t="s">
        <v>8709</v>
      </c>
      <c r="L5928" s="1" t="s">
        <v>1342</v>
      </c>
      <c r="N5928" s="1" t="s">
        <v>907</v>
      </c>
      <c r="P5928" s="1" t="s">
        <v>924</v>
      </c>
      <c r="Q5928" s="3">
        <v>1</v>
      </c>
      <c r="R5928" s="22" t="s">
        <v>2721</v>
      </c>
      <c r="S5928" s="42" t="s">
        <v>6912</v>
      </c>
      <c r="T5928" s="3" t="s">
        <v>4868</v>
      </c>
      <c r="U5928" s="45">
        <v>35</v>
      </c>
      <c r="V5928" t="s">
        <v>8710</v>
      </c>
      <c r="W5928" s="1" t="str">
        <f>HYPERLINK("http://ictvonline.org/taxonomy/p/taxonomy-history?taxnode_id=201904316","ICTVonline=201904316")</f>
        <v>ICTVonline=201904316</v>
      </c>
    </row>
    <row r="5929" spans="1:23">
      <c r="A5929" s="3">
        <v>5928</v>
      </c>
      <c r="B5929" s="1" t="s">
        <v>8705</v>
      </c>
      <c r="D5929" s="1" t="s">
        <v>8706</v>
      </c>
      <c r="F5929" s="1" t="s">
        <v>8707</v>
      </c>
      <c r="H5929" s="1" t="s">
        <v>8708</v>
      </c>
      <c r="J5929" s="1" t="s">
        <v>8709</v>
      </c>
      <c r="L5929" s="1" t="s">
        <v>1342</v>
      </c>
      <c r="N5929" s="1" t="s">
        <v>907</v>
      </c>
      <c r="P5929" s="1" t="s">
        <v>925</v>
      </c>
      <c r="Q5929" s="3">
        <v>0</v>
      </c>
      <c r="R5929" s="22" t="s">
        <v>2721</v>
      </c>
      <c r="S5929" s="42" t="s">
        <v>6912</v>
      </c>
      <c r="T5929" s="3" t="s">
        <v>4868</v>
      </c>
      <c r="U5929" s="45">
        <v>35</v>
      </c>
      <c r="V5929" t="s">
        <v>8710</v>
      </c>
      <c r="W5929" s="1" t="str">
        <f>HYPERLINK("http://ictvonline.org/taxonomy/p/taxonomy-history?taxnode_id=201904317","ICTVonline=201904317")</f>
        <v>ICTVonline=201904317</v>
      </c>
    </row>
    <row r="5930" spans="1:23">
      <c r="A5930" s="3">
        <v>5929</v>
      </c>
      <c r="B5930" s="1" t="s">
        <v>8705</v>
      </c>
      <c r="D5930" s="1" t="s">
        <v>8706</v>
      </c>
      <c r="F5930" s="1" t="s">
        <v>8707</v>
      </c>
      <c r="H5930" s="1" t="s">
        <v>8708</v>
      </c>
      <c r="J5930" s="1" t="s">
        <v>8709</v>
      </c>
      <c r="L5930" s="1" t="s">
        <v>1342</v>
      </c>
      <c r="N5930" s="1" t="s">
        <v>907</v>
      </c>
      <c r="P5930" s="1" t="s">
        <v>926</v>
      </c>
      <c r="Q5930" s="3">
        <v>0</v>
      </c>
      <c r="R5930" s="22" t="s">
        <v>2721</v>
      </c>
      <c r="S5930" s="42" t="s">
        <v>6912</v>
      </c>
      <c r="T5930" s="3" t="s">
        <v>4868</v>
      </c>
      <c r="U5930" s="45">
        <v>35</v>
      </c>
      <c r="V5930" t="s">
        <v>8710</v>
      </c>
      <c r="W5930" s="1" t="str">
        <f>HYPERLINK("http://ictvonline.org/taxonomy/p/taxonomy-history?taxnode_id=201904318","ICTVonline=201904318")</f>
        <v>ICTVonline=201904318</v>
      </c>
    </row>
    <row r="5931" spans="1:23">
      <c r="A5931" s="3">
        <v>5930</v>
      </c>
      <c r="B5931" s="1" t="s">
        <v>8705</v>
      </c>
      <c r="D5931" s="1" t="s">
        <v>8706</v>
      </c>
      <c r="F5931" s="1" t="s">
        <v>8707</v>
      </c>
      <c r="H5931" s="1" t="s">
        <v>8708</v>
      </c>
      <c r="J5931" s="1" t="s">
        <v>8709</v>
      </c>
      <c r="L5931" s="1" t="s">
        <v>1342</v>
      </c>
      <c r="N5931" s="1" t="s">
        <v>907</v>
      </c>
      <c r="P5931" s="1" t="s">
        <v>927</v>
      </c>
      <c r="Q5931" s="3">
        <v>0</v>
      </c>
      <c r="R5931" s="22" t="s">
        <v>2721</v>
      </c>
      <c r="S5931" s="42" t="s">
        <v>6912</v>
      </c>
      <c r="T5931" s="3" t="s">
        <v>4868</v>
      </c>
      <c r="U5931" s="45">
        <v>35</v>
      </c>
      <c r="V5931" t="s">
        <v>8710</v>
      </c>
      <c r="W5931" s="1" t="str">
        <f>HYPERLINK("http://ictvonline.org/taxonomy/p/taxonomy-history?taxnode_id=201904319","ICTVonline=201904319")</f>
        <v>ICTVonline=201904319</v>
      </c>
    </row>
    <row r="5932" spans="1:23">
      <c r="A5932" s="3">
        <v>5931</v>
      </c>
      <c r="B5932" s="1" t="s">
        <v>8705</v>
      </c>
      <c r="D5932" s="1" t="s">
        <v>8706</v>
      </c>
      <c r="F5932" s="1" t="s">
        <v>8707</v>
      </c>
      <c r="H5932" s="1" t="s">
        <v>8708</v>
      </c>
      <c r="J5932" s="1" t="s">
        <v>8709</v>
      </c>
      <c r="L5932" s="1" t="s">
        <v>1342</v>
      </c>
      <c r="N5932" s="1" t="s">
        <v>907</v>
      </c>
      <c r="P5932" s="1" t="s">
        <v>928</v>
      </c>
      <c r="Q5932" s="3">
        <v>0</v>
      </c>
      <c r="R5932" s="22" t="s">
        <v>2721</v>
      </c>
      <c r="S5932" s="42" t="s">
        <v>6912</v>
      </c>
      <c r="T5932" s="3" t="s">
        <v>4868</v>
      </c>
      <c r="U5932" s="45">
        <v>35</v>
      </c>
      <c r="V5932" t="s">
        <v>8710</v>
      </c>
      <c r="W5932" s="1" t="str">
        <f>HYPERLINK("http://ictvonline.org/taxonomy/p/taxonomy-history?taxnode_id=201904320","ICTVonline=201904320")</f>
        <v>ICTVonline=201904320</v>
      </c>
    </row>
    <row r="5933" spans="1:23">
      <c r="A5933" s="3">
        <v>5932</v>
      </c>
      <c r="B5933" s="1" t="s">
        <v>8705</v>
      </c>
      <c r="D5933" s="1" t="s">
        <v>8706</v>
      </c>
      <c r="F5933" s="1" t="s">
        <v>8707</v>
      </c>
      <c r="H5933" s="1" t="s">
        <v>8708</v>
      </c>
      <c r="J5933" s="1" t="s">
        <v>8709</v>
      </c>
      <c r="L5933" s="1" t="s">
        <v>1342</v>
      </c>
      <c r="N5933" s="1" t="s">
        <v>907</v>
      </c>
      <c r="P5933" s="1" t="s">
        <v>929</v>
      </c>
      <c r="Q5933" s="3">
        <v>0</v>
      </c>
      <c r="R5933" s="22" t="s">
        <v>2721</v>
      </c>
      <c r="S5933" s="42" t="s">
        <v>6912</v>
      </c>
      <c r="T5933" s="3" t="s">
        <v>4868</v>
      </c>
      <c r="U5933" s="45">
        <v>35</v>
      </c>
      <c r="V5933" t="s">
        <v>8710</v>
      </c>
      <c r="W5933" s="1" t="str">
        <f>HYPERLINK("http://ictvonline.org/taxonomy/p/taxonomy-history?taxnode_id=201904321","ICTVonline=201904321")</f>
        <v>ICTVonline=201904321</v>
      </c>
    </row>
    <row r="5934" spans="1:23">
      <c r="A5934" s="3">
        <v>5933</v>
      </c>
      <c r="B5934" s="1" t="s">
        <v>8705</v>
      </c>
      <c r="D5934" s="1" t="s">
        <v>8706</v>
      </c>
      <c r="F5934" s="1" t="s">
        <v>8707</v>
      </c>
      <c r="H5934" s="1" t="s">
        <v>8708</v>
      </c>
      <c r="J5934" s="1" t="s">
        <v>8709</v>
      </c>
      <c r="L5934" s="1" t="s">
        <v>1342</v>
      </c>
      <c r="N5934" s="1" t="s">
        <v>907</v>
      </c>
      <c r="P5934" s="1" t="s">
        <v>930</v>
      </c>
      <c r="Q5934" s="3">
        <v>0</v>
      </c>
      <c r="R5934" s="22" t="s">
        <v>2721</v>
      </c>
      <c r="S5934" s="42" t="s">
        <v>6912</v>
      </c>
      <c r="T5934" s="3" t="s">
        <v>4868</v>
      </c>
      <c r="U5934" s="45">
        <v>35</v>
      </c>
      <c r="V5934" t="s">
        <v>8710</v>
      </c>
      <c r="W5934" s="1" t="str">
        <f>HYPERLINK("http://ictvonline.org/taxonomy/p/taxonomy-history?taxnode_id=201904322","ICTVonline=201904322")</f>
        <v>ICTVonline=201904322</v>
      </c>
    </row>
    <row r="5935" spans="1:23">
      <c r="A5935" s="3">
        <v>5934</v>
      </c>
      <c r="B5935" s="1" t="s">
        <v>8705</v>
      </c>
      <c r="D5935" s="1" t="s">
        <v>8706</v>
      </c>
      <c r="F5935" s="1" t="s">
        <v>8707</v>
      </c>
      <c r="H5935" s="1" t="s">
        <v>8708</v>
      </c>
      <c r="J5935" s="1" t="s">
        <v>8709</v>
      </c>
      <c r="L5935" s="1" t="s">
        <v>1342</v>
      </c>
      <c r="N5935" s="1" t="s">
        <v>907</v>
      </c>
      <c r="P5935" s="1" t="s">
        <v>931</v>
      </c>
      <c r="Q5935" s="3">
        <v>0</v>
      </c>
      <c r="R5935" s="22" t="s">
        <v>2721</v>
      </c>
      <c r="S5935" s="42" t="s">
        <v>6912</v>
      </c>
      <c r="T5935" s="3" t="s">
        <v>4868</v>
      </c>
      <c r="U5935" s="45">
        <v>35</v>
      </c>
      <c r="V5935" t="s">
        <v>8710</v>
      </c>
      <c r="W5935" s="1" t="str">
        <f>HYPERLINK("http://ictvonline.org/taxonomy/p/taxonomy-history?taxnode_id=201904323","ICTVonline=201904323")</f>
        <v>ICTVonline=201904323</v>
      </c>
    </row>
    <row r="5936" spans="1:23">
      <c r="A5936" s="3">
        <v>5935</v>
      </c>
      <c r="B5936" s="1" t="s">
        <v>8705</v>
      </c>
      <c r="D5936" s="1" t="s">
        <v>8706</v>
      </c>
      <c r="F5936" s="1" t="s">
        <v>8707</v>
      </c>
      <c r="H5936" s="1" t="s">
        <v>8708</v>
      </c>
      <c r="J5936" s="1" t="s">
        <v>8709</v>
      </c>
      <c r="L5936" s="1" t="s">
        <v>1342</v>
      </c>
      <c r="N5936" s="1" t="s">
        <v>932</v>
      </c>
      <c r="P5936" s="1" t="s">
        <v>933</v>
      </c>
      <c r="Q5936" s="3">
        <v>1</v>
      </c>
      <c r="R5936" s="22" t="s">
        <v>2721</v>
      </c>
      <c r="S5936" s="42" t="s">
        <v>6912</v>
      </c>
      <c r="T5936" s="3" t="s">
        <v>4868</v>
      </c>
      <c r="U5936" s="45">
        <v>35</v>
      </c>
      <c r="V5936" t="s">
        <v>8710</v>
      </c>
      <c r="W5936" s="1" t="str">
        <f>HYPERLINK("http://ictvonline.org/taxonomy/p/taxonomy-history?taxnode_id=201904325","ICTVonline=201904325")</f>
        <v>ICTVonline=201904325</v>
      </c>
    </row>
    <row r="5937" spans="1:23">
      <c r="A5937" s="3">
        <v>5936</v>
      </c>
      <c r="B5937" s="1" t="s">
        <v>8705</v>
      </c>
      <c r="D5937" s="1" t="s">
        <v>8706</v>
      </c>
      <c r="F5937" s="1" t="s">
        <v>8707</v>
      </c>
      <c r="H5937" s="1" t="s">
        <v>8708</v>
      </c>
      <c r="J5937" s="1" t="s">
        <v>8709</v>
      </c>
      <c r="L5937" s="1" t="s">
        <v>1342</v>
      </c>
      <c r="N5937" s="1" t="s">
        <v>932</v>
      </c>
      <c r="P5937" s="1" t="s">
        <v>190</v>
      </c>
      <c r="Q5937" s="3">
        <v>0</v>
      </c>
      <c r="R5937" s="22" t="s">
        <v>2721</v>
      </c>
      <c r="S5937" s="42" t="s">
        <v>6912</v>
      </c>
      <c r="T5937" s="3" t="s">
        <v>4868</v>
      </c>
      <c r="U5937" s="45">
        <v>35</v>
      </c>
      <c r="V5937" t="s">
        <v>8710</v>
      </c>
      <c r="W5937" s="1" t="str">
        <f>HYPERLINK("http://ictvonline.org/taxonomy/p/taxonomy-history?taxnode_id=201904326","ICTVonline=201904326")</f>
        <v>ICTVonline=201904326</v>
      </c>
    </row>
    <row r="5938" spans="1:23">
      <c r="A5938" s="3">
        <v>5937</v>
      </c>
      <c r="B5938" s="1" t="s">
        <v>8705</v>
      </c>
      <c r="D5938" s="1" t="s">
        <v>8706</v>
      </c>
      <c r="F5938" s="1" t="s">
        <v>8707</v>
      </c>
      <c r="H5938" s="1" t="s">
        <v>8708</v>
      </c>
      <c r="J5938" s="1" t="s">
        <v>8709</v>
      </c>
      <c r="L5938" s="1" t="s">
        <v>1342</v>
      </c>
      <c r="N5938" s="1" t="s">
        <v>934</v>
      </c>
      <c r="P5938" s="1" t="s">
        <v>935</v>
      </c>
      <c r="Q5938" s="3">
        <v>1</v>
      </c>
      <c r="R5938" s="22" t="s">
        <v>2721</v>
      </c>
      <c r="S5938" s="42" t="s">
        <v>6912</v>
      </c>
      <c r="T5938" s="3" t="s">
        <v>4868</v>
      </c>
      <c r="U5938" s="45">
        <v>35</v>
      </c>
      <c r="V5938" t="s">
        <v>8710</v>
      </c>
      <c r="W5938" s="1" t="str">
        <f>HYPERLINK("http://ictvonline.org/taxonomy/p/taxonomy-history?taxnode_id=201904328","ICTVonline=201904328")</f>
        <v>ICTVonline=201904328</v>
      </c>
    </row>
    <row r="5939" spans="1:23">
      <c r="A5939" s="3">
        <v>5938</v>
      </c>
      <c r="B5939" s="1" t="s">
        <v>8705</v>
      </c>
      <c r="D5939" s="1" t="s">
        <v>8706</v>
      </c>
      <c r="F5939" s="1" t="s">
        <v>8707</v>
      </c>
      <c r="H5939" s="1" t="s">
        <v>8708</v>
      </c>
      <c r="J5939" s="1" t="s">
        <v>8709</v>
      </c>
      <c r="L5939" s="1" t="s">
        <v>1342</v>
      </c>
      <c r="N5939" s="1" t="s">
        <v>936</v>
      </c>
      <c r="P5939" s="1" t="s">
        <v>937</v>
      </c>
      <c r="Q5939" s="3">
        <v>1</v>
      </c>
      <c r="R5939" s="22" t="s">
        <v>2721</v>
      </c>
      <c r="S5939" s="42" t="s">
        <v>6912</v>
      </c>
      <c r="T5939" s="3" t="s">
        <v>4868</v>
      </c>
      <c r="U5939" s="45">
        <v>35</v>
      </c>
      <c r="V5939" t="s">
        <v>8710</v>
      </c>
      <c r="W5939" s="1" t="str">
        <f>HYPERLINK("http://ictvonline.org/taxonomy/p/taxonomy-history?taxnode_id=201904330","ICTVonline=201904330")</f>
        <v>ICTVonline=201904330</v>
      </c>
    </row>
    <row r="5940" spans="1:23">
      <c r="A5940" s="3">
        <v>5939</v>
      </c>
      <c r="B5940" s="1" t="s">
        <v>8705</v>
      </c>
      <c r="D5940" s="1" t="s">
        <v>8706</v>
      </c>
      <c r="F5940" s="1" t="s">
        <v>8707</v>
      </c>
      <c r="H5940" s="1" t="s">
        <v>8708</v>
      </c>
      <c r="J5940" s="1" t="s">
        <v>8711</v>
      </c>
      <c r="L5940" s="1" t="s">
        <v>2016</v>
      </c>
      <c r="N5940" s="1" t="s">
        <v>2254</v>
      </c>
      <c r="P5940" s="1" t="s">
        <v>2255</v>
      </c>
      <c r="Q5940" s="3">
        <v>1</v>
      </c>
      <c r="R5940" s="22" t="s">
        <v>2721</v>
      </c>
      <c r="S5940" s="42" t="s">
        <v>6912</v>
      </c>
      <c r="T5940" s="3" t="s">
        <v>4868</v>
      </c>
      <c r="U5940" s="45">
        <v>35</v>
      </c>
      <c r="V5940" t="s">
        <v>8710</v>
      </c>
      <c r="W5940" s="1" t="str">
        <f>HYPERLINK("http://ictvonline.org/taxonomy/p/taxonomy-history?taxnode_id=201903888","ICTVonline=201903888")</f>
        <v>ICTVonline=201903888</v>
      </c>
    </row>
    <row r="5941" spans="1:23">
      <c r="A5941" s="3">
        <v>5940</v>
      </c>
      <c r="B5941" s="1" t="s">
        <v>8705</v>
      </c>
      <c r="D5941" s="1" t="s">
        <v>8706</v>
      </c>
      <c r="F5941" s="1" t="s">
        <v>8707</v>
      </c>
      <c r="H5941" s="1" t="s">
        <v>8708</v>
      </c>
      <c r="J5941" s="1" t="s">
        <v>8711</v>
      </c>
      <c r="L5941" s="1" t="s">
        <v>2016</v>
      </c>
      <c r="N5941" s="1" t="s">
        <v>2017</v>
      </c>
      <c r="P5941" s="1" t="s">
        <v>2018</v>
      </c>
      <c r="Q5941" s="3">
        <v>1</v>
      </c>
      <c r="R5941" s="22" t="s">
        <v>2721</v>
      </c>
      <c r="S5941" s="42" t="s">
        <v>6912</v>
      </c>
      <c r="T5941" s="3" t="s">
        <v>4868</v>
      </c>
      <c r="U5941" s="45">
        <v>35</v>
      </c>
      <c r="V5941" t="s">
        <v>8710</v>
      </c>
      <c r="W5941" s="1" t="str">
        <f>HYPERLINK("http://ictvonline.org/taxonomy/p/taxonomy-history?taxnode_id=201903890","ICTVonline=201903890")</f>
        <v>ICTVonline=201903890</v>
      </c>
    </row>
    <row r="5942" spans="1:23">
      <c r="A5942" s="3">
        <v>5941</v>
      </c>
      <c r="B5942" s="1" t="s">
        <v>8705</v>
      </c>
      <c r="D5942" s="1" t="s">
        <v>8706</v>
      </c>
      <c r="F5942" s="1" t="s">
        <v>8707</v>
      </c>
      <c r="H5942" s="1" t="s">
        <v>8708</v>
      </c>
      <c r="J5942" s="1" t="s">
        <v>8712</v>
      </c>
      <c r="L5942" s="1" t="s">
        <v>1791</v>
      </c>
      <c r="N5942" s="1" t="s">
        <v>1792</v>
      </c>
      <c r="P5942" s="1" t="s">
        <v>660</v>
      </c>
      <c r="Q5942" s="3">
        <v>0</v>
      </c>
      <c r="R5942" s="22" t="s">
        <v>2721</v>
      </c>
      <c r="S5942" s="42" t="s">
        <v>6912</v>
      </c>
      <c r="T5942" s="3" t="s">
        <v>4868</v>
      </c>
      <c r="U5942" s="45">
        <v>35</v>
      </c>
      <c r="V5942" t="s">
        <v>8710</v>
      </c>
      <c r="W5942" s="1" t="str">
        <f>HYPERLINK("http://ictvonline.org/taxonomy/p/taxonomy-history?taxnode_id=201902610","ICTVonline=201902610")</f>
        <v>ICTVonline=201902610</v>
      </c>
    </row>
    <row r="5943" spans="1:23">
      <c r="A5943" s="3">
        <v>5942</v>
      </c>
      <c r="B5943" s="1" t="s">
        <v>8705</v>
      </c>
      <c r="D5943" s="1" t="s">
        <v>8706</v>
      </c>
      <c r="F5943" s="1" t="s">
        <v>8707</v>
      </c>
      <c r="H5943" s="1" t="s">
        <v>8708</v>
      </c>
      <c r="J5943" s="1" t="s">
        <v>8712</v>
      </c>
      <c r="L5943" s="1" t="s">
        <v>1791</v>
      </c>
      <c r="N5943" s="1" t="s">
        <v>1792</v>
      </c>
      <c r="P5943" s="1" t="s">
        <v>661</v>
      </c>
      <c r="Q5943" s="3">
        <v>1</v>
      </c>
      <c r="R5943" s="22" t="s">
        <v>2721</v>
      </c>
      <c r="S5943" s="42" t="s">
        <v>6912</v>
      </c>
      <c r="T5943" s="3" t="s">
        <v>4868</v>
      </c>
      <c r="U5943" s="45">
        <v>35</v>
      </c>
      <c r="V5943" t="s">
        <v>8710</v>
      </c>
      <c r="W5943" s="1" t="str">
        <f>HYPERLINK("http://ictvonline.org/taxonomy/p/taxonomy-history?taxnode_id=201902611","ICTVonline=201902611")</f>
        <v>ICTVonline=201902611</v>
      </c>
    </row>
    <row r="5944" spans="1:23">
      <c r="A5944" s="3">
        <v>5943</v>
      </c>
      <c r="B5944" s="1" t="s">
        <v>8705</v>
      </c>
      <c r="D5944" s="1" t="s">
        <v>8706</v>
      </c>
      <c r="F5944" s="1" t="s">
        <v>8707</v>
      </c>
      <c r="H5944" s="1" t="s">
        <v>8708</v>
      </c>
      <c r="J5944" s="1" t="s">
        <v>8712</v>
      </c>
      <c r="L5944" s="1" t="s">
        <v>1791</v>
      </c>
      <c r="N5944" s="1" t="s">
        <v>1792</v>
      </c>
      <c r="P5944" s="1" t="s">
        <v>1349</v>
      </c>
      <c r="Q5944" s="3">
        <v>0</v>
      </c>
      <c r="R5944" s="22" t="s">
        <v>2721</v>
      </c>
      <c r="S5944" s="42" t="s">
        <v>6912</v>
      </c>
      <c r="T5944" s="3" t="s">
        <v>4868</v>
      </c>
      <c r="U5944" s="45">
        <v>35</v>
      </c>
      <c r="V5944" t="s">
        <v>8710</v>
      </c>
      <c r="W5944" s="1" t="str">
        <f>HYPERLINK("http://ictvonline.org/taxonomy/p/taxonomy-history?taxnode_id=201902612","ICTVonline=201902612")</f>
        <v>ICTVonline=201902612</v>
      </c>
    </row>
    <row r="5945" spans="1:23">
      <c r="A5945" s="3">
        <v>5944</v>
      </c>
      <c r="B5945" s="1" t="s">
        <v>8705</v>
      </c>
      <c r="D5945" s="1" t="s">
        <v>8706</v>
      </c>
      <c r="F5945" s="1" t="s">
        <v>8707</v>
      </c>
      <c r="H5945" s="1" t="s">
        <v>8708</v>
      </c>
      <c r="J5945" s="1" t="s">
        <v>8712</v>
      </c>
      <c r="L5945" s="1" t="s">
        <v>1791</v>
      </c>
      <c r="N5945" s="1" t="s">
        <v>3640</v>
      </c>
      <c r="P5945" s="1" t="s">
        <v>4897</v>
      </c>
      <c r="Q5945" s="3">
        <v>1</v>
      </c>
      <c r="R5945" s="22" t="s">
        <v>2721</v>
      </c>
      <c r="S5945" s="42" t="s">
        <v>6912</v>
      </c>
      <c r="T5945" s="3" t="s">
        <v>4868</v>
      </c>
      <c r="U5945" s="45">
        <v>35</v>
      </c>
      <c r="V5945" t="s">
        <v>8710</v>
      </c>
      <c r="W5945" s="1" t="str">
        <f>HYPERLINK("http://ictvonline.org/taxonomy/p/taxonomy-history?taxnode_id=201902614","ICTVonline=201902614")</f>
        <v>ICTVonline=201902614</v>
      </c>
    </row>
    <row r="5946" spans="1:23">
      <c r="A5946" s="3">
        <v>5945</v>
      </c>
      <c r="B5946" s="1" t="s">
        <v>8705</v>
      </c>
      <c r="D5946" s="1" t="s">
        <v>8706</v>
      </c>
      <c r="F5946" s="1" t="s">
        <v>8707</v>
      </c>
      <c r="H5946" s="1" t="s">
        <v>8708</v>
      </c>
      <c r="J5946" s="1" t="s">
        <v>8712</v>
      </c>
      <c r="L5946" s="1" t="s">
        <v>1411</v>
      </c>
      <c r="M5946" s="1" t="s">
        <v>4083</v>
      </c>
      <c r="N5946" s="1" t="s">
        <v>1017</v>
      </c>
      <c r="P5946" s="1" t="s">
        <v>1018</v>
      </c>
      <c r="Q5946" s="3">
        <v>1</v>
      </c>
      <c r="R5946" s="22" t="s">
        <v>2721</v>
      </c>
      <c r="S5946" s="42" t="s">
        <v>6912</v>
      </c>
      <c r="T5946" s="3" t="s">
        <v>4868</v>
      </c>
      <c r="U5946" s="45">
        <v>35</v>
      </c>
      <c r="V5946" t="s">
        <v>8710</v>
      </c>
      <c r="W5946" s="1" t="str">
        <f>HYPERLINK("http://ictvonline.org/taxonomy/p/taxonomy-history?taxnode_id=201903728","ICTVonline=201903728")</f>
        <v>ICTVonline=201903728</v>
      </c>
    </row>
    <row r="5947" spans="1:23">
      <c r="A5947" s="3">
        <v>5946</v>
      </c>
      <c r="B5947" s="1" t="s">
        <v>8705</v>
      </c>
      <c r="D5947" s="1" t="s">
        <v>8706</v>
      </c>
      <c r="F5947" s="1" t="s">
        <v>8707</v>
      </c>
      <c r="H5947" s="1" t="s">
        <v>8708</v>
      </c>
      <c r="J5947" s="1" t="s">
        <v>8712</v>
      </c>
      <c r="L5947" s="1" t="s">
        <v>1411</v>
      </c>
      <c r="M5947" s="1" t="s">
        <v>4083</v>
      </c>
      <c r="N5947" s="1" t="s">
        <v>1017</v>
      </c>
      <c r="P5947" s="1" t="s">
        <v>6872</v>
      </c>
      <c r="Q5947" s="3">
        <v>0</v>
      </c>
      <c r="R5947" s="22" t="s">
        <v>2721</v>
      </c>
      <c r="S5947" s="42" t="s">
        <v>6912</v>
      </c>
      <c r="T5947" s="3" t="s">
        <v>4868</v>
      </c>
      <c r="U5947" s="45">
        <v>35</v>
      </c>
      <c r="V5947" t="s">
        <v>8710</v>
      </c>
      <c r="W5947" s="1" t="str">
        <f>HYPERLINK("http://ictvonline.org/taxonomy/p/taxonomy-history?taxnode_id=201906332","ICTVonline=201906332")</f>
        <v>ICTVonline=201906332</v>
      </c>
    </row>
    <row r="5948" spans="1:23">
      <c r="A5948" s="3">
        <v>5947</v>
      </c>
      <c r="B5948" s="1" t="s">
        <v>8705</v>
      </c>
      <c r="D5948" s="1" t="s">
        <v>8706</v>
      </c>
      <c r="F5948" s="1" t="s">
        <v>8707</v>
      </c>
      <c r="H5948" s="1" t="s">
        <v>8708</v>
      </c>
      <c r="J5948" s="1" t="s">
        <v>8712</v>
      </c>
      <c r="L5948" s="1" t="s">
        <v>1411</v>
      </c>
      <c r="M5948" s="1" t="s">
        <v>4083</v>
      </c>
      <c r="N5948" s="1" t="s">
        <v>1017</v>
      </c>
      <c r="P5948" s="1" t="s">
        <v>6873</v>
      </c>
      <c r="Q5948" s="3">
        <v>0</v>
      </c>
      <c r="R5948" s="22" t="s">
        <v>2721</v>
      </c>
      <c r="S5948" s="42" t="s">
        <v>6912</v>
      </c>
      <c r="T5948" s="3" t="s">
        <v>4868</v>
      </c>
      <c r="U5948" s="45">
        <v>35</v>
      </c>
      <c r="V5948" t="s">
        <v>8710</v>
      </c>
      <c r="W5948" s="1" t="str">
        <f>HYPERLINK("http://ictvonline.org/taxonomy/p/taxonomy-history?taxnode_id=201906333","ICTVonline=201906333")</f>
        <v>ICTVonline=201906333</v>
      </c>
    </row>
    <row r="5949" spans="1:23">
      <c r="A5949" s="3">
        <v>5948</v>
      </c>
      <c r="B5949" s="1" t="s">
        <v>8705</v>
      </c>
      <c r="D5949" s="1" t="s">
        <v>8706</v>
      </c>
      <c r="F5949" s="1" t="s">
        <v>8707</v>
      </c>
      <c r="H5949" s="1" t="s">
        <v>8708</v>
      </c>
      <c r="J5949" s="1" t="s">
        <v>8712</v>
      </c>
      <c r="L5949" s="1" t="s">
        <v>1411</v>
      </c>
      <c r="M5949" s="1" t="s">
        <v>4083</v>
      </c>
      <c r="N5949" s="1" t="s">
        <v>1019</v>
      </c>
      <c r="P5949" s="1" t="s">
        <v>1020</v>
      </c>
      <c r="Q5949" s="3">
        <v>1</v>
      </c>
      <c r="R5949" s="22" t="s">
        <v>2721</v>
      </c>
      <c r="S5949" s="42" t="s">
        <v>6912</v>
      </c>
      <c r="T5949" s="3" t="s">
        <v>4868</v>
      </c>
      <c r="U5949" s="45">
        <v>35</v>
      </c>
      <c r="V5949" t="s">
        <v>8710</v>
      </c>
      <c r="W5949" s="1" t="str">
        <f>HYPERLINK("http://ictvonline.org/taxonomy/p/taxonomy-history?taxnode_id=201903730","ICTVonline=201903730")</f>
        <v>ICTVonline=201903730</v>
      </c>
    </row>
    <row r="5950" spans="1:23">
      <c r="A5950" s="3">
        <v>5949</v>
      </c>
      <c r="B5950" s="1" t="s">
        <v>8705</v>
      </c>
      <c r="D5950" s="1" t="s">
        <v>8706</v>
      </c>
      <c r="F5950" s="1" t="s">
        <v>8707</v>
      </c>
      <c r="H5950" s="1" t="s">
        <v>8708</v>
      </c>
      <c r="J5950" s="1" t="s">
        <v>8712</v>
      </c>
      <c r="L5950" s="1" t="s">
        <v>1411</v>
      </c>
      <c r="M5950" s="1" t="s">
        <v>4083</v>
      </c>
      <c r="N5950" s="1" t="s">
        <v>1019</v>
      </c>
      <c r="P5950" s="1" t="s">
        <v>6874</v>
      </c>
      <c r="Q5950" s="3">
        <v>0</v>
      </c>
      <c r="R5950" s="22" t="s">
        <v>2721</v>
      </c>
      <c r="S5950" s="42" t="s">
        <v>6912</v>
      </c>
      <c r="T5950" s="3" t="s">
        <v>4868</v>
      </c>
      <c r="U5950" s="45">
        <v>35</v>
      </c>
      <c r="V5950" t="s">
        <v>8710</v>
      </c>
      <c r="W5950" s="1" t="str">
        <f>HYPERLINK("http://ictvonline.org/taxonomy/p/taxonomy-history?taxnode_id=201906331","ICTVonline=201906331")</f>
        <v>ICTVonline=201906331</v>
      </c>
    </row>
    <row r="5951" spans="1:23">
      <c r="A5951" s="3">
        <v>5950</v>
      </c>
      <c r="B5951" s="1" t="s">
        <v>8705</v>
      </c>
      <c r="D5951" s="1" t="s">
        <v>8706</v>
      </c>
      <c r="F5951" s="1" t="s">
        <v>8707</v>
      </c>
      <c r="H5951" s="1" t="s">
        <v>8708</v>
      </c>
      <c r="J5951" s="1" t="s">
        <v>8712</v>
      </c>
      <c r="L5951" s="1" t="s">
        <v>1411</v>
      </c>
      <c r="M5951" s="1" t="s">
        <v>4083</v>
      </c>
      <c r="N5951" s="1" t="s">
        <v>1021</v>
      </c>
      <c r="P5951" s="1" t="s">
        <v>1022</v>
      </c>
      <c r="Q5951" s="3">
        <v>0</v>
      </c>
      <c r="R5951" s="22" t="s">
        <v>2721</v>
      </c>
      <c r="S5951" s="42" t="s">
        <v>6912</v>
      </c>
      <c r="T5951" s="3" t="s">
        <v>4868</v>
      </c>
      <c r="U5951" s="45">
        <v>35</v>
      </c>
      <c r="V5951" t="s">
        <v>8710</v>
      </c>
      <c r="W5951" s="1" t="str">
        <f>HYPERLINK("http://ictvonline.org/taxonomy/p/taxonomy-history?taxnode_id=201903732","ICTVonline=201903732")</f>
        <v>ICTVonline=201903732</v>
      </c>
    </row>
    <row r="5952" spans="1:23">
      <c r="A5952" s="3">
        <v>5951</v>
      </c>
      <c r="B5952" s="1" t="s">
        <v>8705</v>
      </c>
      <c r="D5952" s="1" t="s">
        <v>8706</v>
      </c>
      <c r="F5952" s="1" t="s">
        <v>8707</v>
      </c>
      <c r="H5952" s="1" t="s">
        <v>8708</v>
      </c>
      <c r="J5952" s="1" t="s">
        <v>8712</v>
      </c>
      <c r="L5952" s="1" t="s">
        <v>1411</v>
      </c>
      <c r="M5952" s="1" t="s">
        <v>4083</v>
      </c>
      <c r="N5952" s="1" t="s">
        <v>1021</v>
      </c>
      <c r="P5952" s="1" t="s">
        <v>5418</v>
      </c>
      <c r="Q5952" s="3">
        <v>0</v>
      </c>
      <c r="R5952" s="22" t="s">
        <v>2721</v>
      </c>
      <c r="S5952" s="42" t="s">
        <v>6912</v>
      </c>
      <c r="T5952" s="3" t="s">
        <v>4868</v>
      </c>
      <c r="U5952" s="45">
        <v>35</v>
      </c>
      <c r="V5952" t="s">
        <v>8710</v>
      </c>
      <c r="W5952" s="1" t="str">
        <f>HYPERLINK("http://ictvonline.org/taxonomy/p/taxonomy-history?taxnode_id=201905861","ICTVonline=201905861")</f>
        <v>ICTVonline=201905861</v>
      </c>
    </row>
    <row r="5953" spans="1:23">
      <c r="A5953" s="3">
        <v>5952</v>
      </c>
      <c r="B5953" s="1" t="s">
        <v>8705</v>
      </c>
      <c r="D5953" s="1" t="s">
        <v>8706</v>
      </c>
      <c r="F5953" s="1" t="s">
        <v>8707</v>
      </c>
      <c r="H5953" s="1" t="s">
        <v>8708</v>
      </c>
      <c r="J5953" s="1" t="s">
        <v>8712</v>
      </c>
      <c r="L5953" s="1" t="s">
        <v>1411</v>
      </c>
      <c r="M5953" s="1" t="s">
        <v>4083</v>
      </c>
      <c r="N5953" s="1" t="s">
        <v>1021</v>
      </c>
      <c r="P5953" s="1" t="s">
        <v>1097</v>
      </c>
      <c r="Q5953" s="3">
        <v>0</v>
      </c>
      <c r="R5953" s="22" t="s">
        <v>2721</v>
      </c>
      <c r="S5953" s="42" t="s">
        <v>6912</v>
      </c>
      <c r="T5953" s="3" t="s">
        <v>4868</v>
      </c>
      <c r="U5953" s="45">
        <v>35</v>
      </c>
      <c r="V5953" t="s">
        <v>8710</v>
      </c>
      <c r="W5953" s="1" t="str">
        <f>HYPERLINK("http://ictvonline.org/taxonomy/p/taxonomy-history?taxnode_id=201903734","ICTVonline=201903734")</f>
        <v>ICTVonline=201903734</v>
      </c>
    </row>
    <row r="5954" spans="1:23">
      <c r="A5954" s="3">
        <v>5953</v>
      </c>
      <c r="B5954" s="1" t="s">
        <v>8705</v>
      </c>
      <c r="D5954" s="1" t="s">
        <v>8706</v>
      </c>
      <c r="F5954" s="1" t="s">
        <v>8707</v>
      </c>
      <c r="H5954" s="1" t="s">
        <v>8708</v>
      </c>
      <c r="J5954" s="1" t="s">
        <v>8712</v>
      </c>
      <c r="L5954" s="1" t="s">
        <v>1411</v>
      </c>
      <c r="M5954" s="1" t="s">
        <v>4083</v>
      </c>
      <c r="N5954" s="1" t="s">
        <v>1021</v>
      </c>
      <c r="P5954" s="1" t="s">
        <v>1098</v>
      </c>
      <c r="Q5954" s="3">
        <v>1</v>
      </c>
      <c r="R5954" s="22" t="s">
        <v>2721</v>
      </c>
      <c r="S5954" s="42" t="s">
        <v>6912</v>
      </c>
      <c r="T5954" s="3" t="s">
        <v>4868</v>
      </c>
      <c r="U5954" s="45">
        <v>35</v>
      </c>
      <c r="V5954" t="s">
        <v>8710</v>
      </c>
      <c r="W5954" s="1" t="str">
        <f>HYPERLINK("http://ictvonline.org/taxonomy/p/taxonomy-history?taxnode_id=201903736","ICTVonline=201903736")</f>
        <v>ICTVonline=201903736</v>
      </c>
    </row>
    <row r="5955" spans="1:23">
      <c r="A5955" s="3">
        <v>5954</v>
      </c>
      <c r="B5955" s="1" t="s">
        <v>8705</v>
      </c>
      <c r="D5955" s="1" t="s">
        <v>8706</v>
      </c>
      <c r="F5955" s="1" t="s">
        <v>8707</v>
      </c>
      <c r="H5955" s="1" t="s">
        <v>8708</v>
      </c>
      <c r="J5955" s="1" t="s">
        <v>8712</v>
      </c>
      <c r="L5955" s="1" t="s">
        <v>1411</v>
      </c>
      <c r="M5955" s="1" t="s">
        <v>4083</v>
      </c>
      <c r="N5955" s="1" t="s">
        <v>1021</v>
      </c>
      <c r="P5955" s="1" t="s">
        <v>1099</v>
      </c>
      <c r="Q5955" s="3">
        <v>0</v>
      </c>
      <c r="R5955" s="22" t="s">
        <v>2721</v>
      </c>
      <c r="S5955" s="42" t="s">
        <v>6912</v>
      </c>
      <c r="T5955" s="3" t="s">
        <v>4868</v>
      </c>
      <c r="U5955" s="45">
        <v>35</v>
      </c>
      <c r="V5955" t="s">
        <v>8710</v>
      </c>
      <c r="W5955" s="1" t="str">
        <f>HYPERLINK("http://ictvonline.org/taxonomy/p/taxonomy-history?taxnode_id=201903737","ICTVonline=201903737")</f>
        <v>ICTVonline=201903737</v>
      </c>
    </row>
    <row r="5956" spans="1:23">
      <c r="A5956" s="3">
        <v>5955</v>
      </c>
      <c r="B5956" s="1" t="s">
        <v>8705</v>
      </c>
      <c r="D5956" s="1" t="s">
        <v>8706</v>
      </c>
      <c r="F5956" s="1" t="s">
        <v>8707</v>
      </c>
      <c r="H5956" s="1" t="s">
        <v>8708</v>
      </c>
      <c r="J5956" s="1" t="s">
        <v>8712</v>
      </c>
      <c r="L5956" s="1" t="s">
        <v>1411</v>
      </c>
      <c r="M5956" s="1" t="s">
        <v>4083</v>
      </c>
      <c r="N5956" s="1" t="s">
        <v>1021</v>
      </c>
      <c r="P5956" s="1" t="s">
        <v>4756</v>
      </c>
      <c r="Q5956" s="3">
        <v>0</v>
      </c>
      <c r="R5956" s="22" t="s">
        <v>2721</v>
      </c>
      <c r="S5956" s="42" t="s">
        <v>6912</v>
      </c>
      <c r="T5956" s="3" t="s">
        <v>4868</v>
      </c>
      <c r="U5956" s="45">
        <v>35</v>
      </c>
      <c r="V5956" t="s">
        <v>8710</v>
      </c>
      <c r="W5956" s="1" t="str">
        <f>HYPERLINK("http://ictvonline.org/taxonomy/p/taxonomy-history?taxnode_id=201903738","ICTVonline=201903738")</f>
        <v>ICTVonline=201903738</v>
      </c>
    </row>
    <row r="5957" spans="1:23">
      <c r="A5957" s="3">
        <v>5956</v>
      </c>
      <c r="B5957" s="1" t="s">
        <v>8705</v>
      </c>
      <c r="D5957" s="1" t="s">
        <v>8706</v>
      </c>
      <c r="F5957" s="1" t="s">
        <v>8707</v>
      </c>
      <c r="H5957" s="1" t="s">
        <v>8708</v>
      </c>
      <c r="J5957" s="1" t="s">
        <v>8712</v>
      </c>
      <c r="L5957" s="1" t="s">
        <v>1411</v>
      </c>
      <c r="M5957" s="1" t="s">
        <v>4084</v>
      </c>
      <c r="N5957" s="1" t="s">
        <v>1412</v>
      </c>
      <c r="P5957" s="1" t="s">
        <v>6875</v>
      </c>
      <c r="Q5957" s="3">
        <v>0</v>
      </c>
      <c r="R5957" s="22" t="s">
        <v>2721</v>
      </c>
      <c r="S5957" s="42" t="s">
        <v>6912</v>
      </c>
      <c r="T5957" s="3" t="s">
        <v>4868</v>
      </c>
      <c r="U5957" s="45">
        <v>35</v>
      </c>
      <c r="V5957" t="s">
        <v>8710</v>
      </c>
      <c r="W5957" s="1" t="str">
        <f>HYPERLINK("http://ictvonline.org/taxonomy/p/taxonomy-history?taxnode_id=201906338","ICTVonline=201906338")</f>
        <v>ICTVonline=201906338</v>
      </c>
    </row>
    <row r="5958" spans="1:23">
      <c r="A5958" s="3">
        <v>5957</v>
      </c>
      <c r="B5958" s="1" t="s">
        <v>8705</v>
      </c>
      <c r="D5958" s="1" t="s">
        <v>8706</v>
      </c>
      <c r="F5958" s="1" t="s">
        <v>8707</v>
      </c>
      <c r="H5958" s="1" t="s">
        <v>8708</v>
      </c>
      <c r="J5958" s="1" t="s">
        <v>8712</v>
      </c>
      <c r="L5958" s="1" t="s">
        <v>1411</v>
      </c>
      <c r="M5958" s="1" t="s">
        <v>4084</v>
      </c>
      <c r="N5958" s="1" t="s">
        <v>1412</v>
      </c>
      <c r="P5958" s="1" t="s">
        <v>1413</v>
      </c>
      <c r="Q5958" s="3">
        <v>1</v>
      </c>
      <c r="R5958" s="22" t="s">
        <v>2721</v>
      </c>
      <c r="S5958" s="42" t="s">
        <v>6912</v>
      </c>
      <c r="T5958" s="3" t="s">
        <v>4868</v>
      </c>
      <c r="U5958" s="45">
        <v>35</v>
      </c>
      <c r="V5958" t="s">
        <v>8710</v>
      </c>
      <c r="W5958" s="1" t="str">
        <f>HYPERLINK("http://ictvonline.org/taxonomy/p/taxonomy-history?taxnode_id=201903741","ICTVonline=201903741")</f>
        <v>ICTVonline=201903741</v>
      </c>
    </row>
    <row r="5959" spans="1:23">
      <c r="A5959" s="3">
        <v>5958</v>
      </c>
      <c r="B5959" s="1" t="s">
        <v>8705</v>
      </c>
      <c r="D5959" s="1" t="s">
        <v>8706</v>
      </c>
      <c r="F5959" s="1" t="s">
        <v>8707</v>
      </c>
      <c r="H5959" s="1" t="s">
        <v>8708</v>
      </c>
      <c r="J5959" s="1" t="s">
        <v>8712</v>
      </c>
      <c r="L5959" s="1" t="s">
        <v>1411</v>
      </c>
      <c r="M5959" s="1" t="s">
        <v>4084</v>
      </c>
      <c r="N5959" s="1" t="s">
        <v>1412</v>
      </c>
      <c r="P5959" s="1" t="s">
        <v>6876</v>
      </c>
      <c r="Q5959" s="3">
        <v>0</v>
      </c>
      <c r="R5959" s="22" t="s">
        <v>2721</v>
      </c>
      <c r="S5959" s="42" t="s">
        <v>6912</v>
      </c>
      <c r="T5959" s="3" t="s">
        <v>4868</v>
      </c>
      <c r="U5959" s="45">
        <v>35</v>
      </c>
      <c r="V5959" t="s">
        <v>8710</v>
      </c>
      <c r="W5959" s="1" t="str">
        <f>HYPERLINK("http://ictvonline.org/taxonomy/p/taxonomy-history?taxnode_id=201906336","ICTVonline=201906336")</f>
        <v>ICTVonline=201906336</v>
      </c>
    </row>
    <row r="5960" spans="1:23">
      <c r="A5960" s="3">
        <v>5959</v>
      </c>
      <c r="B5960" s="1" t="s">
        <v>8705</v>
      </c>
      <c r="D5960" s="1" t="s">
        <v>8706</v>
      </c>
      <c r="F5960" s="1" t="s">
        <v>8707</v>
      </c>
      <c r="H5960" s="1" t="s">
        <v>8708</v>
      </c>
      <c r="J5960" s="1" t="s">
        <v>8712</v>
      </c>
      <c r="L5960" s="1" t="s">
        <v>1411</v>
      </c>
      <c r="M5960" s="1" t="s">
        <v>4084</v>
      </c>
      <c r="N5960" s="1" t="s">
        <v>1412</v>
      </c>
      <c r="P5960" s="1" t="s">
        <v>6877</v>
      </c>
      <c r="Q5960" s="3">
        <v>0</v>
      </c>
      <c r="R5960" s="22" t="s">
        <v>2721</v>
      </c>
      <c r="S5960" s="42" t="s">
        <v>6912</v>
      </c>
      <c r="T5960" s="3" t="s">
        <v>4868</v>
      </c>
      <c r="U5960" s="45">
        <v>35</v>
      </c>
      <c r="V5960" t="s">
        <v>8710</v>
      </c>
      <c r="W5960" s="1" t="str">
        <f>HYPERLINK("http://ictvonline.org/taxonomy/p/taxonomy-history?taxnode_id=201906335","ICTVonline=201906335")</f>
        <v>ICTVonline=201906335</v>
      </c>
    </row>
    <row r="5961" spans="1:23">
      <c r="A5961" s="3">
        <v>5960</v>
      </c>
      <c r="B5961" s="1" t="s">
        <v>8705</v>
      </c>
      <c r="D5961" s="1" t="s">
        <v>8706</v>
      </c>
      <c r="F5961" s="1" t="s">
        <v>8707</v>
      </c>
      <c r="H5961" s="1" t="s">
        <v>8708</v>
      </c>
      <c r="J5961" s="1" t="s">
        <v>8712</v>
      </c>
      <c r="L5961" s="1" t="s">
        <v>1411</v>
      </c>
      <c r="M5961" s="1" t="s">
        <v>4084</v>
      </c>
      <c r="N5961" s="1" t="s">
        <v>1412</v>
      </c>
      <c r="P5961" s="1" t="s">
        <v>6878</v>
      </c>
      <c r="Q5961" s="3">
        <v>0</v>
      </c>
      <c r="R5961" s="22" t="s">
        <v>2721</v>
      </c>
      <c r="S5961" s="42" t="s">
        <v>6912</v>
      </c>
      <c r="T5961" s="3" t="s">
        <v>4868</v>
      </c>
      <c r="U5961" s="45">
        <v>35</v>
      </c>
      <c r="V5961" t="s">
        <v>8710</v>
      </c>
      <c r="W5961" s="1" t="str">
        <f>HYPERLINK("http://ictvonline.org/taxonomy/p/taxonomy-history?taxnode_id=201906337","ICTVonline=201906337")</f>
        <v>ICTVonline=201906337</v>
      </c>
    </row>
    <row r="5962" spans="1:23">
      <c r="A5962" s="3">
        <v>5961</v>
      </c>
      <c r="B5962" s="1" t="s">
        <v>8705</v>
      </c>
      <c r="D5962" s="1" t="s">
        <v>8706</v>
      </c>
      <c r="F5962" s="1" t="s">
        <v>8707</v>
      </c>
      <c r="H5962" s="1" t="s">
        <v>8708</v>
      </c>
      <c r="J5962" s="1" t="s">
        <v>8712</v>
      </c>
      <c r="L5962" s="1" t="s">
        <v>1411</v>
      </c>
      <c r="M5962" s="1" t="s">
        <v>4084</v>
      </c>
      <c r="N5962" s="1" t="s">
        <v>6879</v>
      </c>
      <c r="P5962" s="1" t="s">
        <v>6880</v>
      </c>
      <c r="Q5962" s="3">
        <v>1</v>
      </c>
      <c r="R5962" s="22" t="s">
        <v>2721</v>
      </c>
      <c r="S5962" s="42" t="s">
        <v>6912</v>
      </c>
      <c r="T5962" s="3" t="s">
        <v>4868</v>
      </c>
      <c r="U5962" s="45">
        <v>35</v>
      </c>
      <c r="V5962" t="s">
        <v>8710</v>
      </c>
      <c r="W5962" s="1" t="str">
        <f>HYPERLINK("http://ictvonline.org/taxonomy/p/taxonomy-history?taxnode_id=201906295","ICTVonline=201906295")</f>
        <v>ICTVonline=201906295</v>
      </c>
    </row>
    <row r="5963" spans="1:23">
      <c r="A5963" s="3">
        <v>5962</v>
      </c>
      <c r="B5963" s="1" t="s">
        <v>8705</v>
      </c>
      <c r="D5963" s="1" t="s">
        <v>8706</v>
      </c>
      <c r="F5963" s="1" t="s">
        <v>8707</v>
      </c>
      <c r="H5963" s="1" t="s">
        <v>8708</v>
      </c>
      <c r="J5963" s="1" t="s">
        <v>8712</v>
      </c>
      <c r="L5963" s="1" t="s">
        <v>1411</v>
      </c>
      <c r="M5963" s="1" t="s">
        <v>4084</v>
      </c>
      <c r="N5963" s="1" t="s">
        <v>1023</v>
      </c>
      <c r="P5963" s="1" t="s">
        <v>1016</v>
      </c>
      <c r="Q5963" s="3">
        <v>1</v>
      </c>
      <c r="R5963" s="22" t="s">
        <v>2721</v>
      </c>
      <c r="S5963" s="42" t="s">
        <v>6912</v>
      </c>
      <c r="T5963" s="3" t="s">
        <v>4868</v>
      </c>
      <c r="U5963" s="45">
        <v>35</v>
      </c>
      <c r="V5963" t="s">
        <v>8710</v>
      </c>
      <c r="W5963" s="1" t="str">
        <f>HYPERLINK("http://ictvonline.org/taxonomy/p/taxonomy-history?taxnode_id=201903744","ICTVonline=201903744")</f>
        <v>ICTVonline=201903744</v>
      </c>
    </row>
    <row r="5964" spans="1:23">
      <c r="A5964" s="3">
        <v>5963</v>
      </c>
      <c r="B5964" s="1" t="s">
        <v>8705</v>
      </c>
      <c r="D5964" s="1" t="s">
        <v>8706</v>
      </c>
      <c r="F5964" s="1" t="s">
        <v>8707</v>
      </c>
      <c r="H5964" s="1" t="s">
        <v>8708</v>
      </c>
      <c r="J5964" s="1" t="s">
        <v>8712</v>
      </c>
      <c r="L5964" s="1" t="s">
        <v>1411</v>
      </c>
      <c r="M5964" s="1" t="s">
        <v>4084</v>
      </c>
      <c r="N5964" s="1" t="s">
        <v>1023</v>
      </c>
      <c r="P5964" s="1" t="s">
        <v>6881</v>
      </c>
      <c r="Q5964" s="3">
        <v>0</v>
      </c>
      <c r="R5964" s="22" t="s">
        <v>2721</v>
      </c>
      <c r="S5964" s="42" t="s">
        <v>6912</v>
      </c>
      <c r="T5964" s="3" t="s">
        <v>4868</v>
      </c>
      <c r="U5964" s="45">
        <v>35</v>
      </c>
      <c r="V5964" t="s">
        <v>8710</v>
      </c>
      <c r="W5964" s="1" t="str">
        <f>HYPERLINK("http://ictvonline.org/taxonomy/p/taxonomy-history?taxnode_id=201906334","ICTVonline=201906334")</f>
        <v>ICTVonline=201906334</v>
      </c>
    </row>
    <row r="5965" spans="1:23">
      <c r="A5965" s="3">
        <v>5964</v>
      </c>
      <c r="B5965" s="1" t="s">
        <v>8705</v>
      </c>
      <c r="D5965" s="1" t="s">
        <v>8706</v>
      </c>
      <c r="F5965" s="1" t="s">
        <v>8707</v>
      </c>
      <c r="H5965" s="1" t="s">
        <v>8708</v>
      </c>
      <c r="J5965" s="1" t="s">
        <v>8712</v>
      </c>
      <c r="L5965" s="1" t="s">
        <v>2458</v>
      </c>
      <c r="N5965" s="1" t="s">
        <v>2459</v>
      </c>
      <c r="P5965" s="1" t="s">
        <v>2460</v>
      </c>
      <c r="Q5965" s="3">
        <v>1</v>
      </c>
      <c r="R5965" s="22" t="s">
        <v>2721</v>
      </c>
      <c r="S5965" s="42" t="s">
        <v>6912</v>
      </c>
      <c r="T5965" s="3" t="s">
        <v>4868</v>
      </c>
      <c r="U5965" s="45">
        <v>35</v>
      </c>
      <c r="V5965" t="s">
        <v>8710</v>
      </c>
      <c r="W5965" s="1" t="str">
        <f>HYPERLINK("http://ictvonline.org/taxonomy/p/taxonomy-history?taxnode_id=201903802","ICTVonline=201903802")</f>
        <v>ICTVonline=201903802</v>
      </c>
    </row>
    <row r="5966" spans="1:23">
      <c r="A5966" s="3">
        <v>5965</v>
      </c>
      <c r="B5966" s="1" t="s">
        <v>8705</v>
      </c>
      <c r="D5966" s="1" t="s">
        <v>8706</v>
      </c>
      <c r="F5966" s="1" t="s">
        <v>8707</v>
      </c>
      <c r="H5966" s="1" t="s">
        <v>8708</v>
      </c>
      <c r="J5966" s="1" t="s">
        <v>8712</v>
      </c>
      <c r="L5966" s="1" t="s">
        <v>2458</v>
      </c>
      <c r="N5966" s="1" t="s">
        <v>2459</v>
      </c>
      <c r="P5966" s="1" t="s">
        <v>2461</v>
      </c>
      <c r="Q5966" s="3">
        <v>0</v>
      </c>
      <c r="R5966" s="22" t="s">
        <v>2721</v>
      </c>
      <c r="S5966" s="42" t="s">
        <v>6912</v>
      </c>
      <c r="T5966" s="3" t="s">
        <v>4868</v>
      </c>
      <c r="U5966" s="45">
        <v>35</v>
      </c>
      <c r="V5966" t="s">
        <v>8710</v>
      </c>
      <c r="W5966" s="1" t="str">
        <f>HYPERLINK("http://ictvonline.org/taxonomy/p/taxonomy-history?taxnode_id=201903803","ICTVonline=201903803")</f>
        <v>ICTVonline=201903803</v>
      </c>
    </row>
    <row r="5967" spans="1:23">
      <c r="A5967" s="3">
        <v>5966</v>
      </c>
      <c r="B5967" s="1" t="s">
        <v>8705</v>
      </c>
      <c r="D5967" s="1" t="s">
        <v>8706</v>
      </c>
      <c r="F5967" s="1" t="s">
        <v>8707</v>
      </c>
      <c r="H5967" s="1" t="s">
        <v>8708</v>
      </c>
      <c r="J5967" s="1" t="s">
        <v>8712</v>
      </c>
      <c r="L5967" s="1" t="s">
        <v>2458</v>
      </c>
      <c r="P5967" s="1" t="s">
        <v>2462</v>
      </c>
      <c r="Q5967" s="3">
        <v>0</v>
      </c>
      <c r="R5967" s="22" t="s">
        <v>2721</v>
      </c>
      <c r="S5967" s="42" t="s">
        <v>6912</v>
      </c>
      <c r="T5967" s="3" t="s">
        <v>4868</v>
      </c>
      <c r="U5967" s="45">
        <v>35</v>
      </c>
      <c r="V5967" t="s">
        <v>8710</v>
      </c>
      <c r="W5967" s="1" t="str">
        <f>HYPERLINK("http://ictvonline.org/taxonomy/p/taxonomy-history?taxnode_id=201903805","ICTVonline=201903805")</f>
        <v>ICTVonline=201903805</v>
      </c>
    </row>
    <row r="5968" spans="1:23">
      <c r="A5968" s="3">
        <v>5967</v>
      </c>
      <c r="B5968" s="1" t="s">
        <v>8705</v>
      </c>
      <c r="D5968" s="1" t="s">
        <v>8706</v>
      </c>
      <c r="F5968" s="1" t="s">
        <v>8707</v>
      </c>
      <c r="H5968" s="1" t="s">
        <v>8708</v>
      </c>
      <c r="J5968" s="1" t="s">
        <v>8712</v>
      </c>
      <c r="L5968" s="1" t="s">
        <v>2458</v>
      </c>
      <c r="P5968" s="1" t="s">
        <v>2463</v>
      </c>
      <c r="Q5968" s="3">
        <v>0</v>
      </c>
      <c r="R5968" s="22" t="s">
        <v>2721</v>
      </c>
      <c r="S5968" s="42" t="s">
        <v>6912</v>
      </c>
      <c r="T5968" s="3" t="s">
        <v>4868</v>
      </c>
      <c r="U5968" s="45">
        <v>35</v>
      </c>
      <c r="V5968" t="s">
        <v>8710</v>
      </c>
      <c r="W5968" s="1" t="str">
        <f>HYPERLINK("http://ictvonline.org/taxonomy/p/taxonomy-history?taxnode_id=201903806","ICTVonline=201903806")</f>
        <v>ICTVonline=201903806</v>
      </c>
    </row>
    <row r="5969" spans="1:23">
      <c r="A5969" s="3">
        <v>5968</v>
      </c>
      <c r="B5969" s="1" t="s">
        <v>8705</v>
      </c>
      <c r="D5969" s="1" t="s">
        <v>8706</v>
      </c>
      <c r="F5969" s="1" t="s">
        <v>8707</v>
      </c>
      <c r="H5969" s="1" t="s">
        <v>8713</v>
      </c>
      <c r="J5969" s="1" t="s">
        <v>8714</v>
      </c>
      <c r="L5969" s="1" t="s">
        <v>664</v>
      </c>
      <c r="N5969" s="1" t="s">
        <v>665</v>
      </c>
      <c r="P5969" s="1" t="s">
        <v>666</v>
      </c>
      <c r="Q5969" s="3">
        <v>1</v>
      </c>
      <c r="R5969" s="22" t="s">
        <v>2721</v>
      </c>
      <c r="S5969" s="42" t="s">
        <v>6912</v>
      </c>
      <c r="T5969" s="3" t="s">
        <v>4868</v>
      </c>
      <c r="U5969" s="45">
        <v>35</v>
      </c>
      <c r="V5969" t="s">
        <v>8710</v>
      </c>
      <c r="W5969" s="1" t="str">
        <f>HYPERLINK("http://ictvonline.org/taxonomy/p/taxonomy-history?taxnode_id=201902618","ICTVonline=201902618")</f>
        <v>ICTVonline=201902618</v>
      </c>
    </row>
    <row r="5970" spans="1:23">
      <c r="A5970" s="3">
        <v>5969</v>
      </c>
      <c r="B5970" s="1" t="s">
        <v>8705</v>
      </c>
      <c r="D5970" s="1" t="s">
        <v>8706</v>
      </c>
      <c r="F5970" s="1" t="s">
        <v>8707</v>
      </c>
      <c r="H5970" s="1" t="s">
        <v>8713</v>
      </c>
      <c r="J5970" s="1" t="s">
        <v>8715</v>
      </c>
      <c r="L5970" s="1" t="s">
        <v>2066</v>
      </c>
      <c r="M5970" s="1" t="s">
        <v>2067</v>
      </c>
      <c r="N5970" s="1" t="s">
        <v>2068</v>
      </c>
      <c r="P5970" s="1" t="s">
        <v>497</v>
      </c>
      <c r="Q5970" s="3">
        <v>0</v>
      </c>
      <c r="R5970" s="22" t="s">
        <v>2721</v>
      </c>
      <c r="S5970" s="42" t="s">
        <v>6912</v>
      </c>
      <c r="T5970" s="3" t="s">
        <v>4868</v>
      </c>
      <c r="U5970" s="45">
        <v>35</v>
      </c>
      <c r="V5970" t="s">
        <v>8710</v>
      </c>
      <c r="W5970" s="1" t="str">
        <f>HYPERLINK("http://ictvonline.org/taxonomy/p/taxonomy-history?taxnode_id=201904740","ICTVonline=201904740")</f>
        <v>ICTVonline=201904740</v>
      </c>
    </row>
    <row r="5971" spans="1:23">
      <c r="A5971" s="3">
        <v>5970</v>
      </c>
      <c r="B5971" s="1" t="s">
        <v>8705</v>
      </c>
      <c r="D5971" s="1" t="s">
        <v>8706</v>
      </c>
      <c r="F5971" s="1" t="s">
        <v>8707</v>
      </c>
      <c r="H5971" s="1" t="s">
        <v>8713</v>
      </c>
      <c r="J5971" s="1" t="s">
        <v>8715</v>
      </c>
      <c r="L5971" s="1" t="s">
        <v>2066</v>
      </c>
      <c r="M5971" s="1" t="s">
        <v>2067</v>
      </c>
      <c r="N5971" s="1" t="s">
        <v>2068</v>
      </c>
      <c r="P5971" s="1" t="s">
        <v>8716</v>
      </c>
      <c r="Q5971" s="3">
        <v>0</v>
      </c>
      <c r="R5971" s="22" t="s">
        <v>2721</v>
      </c>
      <c r="S5971" s="42" t="s">
        <v>6914</v>
      </c>
      <c r="T5971" s="3" t="s">
        <v>4866</v>
      </c>
      <c r="U5971" s="45">
        <v>35</v>
      </c>
      <c r="V5971" t="s">
        <v>8717</v>
      </c>
      <c r="W5971" s="1" t="str">
        <f>HYPERLINK("http://ictvonline.org/taxonomy/p/taxonomy-history?taxnode_id=201907141","ICTVonline=201907141")</f>
        <v>ICTVonline=201907141</v>
      </c>
    </row>
    <row r="5972" spans="1:23">
      <c r="A5972" s="3">
        <v>5971</v>
      </c>
      <c r="B5972" s="1" t="s">
        <v>8705</v>
      </c>
      <c r="D5972" s="1" t="s">
        <v>8706</v>
      </c>
      <c r="F5972" s="1" t="s">
        <v>8707</v>
      </c>
      <c r="H5972" s="1" t="s">
        <v>8713</v>
      </c>
      <c r="J5972" s="1" t="s">
        <v>8715</v>
      </c>
      <c r="L5972" s="1" t="s">
        <v>2066</v>
      </c>
      <c r="M5972" s="1" t="s">
        <v>2067</v>
      </c>
      <c r="N5972" s="1" t="s">
        <v>2068</v>
      </c>
      <c r="P5972" s="1" t="s">
        <v>498</v>
      </c>
      <c r="Q5972" s="3">
        <v>1</v>
      </c>
      <c r="R5972" s="22" t="s">
        <v>2721</v>
      </c>
      <c r="S5972" s="42" t="s">
        <v>6912</v>
      </c>
      <c r="T5972" s="3" t="s">
        <v>4868</v>
      </c>
      <c r="U5972" s="45">
        <v>35</v>
      </c>
      <c r="V5972" t="s">
        <v>8710</v>
      </c>
      <c r="W5972" s="1" t="str">
        <f>HYPERLINK("http://ictvonline.org/taxonomy/p/taxonomy-history?taxnode_id=201904741","ICTVonline=201904741")</f>
        <v>ICTVonline=201904741</v>
      </c>
    </row>
    <row r="5973" spans="1:23">
      <c r="A5973" s="3">
        <v>5972</v>
      </c>
      <c r="B5973" s="1" t="s">
        <v>8705</v>
      </c>
      <c r="D5973" s="1" t="s">
        <v>8706</v>
      </c>
      <c r="F5973" s="1" t="s">
        <v>8707</v>
      </c>
      <c r="H5973" s="1" t="s">
        <v>8713</v>
      </c>
      <c r="J5973" s="1" t="s">
        <v>8715</v>
      </c>
      <c r="L5973" s="1" t="s">
        <v>2066</v>
      </c>
      <c r="M5973" s="1" t="s">
        <v>2067</v>
      </c>
      <c r="N5973" s="1" t="s">
        <v>2068</v>
      </c>
      <c r="P5973" s="1" t="s">
        <v>499</v>
      </c>
      <c r="Q5973" s="3">
        <v>0</v>
      </c>
      <c r="R5973" s="22" t="s">
        <v>2721</v>
      </c>
      <c r="S5973" s="42" t="s">
        <v>6912</v>
      </c>
      <c r="T5973" s="3" t="s">
        <v>4868</v>
      </c>
      <c r="U5973" s="45">
        <v>35</v>
      </c>
      <c r="V5973" t="s">
        <v>8710</v>
      </c>
      <c r="W5973" s="1" t="str">
        <f>HYPERLINK("http://ictvonline.org/taxonomy/p/taxonomy-history?taxnode_id=201904742","ICTVonline=201904742")</f>
        <v>ICTVonline=201904742</v>
      </c>
    </row>
    <row r="5974" spans="1:23">
      <c r="A5974" s="3">
        <v>5973</v>
      </c>
      <c r="B5974" s="1" t="s">
        <v>8705</v>
      </c>
      <c r="D5974" s="1" t="s">
        <v>8706</v>
      </c>
      <c r="F5974" s="1" t="s">
        <v>8707</v>
      </c>
      <c r="H5974" s="1" t="s">
        <v>8713</v>
      </c>
      <c r="J5974" s="1" t="s">
        <v>8715</v>
      </c>
      <c r="L5974" s="1" t="s">
        <v>2066</v>
      </c>
      <c r="M5974" s="1" t="s">
        <v>2067</v>
      </c>
      <c r="N5974" s="1" t="s">
        <v>2068</v>
      </c>
      <c r="P5974" s="1" t="s">
        <v>500</v>
      </c>
      <c r="Q5974" s="3">
        <v>0</v>
      </c>
      <c r="R5974" s="22" t="s">
        <v>2721</v>
      </c>
      <c r="S5974" s="42" t="s">
        <v>6912</v>
      </c>
      <c r="T5974" s="3" t="s">
        <v>4868</v>
      </c>
      <c r="U5974" s="45">
        <v>35</v>
      </c>
      <c r="V5974" t="s">
        <v>8710</v>
      </c>
      <c r="W5974" s="1" t="str">
        <f>HYPERLINK("http://ictvonline.org/taxonomy/p/taxonomy-history?taxnode_id=201904743","ICTVonline=201904743")</f>
        <v>ICTVonline=201904743</v>
      </c>
    </row>
    <row r="5975" spans="1:23">
      <c r="A5975" s="3">
        <v>5974</v>
      </c>
      <c r="B5975" s="1" t="s">
        <v>8705</v>
      </c>
      <c r="D5975" s="1" t="s">
        <v>8706</v>
      </c>
      <c r="F5975" s="1" t="s">
        <v>8707</v>
      </c>
      <c r="H5975" s="1" t="s">
        <v>8713</v>
      </c>
      <c r="J5975" s="1" t="s">
        <v>8715</v>
      </c>
      <c r="L5975" s="1" t="s">
        <v>2066</v>
      </c>
      <c r="M5975" s="1" t="s">
        <v>2067</v>
      </c>
      <c r="N5975" s="1" t="s">
        <v>2068</v>
      </c>
      <c r="P5975" s="1" t="s">
        <v>8718</v>
      </c>
      <c r="Q5975" s="3">
        <v>0</v>
      </c>
      <c r="R5975" s="22" t="s">
        <v>2721</v>
      </c>
      <c r="S5975" s="42" t="s">
        <v>6914</v>
      </c>
      <c r="T5975" s="3" t="s">
        <v>4866</v>
      </c>
      <c r="U5975" s="45">
        <v>35</v>
      </c>
      <c r="V5975" t="s">
        <v>8717</v>
      </c>
      <c r="W5975" s="1" t="str">
        <f>HYPERLINK("http://ictvonline.org/taxonomy/p/taxonomy-history?taxnode_id=201907142","ICTVonline=201907142")</f>
        <v>ICTVonline=201907142</v>
      </c>
    </row>
    <row r="5976" spans="1:23">
      <c r="A5976" s="3">
        <v>5975</v>
      </c>
      <c r="B5976" s="1" t="s">
        <v>8705</v>
      </c>
      <c r="D5976" s="1" t="s">
        <v>8706</v>
      </c>
      <c r="F5976" s="1" t="s">
        <v>8707</v>
      </c>
      <c r="H5976" s="1" t="s">
        <v>8713</v>
      </c>
      <c r="J5976" s="1" t="s">
        <v>8715</v>
      </c>
      <c r="L5976" s="1" t="s">
        <v>2066</v>
      </c>
      <c r="M5976" s="1" t="s">
        <v>2067</v>
      </c>
      <c r="N5976" s="1" t="s">
        <v>2068</v>
      </c>
      <c r="P5976" s="1" t="s">
        <v>501</v>
      </c>
      <c r="Q5976" s="3">
        <v>0</v>
      </c>
      <c r="R5976" s="22" t="s">
        <v>2721</v>
      </c>
      <c r="S5976" s="42" t="s">
        <v>6912</v>
      </c>
      <c r="T5976" s="3" t="s">
        <v>4868</v>
      </c>
      <c r="U5976" s="45">
        <v>35</v>
      </c>
      <c r="V5976" t="s">
        <v>8710</v>
      </c>
      <c r="W5976" s="1" t="str">
        <f>HYPERLINK("http://ictvonline.org/taxonomy/p/taxonomy-history?taxnode_id=201904744","ICTVonline=201904744")</f>
        <v>ICTVonline=201904744</v>
      </c>
    </row>
    <row r="5977" spans="1:23">
      <c r="A5977" s="3">
        <v>5976</v>
      </c>
      <c r="B5977" s="1" t="s">
        <v>8705</v>
      </c>
      <c r="D5977" s="1" t="s">
        <v>8706</v>
      </c>
      <c r="F5977" s="1" t="s">
        <v>8707</v>
      </c>
      <c r="H5977" s="1" t="s">
        <v>8713</v>
      </c>
      <c r="J5977" s="1" t="s">
        <v>8715</v>
      </c>
      <c r="L5977" s="1" t="s">
        <v>2066</v>
      </c>
      <c r="M5977" s="1" t="s">
        <v>2067</v>
      </c>
      <c r="N5977" s="1" t="s">
        <v>2068</v>
      </c>
      <c r="P5977" s="1" t="s">
        <v>502</v>
      </c>
      <c r="Q5977" s="3">
        <v>0</v>
      </c>
      <c r="R5977" s="22" t="s">
        <v>2721</v>
      </c>
      <c r="S5977" s="42" t="s">
        <v>6912</v>
      </c>
      <c r="T5977" s="3" t="s">
        <v>4868</v>
      </c>
      <c r="U5977" s="45">
        <v>35</v>
      </c>
      <c r="V5977" t="s">
        <v>8710</v>
      </c>
      <c r="W5977" s="1" t="str">
        <f>HYPERLINK("http://ictvonline.org/taxonomy/p/taxonomy-history?taxnode_id=201904745","ICTVonline=201904745")</f>
        <v>ICTVonline=201904745</v>
      </c>
    </row>
    <row r="5978" spans="1:23">
      <c r="A5978" s="3">
        <v>5977</v>
      </c>
      <c r="B5978" s="1" t="s">
        <v>8705</v>
      </c>
      <c r="D5978" s="1" t="s">
        <v>8706</v>
      </c>
      <c r="F5978" s="1" t="s">
        <v>8707</v>
      </c>
      <c r="H5978" s="1" t="s">
        <v>8713</v>
      </c>
      <c r="J5978" s="1" t="s">
        <v>8715</v>
      </c>
      <c r="L5978" s="1" t="s">
        <v>2066</v>
      </c>
      <c r="M5978" s="1" t="s">
        <v>2067</v>
      </c>
      <c r="N5978" s="1" t="s">
        <v>2068</v>
      </c>
      <c r="P5978" s="1" t="s">
        <v>503</v>
      </c>
      <c r="Q5978" s="3">
        <v>0</v>
      </c>
      <c r="R5978" s="22" t="s">
        <v>2721</v>
      </c>
      <c r="S5978" s="42" t="s">
        <v>6912</v>
      </c>
      <c r="T5978" s="3" t="s">
        <v>4868</v>
      </c>
      <c r="U5978" s="45">
        <v>35</v>
      </c>
      <c r="V5978" t="s">
        <v>8710</v>
      </c>
      <c r="W5978" s="1" t="str">
        <f>HYPERLINK("http://ictvonline.org/taxonomy/p/taxonomy-history?taxnode_id=201904746","ICTVonline=201904746")</f>
        <v>ICTVonline=201904746</v>
      </c>
    </row>
    <row r="5979" spans="1:23">
      <c r="A5979" s="3">
        <v>5978</v>
      </c>
      <c r="B5979" s="1" t="s">
        <v>8705</v>
      </c>
      <c r="D5979" s="1" t="s">
        <v>8706</v>
      </c>
      <c r="F5979" s="1" t="s">
        <v>8707</v>
      </c>
      <c r="H5979" s="1" t="s">
        <v>8713</v>
      </c>
      <c r="J5979" s="1" t="s">
        <v>8715</v>
      </c>
      <c r="L5979" s="1" t="s">
        <v>2066</v>
      </c>
      <c r="M5979" s="1" t="s">
        <v>2067</v>
      </c>
      <c r="N5979" s="1" t="s">
        <v>2068</v>
      </c>
      <c r="P5979" s="1" t="s">
        <v>504</v>
      </c>
      <c r="Q5979" s="3">
        <v>0</v>
      </c>
      <c r="R5979" s="22" t="s">
        <v>2721</v>
      </c>
      <c r="S5979" s="42" t="s">
        <v>6912</v>
      </c>
      <c r="T5979" s="3" t="s">
        <v>4868</v>
      </c>
      <c r="U5979" s="45">
        <v>35</v>
      </c>
      <c r="V5979" t="s">
        <v>8710</v>
      </c>
      <c r="W5979" s="1" t="str">
        <f>HYPERLINK("http://ictvonline.org/taxonomy/p/taxonomy-history?taxnode_id=201904747","ICTVonline=201904747")</f>
        <v>ICTVonline=201904747</v>
      </c>
    </row>
    <row r="5980" spans="1:23">
      <c r="A5980" s="3">
        <v>5979</v>
      </c>
      <c r="B5980" s="1" t="s">
        <v>8705</v>
      </c>
      <c r="D5980" s="1" t="s">
        <v>8706</v>
      </c>
      <c r="F5980" s="1" t="s">
        <v>8707</v>
      </c>
      <c r="H5980" s="1" t="s">
        <v>8713</v>
      </c>
      <c r="J5980" s="1" t="s">
        <v>8715</v>
      </c>
      <c r="L5980" s="1" t="s">
        <v>2066</v>
      </c>
      <c r="M5980" s="1" t="s">
        <v>2067</v>
      </c>
      <c r="N5980" s="1" t="s">
        <v>2068</v>
      </c>
      <c r="P5980" s="1" t="s">
        <v>505</v>
      </c>
      <c r="Q5980" s="3">
        <v>0</v>
      </c>
      <c r="R5980" s="22" t="s">
        <v>2721</v>
      </c>
      <c r="S5980" s="42" t="s">
        <v>6912</v>
      </c>
      <c r="T5980" s="3" t="s">
        <v>4868</v>
      </c>
      <c r="U5980" s="45">
        <v>35</v>
      </c>
      <c r="V5980" t="s">
        <v>8710</v>
      </c>
      <c r="W5980" s="1" t="str">
        <f>HYPERLINK("http://ictvonline.org/taxonomy/p/taxonomy-history?taxnode_id=201904748","ICTVonline=201904748")</f>
        <v>ICTVonline=201904748</v>
      </c>
    </row>
    <row r="5981" spans="1:23">
      <c r="A5981" s="3">
        <v>5980</v>
      </c>
      <c r="B5981" s="1" t="s">
        <v>8705</v>
      </c>
      <c r="D5981" s="1" t="s">
        <v>8706</v>
      </c>
      <c r="F5981" s="1" t="s">
        <v>8707</v>
      </c>
      <c r="H5981" s="1" t="s">
        <v>8713</v>
      </c>
      <c r="J5981" s="1" t="s">
        <v>8715</v>
      </c>
      <c r="L5981" s="1" t="s">
        <v>2066</v>
      </c>
      <c r="M5981" s="1" t="s">
        <v>2067</v>
      </c>
      <c r="N5981" s="1" t="s">
        <v>2068</v>
      </c>
      <c r="P5981" s="1" t="s">
        <v>506</v>
      </c>
      <c r="Q5981" s="3">
        <v>0</v>
      </c>
      <c r="R5981" s="22" t="s">
        <v>2721</v>
      </c>
      <c r="S5981" s="42" t="s">
        <v>6912</v>
      </c>
      <c r="T5981" s="3" t="s">
        <v>4868</v>
      </c>
      <c r="U5981" s="45">
        <v>35</v>
      </c>
      <c r="V5981" t="s">
        <v>8710</v>
      </c>
      <c r="W5981" s="1" t="str">
        <f>HYPERLINK("http://ictvonline.org/taxonomy/p/taxonomy-history?taxnode_id=201904749","ICTVonline=201904749")</f>
        <v>ICTVonline=201904749</v>
      </c>
    </row>
    <row r="5982" spans="1:23">
      <c r="A5982" s="3">
        <v>5981</v>
      </c>
      <c r="B5982" s="1" t="s">
        <v>8705</v>
      </c>
      <c r="D5982" s="1" t="s">
        <v>8706</v>
      </c>
      <c r="F5982" s="1" t="s">
        <v>8707</v>
      </c>
      <c r="H5982" s="1" t="s">
        <v>8713</v>
      </c>
      <c r="J5982" s="1" t="s">
        <v>8715</v>
      </c>
      <c r="L5982" s="1" t="s">
        <v>2066</v>
      </c>
      <c r="M5982" s="1" t="s">
        <v>2067</v>
      </c>
      <c r="N5982" s="1" t="s">
        <v>507</v>
      </c>
      <c r="P5982" s="1" t="s">
        <v>1554</v>
      </c>
      <c r="Q5982" s="3">
        <v>0</v>
      </c>
      <c r="R5982" s="22" t="s">
        <v>2721</v>
      </c>
      <c r="S5982" s="42" t="s">
        <v>6912</v>
      </c>
      <c r="T5982" s="3" t="s">
        <v>4868</v>
      </c>
      <c r="U5982" s="45">
        <v>35</v>
      </c>
      <c r="V5982" t="s">
        <v>8710</v>
      </c>
      <c r="W5982" s="1" t="str">
        <f>HYPERLINK("http://ictvonline.org/taxonomy/p/taxonomy-history?taxnode_id=201904751","ICTVonline=201904751")</f>
        <v>ICTVonline=201904751</v>
      </c>
    </row>
    <row r="5983" spans="1:23">
      <c r="A5983" s="3">
        <v>5982</v>
      </c>
      <c r="B5983" s="1" t="s">
        <v>8705</v>
      </c>
      <c r="D5983" s="1" t="s">
        <v>8706</v>
      </c>
      <c r="F5983" s="1" t="s">
        <v>8707</v>
      </c>
      <c r="H5983" s="1" t="s">
        <v>8713</v>
      </c>
      <c r="J5983" s="1" t="s">
        <v>8715</v>
      </c>
      <c r="L5983" s="1" t="s">
        <v>2066</v>
      </c>
      <c r="M5983" s="1" t="s">
        <v>2067</v>
      </c>
      <c r="N5983" s="1" t="s">
        <v>507</v>
      </c>
      <c r="P5983" s="1" t="s">
        <v>1555</v>
      </c>
      <c r="Q5983" s="3">
        <v>0</v>
      </c>
      <c r="R5983" s="22" t="s">
        <v>2721</v>
      </c>
      <c r="S5983" s="42" t="s">
        <v>6912</v>
      </c>
      <c r="T5983" s="3" t="s">
        <v>4868</v>
      </c>
      <c r="U5983" s="45">
        <v>35</v>
      </c>
      <c r="V5983" t="s">
        <v>8710</v>
      </c>
      <c r="W5983" s="1" t="str">
        <f>HYPERLINK("http://ictvonline.org/taxonomy/p/taxonomy-history?taxnode_id=201904752","ICTVonline=201904752")</f>
        <v>ICTVonline=201904752</v>
      </c>
    </row>
    <row r="5984" spans="1:23">
      <c r="A5984" s="3">
        <v>5983</v>
      </c>
      <c r="B5984" s="1" t="s">
        <v>8705</v>
      </c>
      <c r="D5984" s="1" t="s">
        <v>8706</v>
      </c>
      <c r="F5984" s="1" t="s">
        <v>8707</v>
      </c>
      <c r="H5984" s="1" t="s">
        <v>8713</v>
      </c>
      <c r="J5984" s="1" t="s">
        <v>8715</v>
      </c>
      <c r="L5984" s="1" t="s">
        <v>2066</v>
      </c>
      <c r="M5984" s="1" t="s">
        <v>2067</v>
      </c>
      <c r="N5984" s="1" t="s">
        <v>507</v>
      </c>
      <c r="P5984" s="1" t="s">
        <v>1556</v>
      </c>
      <c r="Q5984" s="3">
        <v>1</v>
      </c>
      <c r="R5984" s="22" t="s">
        <v>2721</v>
      </c>
      <c r="S5984" s="42" t="s">
        <v>6912</v>
      </c>
      <c r="T5984" s="3" t="s">
        <v>4868</v>
      </c>
      <c r="U5984" s="45">
        <v>35</v>
      </c>
      <c r="V5984" t="s">
        <v>8710</v>
      </c>
      <c r="W5984" s="1" t="str">
        <f>HYPERLINK("http://ictvonline.org/taxonomy/p/taxonomy-history?taxnode_id=201904753","ICTVonline=201904753")</f>
        <v>ICTVonline=201904753</v>
      </c>
    </row>
    <row r="5985" spans="1:23">
      <c r="A5985" s="3">
        <v>5984</v>
      </c>
      <c r="B5985" s="1" t="s">
        <v>8705</v>
      </c>
      <c r="D5985" s="1" t="s">
        <v>8706</v>
      </c>
      <c r="F5985" s="1" t="s">
        <v>8707</v>
      </c>
      <c r="H5985" s="1" t="s">
        <v>8713</v>
      </c>
      <c r="J5985" s="1" t="s">
        <v>8715</v>
      </c>
      <c r="L5985" s="1" t="s">
        <v>2066</v>
      </c>
      <c r="M5985" s="1" t="s">
        <v>2067</v>
      </c>
      <c r="N5985" s="1" t="s">
        <v>4768</v>
      </c>
      <c r="P5985" s="1" t="s">
        <v>8719</v>
      </c>
      <c r="Q5985" s="3">
        <v>0</v>
      </c>
      <c r="R5985" s="22" t="s">
        <v>2721</v>
      </c>
      <c r="S5985" s="42" t="s">
        <v>6914</v>
      </c>
      <c r="T5985" s="3" t="s">
        <v>4866</v>
      </c>
      <c r="U5985" s="45">
        <v>35</v>
      </c>
      <c r="V5985" t="s">
        <v>8717</v>
      </c>
      <c r="W5985" s="1" t="str">
        <f>HYPERLINK("http://ictvonline.org/taxonomy/p/taxonomy-history?taxnode_id=201907143","ICTVonline=201907143")</f>
        <v>ICTVonline=201907143</v>
      </c>
    </row>
    <row r="5986" spans="1:23">
      <c r="A5986" s="3">
        <v>5985</v>
      </c>
      <c r="B5986" s="1" t="s">
        <v>8705</v>
      </c>
      <c r="D5986" s="1" t="s">
        <v>8706</v>
      </c>
      <c r="F5986" s="1" t="s">
        <v>8707</v>
      </c>
      <c r="H5986" s="1" t="s">
        <v>8713</v>
      </c>
      <c r="J5986" s="1" t="s">
        <v>8715</v>
      </c>
      <c r="L5986" s="1" t="s">
        <v>2066</v>
      </c>
      <c r="M5986" s="1" t="s">
        <v>2067</v>
      </c>
      <c r="N5986" s="1" t="s">
        <v>4768</v>
      </c>
      <c r="P5986" s="1" t="s">
        <v>4769</v>
      </c>
      <c r="Q5986" s="3">
        <v>1</v>
      </c>
      <c r="R5986" s="22" t="s">
        <v>2721</v>
      </c>
      <c r="S5986" s="42" t="s">
        <v>6912</v>
      </c>
      <c r="T5986" s="3" t="s">
        <v>4868</v>
      </c>
      <c r="U5986" s="45">
        <v>35</v>
      </c>
      <c r="V5986" t="s">
        <v>8710</v>
      </c>
      <c r="W5986" s="1" t="str">
        <f>HYPERLINK("http://ictvonline.org/taxonomy/p/taxonomy-history?taxnode_id=201904755","ICTVonline=201904755")</f>
        <v>ICTVonline=201904755</v>
      </c>
    </row>
    <row r="5987" spans="1:23">
      <c r="A5987" s="3">
        <v>5986</v>
      </c>
      <c r="B5987" s="1" t="s">
        <v>8705</v>
      </c>
      <c r="D5987" s="1" t="s">
        <v>8706</v>
      </c>
      <c r="F5987" s="1" t="s">
        <v>8707</v>
      </c>
      <c r="H5987" s="1" t="s">
        <v>8713</v>
      </c>
      <c r="J5987" s="1" t="s">
        <v>8715</v>
      </c>
      <c r="L5987" s="1" t="s">
        <v>2066</v>
      </c>
      <c r="M5987" s="1" t="s">
        <v>2067</v>
      </c>
      <c r="N5987" s="1" t="s">
        <v>1557</v>
      </c>
      <c r="P5987" s="1" t="s">
        <v>198</v>
      </c>
      <c r="Q5987" s="3">
        <v>1</v>
      </c>
      <c r="R5987" s="22" t="s">
        <v>2721</v>
      </c>
      <c r="S5987" s="42" t="s">
        <v>6912</v>
      </c>
      <c r="T5987" s="3" t="s">
        <v>4868</v>
      </c>
      <c r="U5987" s="45">
        <v>35</v>
      </c>
      <c r="V5987" t="s">
        <v>8710</v>
      </c>
      <c r="W5987" s="1" t="str">
        <f>HYPERLINK("http://ictvonline.org/taxonomy/p/taxonomy-history?taxnode_id=201904757","ICTVonline=201904757")</f>
        <v>ICTVonline=201904757</v>
      </c>
    </row>
    <row r="5988" spans="1:23">
      <c r="A5988" s="3">
        <v>5987</v>
      </c>
      <c r="B5988" s="1" t="s">
        <v>8705</v>
      </c>
      <c r="D5988" s="1" t="s">
        <v>8706</v>
      </c>
      <c r="F5988" s="1" t="s">
        <v>8707</v>
      </c>
      <c r="H5988" s="1" t="s">
        <v>8713</v>
      </c>
      <c r="J5988" s="1" t="s">
        <v>8715</v>
      </c>
      <c r="L5988" s="1" t="s">
        <v>2066</v>
      </c>
      <c r="M5988" s="1" t="s">
        <v>2067</v>
      </c>
      <c r="N5988" s="1" t="s">
        <v>199</v>
      </c>
      <c r="P5988" s="1" t="s">
        <v>200</v>
      </c>
      <c r="Q5988" s="3">
        <v>1</v>
      </c>
      <c r="R5988" s="22" t="s">
        <v>2721</v>
      </c>
      <c r="S5988" s="42" t="s">
        <v>6912</v>
      </c>
      <c r="T5988" s="3" t="s">
        <v>4868</v>
      </c>
      <c r="U5988" s="45">
        <v>35</v>
      </c>
      <c r="V5988" t="s">
        <v>8710</v>
      </c>
      <c r="W5988" s="1" t="str">
        <f>HYPERLINK("http://ictvonline.org/taxonomy/p/taxonomy-history?taxnode_id=201904759","ICTVonline=201904759")</f>
        <v>ICTVonline=201904759</v>
      </c>
    </row>
    <row r="5989" spans="1:23">
      <c r="A5989" s="3">
        <v>5988</v>
      </c>
      <c r="B5989" s="1" t="s">
        <v>8705</v>
      </c>
      <c r="D5989" s="1" t="s">
        <v>8706</v>
      </c>
      <c r="F5989" s="1" t="s">
        <v>8707</v>
      </c>
      <c r="H5989" s="1" t="s">
        <v>8713</v>
      </c>
      <c r="J5989" s="1" t="s">
        <v>8715</v>
      </c>
      <c r="L5989" s="1" t="s">
        <v>2066</v>
      </c>
      <c r="M5989" s="1" t="s">
        <v>2067</v>
      </c>
      <c r="N5989" s="1" t="s">
        <v>494</v>
      </c>
      <c r="P5989" s="1" t="s">
        <v>495</v>
      </c>
      <c r="Q5989" s="3">
        <v>0</v>
      </c>
      <c r="R5989" s="22" t="s">
        <v>2721</v>
      </c>
      <c r="S5989" s="42" t="s">
        <v>6912</v>
      </c>
      <c r="T5989" s="3" t="s">
        <v>4868</v>
      </c>
      <c r="U5989" s="45">
        <v>35</v>
      </c>
      <c r="V5989" t="s">
        <v>8710</v>
      </c>
      <c r="W5989" s="1" t="str">
        <f>HYPERLINK("http://ictvonline.org/taxonomy/p/taxonomy-history?taxnode_id=201904761","ICTVonline=201904761")</f>
        <v>ICTVonline=201904761</v>
      </c>
    </row>
    <row r="5990" spans="1:23">
      <c r="A5990" s="3">
        <v>5989</v>
      </c>
      <c r="B5990" s="1" t="s">
        <v>8705</v>
      </c>
      <c r="D5990" s="1" t="s">
        <v>8706</v>
      </c>
      <c r="F5990" s="1" t="s">
        <v>8707</v>
      </c>
      <c r="H5990" s="1" t="s">
        <v>8713</v>
      </c>
      <c r="J5990" s="1" t="s">
        <v>8715</v>
      </c>
      <c r="L5990" s="1" t="s">
        <v>2066</v>
      </c>
      <c r="M5990" s="1" t="s">
        <v>2067</v>
      </c>
      <c r="N5990" s="1" t="s">
        <v>494</v>
      </c>
      <c r="P5990" s="1" t="s">
        <v>496</v>
      </c>
      <c r="Q5990" s="3">
        <v>1</v>
      </c>
      <c r="R5990" s="22" t="s">
        <v>2721</v>
      </c>
      <c r="S5990" s="42" t="s">
        <v>6912</v>
      </c>
      <c r="T5990" s="3" t="s">
        <v>4868</v>
      </c>
      <c r="U5990" s="45">
        <v>35</v>
      </c>
      <c r="V5990" t="s">
        <v>8710</v>
      </c>
      <c r="W5990" s="1" t="str">
        <f>HYPERLINK("http://ictvonline.org/taxonomy/p/taxonomy-history?taxnode_id=201904762","ICTVonline=201904762")</f>
        <v>ICTVonline=201904762</v>
      </c>
    </row>
    <row r="5991" spans="1:23">
      <c r="A5991" s="3">
        <v>5990</v>
      </c>
      <c r="B5991" s="1" t="s">
        <v>8705</v>
      </c>
      <c r="D5991" s="1" t="s">
        <v>8706</v>
      </c>
      <c r="F5991" s="1" t="s">
        <v>8707</v>
      </c>
      <c r="H5991" s="1" t="s">
        <v>8713</v>
      </c>
      <c r="J5991" s="1" t="s">
        <v>8715</v>
      </c>
      <c r="L5991" s="1" t="s">
        <v>2066</v>
      </c>
      <c r="M5991" s="1" t="s">
        <v>2067</v>
      </c>
      <c r="N5991" s="1" t="s">
        <v>494</v>
      </c>
      <c r="P5991" s="1" t="s">
        <v>489</v>
      </c>
      <c r="Q5991" s="3">
        <v>0</v>
      </c>
      <c r="R5991" s="22" t="s">
        <v>2721</v>
      </c>
      <c r="S5991" s="42" t="s">
        <v>6912</v>
      </c>
      <c r="T5991" s="3" t="s">
        <v>4868</v>
      </c>
      <c r="U5991" s="45">
        <v>35</v>
      </c>
      <c r="V5991" t="s">
        <v>8710</v>
      </c>
      <c r="W5991" s="1" t="str">
        <f>HYPERLINK("http://ictvonline.org/taxonomy/p/taxonomy-history?taxnode_id=201904763","ICTVonline=201904763")</f>
        <v>ICTVonline=201904763</v>
      </c>
    </row>
    <row r="5992" spans="1:23">
      <c r="A5992" s="3">
        <v>5991</v>
      </c>
      <c r="B5992" s="1" t="s">
        <v>8705</v>
      </c>
      <c r="D5992" s="1" t="s">
        <v>8706</v>
      </c>
      <c r="F5992" s="1" t="s">
        <v>8707</v>
      </c>
      <c r="H5992" s="1" t="s">
        <v>8713</v>
      </c>
      <c r="J5992" s="1" t="s">
        <v>8715</v>
      </c>
      <c r="L5992" s="1" t="s">
        <v>2066</v>
      </c>
      <c r="M5992" s="1" t="s">
        <v>2067</v>
      </c>
      <c r="N5992" s="1" t="s">
        <v>494</v>
      </c>
      <c r="P5992" s="1" t="s">
        <v>490</v>
      </c>
      <c r="Q5992" s="3">
        <v>0</v>
      </c>
      <c r="R5992" s="22" t="s">
        <v>2721</v>
      </c>
      <c r="S5992" s="42" t="s">
        <v>6912</v>
      </c>
      <c r="T5992" s="3" t="s">
        <v>4868</v>
      </c>
      <c r="U5992" s="45">
        <v>35</v>
      </c>
      <c r="V5992" t="s">
        <v>8710</v>
      </c>
      <c r="W5992" s="1" t="str">
        <f>HYPERLINK("http://ictvonline.org/taxonomy/p/taxonomy-history?taxnode_id=201904764","ICTVonline=201904764")</f>
        <v>ICTVonline=201904764</v>
      </c>
    </row>
    <row r="5993" spans="1:23">
      <c r="A5993" s="3">
        <v>5992</v>
      </c>
      <c r="B5993" s="1" t="s">
        <v>8705</v>
      </c>
      <c r="D5993" s="1" t="s">
        <v>8706</v>
      </c>
      <c r="F5993" s="1" t="s">
        <v>8707</v>
      </c>
      <c r="H5993" s="1" t="s">
        <v>8713</v>
      </c>
      <c r="J5993" s="1" t="s">
        <v>8715</v>
      </c>
      <c r="L5993" s="1" t="s">
        <v>2066</v>
      </c>
      <c r="M5993" s="1" t="s">
        <v>2067</v>
      </c>
      <c r="N5993" s="1" t="s">
        <v>8720</v>
      </c>
      <c r="P5993" s="1" t="s">
        <v>8721</v>
      </c>
      <c r="Q5993" s="3">
        <v>1</v>
      </c>
      <c r="R5993" s="22" t="s">
        <v>2721</v>
      </c>
      <c r="S5993" s="42" t="s">
        <v>6914</v>
      </c>
      <c r="T5993" s="3" t="s">
        <v>4866</v>
      </c>
      <c r="U5993" s="45">
        <v>35</v>
      </c>
      <c r="V5993" t="s">
        <v>8717</v>
      </c>
      <c r="W5993" s="1" t="str">
        <f>HYPERLINK("http://ictvonline.org/taxonomy/p/taxonomy-history?taxnode_id=201907145","ICTVonline=201907145")</f>
        <v>ICTVonline=201907145</v>
      </c>
    </row>
    <row r="5994" spans="1:23">
      <c r="A5994" s="3">
        <v>5993</v>
      </c>
      <c r="B5994" s="1" t="s">
        <v>8705</v>
      </c>
      <c r="D5994" s="1" t="s">
        <v>8706</v>
      </c>
      <c r="F5994" s="1" t="s">
        <v>8707</v>
      </c>
      <c r="H5994" s="1" t="s">
        <v>8713</v>
      </c>
      <c r="J5994" s="1" t="s">
        <v>8715</v>
      </c>
      <c r="L5994" s="1" t="s">
        <v>2066</v>
      </c>
      <c r="M5994" s="1" t="s">
        <v>2067</v>
      </c>
      <c r="N5994" s="1" t="s">
        <v>8720</v>
      </c>
      <c r="P5994" s="1" t="s">
        <v>8722</v>
      </c>
      <c r="Q5994" s="3">
        <v>0</v>
      </c>
      <c r="R5994" s="22" t="s">
        <v>2721</v>
      </c>
      <c r="S5994" s="42" t="s">
        <v>6914</v>
      </c>
      <c r="T5994" s="3" t="s">
        <v>4866</v>
      </c>
      <c r="U5994" s="45">
        <v>35</v>
      </c>
      <c r="V5994" t="s">
        <v>8717</v>
      </c>
      <c r="W5994" s="1" t="str">
        <f>HYPERLINK("http://ictvonline.org/taxonomy/p/taxonomy-history?taxnode_id=201907146","ICTVonline=201907146")</f>
        <v>ICTVonline=201907146</v>
      </c>
    </row>
    <row r="5995" spans="1:23">
      <c r="A5995" s="3">
        <v>5994</v>
      </c>
      <c r="B5995" s="1" t="s">
        <v>8705</v>
      </c>
      <c r="D5995" s="1" t="s">
        <v>8706</v>
      </c>
      <c r="F5995" s="1" t="s">
        <v>8707</v>
      </c>
      <c r="H5995" s="1" t="s">
        <v>8713</v>
      </c>
      <c r="J5995" s="1" t="s">
        <v>8715</v>
      </c>
      <c r="L5995" s="1" t="s">
        <v>2066</v>
      </c>
      <c r="M5995" s="1" t="s">
        <v>2067</v>
      </c>
      <c r="N5995" s="1" t="s">
        <v>491</v>
      </c>
      <c r="P5995" s="1" t="s">
        <v>1915</v>
      </c>
      <c r="Q5995" s="3">
        <v>1</v>
      </c>
      <c r="R5995" s="22" t="s">
        <v>2721</v>
      </c>
      <c r="S5995" s="42" t="s">
        <v>6912</v>
      </c>
      <c r="T5995" s="3" t="s">
        <v>4868</v>
      </c>
      <c r="U5995" s="45">
        <v>35</v>
      </c>
      <c r="V5995" t="s">
        <v>8710</v>
      </c>
      <c r="W5995" s="1" t="str">
        <f>HYPERLINK("http://ictvonline.org/taxonomy/p/taxonomy-history?taxnode_id=201904766","ICTVonline=201904766")</f>
        <v>ICTVonline=201904766</v>
      </c>
    </row>
    <row r="5996" spans="1:23">
      <c r="A5996" s="3">
        <v>5995</v>
      </c>
      <c r="B5996" s="1" t="s">
        <v>8705</v>
      </c>
      <c r="D5996" s="1" t="s">
        <v>8706</v>
      </c>
      <c r="F5996" s="1" t="s">
        <v>8707</v>
      </c>
      <c r="H5996" s="1" t="s">
        <v>8713</v>
      </c>
      <c r="J5996" s="1" t="s">
        <v>8715</v>
      </c>
      <c r="L5996" s="1" t="s">
        <v>2066</v>
      </c>
      <c r="M5996" s="1" t="s">
        <v>2067</v>
      </c>
      <c r="N5996" s="1" t="s">
        <v>8723</v>
      </c>
      <c r="P5996" s="1" t="s">
        <v>8724</v>
      </c>
      <c r="Q5996" s="3">
        <v>1</v>
      </c>
      <c r="R5996" s="22" t="s">
        <v>2721</v>
      </c>
      <c r="S5996" s="42" t="s">
        <v>6914</v>
      </c>
      <c r="T5996" s="3" t="s">
        <v>4866</v>
      </c>
      <c r="U5996" s="45">
        <v>35</v>
      </c>
      <c r="V5996" t="s">
        <v>8717</v>
      </c>
      <c r="W5996" s="1" t="str">
        <f>HYPERLINK("http://ictvonline.org/taxonomy/p/taxonomy-history?taxnode_id=201907148","ICTVonline=201907148")</f>
        <v>ICTVonline=201907148</v>
      </c>
    </row>
    <row r="5997" spans="1:23">
      <c r="A5997" s="3">
        <v>5996</v>
      </c>
      <c r="B5997" s="1" t="s">
        <v>8705</v>
      </c>
      <c r="D5997" s="1" t="s">
        <v>8706</v>
      </c>
      <c r="F5997" s="1" t="s">
        <v>8707</v>
      </c>
      <c r="H5997" s="1" t="s">
        <v>8713</v>
      </c>
      <c r="J5997" s="1" t="s">
        <v>8715</v>
      </c>
      <c r="L5997" s="1" t="s">
        <v>2066</v>
      </c>
      <c r="M5997" s="1" t="s">
        <v>2067</v>
      </c>
      <c r="N5997" s="1" t="s">
        <v>1213</v>
      </c>
      <c r="P5997" s="1" t="s">
        <v>8725</v>
      </c>
      <c r="Q5997" s="3">
        <v>0</v>
      </c>
      <c r="R5997" s="22" t="s">
        <v>2721</v>
      </c>
      <c r="S5997" s="42" t="s">
        <v>6914</v>
      </c>
      <c r="T5997" s="3" t="s">
        <v>4866</v>
      </c>
      <c r="U5997" s="45">
        <v>35</v>
      </c>
      <c r="V5997" t="s">
        <v>8717</v>
      </c>
      <c r="W5997" s="1" t="str">
        <f>HYPERLINK("http://ictvonline.org/taxonomy/p/taxonomy-history?taxnode_id=201907149","ICTVonline=201907149")</f>
        <v>ICTVonline=201907149</v>
      </c>
    </row>
    <row r="5998" spans="1:23">
      <c r="A5998" s="3">
        <v>5997</v>
      </c>
      <c r="B5998" s="1" t="s">
        <v>8705</v>
      </c>
      <c r="D5998" s="1" t="s">
        <v>8706</v>
      </c>
      <c r="F5998" s="1" t="s">
        <v>8707</v>
      </c>
      <c r="H5998" s="1" t="s">
        <v>8713</v>
      </c>
      <c r="J5998" s="1" t="s">
        <v>8715</v>
      </c>
      <c r="L5998" s="1" t="s">
        <v>2066</v>
      </c>
      <c r="M5998" s="1" t="s">
        <v>2067</v>
      </c>
      <c r="N5998" s="1" t="s">
        <v>1213</v>
      </c>
      <c r="P5998" s="1" t="s">
        <v>8726</v>
      </c>
      <c r="Q5998" s="3">
        <v>0</v>
      </c>
      <c r="R5998" s="22" t="s">
        <v>2721</v>
      </c>
      <c r="S5998" s="42" t="s">
        <v>6914</v>
      </c>
      <c r="T5998" s="3" t="s">
        <v>4866</v>
      </c>
      <c r="U5998" s="45">
        <v>35</v>
      </c>
      <c r="V5998" t="s">
        <v>8717</v>
      </c>
      <c r="W5998" s="1" t="str">
        <f>HYPERLINK("http://ictvonline.org/taxonomy/p/taxonomy-history?taxnode_id=201907150","ICTVonline=201907150")</f>
        <v>ICTVonline=201907150</v>
      </c>
    </row>
    <row r="5999" spans="1:23">
      <c r="A5999" s="3">
        <v>5998</v>
      </c>
      <c r="B5999" s="1" t="s">
        <v>8705</v>
      </c>
      <c r="D5999" s="1" t="s">
        <v>8706</v>
      </c>
      <c r="F5999" s="1" t="s">
        <v>8707</v>
      </c>
      <c r="H5999" s="1" t="s">
        <v>8713</v>
      </c>
      <c r="J5999" s="1" t="s">
        <v>8715</v>
      </c>
      <c r="L5999" s="1" t="s">
        <v>2066</v>
      </c>
      <c r="M5999" s="1" t="s">
        <v>2067</v>
      </c>
      <c r="N5999" s="1" t="s">
        <v>1213</v>
      </c>
      <c r="P5999" s="1" t="s">
        <v>1214</v>
      </c>
      <c r="Q5999" s="3">
        <v>0</v>
      </c>
      <c r="R5999" s="22" t="s">
        <v>2721</v>
      </c>
      <c r="S5999" s="42" t="s">
        <v>6912</v>
      </c>
      <c r="T5999" s="3" t="s">
        <v>4868</v>
      </c>
      <c r="U5999" s="45">
        <v>35</v>
      </c>
      <c r="V5999" t="s">
        <v>8710</v>
      </c>
      <c r="W5999" s="1" t="str">
        <f>HYPERLINK("http://ictvonline.org/taxonomy/p/taxonomy-history?taxnode_id=201904768","ICTVonline=201904768")</f>
        <v>ICTVonline=201904768</v>
      </c>
    </row>
    <row r="6000" spans="1:23">
      <c r="A6000" s="3">
        <v>5999</v>
      </c>
      <c r="B6000" s="1" t="s">
        <v>8705</v>
      </c>
      <c r="D6000" s="1" t="s">
        <v>8706</v>
      </c>
      <c r="F6000" s="1" t="s">
        <v>8707</v>
      </c>
      <c r="H6000" s="1" t="s">
        <v>8713</v>
      </c>
      <c r="J6000" s="1" t="s">
        <v>8715</v>
      </c>
      <c r="L6000" s="1" t="s">
        <v>2066</v>
      </c>
      <c r="M6000" s="1" t="s">
        <v>2067</v>
      </c>
      <c r="N6000" s="1" t="s">
        <v>1213</v>
      </c>
      <c r="P6000" s="1" t="s">
        <v>1215</v>
      </c>
      <c r="Q6000" s="3">
        <v>0</v>
      </c>
      <c r="R6000" s="22" t="s">
        <v>2721</v>
      </c>
      <c r="S6000" s="42" t="s">
        <v>6912</v>
      </c>
      <c r="T6000" s="3" t="s">
        <v>4868</v>
      </c>
      <c r="U6000" s="45">
        <v>35</v>
      </c>
      <c r="V6000" t="s">
        <v>8710</v>
      </c>
      <c r="W6000" s="1" t="str">
        <f>HYPERLINK("http://ictvonline.org/taxonomy/p/taxonomy-history?taxnode_id=201904769","ICTVonline=201904769")</f>
        <v>ICTVonline=201904769</v>
      </c>
    </row>
    <row r="6001" spans="1:23">
      <c r="A6001" s="3">
        <v>6000</v>
      </c>
      <c r="B6001" s="1" t="s">
        <v>8705</v>
      </c>
      <c r="D6001" s="1" t="s">
        <v>8706</v>
      </c>
      <c r="F6001" s="1" t="s">
        <v>8707</v>
      </c>
      <c r="H6001" s="1" t="s">
        <v>8713</v>
      </c>
      <c r="J6001" s="1" t="s">
        <v>8715</v>
      </c>
      <c r="L6001" s="1" t="s">
        <v>2066</v>
      </c>
      <c r="M6001" s="1" t="s">
        <v>2067</v>
      </c>
      <c r="N6001" s="1" t="s">
        <v>1213</v>
      </c>
      <c r="P6001" s="1" t="s">
        <v>1216</v>
      </c>
      <c r="Q6001" s="3">
        <v>0</v>
      </c>
      <c r="R6001" s="22" t="s">
        <v>2721</v>
      </c>
      <c r="S6001" s="42" t="s">
        <v>6912</v>
      </c>
      <c r="T6001" s="3" t="s">
        <v>4868</v>
      </c>
      <c r="U6001" s="45">
        <v>35</v>
      </c>
      <c r="V6001" t="s">
        <v>8710</v>
      </c>
      <c r="W6001" s="1" t="str">
        <f>HYPERLINK("http://ictvonline.org/taxonomy/p/taxonomy-history?taxnode_id=201904770","ICTVonline=201904770")</f>
        <v>ICTVonline=201904770</v>
      </c>
    </row>
    <row r="6002" spans="1:23">
      <c r="A6002" s="3">
        <v>6001</v>
      </c>
      <c r="B6002" s="1" t="s">
        <v>8705</v>
      </c>
      <c r="D6002" s="1" t="s">
        <v>8706</v>
      </c>
      <c r="F6002" s="1" t="s">
        <v>8707</v>
      </c>
      <c r="H6002" s="1" t="s">
        <v>8713</v>
      </c>
      <c r="J6002" s="1" t="s">
        <v>8715</v>
      </c>
      <c r="L6002" s="1" t="s">
        <v>2066</v>
      </c>
      <c r="M6002" s="1" t="s">
        <v>2067</v>
      </c>
      <c r="N6002" s="1" t="s">
        <v>1213</v>
      </c>
      <c r="P6002" s="1" t="s">
        <v>1217</v>
      </c>
      <c r="Q6002" s="3">
        <v>0</v>
      </c>
      <c r="R6002" s="22" t="s">
        <v>2721</v>
      </c>
      <c r="S6002" s="42" t="s">
        <v>6912</v>
      </c>
      <c r="T6002" s="3" t="s">
        <v>4868</v>
      </c>
      <c r="U6002" s="45">
        <v>35</v>
      </c>
      <c r="V6002" t="s">
        <v>8710</v>
      </c>
      <c r="W6002" s="1" t="str">
        <f>HYPERLINK("http://ictvonline.org/taxonomy/p/taxonomy-history?taxnode_id=201904771","ICTVonline=201904771")</f>
        <v>ICTVonline=201904771</v>
      </c>
    </row>
    <row r="6003" spans="1:23">
      <c r="A6003" s="3">
        <v>6002</v>
      </c>
      <c r="B6003" s="1" t="s">
        <v>8705</v>
      </c>
      <c r="D6003" s="1" t="s">
        <v>8706</v>
      </c>
      <c r="F6003" s="1" t="s">
        <v>8707</v>
      </c>
      <c r="H6003" s="1" t="s">
        <v>8713</v>
      </c>
      <c r="J6003" s="1" t="s">
        <v>8715</v>
      </c>
      <c r="L6003" s="1" t="s">
        <v>2066</v>
      </c>
      <c r="M6003" s="1" t="s">
        <v>2067</v>
      </c>
      <c r="N6003" s="1" t="s">
        <v>1213</v>
      </c>
      <c r="P6003" s="1" t="s">
        <v>1218</v>
      </c>
      <c r="Q6003" s="3">
        <v>0</v>
      </c>
      <c r="R6003" s="22" t="s">
        <v>2721</v>
      </c>
      <c r="S6003" s="42" t="s">
        <v>6912</v>
      </c>
      <c r="T6003" s="3" t="s">
        <v>4868</v>
      </c>
      <c r="U6003" s="45">
        <v>35</v>
      </c>
      <c r="V6003" t="s">
        <v>8710</v>
      </c>
      <c r="W6003" s="1" t="str">
        <f>HYPERLINK("http://ictvonline.org/taxonomy/p/taxonomy-history?taxnode_id=201904772","ICTVonline=201904772")</f>
        <v>ICTVonline=201904772</v>
      </c>
    </row>
    <row r="6004" spans="1:23">
      <c r="A6004" s="3">
        <v>6003</v>
      </c>
      <c r="B6004" s="1" t="s">
        <v>8705</v>
      </c>
      <c r="D6004" s="1" t="s">
        <v>8706</v>
      </c>
      <c r="F6004" s="1" t="s">
        <v>8707</v>
      </c>
      <c r="H6004" s="1" t="s">
        <v>8713</v>
      </c>
      <c r="J6004" s="1" t="s">
        <v>8715</v>
      </c>
      <c r="L6004" s="1" t="s">
        <v>2066</v>
      </c>
      <c r="M6004" s="1" t="s">
        <v>2067</v>
      </c>
      <c r="N6004" s="1" t="s">
        <v>1213</v>
      </c>
      <c r="P6004" s="1" t="s">
        <v>201</v>
      </c>
      <c r="Q6004" s="3">
        <v>0</v>
      </c>
      <c r="R6004" s="22" t="s">
        <v>2721</v>
      </c>
      <c r="S6004" s="42" t="s">
        <v>6912</v>
      </c>
      <c r="T6004" s="3" t="s">
        <v>4868</v>
      </c>
      <c r="U6004" s="45">
        <v>35</v>
      </c>
      <c r="V6004" t="s">
        <v>8710</v>
      </c>
      <c r="W6004" s="1" t="str">
        <f>HYPERLINK("http://ictvonline.org/taxonomy/p/taxonomy-history?taxnode_id=201904773","ICTVonline=201904773")</f>
        <v>ICTVonline=201904773</v>
      </c>
    </row>
    <row r="6005" spans="1:23">
      <c r="A6005" s="3">
        <v>6004</v>
      </c>
      <c r="B6005" s="1" t="s">
        <v>8705</v>
      </c>
      <c r="D6005" s="1" t="s">
        <v>8706</v>
      </c>
      <c r="F6005" s="1" t="s">
        <v>8707</v>
      </c>
      <c r="H6005" s="1" t="s">
        <v>8713</v>
      </c>
      <c r="J6005" s="1" t="s">
        <v>8715</v>
      </c>
      <c r="L6005" s="1" t="s">
        <v>2066</v>
      </c>
      <c r="M6005" s="1" t="s">
        <v>2067</v>
      </c>
      <c r="N6005" s="1" t="s">
        <v>1213</v>
      </c>
      <c r="P6005" s="1" t="s">
        <v>1219</v>
      </c>
      <c r="Q6005" s="3">
        <v>0</v>
      </c>
      <c r="R6005" s="22" t="s">
        <v>2721</v>
      </c>
      <c r="S6005" s="42" t="s">
        <v>6912</v>
      </c>
      <c r="T6005" s="3" t="s">
        <v>4868</v>
      </c>
      <c r="U6005" s="45">
        <v>35</v>
      </c>
      <c r="V6005" t="s">
        <v>8710</v>
      </c>
      <c r="W6005" s="1" t="str">
        <f>HYPERLINK("http://ictvonline.org/taxonomy/p/taxonomy-history?taxnode_id=201904774","ICTVonline=201904774")</f>
        <v>ICTVonline=201904774</v>
      </c>
    </row>
    <row r="6006" spans="1:23">
      <c r="A6006" s="3">
        <v>6005</v>
      </c>
      <c r="B6006" s="1" t="s">
        <v>8705</v>
      </c>
      <c r="D6006" s="1" t="s">
        <v>8706</v>
      </c>
      <c r="F6006" s="1" t="s">
        <v>8707</v>
      </c>
      <c r="H6006" s="1" t="s">
        <v>8713</v>
      </c>
      <c r="J6006" s="1" t="s">
        <v>8715</v>
      </c>
      <c r="L6006" s="1" t="s">
        <v>2066</v>
      </c>
      <c r="M6006" s="1" t="s">
        <v>2067</v>
      </c>
      <c r="N6006" s="1" t="s">
        <v>1213</v>
      </c>
      <c r="P6006" s="1" t="s">
        <v>1220</v>
      </c>
      <c r="Q6006" s="3">
        <v>1</v>
      </c>
      <c r="R6006" s="22" t="s">
        <v>2721</v>
      </c>
      <c r="S6006" s="42" t="s">
        <v>6912</v>
      </c>
      <c r="T6006" s="3" t="s">
        <v>4868</v>
      </c>
      <c r="U6006" s="45">
        <v>35</v>
      </c>
      <c r="V6006" t="s">
        <v>8710</v>
      </c>
      <c r="W6006" s="1" t="str">
        <f>HYPERLINK("http://ictvonline.org/taxonomy/p/taxonomy-history?taxnode_id=201904775","ICTVonline=201904775")</f>
        <v>ICTVonline=201904775</v>
      </c>
    </row>
    <row r="6007" spans="1:23">
      <c r="A6007" s="3">
        <v>6006</v>
      </c>
      <c r="B6007" s="1" t="s">
        <v>8705</v>
      </c>
      <c r="D6007" s="1" t="s">
        <v>8706</v>
      </c>
      <c r="F6007" s="1" t="s">
        <v>8707</v>
      </c>
      <c r="H6007" s="1" t="s">
        <v>8713</v>
      </c>
      <c r="J6007" s="1" t="s">
        <v>8715</v>
      </c>
      <c r="L6007" s="1" t="s">
        <v>2066</v>
      </c>
      <c r="M6007" s="1" t="s">
        <v>2067</v>
      </c>
      <c r="N6007" s="1" t="s">
        <v>1213</v>
      </c>
      <c r="P6007" s="1" t="s">
        <v>1221</v>
      </c>
      <c r="Q6007" s="3">
        <v>0</v>
      </c>
      <c r="R6007" s="22" t="s">
        <v>2721</v>
      </c>
      <c r="S6007" s="42" t="s">
        <v>6912</v>
      </c>
      <c r="T6007" s="3" t="s">
        <v>4868</v>
      </c>
      <c r="U6007" s="45">
        <v>35</v>
      </c>
      <c r="V6007" t="s">
        <v>8710</v>
      </c>
      <c r="W6007" s="1" t="str">
        <f>HYPERLINK("http://ictvonline.org/taxonomy/p/taxonomy-history?taxnode_id=201904776","ICTVonline=201904776")</f>
        <v>ICTVonline=201904776</v>
      </c>
    </row>
    <row r="6008" spans="1:23">
      <c r="A6008" s="3">
        <v>6007</v>
      </c>
      <c r="B6008" s="1" t="s">
        <v>8705</v>
      </c>
      <c r="D6008" s="1" t="s">
        <v>8706</v>
      </c>
      <c r="F6008" s="1" t="s">
        <v>8707</v>
      </c>
      <c r="H6008" s="1" t="s">
        <v>8713</v>
      </c>
      <c r="J6008" s="1" t="s">
        <v>8715</v>
      </c>
      <c r="L6008" s="1" t="s">
        <v>2066</v>
      </c>
      <c r="M6008" s="1" t="s">
        <v>2067</v>
      </c>
      <c r="N6008" s="1" t="s">
        <v>1213</v>
      </c>
      <c r="P6008" s="1" t="s">
        <v>1222</v>
      </c>
      <c r="Q6008" s="3">
        <v>0</v>
      </c>
      <c r="R6008" s="22" t="s">
        <v>2721</v>
      </c>
      <c r="S6008" s="42" t="s">
        <v>6912</v>
      </c>
      <c r="T6008" s="3" t="s">
        <v>4868</v>
      </c>
      <c r="U6008" s="45">
        <v>35</v>
      </c>
      <c r="V6008" t="s">
        <v>8710</v>
      </c>
      <c r="W6008" s="1" t="str">
        <f>HYPERLINK("http://ictvonline.org/taxonomy/p/taxonomy-history?taxnode_id=201904777","ICTVonline=201904777")</f>
        <v>ICTVonline=201904777</v>
      </c>
    </row>
    <row r="6009" spans="1:23">
      <c r="A6009" s="3">
        <v>6008</v>
      </c>
      <c r="B6009" s="1" t="s">
        <v>8705</v>
      </c>
      <c r="D6009" s="1" t="s">
        <v>8706</v>
      </c>
      <c r="F6009" s="1" t="s">
        <v>8707</v>
      </c>
      <c r="H6009" s="1" t="s">
        <v>8713</v>
      </c>
      <c r="J6009" s="1" t="s">
        <v>8715</v>
      </c>
      <c r="L6009" s="1" t="s">
        <v>2066</v>
      </c>
      <c r="M6009" s="1" t="s">
        <v>2067</v>
      </c>
      <c r="N6009" s="1" t="s">
        <v>8727</v>
      </c>
      <c r="P6009" s="1" t="s">
        <v>8728</v>
      </c>
      <c r="Q6009" s="3">
        <v>1</v>
      </c>
      <c r="R6009" s="22" t="s">
        <v>2721</v>
      </c>
      <c r="S6009" s="42" t="s">
        <v>6914</v>
      </c>
      <c r="T6009" s="3" t="s">
        <v>4866</v>
      </c>
      <c r="U6009" s="45">
        <v>35</v>
      </c>
      <c r="V6009" t="s">
        <v>8717</v>
      </c>
      <c r="W6009" s="1" t="str">
        <f>HYPERLINK("http://ictvonline.org/taxonomy/p/taxonomy-history?taxnode_id=201907152","ICTVonline=201907152")</f>
        <v>ICTVonline=201907152</v>
      </c>
    </row>
    <row r="6010" spans="1:23">
      <c r="A6010" s="3">
        <v>6009</v>
      </c>
      <c r="B6010" s="1" t="s">
        <v>8705</v>
      </c>
      <c r="D6010" s="1" t="s">
        <v>8706</v>
      </c>
      <c r="F6010" s="1" t="s">
        <v>8707</v>
      </c>
      <c r="H6010" s="1" t="s">
        <v>8713</v>
      </c>
      <c r="J6010" s="1" t="s">
        <v>8715</v>
      </c>
      <c r="L6010" s="1" t="s">
        <v>2066</v>
      </c>
      <c r="M6010" s="1" t="s">
        <v>2067</v>
      </c>
      <c r="N6010" s="1" t="s">
        <v>1223</v>
      </c>
      <c r="P6010" s="1" t="s">
        <v>1224</v>
      </c>
      <c r="Q6010" s="3">
        <v>0</v>
      </c>
      <c r="R6010" s="22" t="s">
        <v>2721</v>
      </c>
      <c r="S6010" s="42" t="s">
        <v>6912</v>
      </c>
      <c r="T6010" s="3" t="s">
        <v>4868</v>
      </c>
      <c r="U6010" s="45">
        <v>35</v>
      </c>
      <c r="V6010" t="s">
        <v>8710</v>
      </c>
      <c r="W6010" s="1" t="str">
        <f>HYPERLINK("http://ictvonline.org/taxonomy/p/taxonomy-history?taxnode_id=201904779","ICTVonline=201904779")</f>
        <v>ICTVonline=201904779</v>
      </c>
    </row>
    <row r="6011" spans="1:23">
      <c r="A6011" s="3">
        <v>6010</v>
      </c>
      <c r="B6011" s="1" t="s">
        <v>8705</v>
      </c>
      <c r="D6011" s="1" t="s">
        <v>8706</v>
      </c>
      <c r="F6011" s="1" t="s">
        <v>8707</v>
      </c>
      <c r="H6011" s="1" t="s">
        <v>8713</v>
      </c>
      <c r="J6011" s="1" t="s">
        <v>8715</v>
      </c>
      <c r="L6011" s="1" t="s">
        <v>2066</v>
      </c>
      <c r="M6011" s="1" t="s">
        <v>2067</v>
      </c>
      <c r="N6011" s="1" t="s">
        <v>1223</v>
      </c>
      <c r="P6011" s="1" t="s">
        <v>8729</v>
      </c>
      <c r="Q6011" s="3">
        <v>0</v>
      </c>
      <c r="R6011" s="22" t="s">
        <v>2721</v>
      </c>
      <c r="S6011" s="42" t="s">
        <v>6914</v>
      </c>
      <c r="T6011" s="3" t="s">
        <v>4866</v>
      </c>
      <c r="U6011" s="45">
        <v>35</v>
      </c>
      <c r="V6011" t="s">
        <v>8717</v>
      </c>
      <c r="W6011" s="1" t="str">
        <f>HYPERLINK("http://ictvonline.org/taxonomy/p/taxonomy-history?taxnode_id=201907153","ICTVonline=201907153")</f>
        <v>ICTVonline=201907153</v>
      </c>
    </row>
    <row r="6012" spans="1:23">
      <c r="A6012" s="3">
        <v>6011</v>
      </c>
      <c r="B6012" s="1" t="s">
        <v>8705</v>
      </c>
      <c r="D6012" s="1" t="s">
        <v>8706</v>
      </c>
      <c r="F6012" s="1" t="s">
        <v>8707</v>
      </c>
      <c r="H6012" s="1" t="s">
        <v>8713</v>
      </c>
      <c r="J6012" s="1" t="s">
        <v>8715</v>
      </c>
      <c r="L6012" s="1" t="s">
        <v>2066</v>
      </c>
      <c r="M6012" s="1" t="s">
        <v>2067</v>
      </c>
      <c r="N6012" s="1" t="s">
        <v>1223</v>
      </c>
      <c r="P6012" s="1" t="s">
        <v>1225</v>
      </c>
      <c r="Q6012" s="3">
        <v>1</v>
      </c>
      <c r="R6012" s="22" t="s">
        <v>2721</v>
      </c>
      <c r="S6012" s="42" t="s">
        <v>6912</v>
      </c>
      <c r="T6012" s="3" t="s">
        <v>4868</v>
      </c>
      <c r="U6012" s="45">
        <v>35</v>
      </c>
      <c r="V6012" t="s">
        <v>8710</v>
      </c>
      <c r="W6012" s="1" t="str">
        <f>HYPERLINK("http://ictvonline.org/taxonomy/p/taxonomy-history?taxnode_id=201904780","ICTVonline=201904780")</f>
        <v>ICTVonline=201904780</v>
      </c>
    </row>
    <row r="6013" spans="1:23">
      <c r="A6013" s="3">
        <v>6012</v>
      </c>
      <c r="B6013" s="1" t="s">
        <v>8705</v>
      </c>
      <c r="D6013" s="1" t="s">
        <v>8706</v>
      </c>
      <c r="F6013" s="1" t="s">
        <v>8707</v>
      </c>
      <c r="H6013" s="1" t="s">
        <v>8713</v>
      </c>
      <c r="J6013" s="1" t="s">
        <v>8715</v>
      </c>
      <c r="L6013" s="1" t="s">
        <v>2066</v>
      </c>
      <c r="M6013" s="1" t="s">
        <v>2067</v>
      </c>
      <c r="N6013" s="1" t="s">
        <v>1223</v>
      </c>
      <c r="P6013" s="1" t="s">
        <v>1226</v>
      </c>
      <c r="Q6013" s="3">
        <v>0</v>
      </c>
      <c r="R6013" s="22" t="s">
        <v>2721</v>
      </c>
      <c r="S6013" s="42" t="s">
        <v>6912</v>
      </c>
      <c r="T6013" s="3" t="s">
        <v>4868</v>
      </c>
      <c r="U6013" s="45">
        <v>35</v>
      </c>
      <c r="V6013" t="s">
        <v>8710</v>
      </c>
      <c r="W6013" s="1" t="str">
        <f>HYPERLINK("http://ictvonline.org/taxonomy/p/taxonomy-history?taxnode_id=201904782","ICTVonline=201904782")</f>
        <v>ICTVonline=201904782</v>
      </c>
    </row>
    <row r="6014" spans="1:23">
      <c r="A6014" s="3">
        <v>6013</v>
      </c>
      <c r="B6014" s="1" t="s">
        <v>8705</v>
      </c>
      <c r="D6014" s="1" t="s">
        <v>8706</v>
      </c>
      <c r="F6014" s="1" t="s">
        <v>8707</v>
      </c>
      <c r="H6014" s="1" t="s">
        <v>8713</v>
      </c>
      <c r="J6014" s="1" t="s">
        <v>8715</v>
      </c>
      <c r="L6014" s="1" t="s">
        <v>2066</v>
      </c>
      <c r="M6014" s="1" t="s">
        <v>2067</v>
      </c>
      <c r="N6014" s="1" t="s">
        <v>1223</v>
      </c>
      <c r="P6014" s="1" t="s">
        <v>8730</v>
      </c>
      <c r="Q6014" s="3">
        <v>0</v>
      </c>
      <c r="R6014" s="22" t="s">
        <v>2721</v>
      </c>
      <c r="S6014" s="42" t="s">
        <v>6914</v>
      </c>
      <c r="T6014" s="3" t="s">
        <v>4867</v>
      </c>
      <c r="U6014" s="45">
        <v>35</v>
      </c>
      <c r="V6014" t="s">
        <v>8717</v>
      </c>
      <c r="W6014" s="1" t="str">
        <f>HYPERLINK("http://ictvonline.org/taxonomy/p/taxonomy-history?taxnode_id=201904781","ICTVonline=201904781")</f>
        <v>ICTVonline=201904781</v>
      </c>
    </row>
    <row r="6015" spans="1:23">
      <c r="A6015" s="3">
        <v>6014</v>
      </c>
      <c r="B6015" s="1" t="s">
        <v>8705</v>
      </c>
      <c r="D6015" s="1" t="s">
        <v>8706</v>
      </c>
      <c r="F6015" s="1" t="s">
        <v>8707</v>
      </c>
      <c r="H6015" s="1" t="s">
        <v>8713</v>
      </c>
      <c r="J6015" s="1" t="s">
        <v>8715</v>
      </c>
      <c r="L6015" s="1" t="s">
        <v>2066</v>
      </c>
      <c r="M6015" s="1" t="s">
        <v>2067</v>
      </c>
      <c r="N6015" s="1" t="s">
        <v>8731</v>
      </c>
      <c r="P6015" s="1" t="s">
        <v>4770</v>
      </c>
      <c r="Q6015" s="3">
        <v>1</v>
      </c>
      <c r="R6015" s="22" t="s">
        <v>2721</v>
      </c>
      <c r="S6015" s="42" t="s">
        <v>6914</v>
      </c>
      <c r="T6015" s="3" t="s">
        <v>4871</v>
      </c>
      <c r="U6015" s="45">
        <v>35</v>
      </c>
      <c r="V6015" t="s">
        <v>8717</v>
      </c>
      <c r="W6015" s="1" t="str">
        <f>HYPERLINK("http://ictvonline.org/taxonomy/p/taxonomy-history?taxnode_id=201904786","ICTVonline=201904786")</f>
        <v>ICTVonline=201904786</v>
      </c>
    </row>
    <row r="6016" spans="1:23">
      <c r="A6016" s="3">
        <v>6015</v>
      </c>
      <c r="B6016" s="1" t="s">
        <v>8705</v>
      </c>
      <c r="D6016" s="1" t="s">
        <v>8706</v>
      </c>
      <c r="F6016" s="1" t="s">
        <v>8707</v>
      </c>
      <c r="H6016" s="1" t="s">
        <v>8713</v>
      </c>
      <c r="J6016" s="1" t="s">
        <v>8715</v>
      </c>
      <c r="L6016" s="1" t="s">
        <v>2066</v>
      </c>
      <c r="M6016" s="1" t="s">
        <v>2067</v>
      </c>
      <c r="N6016" s="1" t="s">
        <v>8732</v>
      </c>
      <c r="P6016" s="1" t="s">
        <v>8733</v>
      </c>
      <c r="Q6016" s="3">
        <v>1</v>
      </c>
      <c r="R6016" s="22" t="s">
        <v>2721</v>
      </c>
      <c r="S6016" s="42" t="s">
        <v>6914</v>
      </c>
      <c r="T6016" s="3" t="s">
        <v>4866</v>
      </c>
      <c r="U6016" s="45">
        <v>35</v>
      </c>
      <c r="V6016" t="s">
        <v>8717</v>
      </c>
      <c r="W6016" s="1" t="str">
        <f>HYPERLINK("http://ictvonline.org/taxonomy/p/taxonomy-history?taxnode_id=201907156","ICTVonline=201907156")</f>
        <v>ICTVonline=201907156</v>
      </c>
    </row>
    <row r="6017" spans="1:23">
      <c r="A6017" s="3">
        <v>6016</v>
      </c>
      <c r="B6017" s="1" t="s">
        <v>8705</v>
      </c>
      <c r="D6017" s="1" t="s">
        <v>8706</v>
      </c>
      <c r="F6017" s="1" t="s">
        <v>8707</v>
      </c>
      <c r="H6017" s="1" t="s">
        <v>8713</v>
      </c>
      <c r="J6017" s="1" t="s">
        <v>8715</v>
      </c>
      <c r="L6017" s="1" t="s">
        <v>2066</v>
      </c>
      <c r="M6017" s="1" t="s">
        <v>2067</v>
      </c>
      <c r="N6017" s="1" t="s">
        <v>8734</v>
      </c>
      <c r="P6017" s="1" t="s">
        <v>202</v>
      </c>
      <c r="Q6017" s="3">
        <v>1</v>
      </c>
      <c r="R6017" s="22" t="s">
        <v>2721</v>
      </c>
      <c r="S6017" s="42" t="s">
        <v>6914</v>
      </c>
      <c r="T6017" s="3" t="s">
        <v>4871</v>
      </c>
      <c r="U6017" s="45">
        <v>35</v>
      </c>
      <c r="V6017" t="s">
        <v>8717</v>
      </c>
      <c r="W6017" s="1" t="str">
        <f>HYPERLINK("http://ictvonline.org/taxonomy/p/taxonomy-history?taxnode_id=201904787","ICTVonline=201904787")</f>
        <v>ICTVonline=201904787</v>
      </c>
    </row>
    <row r="6018" spans="1:23">
      <c r="A6018" s="3">
        <v>6017</v>
      </c>
      <c r="B6018" s="1" t="s">
        <v>8705</v>
      </c>
      <c r="D6018" s="1" t="s">
        <v>8706</v>
      </c>
      <c r="F6018" s="1" t="s">
        <v>8707</v>
      </c>
      <c r="H6018" s="1" t="s">
        <v>8713</v>
      </c>
      <c r="J6018" s="1" t="s">
        <v>8715</v>
      </c>
      <c r="L6018" s="1" t="s">
        <v>2066</v>
      </c>
      <c r="M6018" s="1" t="s">
        <v>2067</v>
      </c>
      <c r="N6018" s="1" t="s">
        <v>1227</v>
      </c>
      <c r="P6018" s="1" t="s">
        <v>1228</v>
      </c>
      <c r="Q6018" s="3">
        <v>1</v>
      </c>
      <c r="R6018" s="22" t="s">
        <v>2721</v>
      </c>
      <c r="S6018" s="42" t="s">
        <v>6912</v>
      </c>
      <c r="T6018" s="3" t="s">
        <v>4868</v>
      </c>
      <c r="U6018" s="45">
        <v>35</v>
      </c>
      <c r="V6018" t="s">
        <v>8710</v>
      </c>
      <c r="W6018" s="1" t="str">
        <f>HYPERLINK("http://ictvonline.org/taxonomy/p/taxonomy-history?taxnode_id=201904784","ICTVonline=201904784")</f>
        <v>ICTVonline=201904784</v>
      </c>
    </row>
    <row r="6019" spans="1:23">
      <c r="A6019" s="3">
        <v>6018</v>
      </c>
      <c r="B6019" s="1" t="s">
        <v>8705</v>
      </c>
      <c r="D6019" s="1" t="s">
        <v>8706</v>
      </c>
      <c r="F6019" s="1" t="s">
        <v>8707</v>
      </c>
      <c r="H6019" s="1" t="s">
        <v>8713</v>
      </c>
      <c r="J6019" s="1" t="s">
        <v>8715</v>
      </c>
      <c r="L6019" s="1" t="s">
        <v>2066</v>
      </c>
      <c r="M6019" s="1" t="s">
        <v>2067</v>
      </c>
      <c r="N6019" s="1" t="s">
        <v>8735</v>
      </c>
      <c r="P6019" s="1" t="s">
        <v>8736</v>
      </c>
      <c r="Q6019" s="3">
        <v>1</v>
      </c>
      <c r="R6019" s="22" t="s">
        <v>2721</v>
      </c>
      <c r="S6019" s="42" t="s">
        <v>6914</v>
      </c>
      <c r="T6019" s="3" t="s">
        <v>4866</v>
      </c>
      <c r="U6019" s="45">
        <v>35</v>
      </c>
      <c r="V6019" t="s">
        <v>8717</v>
      </c>
      <c r="W6019" s="1" t="str">
        <f>HYPERLINK("http://ictvonline.org/taxonomy/p/taxonomy-history?taxnode_id=201907159","ICTVonline=201907159")</f>
        <v>ICTVonline=201907159</v>
      </c>
    </row>
    <row r="6020" spans="1:23">
      <c r="A6020" s="3">
        <v>6019</v>
      </c>
      <c r="B6020" s="1" t="s">
        <v>8705</v>
      </c>
      <c r="D6020" s="1" t="s">
        <v>8706</v>
      </c>
      <c r="F6020" s="1" t="s">
        <v>8707</v>
      </c>
      <c r="H6020" s="1" t="s">
        <v>8713</v>
      </c>
      <c r="J6020" s="1" t="s">
        <v>8715</v>
      </c>
      <c r="L6020" s="1" t="s">
        <v>2066</v>
      </c>
      <c r="M6020" s="1" t="s">
        <v>2067</v>
      </c>
      <c r="N6020" s="1" t="s">
        <v>765</v>
      </c>
      <c r="P6020" s="1" t="s">
        <v>766</v>
      </c>
      <c r="Q6020" s="3">
        <v>0</v>
      </c>
      <c r="R6020" s="22" t="s">
        <v>2721</v>
      </c>
      <c r="S6020" s="42" t="s">
        <v>6912</v>
      </c>
      <c r="T6020" s="3" t="s">
        <v>4868</v>
      </c>
      <c r="U6020" s="45">
        <v>35</v>
      </c>
      <c r="V6020" t="s">
        <v>8710</v>
      </c>
      <c r="W6020" s="1" t="str">
        <f>HYPERLINK("http://ictvonline.org/taxonomy/p/taxonomy-history?taxnode_id=201904789","ICTVonline=201904789")</f>
        <v>ICTVonline=201904789</v>
      </c>
    </row>
    <row r="6021" spans="1:23">
      <c r="A6021" s="3">
        <v>6020</v>
      </c>
      <c r="B6021" s="1" t="s">
        <v>8705</v>
      </c>
      <c r="D6021" s="1" t="s">
        <v>8706</v>
      </c>
      <c r="F6021" s="1" t="s">
        <v>8707</v>
      </c>
      <c r="H6021" s="1" t="s">
        <v>8713</v>
      </c>
      <c r="J6021" s="1" t="s">
        <v>8715</v>
      </c>
      <c r="L6021" s="1" t="s">
        <v>2066</v>
      </c>
      <c r="M6021" s="1" t="s">
        <v>2067</v>
      </c>
      <c r="N6021" s="1" t="s">
        <v>765</v>
      </c>
      <c r="P6021" s="1" t="s">
        <v>764</v>
      </c>
      <c r="Q6021" s="3">
        <v>1</v>
      </c>
      <c r="R6021" s="22" t="s">
        <v>2721</v>
      </c>
      <c r="S6021" s="42" t="s">
        <v>6912</v>
      </c>
      <c r="T6021" s="3" t="s">
        <v>4868</v>
      </c>
      <c r="U6021" s="45">
        <v>35</v>
      </c>
      <c r="V6021" t="s">
        <v>8710</v>
      </c>
      <c r="W6021" s="1" t="str">
        <f>HYPERLINK("http://ictvonline.org/taxonomy/p/taxonomy-history?taxnode_id=201904790","ICTVonline=201904790")</f>
        <v>ICTVonline=201904790</v>
      </c>
    </row>
    <row r="6022" spans="1:23">
      <c r="A6022" s="3">
        <v>6021</v>
      </c>
      <c r="B6022" s="1" t="s">
        <v>8705</v>
      </c>
      <c r="D6022" s="1" t="s">
        <v>8706</v>
      </c>
      <c r="F6022" s="1" t="s">
        <v>8707</v>
      </c>
      <c r="H6022" s="1" t="s">
        <v>8713</v>
      </c>
      <c r="J6022" s="1" t="s">
        <v>8715</v>
      </c>
      <c r="L6022" s="1" t="s">
        <v>2066</v>
      </c>
      <c r="M6022" s="1" t="s">
        <v>767</v>
      </c>
      <c r="N6022" s="1" t="s">
        <v>1793</v>
      </c>
      <c r="P6022" s="1" t="s">
        <v>662</v>
      </c>
      <c r="Q6022" s="3">
        <v>0</v>
      </c>
      <c r="R6022" s="22" t="s">
        <v>2721</v>
      </c>
      <c r="S6022" s="42" t="s">
        <v>6912</v>
      </c>
      <c r="T6022" s="3" t="s">
        <v>4868</v>
      </c>
      <c r="U6022" s="45">
        <v>35</v>
      </c>
      <c r="V6022" t="s">
        <v>8710</v>
      </c>
      <c r="W6022" s="1" t="str">
        <f>HYPERLINK("http://ictvonline.org/taxonomy/p/taxonomy-history?taxnode_id=201904793","ICTVonline=201904793")</f>
        <v>ICTVonline=201904793</v>
      </c>
    </row>
    <row r="6023" spans="1:23">
      <c r="A6023" s="3">
        <v>6022</v>
      </c>
      <c r="B6023" s="1" t="s">
        <v>8705</v>
      </c>
      <c r="D6023" s="1" t="s">
        <v>8706</v>
      </c>
      <c r="F6023" s="1" t="s">
        <v>8707</v>
      </c>
      <c r="H6023" s="1" t="s">
        <v>8713</v>
      </c>
      <c r="J6023" s="1" t="s">
        <v>8715</v>
      </c>
      <c r="L6023" s="1" t="s">
        <v>2066</v>
      </c>
      <c r="M6023" s="1" t="s">
        <v>767</v>
      </c>
      <c r="N6023" s="1" t="s">
        <v>1793</v>
      </c>
      <c r="P6023" s="1" t="s">
        <v>663</v>
      </c>
      <c r="Q6023" s="3">
        <v>0</v>
      </c>
      <c r="R6023" s="22" t="s">
        <v>2721</v>
      </c>
      <c r="S6023" s="42" t="s">
        <v>6912</v>
      </c>
      <c r="T6023" s="3" t="s">
        <v>4868</v>
      </c>
      <c r="U6023" s="45">
        <v>35</v>
      </c>
      <c r="V6023" t="s">
        <v>8710</v>
      </c>
      <c r="W6023" s="1" t="str">
        <f>HYPERLINK("http://ictvonline.org/taxonomy/p/taxonomy-history?taxnode_id=201904794","ICTVonline=201904794")</f>
        <v>ICTVonline=201904794</v>
      </c>
    </row>
    <row r="6024" spans="1:23">
      <c r="A6024" s="3">
        <v>6023</v>
      </c>
      <c r="B6024" s="1" t="s">
        <v>8705</v>
      </c>
      <c r="D6024" s="1" t="s">
        <v>8706</v>
      </c>
      <c r="F6024" s="1" t="s">
        <v>8707</v>
      </c>
      <c r="H6024" s="1" t="s">
        <v>8713</v>
      </c>
      <c r="J6024" s="1" t="s">
        <v>8715</v>
      </c>
      <c r="L6024" s="1" t="s">
        <v>2066</v>
      </c>
      <c r="M6024" s="1" t="s">
        <v>767</v>
      </c>
      <c r="N6024" s="1" t="s">
        <v>1793</v>
      </c>
      <c r="P6024" s="1" t="s">
        <v>2683</v>
      </c>
      <c r="Q6024" s="3">
        <v>0</v>
      </c>
      <c r="R6024" s="22" t="s">
        <v>2721</v>
      </c>
      <c r="S6024" s="42" t="s">
        <v>6912</v>
      </c>
      <c r="T6024" s="3" t="s">
        <v>4868</v>
      </c>
      <c r="U6024" s="45">
        <v>35</v>
      </c>
      <c r="V6024" t="s">
        <v>8710</v>
      </c>
      <c r="W6024" s="1" t="str">
        <f>HYPERLINK("http://ictvonline.org/taxonomy/p/taxonomy-history?taxnode_id=201904795","ICTVonline=201904795")</f>
        <v>ICTVonline=201904795</v>
      </c>
    </row>
    <row r="6025" spans="1:23">
      <c r="A6025" s="3">
        <v>6024</v>
      </c>
      <c r="B6025" s="1" t="s">
        <v>8705</v>
      </c>
      <c r="D6025" s="1" t="s">
        <v>8706</v>
      </c>
      <c r="F6025" s="1" t="s">
        <v>8707</v>
      </c>
      <c r="H6025" s="1" t="s">
        <v>8713</v>
      </c>
      <c r="J6025" s="1" t="s">
        <v>8715</v>
      </c>
      <c r="L6025" s="1" t="s">
        <v>2066</v>
      </c>
      <c r="M6025" s="1" t="s">
        <v>767</v>
      </c>
      <c r="N6025" s="1" t="s">
        <v>1793</v>
      </c>
      <c r="P6025" s="1" t="s">
        <v>1794</v>
      </c>
      <c r="Q6025" s="3">
        <v>0</v>
      </c>
      <c r="R6025" s="22" t="s">
        <v>2721</v>
      </c>
      <c r="S6025" s="42" t="s">
        <v>6912</v>
      </c>
      <c r="T6025" s="3" t="s">
        <v>4868</v>
      </c>
      <c r="U6025" s="45">
        <v>35</v>
      </c>
      <c r="V6025" t="s">
        <v>8710</v>
      </c>
      <c r="W6025" s="1" t="str">
        <f>HYPERLINK("http://ictvonline.org/taxonomy/p/taxonomy-history?taxnode_id=201904796","ICTVonline=201904796")</f>
        <v>ICTVonline=201904796</v>
      </c>
    </row>
    <row r="6026" spans="1:23">
      <c r="A6026" s="3">
        <v>6025</v>
      </c>
      <c r="B6026" s="1" t="s">
        <v>8705</v>
      </c>
      <c r="D6026" s="1" t="s">
        <v>8706</v>
      </c>
      <c r="F6026" s="1" t="s">
        <v>8707</v>
      </c>
      <c r="H6026" s="1" t="s">
        <v>8713</v>
      </c>
      <c r="J6026" s="1" t="s">
        <v>8715</v>
      </c>
      <c r="L6026" s="1" t="s">
        <v>2066</v>
      </c>
      <c r="M6026" s="1" t="s">
        <v>767</v>
      </c>
      <c r="N6026" s="1" t="s">
        <v>1793</v>
      </c>
      <c r="P6026" s="1" t="s">
        <v>2684</v>
      </c>
      <c r="Q6026" s="3">
        <v>0</v>
      </c>
      <c r="R6026" s="22" t="s">
        <v>2721</v>
      </c>
      <c r="S6026" s="42" t="s">
        <v>6912</v>
      </c>
      <c r="T6026" s="3" t="s">
        <v>4868</v>
      </c>
      <c r="U6026" s="45">
        <v>35</v>
      </c>
      <c r="V6026" t="s">
        <v>8710</v>
      </c>
      <c r="W6026" s="1" t="str">
        <f>HYPERLINK("http://ictvonline.org/taxonomy/p/taxonomy-history?taxnode_id=201904797","ICTVonline=201904797")</f>
        <v>ICTVonline=201904797</v>
      </c>
    </row>
    <row r="6027" spans="1:23">
      <c r="A6027" s="3">
        <v>6026</v>
      </c>
      <c r="B6027" s="1" t="s">
        <v>8705</v>
      </c>
      <c r="D6027" s="1" t="s">
        <v>8706</v>
      </c>
      <c r="F6027" s="1" t="s">
        <v>8707</v>
      </c>
      <c r="H6027" s="1" t="s">
        <v>8713</v>
      </c>
      <c r="J6027" s="1" t="s">
        <v>8715</v>
      </c>
      <c r="L6027" s="1" t="s">
        <v>2066</v>
      </c>
      <c r="M6027" s="1" t="s">
        <v>767</v>
      </c>
      <c r="N6027" s="1" t="s">
        <v>1793</v>
      </c>
      <c r="P6027" s="1" t="s">
        <v>1795</v>
      </c>
      <c r="Q6027" s="3">
        <v>0</v>
      </c>
      <c r="R6027" s="22" t="s">
        <v>2721</v>
      </c>
      <c r="S6027" s="42" t="s">
        <v>6912</v>
      </c>
      <c r="T6027" s="3" t="s">
        <v>4868</v>
      </c>
      <c r="U6027" s="45">
        <v>35</v>
      </c>
      <c r="V6027" t="s">
        <v>8710</v>
      </c>
      <c r="W6027" s="1" t="str">
        <f>HYPERLINK("http://ictvonline.org/taxonomy/p/taxonomy-history?taxnode_id=201904798","ICTVonline=201904798")</f>
        <v>ICTVonline=201904798</v>
      </c>
    </row>
    <row r="6028" spans="1:23">
      <c r="A6028" s="3">
        <v>6027</v>
      </c>
      <c r="B6028" s="1" t="s">
        <v>8705</v>
      </c>
      <c r="D6028" s="1" t="s">
        <v>8706</v>
      </c>
      <c r="F6028" s="1" t="s">
        <v>8707</v>
      </c>
      <c r="H6028" s="1" t="s">
        <v>8713</v>
      </c>
      <c r="J6028" s="1" t="s">
        <v>8715</v>
      </c>
      <c r="L6028" s="1" t="s">
        <v>2066</v>
      </c>
      <c r="M6028" s="1" t="s">
        <v>767</v>
      </c>
      <c r="N6028" s="1" t="s">
        <v>1793</v>
      </c>
      <c r="P6028" s="1" t="s">
        <v>669</v>
      </c>
      <c r="Q6028" s="3">
        <v>1</v>
      </c>
      <c r="R6028" s="22" t="s">
        <v>2721</v>
      </c>
      <c r="S6028" s="42" t="s">
        <v>6912</v>
      </c>
      <c r="T6028" s="3" t="s">
        <v>4868</v>
      </c>
      <c r="U6028" s="45">
        <v>35</v>
      </c>
      <c r="V6028" t="s">
        <v>8710</v>
      </c>
      <c r="W6028" s="1" t="str">
        <f>HYPERLINK("http://ictvonline.org/taxonomy/p/taxonomy-history?taxnode_id=201904799","ICTVonline=201904799")</f>
        <v>ICTVonline=201904799</v>
      </c>
    </row>
    <row r="6029" spans="1:23">
      <c r="A6029" s="3">
        <v>6028</v>
      </c>
      <c r="B6029" s="1" t="s">
        <v>8705</v>
      </c>
      <c r="D6029" s="1" t="s">
        <v>8706</v>
      </c>
      <c r="F6029" s="1" t="s">
        <v>8707</v>
      </c>
      <c r="H6029" s="1" t="s">
        <v>8713</v>
      </c>
      <c r="J6029" s="1" t="s">
        <v>8715</v>
      </c>
      <c r="L6029" s="1" t="s">
        <v>2066</v>
      </c>
      <c r="M6029" s="1" t="s">
        <v>767</v>
      </c>
      <c r="N6029" s="1" t="s">
        <v>670</v>
      </c>
      <c r="P6029" s="1" t="s">
        <v>2685</v>
      </c>
      <c r="Q6029" s="3">
        <v>0</v>
      </c>
      <c r="R6029" s="22" t="s">
        <v>2721</v>
      </c>
      <c r="S6029" s="42" t="s">
        <v>6912</v>
      </c>
      <c r="T6029" s="3" t="s">
        <v>4868</v>
      </c>
      <c r="U6029" s="45">
        <v>35</v>
      </c>
      <c r="V6029" t="s">
        <v>8710</v>
      </c>
      <c r="W6029" s="1" t="str">
        <f>HYPERLINK("http://ictvonline.org/taxonomy/p/taxonomy-history?taxnode_id=201904801","ICTVonline=201904801")</f>
        <v>ICTVonline=201904801</v>
      </c>
    </row>
    <row r="6030" spans="1:23">
      <c r="A6030" s="3">
        <v>6029</v>
      </c>
      <c r="B6030" s="1" t="s">
        <v>8705</v>
      </c>
      <c r="D6030" s="1" t="s">
        <v>8706</v>
      </c>
      <c r="F6030" s="1" t="s">
        <v>8707</v>
      </c>
      <c r="H6030" s="1" t="s">
        <v>8713</v>
      </c>
      <c r="J6030" s="1" t="s">
        <v>8715</v>
      </c>
      <c r="L6030" s="1" t="s">
        <v>2066</v>
      </c>
      <c r="M6030" s="1" t="s">
        <v>767</v>
      </c>
      <c r="N6030" s="1" t="s">
        <v>670</v>
      </c>
      <c r="P6030" s="1" t="s">
        <v>2686</v>
      </c>
      <c r="Q6030" s="3">
        <v>0</v>
      </c>
      <c r="R6030" s="22" t="s">
        <v>2721</v>
      </c>
      <c r="S6030" s="42" t="s">
        <v>6912</v>
      </c>
      <c r="T6030" s="3" t="s">
        <v>4868</v>
      </c>
      <c r="U6030" s="45">
        <v>35</v>
      </c>
      <c r="V6030" t="s">
        <v>8710</v>
      </c>
      <c r="W6030" s="1" t="str">
        <f>HYPERLINK("http://ictvonline.org/taxonomy/p/taxonomy-history?taxnode_id=201904802","ICTVonline=201904802")</f>
        <v>ICTVonline=201904802</v>
      </c>
    </row>
    <row r="6031" spans="1:23">
      <c r="A6031" s="3">
        <v>6030</v>
      </c>
      <c r="B6031" s="1" t="s">
        <v>8705</v>
      </c>
      <c r="D6031" s="1" t="s">
        <v>8706</v>
      </c>
      <c r="F6031" s="1" t="s">
        <v>8707</v>
      </c>
      <c r="H6031" s="1" t="s">
        <v>8713</v>
      </c>
      <c r="J6031" s="1" t="s">
        <v>8715</v>
      </c>
      <c r="L6031" s="1" t="s">
        <v>2066</v>
      </c>
      <c r="M6031" s="1" t="s">
        <v>767</v>
      </c>
      <c r="N6031" s="1" t="s">
        <v>670</v>
      </c>
      <c r="P6031" s="1" t="s">
        <v>2687</v>
      </c>
      <c r="Q6031" s="3">
        <v>1</v>
      </c>
      <c r="R6031" s="22" t="s">
        <v>2721</v>
      </c>
      <c r="S6031" s="42" t="s">
        <v>6912</v>
      </c>
      <c r="T6031" s="3" t="s">
        <v>4868</v>
      </c>
      <c r="U6031" s="45">
        <v>35</v>
      </c>
      <c r="V6031" t="s">
        <v>8710</v>
      </c>
      <c r="W6031" s="1" t="str">
        <f>HYPERLINK("http://ictvonline.org/taxonomy/p/taxonomy-history?taxnode_id=201904803","ICTVonline=201904803")</f>
        <v>ICTVonline=201904803</v>
      </c>
    </row>
    <row r="6032" spans="1:23">
      <c r="A6032" s="3">
        <v>6031</v>
      </c>
      <c r="B6032" s="1" t="s">
        <v>8705</v>
      </c>
      <c r="D6032" s="1" t="s">
        <v>8706</v>
      </c>
      <c r="F6032" s="1" t="s">
        <v>8707</v>
      </c>
      <c r="H6032" s="1" t="s">
        <v>8713</v>
      </c>
      <c r="J6032" s="1" t="s">
        <v>8715</v>
      </c>
      <c r="L6032" s="1" t="s">
        <v>2066</v>
      </c>
      <c r="M6032" s="1" t="s">
        <v>767</v>
      </c>
      <c r="N6032" s="1" t="s">
        <v>670</v>
      </c>
      <c r="P6032" s="1" t="s">
        <v>2688</v>
      </c>
      <c r="Q6032" s="3">
        <v>0</v>
      </c>
      <c r="R6032" s="22" t="s">
        <v>2721</v>
      </c>
      <c r="S6032" s="42" t="s">
        <v>6912</v>
      </c>
      <c r="T6032" s="3" t="s">
        <v>4868</v>
      </c>
      <c r="U6032" s="45">
        <v>35</v>
      </c>
      <c r="V6032" t="s">
        <v>8710</v>
      </c>
      <c r="W6032" s="1" t="str">
        <f>HYPERLINK("http://ictvonline.org/taxonomy/p/taxonomy-history?taxnode_id=201904804","ICTVonline=201904804")</f>
        <v>ICTVonline=201904804</v>
      </c>
    </row>
    <row r="6033" spans="1:23">
      <c r="A6033" s="3">
        <v>6032</v>
      </c>
      <c r="B6033" s="1" t="s">
        <v>8705</v>
      </c>
      <c r="D6033" s="1" t="s">
        <v>8706</v>
      </c>
      <c r="F6033" s="1" t="s">
        <v>8707</v>
      </c>
      <c r="H6033" s="1" t="s">
        <v>8713</v>
      </c>
      <c r="J6033" s="1" t="s">
        <v>8715</v>
      </c>
      <c r="L6033" s="1" t="s">
        <v>2066</v>
      </c>
      <c r="M6033" s="1" t="s">
        <v>767</v>
      </c>
      <c r="N6033" s="1" t="s">
        <v>670</v>
      </c>
      <c r="P6033" s="1" t="s">
        <v>2689</v>
      </c>
      <c r="Q6033" s="3">
        <v>0</v>
      </c>
      <c r="R6033" s="22" t="s">
        <v>2721</v>
      </c>
      <c r="S6033" s="42" t="s">
        <v>6912</v>
      </c>
      <c r="T6033" s="3" t="s">
        <v>4868</v>
      </c>
      <c r="U6033" s="45">
        <v>35</v>
      </c>
      <c r="V6033" t="s">
        <v>8710</v>
      </c>
      <c r="W6033" s="1" t="str">
        <f>HYPERLINK("http://ictvonline.org/taxonomy/p/taxonomy-history?taxnode_id=201904805","ICTVonline=201904805")</f>
        <v>ICTVonline=201904805</v>
      </c>
    </row>
    <row r="6034" spans="1:23">
      <c r="A6034" s="3">
        <v>6033</v>
      </c>
      <c r="B6034" s="1" t="s">
        <v>8705</v>
      </c>
      <c r="D6034" s="1" t="s">
        <v>8706</v>
      </c>
      <c r="F6034" s="1" t="s">
        <v>8707</v>
      </c>
      <c r="H6034" s="1" t="s">
        <v>8713</v>
      </c>
      <c r="J6034" s="1" t="s">
        <v>8715</v>
      </c>
      <c r="L6034" s="1" t="s">
        <v>2066</v>
      </c>
      <c r="M6034" s="1" t="s">
        <v>767</v>
      </c>
      <c r="N6034" s="1" t="s">
        <v>670</v>
      </c>
      <c r="P6034" s="1" t="s">
        <v>2690</v>
      </c>
      <c r="Q6034" s="3">
        <v>0</v>
      </c>
      <c r="R6034" s="22" t="s">
        <v>2721</v>
      </c>
      <c r="S6034" s="42" t="s">
        <v>6912</v>
      </c>
      <c r="T6034" s="3" t="s">
        <v>4868</v>
      </c>
      <c r="U6034" s="45">
        <v>35</v>
      </c>
      <c r="V6034" t="s">
        <v>8710</v>
      </c>
      <c r="W6034" s="1" t="str">
        <f>HYPERLINK("http://ictvonline.org/taxonomy/p/taxonomy-history?taxnode_id=201904806","ICTVonline=201904806")</f>
        <v>ICTVonline=201904806</v>
      </c>
    </row>
    <row r="6035" spans="1:23">
      <c r="A6035" s="3">
        <v>6034</v>
      </c>
      <c r="B6035" s="1" t="s">
        <v>8705</v>
      </c>
      <c r="D6035" s="1" t="s">
        <v>8706</v>
      </c>
      <c r="F6035" s="1" t="s">
        <v>8707</v>
      </c>
      <c r="H6035" s="1" t="s">
        <v>8713</v>
      </c>
      <c r="J6035" s="1" t="s">
        <v>8715</v>
      </c>
      <c r="L6035" s="1" t="s">
        <v>2066</v>
      </c>
      <c r="M6035" s="1" t="s">
        <v>767</v>
      </c>
      <c r="N6035" s="1" t="s">
        <v>670</v>
      </c>
      <c r="P6035" s="1" t="s">
        <v>2691</v>
      </c>
      <c r="Q6035" s="3">
        <v>0</v>
      </c>
      <c r="R6035" s="22" t="s">
        <v>2721</v>
      </c>
      <c r="S6035" s="42" t="s">
        <v>6912</v>
      </c>
      <c r="T6035" s="3" t="s">
        <v>4868</v>
      </c>
      <c r="U6035" s="45">
        <v>35</v>
      </c>
      <c r="V6035" t="s">
        <v>8710</v>
      </c>
      <c r="W6035" s="1" t="str">
        <f>HYPERLINK("http://ictvonline.org/taxonomy/p/taxonomy-history?taxnode_id=201904807","ICTVonline=201904807")</f>
        <v>ICTVonline=201904807</v>
      </c>
    </row>
    <row r="6036" spans="1:23">
      <c r="A6036" s="3">
        <v>6035</v>
      </c>
      <c r="B6036" s="1" t="s">
        <v>8705</v>
      </c>
      <c r="D6036" s="1" t="s">
        <v>8706</v>
      </c>
      <c r="F6036" s="1" t="s">
        <v>8707</v>
      </c>
      <c r="H6036" s="1" t="s">
        <v>8713</v>
      </c>
      <c r="J6036" s="1" t="s">
        <v>8715</v>
      </c>
      <c r="L6036" s="1" t="s">
        <v>2066</v>
      </c>
      <c r="M6036" s="1" t="s">
        <v>767</v>
      </c>
      <c r="N6036" s="1" t="s">
        <v>670</v>
      </c>
      <c r="P6036" s="1" t="s">
        <v>2692</v>
      </c>
      <c r="Q6036" s="3">
        <v>0</v>
      </c>
      <c r="R6036" s="22" t="s">
        <v>2721</v>
      </c>
      <c r="S6036" s="42" t="s">
        <v>6912</v>
      </c>
      <c r="T6036" s="3" t="s">
        <v>4868</v>
      </c>
      <c r="U6036" s="45">
        <v>35</v>
      </c>
      <c r="V6036" t="s">
        <v>8710</v>
      </c>
      <c r="W6036" s="1" t="str">
        <f>HYPERLINK("http://ictvonline.org/taxonomy/p/taxonomy-history?taxnode_id=201904808","ICTVonline=201904808")</f>
        <v>ICTVonline=201904808</v>
      </c>
    </row>
    <row r="6037" spans="1:23">
      <c r="A6037" s="3">
        <v>6036</v>
      </c>
      <c r="B6037" s="1" t="s">
        <v>8705</v>
      </c>
      <c r="D6037" s="1" t="s">
        <v>8706</v>
      </c>
      <c r="F6037" s="1" t="s">
        <v>8707</v>
      </c>
      <c r="H6037" s="1" t="s">
        <v>8713</v>
      </c>
      <c r="J6037" s="1" t="s">
        <v>8715</v>
      </c>
      <c r="L6037" s="1" t="s">
        <v>2066</v>
      </c>
      <c r="M6037" s="1" t="s">
        <v>767</v>
      </c>
      <c r="N6037" s="1" t="s">
        <v>670</v>
      </c>
      <c r="P6037" s="1" t="s">
        <v>2693</v>
      </c>
      <c r="Q6037" s="3">
        <v>0</v>
      </c>
      <c r="R6037" s="22" t="s">
        <v>2721</v>
      </c>
      <c r="S6037" s="42" t="s">
        <v>6912</v>
      </c>
      <c r="T6037" s="3" t="s">
        <v>4868</v>
      </c>
      <c r="U6037" s="45">
        <v>35</v>
      </c>
      <c r="V6037" t="s">
        <v>8710</v>
      </c>
      <c r="W6037" s="1" t="str">
        <f>HYPERLINK("http://ictvonline.org/taxonomy/p/taxonomy-history?taxnode_id=201904809","ICTVonline=201904809")</f>
        <v>ICTVonline=201904809</v>
      </c>
    </row>
    <row r="6038" spans="1:23">
      <c r="A6038" s="3">
        <v>6037</v>
      </c>
      <c r="B6038" s="1" t="s">
        <v>8705</v>
      </c>
      <c r="D6038" s="1" t="s">
        <v>8706</v>
      </c>
      <c r="F6038" s="1" t="s">
        <v>8707</v>
      </c>
      <c r="H6038" s="1" t="s">
        <v>8713</v>
      </c>
      <c r="J6038" s="1" t="s">
        <v>8715</v>
      </c>
      <c r="L6038" s="1" t="s">
        <v>2066</v>
      </c>
      <c r="M6038" s="1" t="s">
        <v>767</v>
      </c>
      <c r="N6038" s="1" t="s">
        <v>670</v>
      </c>
      <c r="P6038" s="1" t="s">
        <v>2694</v>
      </c>
      <c r="Q6038" s="3">
        <v>0</v>
      </c>
      <c r="R6038" s="22" t="s">
        <v>2721</v>
      </c>
      <c r="S6038" s="42" t="s">
        <v>6912</v>
      </c>
      <c r="T6038" s="3" t="s">
        <v>4868</v>
      </c>
      <c r="U6038" s="45">
        <v>35</v>
      </c>
      <c r="V6038" t="s">
        <v>8710</v>
      </c>
      <c r="W6038" s="1" t="str">
        <f>HYPERLINK("http://ictvonline.org/taxonomy/p/taxonomy-history?taxnode_id=201904810","ICTVonline=201904810")</f>
        <v>ICTVonline=201904810</v>
      </c>
    </row>
    <row r="6039" spans="1:23">
      <c r="A6039" s="3">
        <v>6038</v>
      </c>
      <c r="B6039" s="1" t="s">
        <v>8705</v>
      </c>
      <c r="D6039" s="1" t="s">
        <v>8706</v>
      </c>
      <c r="F6039" s="1" t="s">
        <v>8707</v>
      </c>
      <c r="H6039" s="1" t="s">
        <v>8713</v>
      </c>
      <c r="J6039" s="1" t="s">
        <v>8715</v>
      </c>
      <c r="L6039" s="1" t="s">
        <v>2066</v>
      </c>
      <c r="M6039" s="1" t="s">
        <v>767</v>
      </c>
      <c r="N6039" s="1" t="s">
        <v>670</v>
      </c>
      <c r="P6039" s="1" t="s">
        <v>2695</v>
      </c>
      <c r="Q6039" s="3">
        <v>0</v>
      </c>
      <c r="R6039" s="22" t="s">
        <v>2721</v>
      </c>
      <c r="S6039" s="42" t="s">
        <v>6912</v>
      </c>
      <c r="T6039" s="3" t="s">
        <v>4868</v>
      </c>
      <c r="U6039" s="45">
        <v>35</v>
      </c>
      <c r="V6039" t="s">
        <v>8710</v>
      </c>
      <c r="W6039" s="1" t="str">
        <f>HYPERLINK("http://ictvonline.org/taxonomy/p/taxonomy-history?taxnode_id=201904811","ICTVonline=201904811")</f>
        <v>ICTVonline=201904811</v>
      </c>
    </row>
    <row r="6040" spans="1:23">
      <c r="A6040" s="3">
        <v>6039</v>
      </c>
      <c r="B6040" s="1" t="s">
        <v>8705</v>
      </c>
      <c r="D6040" s="1" t="s">
        <v>8706</v>
      </c>
      <c r="F6040" s="1" t="s">
        <v>8707</v>
      </c>
      <c r="H6040" s="1" t="s">
        <v>8713</v>
      </c>
      <c r="J6040" s="1" t="s">
        <v>8715</v>
      </c>
      <c r="L6040" s="1" t="s">
        <v>2066</v>
      </c>
      <c r="M6040" s="1" t="s">
        <v>767</v>
      </c>
      <c r="N6040" s="1" t="s">
        <v>670</v>
      </c>
      <c r="P6040" s="1" t="s">
        <v>2696</v>
      </c>
      <c r="Q6040" s="3">
        <v>0</v>
      </c>
      <c r="R6040" s="22" t="s">
        <v>2721</v>
      </c>
      <c r="S6040" s="42" t="s">
        <v>6912</v>
      </c>
      <c r="T6040" s="3" t="s">
        <v>4868</v>
      </c>
      <c r="U6040" s="45">
        <v>35</v>
      </c>
      <c r="V6040" t="s">
        <v>8710</v>
      </c>
      <c r="W6040" s="1" t="str">
        <f>HYPERLINK("http://ictvonline.org/taxonomy/p/taxonomy-history?taxnode_id=201904812","ICTVonline=201904812")</f>
        <v>ICTVonline=201904812</v>
      </c>
    </row>
    <row r="6041" spans="1:23">
      <c r="A6041" s="3">
        <v>6040</v>
      </c>
      <c r="B6041" s="1" t="s">
        <v>8705</v>
      </c>
      <c r="D6041" s="1" t="s">
        <v>8706</v>
      </c>
      <c r="F6041" s="1" t="s">
        <v>8707</v>
      </c>
      <c r="H6041" s="1" t="s">
        <v>8713</v>
      </c>
      <c r="J6041" s="1" t="s">
        <v>8715</v>
      </c>
      <c r="L6041" s="1" t="s">
        <v>2066</v>
      </c>
      <c r="M6041" s="1" t="s">
        <v>767</v>
      </c>
      <c r="N6041" s="1" t="s">
        <v>670</v>
      </c>
      <c r="P6041" s="1" t="s">
        <v>2697</v>
      </c>
      <c r="Q6041" s="3">
        <v>0</v>
      </c>
      <c r="R6041" s="22" t="s">
        <v>2721</v>
      </c>
      <c r="S6041" s="42" t="s">
        <v>6912</v>
      </c>
      <c r="T6041" s="3" t="s">
        <v>4868</v>
      </c>
      <c r="U6041" s="45">
        <v>35</v>
      </c>
      <c r="V6041" t="s">
        <v>8710</v>
      </c>
      <c r="W6041" s="1" t="str">
        <f>HYPERLINK("http://ictvonline.org/taxonomy/p/taxonomy-history?taxnode_id=201904813","ICTVonline=201904813")</f>
        <v>ICTVonline=201904813</v>
      </c>
    </row>
    <row r="6042" spans="1:23">
      <c r="A6042" s="3">
        <v>6041</v>
      </c>
      <c r="B6042" s="1" t="s">
        <v>8705</v>
      </c>
      <c r="D6042" s="1" t="s">
        <v>8706</v>
      </c>
      <c r="F6042" s="1" t="s">
        <v>8707</v>
      </c>
      <c r="H6042" s="1" t="s">
        <v>8713</v>
      </c>
      <c r="J6042" s="1" t="s">
        <v>8715</v>
      </c>
      <c r="L6042" s="1" t="s">
        <v>2066</v>
      </c>
      <c r="M6042" s="1" t="s">
        <v>767</v>
      </c>
      <c r="N6042" s="1" t="s">
        <v>670</v>
      </c>
      <c r="P6042" s="1" t="s">
        <v>2698</v>
      </c>
      <c r="Q6042" s="3">
        <v>0</v>
      </c>
      <c r="R6042" s="22" t="s">
        <v>2721</v>
      </c>
      <c r="S6042" s="42" t="s">
        <v>6912</v>
      </c>
      <c r="T6042" s="3" t="s">
        <v>4868</v>
      </c>
      <c r="U6042" s="45">
        <v>35</v>
      </c>
      <c r="V6042" t="s">
        <v>8710</v>
      </c>
      <c r="W6042" s="1" t="str">
        <f>HYPERLINK("http://ictvonline.org/taxonomy/p/taxonomy-history?taxnode_id=201904814","ICTVonline=201904814")</f>
        <v>ICTVonline=201904814</v>
      </c>
    </row>
    <row r="6043" spans="1:23">
      <c r="A6043" s="3">
        <v>6042</v>
      </c>
      <c r="B6043" s="1" t="s">
        <v>8705</v>
      </c>
      <c r="D6043" s="1" t="s">
        <v>8706</v>
      </c>
      <c r="F6043" s="1" t="s">
        <v>8707</v>
      </c>
      <c r="H6043" s="1" t="s">
        <v>8713</v>
      </c>
      <c r="J6043" s="1" t="s">
        <v>8715</v>
      </c>
      <c r="L6043" s="1" t="s">
        <v>2066</v>
      </c>
      <c r="M6043" s="1" t="s">
        <v>767</v>
      </c>
      <c r="N6043" s="1" t="s">
        <v>670</v>
      </c>
      <c r="P6043" s="1" t="s">
        <v>2699</v>
      </c>
      <c r="Q6043" s="3">
        <v>0</v>
      </c>
      <c r="R6043" s="22" t="s">
        <v>2721</v>
      </c>
      <c r="S6043" s="42" t="s">
        <v>6912</v>
      </c>
      <c r="T6043" s="3" t="s">
        <v>4868</v>
      </c>
      <c r="U6043" s="45">
        <v>35</v>
      </c>
      <c r="V6043" t="s">
        <v>8710</v>
      </c>
      <c r="W6043" s="1" t="str">
        <f>HYPERLINK("http://ictvonline.org/taxonomy/p/taxonomy-history?taxnode_id=201904815","ICTVonline=201904815")</f>
        <v>ICTVonline=201904815</v>
      </c>
    </row>
    <row r="6044" spans="1:23">
      <c r="A6044" s="3">
        <v>6043</v>
      </c>
      <c r="B6044" s="1" t="s">
        <v>8705</v>
      </c>
      <c r="D6044" s="1" t="s">
        <v>8706</v>
      </c>
      <c r="F6044" s="1" t="s">
        <v>8707</v>
      </c>
      <c r="H6044" s="1" t="s">
        <v>8713</v>
      </c>
      <c r="J6044" s="1" t="s">
        <v>8715</v>
      </c>
      <c r="L6044" s="1" t="s">
        <v>2066</v>
      </c>
      <c r="M6044" s="1" t="s">
        <v>767</v>
      </c>
      <c r="N6044" s="1" t="s">
        <v>670</v>
      </c>
      <c r="P6044" s="1" t="s">
        <v>2700</v>
      </c>
      <c r="Q6044" s="3">
        <v>0</v>
      </c>
      <c r="R6044" s="22" t="s">
        <v>2721</v>
      </c>
      <c r="S6044" s="42" t="s">
        <v>6912</v>
      </c>
      <c r="T6044" s="3" t="s">
        <v>4868</v>
      </c>
      <c r="U6044" s="45">
        <v>35</v>
      </c>
      <c r="V6044" t="s">
        <v>8710</v>
      </c>
      <c r="W6044" s="1" t="str">
        <f>HYPERLINK("http://ictvonline.org/taxonomy/p/taxonomy-history?taxnode_id=201904816","ICTVonline=201904816")</f>
        <v>ICTVonline=201904816</v>
      </c>
    </row>
    <row r="6045" spans="1:23">
      <c r="A6045" s="3">
        <v>6044</v>
      </c>
      <c r="B6045" s="1" t="s">
        <v>8705</v>
      </c>
      <c r="D6045" s="1" t="s">
        <v>8706</v>
      </c>
      <c r="F6045" s="1" t="s">
        <v>8707</v>
      </c>
      <c r="H6045" s="1" t="s">
        <v>8713</v>
      </c>
      <c r="J6045" s="1" t="s">
        <v>8715</v>
      </c>
      <c r="L6045" s="1" t="s">
        <v>2066</v>
      </c>
      <c r="M6045" s="1" t="s">
        <v>767</v>
      </c>
      <c r="N6045" s="1" t="s">
        <v>8737</v>
      </c>
      <c r="P6045" s="1" t="s">
        <v>5511</v>
      </c>
      <c r="Q6045" s="3">
        <v>1</v>
      </c>
      <c r="R6045" s="22" t="s">
        <v>2721</v>
      </c>
      <c r="S6045" s="42" t="s">
        <v>6914</v>
      </c>
      <c r="T6045" s="3" t="s">
        <v>4871</v>
      </c>
      <c r="U6045" s="45">
        <v>35</v>
      </c>
      <c r="V6045" t="s">
        <v>8717</v>
      </c>
      <c r="W6045" s="1" t="str">
        <f>HYPERLINK("http://ictvonline.org/taxonomy/p/taxonomy-history?taxnode_id=201904826","ICTVonline=201904826")</f>
        <v>ICTVonline=201904826</v>
      </c>
    </row>
    <row r="6046" spans="1:23">
      <c r="A6046" s="3">
        <v>6045</v>
      </c>
      <c r="B6046" s="1" t="s">
        <v>8705</v>
      </c>
      <c r="D6046" s="1" t="s">
        <v>8706</v>
      </c>
      <c r="F6046" s="1" t="s">
        <v>8707</v>
      </c>
      <c r="H6046" s="1" t="s">
        <v>8713</v>
      </c>
      <c r="J6046" s="1" t="s">
        <v>8715</v>
      </c>
      <c r="L6046" s="1" t="s">
        <v>2066</v>
      </c>
      <c r="M6046" s="1" t="s">
        <v>767</v>
      </c>
      <c r="N6046" s="1" t="s">
        <v>1536</v>
      </c>
      <c r="P6046" s="1" t="s">
        <v>1537</v>
      </c>
      <c r="Q6046" s="3">
        <v>0</v>
      </c>
      <c r="R6046" s="22" t="s">
        <v>2721</v>
      </c>
      <c r="S6046" s="42" t="s">
        <v>6912</v>
      </c>
      <c r="T6046" s="3" t="s">
        <v>4868</v>
      </c>
      <c r="U6046" s="45">
        <v>35</v>
      </c>
      <c r="V6046" t="s">
        <v>8710</v>
      </c>
      <c r="W6046" s="1" t="str">
        <f>HYPERLINK("http://ictvonline.org/taxonomy/p/taxonomy-history?taxnode_id=201904818","ICTVonline=201904818")</f>
        <v>ICTVonline=201904818</v>
      </c>
    </row>
    <row r="6047" spans="1:23">
      <c r="A6047" s="3">
        <v>6046</v>
      </c>
      <c r="B6047" s="1" t="s">
        <v>8705</v>
      </c>
      <c r="D6047" s="1" t="s">
        <v>8706</v>
      </c>
      <c r="F6047" s="1" t="s">
        <v>8707</v>
      </c>
      <c r="H6047" s="1" t="s">
        <v>8713</v>
      </c>
      <c r="J6047" s="1" t="s">
        <v>8715</v>
      </c>
      <c r="L6047" s="1" t="s">
        <v>2066</v>
      </c>
      <c r="M6047" s="1" t="s">
        <v>767</v>
      </c>
      <c r="N6047" s="1" t="s">
        <v>1536</v>
      </c>
      <c r="P6047" s="1" t="s">
        <v>1810</v>
      </c>
      <c r="Q6047" s="3">
        <v>0</v>
      </c>
      <c r="R6047" s="22" t="s">
        <v>2721</v>
      </c>
      <c r="S6047" s="42" t="s">
        <v>6912</v>
      </c>
      <c r="T6047" s="3" t="s">
        <v>4868</v>
      </c>
      <c r="U6047" s="45">
        <v>35</v>
      </c>
      <c r="V6047" t="s">
        <v>8710</v>
      </c>
      <c r="W6047" s="1" t="str">
        <f>HYPERLINK("http://ictvonline.org/taxonomy/p/taxonomy-history?taxnode_id=201904819","ICTVonline=201904819")</f>
        <v>ICTVonline=201904819</v>
      </c>
    </row>
    <row r="6048" spans="1:23">
      <c r="A6048" s="3">
        <v>6047</v>
      </c>
      <c r="B6048" s="1" t="s">
        <v>8705</v>
      </c>
      <c r="D6048" s="1" t="s">
        <v>8706</v>
      </c>
      <c r="F6048" s="1" t="s">
        <v>8707</v>
      </c>
      <c r="H6048" s="1" t="s">
        <v>8713</v>
      </c>
      <c r="J6048" s="1" t="s">
        <v>8715</v>
      </c>
      <c r="L6048" s="1" t="s">
        <v>2066</v>
      </c>
      <c r="M6048" s="1" t="s">
        <v>767</v>
      </c>
      <c r="N6048" s="1" t="s">
        <v>1536</v>
      </c>
      <c r="P6048" s="1" t="s">
        <v>2008</v>
      </c>
      <c r="Q6048" s="3">
        <v>0</v>
      </c>
      <c r="R6048" s="22" t="s">
        <v>2721</v>
      </c>
      <c r="S6048" s="42" t="s">
        <v>6912</v>
      </c>
      <c r="T6048" s="3" t="s">
        <v>4868</v>
      </c>
      <c r="U6048" s="45">
        <v>35</v>
      </c>
      <c r="V6048" t="s">
        <v>8710</v>
      </c>
      <c r="W6048" s="1" t="str">
        <f>HYPERLINK("http://ictvonline.org/taxonomy/p/taxonomy-history?taxnode_id=201904820","ICTVonline=201904820")</f>
        <v>ICTVonline=201904820</v>
      </c>
    </row>
    <row r="6049" spans="1:23">
      <c r="A6049" s="3">
        <v>6048</v>
      </c>
      <c r="B6049" s="1" t="s">
        <v>8705</v>
      </c>
      <c r="D6049" s="1" t="s">
        <v>8706</v>
      </c>
      <c r="F6049" s="1" t="s">
        <v>8707</v>
      </c>
      <c r="H6049" s="1" t="s">
        <v>8713</v>
      </c>
      <c r="J6049" s="1" t="s">
        <v>8715</v>
      </c>
      <c r="L6049" s="1" t="s">
        <v>2066</v>
      </c>
      <c r="M6049" s="1" t="s">
        <v>767</v>
      </c>
      <c r="N6049" s="1" t="s">
        <v>1536</v>
      </c>
      <c r="P6049" s="1" t="s">
        <v>2117</v>
      </c>
      <c r="Q6049" s="3">
        <v>1</v>
      </c>
      <c r="R6049" s="22" t="s">
        <v>2721</v>
      </c>
      <c r="S6049" s="42" t="s">
        <v>6912</v>
      </c>
      <c r="T6049" s="3" t="s">
        <v>4868</v>
      </c>
      <c r="U6049" s="45">
        <v>35</v>
      </c>
      <c r="V6049" t="s">
        <v>8710</v>
      </c>
      <c r="W6049" s="1" t="str">
        <f>HYPERLINK("http://ictvonline.org/taxonomy/p/taxonomy-history?taxnode_id=201904821","ICTVonline=201904821")</f>
        <v>ICTVonline=201904821</v>
      </c>
    </row>
    <row r="6050" spans="1:23">
      <c r="A6050" s="3">
        <v>6049</v>
      </c>
      <c r="B6050" s="1" t="s">
        <v>8705</v>
      </c>
      <c r="D6050" s="1" t="s">
        <v>8706</v>
      </c>
      <c r="F6050" s="1" t="s">
        <v>8707</v>
      </c>
      <c r="H6050" s="1" t="s">
        <v>8713</v>
      </c>
      <c r="J6050" s="1" t="s">
        <v>8715</v>
      </c>
      <c r="L6050" s="1" t="s">
        <v>2066</v>
      </c>
      <c r="M6050" s="1" t="s">
        <v>767</v>
      </c>
      <c r="N6050" s="1" t="s">
        <v>1536</v>
      </c>
      <c r="P6050" s="1" t="s">
        <v>1510</v>
      </c>
      <c r="Q6050" s="3">
        <v>0</v>
      </c>
      <c r="R6050" s="22" t="s">
        <v>2721</v>
      </c>
      <c r="S6050" s="42" t="s">
        <v>6912</v>
      </c>
      <c r="T6050" s="3" t="s">
        <v>4868</v>
      </c>
      <c r="U6050" s="45">
        <v>35</v>
      </c>
      <c r="V6050" t="s">
        <v>8710</v>
      </c>
      <c r="W6050" s="1" t="str">
        <f>HYPERLINK("http://ictvonline.org/taxonomy/p/taxonomy-history?taxnode_id=201904822","ICTVonline=201904822")</f>
        <v>ICTVonline=201904822</v>
      </c>
    </row>
    <row r="6051" spans="1:23">
      <c r="A6051" s="3">
        <v>6050</v>
      </c>
      <c r="B6051" s="1" t="s">
        <v>8705</v>
      </c>
      <c r="D6051" s="1" t="s">
        <v>8706</v>
      </c>
      <c r="F6051" s="1" t="s">
        <v>8707</v>
      </c>
      <c r="H6051" s="1" t="s">
        <v>8713</v>
      </c>
      <c r="J6051" s="1" t="s">
        <v>8715</v>
      </c>
      <c r="L6051" s="1" t="s">
        <v>2066</v>
      </c>
      <c r="M6051" s="1" t="s">
        <v>767</v>
      </c>
      <c r="N6051" s="1" t="s">
        <v>1536</v>
      </c>
      <c r="P6051" s="1" t="s">
        <v>2701</v>
      </c>
      <c r="Q6051" s="3">
        <v>0</v>
      </c>
      <c r="R6051" s="22" t="s">
        <v>2721</v>
      </c>
      <c r="S6051" s="42" t="s">
        <v>6912</v>
      </c>
      <c r="T6051" s="3" t="s">
        <v>4868</v>
      </c>
      <c r="U6051" s="45">
        <v>35</v>
      </c>
      <c r="V6051" t="s">
        <v>8710</v>
      </c>
      <c r="W6051" s="1" t="str">
        <f>HYPERLINK("http://ictvonline.org/taxonomy/p/taxonomy-history?taxnode_id=201904823","ICTVonline=201904823")</f>
        <v>ICTVonline=201904823</v>
      </c>
    </row>
    <row r="6052" spans="1:23">
      <c r="A6052" s="3">
        <v>6051</v>
      </c>
      <c r="B6052" s="1" t="s">
        <v>8705</v>
      </c>
      <c r="D6052" s="1" t="s">
        <v>8706</v>
      </c>
      <c r="F6052" s="1" t="s">
        <v>8707</v>
      </c>
      <c r="H6052" s="1" t="s">
        <v>8713</v>
      </c>
      <c r="J6052" s="1" t="s">
        <v>8715</v>
      </c>
      <c r="L6052" s="1" t="s">
        <v>2066</v>
      </c>
      <c r="M6052" s="1" t="s">
        <v>767</v>
      </c>
      <c r="P6052" s="1" t="s">
        <v>2119</v>
      </c>
      <c r="Q6052" s="3">
        <v>0</v>
      </c>
      <c r="R6052" s="22" t="s">
        <v>2721</v>
      </c>
      <c r="S6052" s="42" t="s">
        <v>6912</v>
      </c>
      <c r="T6052" s="3" t="s">
        <v>4868</v>
      </c>
      <c r="U6052" s="45">
        <v>35</v>
      </c>
      <c r="V6052" t="s">
        <v>8710</v>
      </c>
      <c r="W6052" s="1" t="str">
        <f>HYPERLINK("http://ictvonline.org/taxonomy/p/taxonomy-history?taxnode_id=201904825","ICTVonline=201904825")</f>
        <v>ICTVonline=201904825</v>
      </c>
    </row>
    <row r="6053" spans="1:23">
      <c r="A6053" s="3">
        <v>6052</v>
      </c>
      <c r="B6053" s="1" t="s">
        <v>8705</v>
      </c>
      <c r="D6053" s="1" t="s">
        <v>8706</v>
      </c>
      <c r="F6053" s="1" t="s">
        <v>8738</v>
      </c>
      <c r="H6053" s="1" t="s">
        <v>8739</v>
      </c>
      <c r="J6053" s="1" t="s">
        <v>8740</v>
      </c>
      <c r="L6053" s="1" t="s">
        <v>3800</v>
      </c>
      <c r="N6053" s="1" t="s">
        <v>3801</v>
      </c>
      <c r="P6053" s="1" t="s">
        <v>3802</v>
      </c>
      <c r="Q6053" s="3">
        <v>1</v>
      </c>
      <c r="R6053" s="22" t="s">
        <v>2721</v>
      </c>
      <c r="S6053" s="42" t="s">
        <v>6912</v>
      </c>
      <c r="T6053" s="3" t="s">
        <v>4868</v>
      </c>
      <c r="U6053" s="45">
        <v>35</v>
      </c>
      <c r="V6053" t="s">
        <v>8710</v>
      </c>
      <c r="W6053" s="1" t="str">
        <f>HYPERLINK("http://ictvonline.org/taxonomy/p/taxonomy-history?taxnode_id=201903747","ICTVonline=201903747")</f>
        <v>ICTVonline=201903747</v>
      </c>
    </row>
    <row r="6054" spans="1:23">
      <c r="A6054" s="3">
        <v>6053</v>
      </c>
      <c r="B6054" s="1" t="s">
        <v>8705</v>
      </c>
      <c r="D6054" s="1" t="s">
        <v>8706</v>
      </c>
      <c r="F6054" s="1" t="s">
        <v>8738</v>
      </c>
      <c r="H6054" s="1" t="s">
        <v>8739</v>
      </c>
      <c r="J6054" s="1" t="s">
        <v>8740</v>
      </c>
      <c r="L6054" s="1" t="s">
        <v>3800</v>
      </c>
      <c r="N6054" s="1" t="s">
        <v>3803</v>
      </c>
      <c r="P6054" s="1" t="s">
        <v>3804</v>
      </c>
      <c r="Q6054" s="3">
        <v>1</v>
      </c>
      <c r="R6054" s="22" t="s">
        <v>2721</v>
      </c>
      <c r="S6054" s="42" t="s">
        <v>6912</v>
      </c>
      <c r="T6054" s="3" t="s">
        <v>4868</v>
      </c>
      <c r="U6054" s="45">
        <v>35</v>
      </c>
      <c r="V6054" t="s">
        <v>8710</v>
      </c>
      <c r="W6054" s="1" t="str">
        <f>HYPERLINK("http://ictvonline.org/taxonomy/p/taxonomy-history?taxnode_id=201903749","ICTVonline=201903749")</f>
        <v>ICTVonline=201903749</v>
      </c>
    </row>
    <row r="6055" spans="1:23">
      <c r="A6055" s="3">
        <v>6054</v>
      </c>
      <c r="B6055" s="1" t="s">
        <v>8705</v>
      </c>
      <c r="D6055" s="1" t="s">
        <v>8706</v>
      </c>
      <c r="F6055" s="1" t="s">
        <v>8738</v>
      </c>
      <c r="H6055" s="1" t="s">
        <v>8739</v>
      </c>
      <c r="J6055" s="1" t="s">
        <v>8740</v>
      </c>
      <c r="L6055" s="1" t="s">
        <v>3800</v>
      </c>
      <c r="N6055" s="1" t="s">
        <v>3803</v>
      </c>
      <c r="P6055" s="1" t="s">
        <v>3805</v>
      </c>
      <c r="Q6055" s="3">
        <v>0</v>
      </c>
      <c r="R6055" s="22" t="s">
        <v>2721</v>
      </c>
      <c r="S6055" s="42" t="s">
        <v>6912</v>
      </c>
      <c r="T6055" s="3" t="s">
        <v>4868</v>
      </c>
      <c r="U6055" s="45">
        <v>35</v>
      </c>
      <c r="V6055" t="s">
        <v>8710</v>
      </c>
      <c r="W6055" s="1" t="str">
        <f>HYPERLINK("http://ictvonline.org/taxonomy/p/taxonomy-history?taxnode_id=201903750","ICTVonline=201903750")</f>
        <v>ICTVonline=201903750</v>
      </c>
    </row>
    <row r="6056" spans="1:23">
      <c r="A6056" s="3">
        <v>6055</v>
      </c>
      <c r="B6056" s="1" t="s">
        <v>8705</v>
      </c>
      <c r="D6056" s="1" t="s">
        <v>8706</v>
      </c>
      <c r="F6056" s="1" t="s">
        <v>8738</v>
      </c>
      <c r="H6056" s="1" t="s">
        <v>8741</v>
      </c>
      <c r="J6056" s="1" t="s">
        <v>8742</v>
      </c>
      <c r="L6056" s="1" t="s">
        <v>2593</v>
      </c>
      <c r="N6056" s="1" t="s">
        <v>2594</v>
      </c>
      <c r="P6056" s="1" t="s">
        <v>2595</v>
      </c>
      <c r="Q6056" s="3">
        <v>1</v>
      </c>
      <c r="R6056" s="22" t="s">
        <v>2721</v>
      </c>
      <c r="S6056" s="42" t="s">
        <v>6912</v>
      </c>
      <c r="T6056" s="3" t="s">
        <v>4868</v>
      </c>
      <c r="U6056" s="45">
        <v>35</v>
      </c>
      <c r="V6056" t="s">
        <v>8710</v>
      </c>
      <c r="W6056" s="1" t="str">
        <f>HYPERLINK("http://ictvonline.org/taxonomy/p/taxonomy-history?taxnode_id=201905328","ICTVonline=201905328")</f>
        <v>ICTVonline=201905328</v>
      </c>
    </row>
    <row r="6057" spans="1:23">
      <c r="A6057" s="3">
        <v>6056</v>
      </c>
      <c r="B6057" s="1" t="s">
        <v>8705</v>
      </c>
      <c r="D6057" s="1" t="s">
        <v>8706</v>
      </c>
      <c r="F6057" s="1" t="s">
        <v>8738</v>
      </c>
      <c r="H6057" s="1" t="s">
        <v>8741</v>
      </c>
      <c r="J6057" s="1" t="s">
        <v>8742</v>
      </c>
      <c r="L6057" s="1" t="s">
        <v>2593</v>
      </c>
      <c r="N6057" s="1" t="s">
        <v>2594</v>
      </c>
      <c r="P6057" s="1" t="s">
        <v>2596</v>
      </c>
      <c r="Q6057" s="3">
        <v>0</v>
      </c>
      <c r="R6057" s="22" t="s">
        <v>2721</v>
      </c>
      <c r="S6057" s="42" t="s">
        <v>6912</v>
      </c>
      <c r="T6057" s="3" t="s">
        <v>4868</v>
      </c>
      <c r="U6057" s="45">
        <v>35</v>
      </c>
      <c r="V6057" t="s">
        <v>8710</v>
      </c>
      <c r="W6057" s="1" t="str">
        <f>HYPERLINK("http://ictvonline.org/taxonomy/p/taxonomy-history?taxnode_id=201905329","ICTVonline=201905329")</f>
        <v>ICTVonline=201905329</v>
      </c>
    </row>
    <row r="6058" spans="1:23">
      <c r="A6058" s="3">
        <v>6057</v>
      </c>
      <c r="B6058" s="1" t="s">
        <v>8705</v>
      </c>
      <c r="D6058" s="1" t="s">
        <v>8706</v>
      </c>
      <c r="F6058" s="1" t="s">
        <v>8738</v>
      </c>
      <c r="H6058" s="1" t="s">
        <v>8741</v>
      </c>
      <c r="J6058" s="1" t="s">
        <v>8743</v>
      </c>
      <c r="L6058" s="1" t="s">
        <v>1576</v>
      </c>
      <c r="N6058" s="1" t="s">
        <v>5564</v>
      </c>
      <c r="P6058" s="1" t="s">
        <v>5565</v>
      </c>
      <c r="Q6058" s="3">
        <v>0</v>
      </c>
      <c r="R6058" s="22" t="s">
        <v>2721</v>
      </c>
      <c r="S6058" s="42" t="s">
        <v>6912</v>
      </c>
      <c r="T6058" s="3" t="s">
        <v>4868</v>
      </c>
      <c r="U6058" s="45">
        <v>35</v>
      </c>
      <c r="V6058" t="s">
        <v>8710</v>
      </c>
      <c r="W6058" s="1" t="str">
        <f>HYPERLINK("http://ictvonline.org/taxonomy/p/taxonomy-history?taxnode_id=201905994","ICTVonline=201905994")</f>
        <v>ICTVonline=201905994</v>
      </c>
    </row>
    <row r="6059" spans="1:23">
      <c r="A6059" s="3">
        <v>6058</v>
      </c>
      <c r="B6059" s="1" t="s">
        <v>8705</v>
      </c>
      <c r="D6059" s="1" t="s">
        <v>8706</v>
      </c>
      <c r="F6059" s="1" t="s">
        <v>8738</v>
      </c>
      <c r="H6059" s="1" t="s">
        <v>8741</v>
      </c>
      <c r="J6059" s="1" t="s">
        <v>8743</v>
      </c>
      <c r="L6059" s="1" t="s">
        <v>1576</v>
      </c>
      <c r="N6059" s="1" t="s">
        <v>5564</v>
      </c>
      <c r="P6059" s="1" t="s">
        <v>5566</v>
      </c>
      <c r="Q6059" s="3">
        <v>1</v>
      </c>
      <c r="R6059" s="22" t="s">
        <v>2721</v>
      </c>
      <c r="S6059" s="42" t="s">
        <v>6912</v>
      </c>
      <c r="T6059" s="3" t="s">
        <v>4868</v>
      </c>
      <c r="U6059" s="45">
        <v>35</v>
      </c>
      <c r="V6059" t="s">
        <v>8710</v>
      </c>
      <c r="W6059" s="1" t="str">
        <f>HYPERLINK("http://ictvonline.org/taxonomy/p/taxonomy-history?taxnode_id=201905076","ICTVonline=201905076")</f>
        <v>ICTVonline=201905076</v>
      </c>
    </row>
    <row r="6060" spans="1:23">
      <c r="A6060" s="3">
        <v>6059</v>
      </c>
      <c r="B6060" s="1" t="s">
        <v>8705</v>
      </c>
      <c r="D6060" s="1" t="s">
        <v>8706</v>
      </c>
      <c r="F6060" s="1" t="s">
        <v>8738</v>
      </c>
      <c r="H6060" s="1" t="s">
        <v>8741</v>
      </c>
      <c r="J6060" s="1" t="s">
        <v>8743</v>
      </c>
      <c r="L6060" s="1" t="s">
        <v>1576</v>
      </c>
      <c r="N6060" s="1" t="s">
        <v>5567</v>
      </c>
      <c r="P6060" s="1" t="s">
        <v>3965</v>
      </c>
      <c r="Q6060" s="3">
        <v>0</v>
      </c>
      <c r="R6060" s="22" t="s">
        <v>2721</v>
      </c>
      <c r="S6060" s="42" t="s">
        <v>6912</v>
      </c>
      <c r="T6060" s="3" t="s">
        <v>4868</v>
      </c>
      <c r="U6060" s="45">
        <v>35</v>
      </c>
      <c r="V6060" t="s">
        <v>8710</v>
      </c>
      <c r="W6060" s="1" t="str">
        <f>HYPERLINK("http://ictvonline.org/taxonomy/p/taxonomy-history?taxnode_id=201905074","ICTVonline=201905074")</f>
        <v>ICTVonline=201905074</v>
      </c>
    </row>
    <row r="6061" spans="1:23">
      <c r="A6061" s="3">
        <v>6060</v>
      </c>
      <c r="B6061" s="1" t="s">
        <v>8705</v>
      </c>
      <c r="D6061" s="1" t="s">
        <v>8706</v>
      </c>
      <c r="F6061" s="1" t="s">
        <v>8738</v>
      </c>
      <c r="H6061" s="1" t="s">
        <v>8741</v>
      </c>
      <c r="J6061" s="1" t="s">
        <v>8743</v>
      </c>
      <c r="L6061" s="1" t="s">
        <v>1576</v>
      </c>
      <c r="N6061" s="1" t="s">
        <v>5567</v>
      </c>
      <c r="P6061" s="1" t="s">
        <v>3966</v>
      </c>
      <c r="Q6061" s="3">
        <v>1</v>
      </c>
      <c r="R6061" s="22" t="s">
        <v>2721</v>
      </c>
      <c r="S6061" s="42" t="s">
        <v>6912</v>
      </c>
      <c r="T6061" s="3" t="s">
        <v>4868</v>
      </c>
      <c r="U6061" s="45">
        <v>35</v>
      </c>
      <c r="V6061" t="s">
        <v>8710</v>
      </c>
      <c r="W6061" s="1" t="str">
        <f>HYPERLINK("http://ictvonline.org/taxonomy/p/taxonomy-history?taxnode_id=201905075","ICTVonline=201905075")</f>
        <v>ICTVonline=201905075</v>
      </c>
    </row>
    <row r="6062" spans="1:23">
      <c r="A6062" s="3">
        <v>6061</v>
      </c>
      <c r="B6062" s="1" t="s">
        <v>8705</v>
      </c>
      <c r="D6062" s="1" t="s">
        <v>8706</v>
      </c>
      <c r="F6062" s="1" t="s">
        <v>8738</v>
      </c>
      <c r="H6062" s="1" t="s">
        <v>8741</v>
      </c>
      <c r="J6062" s="1" t="s">
        <v>8743</v>
      </c>
      <c r="L6062" s="1" t="s">
        <v>1576</v>
      </c>
      <c r="N6062" s="1" t="s">
        <v>5567</v>
      </c>
      <c r="P6062" s="1" t="s">
        <v>5568</v>
      </c>
      <c r="Q6062" s="3">
        <v>0</v>
      </c>
      <c r="R6062" s="22" t="s">
        <v>2721</v>
      </c>
      <c r="S6062" s="42" t="s">
        <v>6912</v>
      </c>
      <c r="T6062" s="3" t="s">
        <v>4868</v>
      </c>
      <c r="U6062" s="45">
        <v>35</v>
      </c>
      <c r="V6062" t="s">
        <v>8710</v>
      </c>
      <c r="W6062" s="1" t="str">
        <f>HYPERLINK("http://ictvonline.org/taxonomy/p/taxonomy-history?taxnode_id=201905995","ICTVonline=201905995")</f>
        <v>ICTVonline=201905995</v>
      </c>
    </row>
    <row r="6063" spans="1:23">
      <c r="A6063" s="3">
        <v>6062</v>
      </c>
      <c r="B6063" s="1" t="s">
        <v>8705</v>
      </c>
      <c r="D6063" s="1" t="s">
        <v>8706</v>
      </c>
      <c r="F6063" s="1" t="s">
        <v>8738</v>
      </c>
      <c r="H6063" s="1" t="s">
        <v>8741</v>
      </c>
      <c r="J6063" s="1" t="s">
        <v>8743</v>
      </c>
      <c r="L6063" s="1" t="s">
        <v>1576</v>
      </c>
      <c r="N6063" s="1" t="s">
        <v>5567</v>
      </c>
      <c r="P6063" s="1" t="s">
        <v>5569</v>
      </c>
      <c r="Q6063" s="3">
        <v>0</v>
      </c>
      <c r="R6063" s="22" t="s">
        <v>2721</v>
      </c>
      <c r="S6063" s="42" t="s">
        <v>6912</v>
      </c>
      <c r="T6063" s="3" t="s">
        <v>4868</v>
      </c>
      <c r="U6063" s="45">
        <v>35</v>
      </c>
      <c r="V6063" t="s">
        <v>8710</v>
      </c>
      <c r="W6063" s="1" t="str">
        <f>HYPERLINK("http://ictvonline.org/taxonomy/p/taxonomy-history?taxnode_id=201905996","ICTVonline=201905996")</f>
        <v>ICTVonline=201905996</v>
      </c>
    </row>
    <row r="6064" spans="1:23">
      <c r="A6064" s="3">
        <v>6063</v>
      </c>
      <c r="B6064" s="1" t="s">
        <v>8705</v>
      </c>
      <c r="D6064" s="1" t="s">
        <v>8706</v>
      </c>
      <c r="F6064" s="1" t="s">
        <v>8738</v>
      </c>
      <c r="H6064" s="1" t="s">
        <v>8741</v>
      </c>
      <c r="J6064" s="1" t="s">
        <v>8743</v>
      </c>
      <c r="L6064" s="1" t="s">
        <v>1576</v>
      </c>
      <c r="N6064" s="1" t="s">
        <v>6901</v>
      </c>
      <c r="P6064" s="1" t="s">
        <v>6902</v>
      </c>
      <c r="Q6064" s="3">
        <v>1</v>
      </c>
      <c r="R6064" s="22" t="s">
        <v>2721</v>
      </c>
      <c r="S6064" s="42" t="s">
        <v>6912</v>
      </c>
      <c r="T6064" s="3" t="s">
        <v>4868</v>
      </c>
      <c r="U6064" s="45">
        <v>35</v>
      </c>
      <c r="V6064" t="s">
        <v>8710</v>
      </c>
      <c r="W6064" s="1" t="str">
        <f>HYPERLINK("http://ictvonline.org/taxonomy/p/taxonomy-history?taxnode_id=201906875","ICTVonline=201906875")</f>
        <v>ICTVonline=201906875</v>
      </c>
    </row>
    <row r="6065" spans="1:23">
      <c r="A6065" s="3">
        <v>6064</v>
      </c>
      <c r="B6065" s="1" t="s">
        <v>8705</v>
      </c>
      <c r="D6065" s="1" t="s">
        <v>8706</v>
      </c>
      <c r="F6065" s="1" t="s">
        <v>8738</v>
      </c>
      <c r="H6065" s="1" t="s">
        <v>8741</v>
      </c>
      <c r="J6065" s="1" t="s">
        <v>8744</v>
      </c>
      <c r="L6065" s="1" t="s">
        <v>1769</v>
      </c>
      <c r="N6065" s="1" t="s">
        <v>1770</v>
      </c>
      <c r="P6065" s="1" t="s">
        <v>2315</v>
      </c>
      <c r="Q6065" s="3">
        <v>0</v>
      </c>
      <c r="R6065" s="22" t="s">
        <v>2721</v>
      </c>
      <c r="S6065" s="42" t="s">
        <v>6912</v>
      </c>
      <c r="T6065" s="3" t="s">
        <v>4868</v>
      </c>
      <c r="U6065" s="45">
        <v>35</v>
      </c>
      <c r="V6065" t="s">
        <v>8710</v>
      </c>
      <c r="W6065" s="1" t="str">
        <f>HYPERLINK("http://ictvonline.org/taxonomy/p/taxonomy-history?taxnode_id=201902390","ICTVonline=201902390")</f>
        <v>ICTVonline=201902390</v>
      </c>
    </row>
    <row r="6066" spans="1:23">
      <c r="A6066" s="3">
        <v>6065</v>
      </c>
      <c r="B6066" s="1" t="s">
        <v>8705</v>
      </c>
      <c r="D6066" s="1" t="s">
        <v>8706</v>
      </c>
      <c r="F6066" s="1" t="s">
        <v>8738</v>
      </c>
      <c r="H6066" s="1" t="s">
        <v>8741</v>
      </c>
      <c r="J6066" s="1" t="s">
        <v>8744</v>
      </c>
      <c r="L6066" s="1" t="s">
        <v>1769</v>
      </c>
      <c r="N6066" s="1" t="s">
        <v>1770</v>
      </c>
      <c r="P6066" s="1" t="s">
        <v>5162</v>
      </c>
      <c r="Q6066" s="3">
        <v>0</v>
      </c>
      <c r="R6066" s="22" t="s">
        <v>2721</v>
      </c>
      <c r="S6066" s="42" t="s">
        <v>6912</v>
      </c>
      <c r="T6066" s="3" t="s">
        <v>4868</v>
      </c>
      <c r="U6066" s="45">
        <v>35</v>
      </c>
      <c r="V6066" t="s">
        <v>8710</v>
      </c>
      <c r="W6066" s="1" t="str">
        <f>HYPERLINK("http://ictvonline.org/taxonomy/p/taxonomy-history?taxnode_id=201905652","ICTVonline=201905652")</f>
        <v>ICTVonline=201905652</v>
      </c>
    </row>
    <row r="6067" spans="1:23">
      <c r="A6067" s="3">
        <v>6066</v>
      </c>
      <c r="B6067" s="1" t="s">
        <v>8705</v>
      </c>
      <c r="D6067" s="1" t="s">
        <v>8706</v>
      </c>
      <c r="F6067" s="1" t="s">
        <v>8738</v>
      </c>
      <c r="H6067" s="1" t="s">
        <v>8741</v>
      </c>
      <c r="J6067" s="1" t="s">
        <v>8744</v>
      </c>
      <c r="L6067" s="1" t="s">
        <v>1769</v>
      </c>
      <c r="N6067" s="1" t="s">
        <v>1770</v>
      </c>
      <c r="P6067" s="1" t="s">
        <v>2316</v>
      </c>
      <c r="Q6067" s="3">
        <v>0</v>
      </c>
      <c r="R6067" s="22" t="s">
        <v>2721</v>
      </c>
      <c r="S6067" s="42" t="s">
        <v>6912</v>
      </c>
      <c r="T6067" s="3" t="s">
        <v>4868</v>
      </c>
      <c r="U6067" s="45">
        <v>35</v>
      </c>
      <c r="V6067" t="s">
        <v>8710</v>
      </c>
      <c r="W6067" s="1" t="str">
        <f>HYPERLINK("http://ictvonline.org/taxonomy/p/taxonomy-history?taxnode_id=201902391","ICTVonline=201902391")</f>
        <v>ICTVonline=201902391</v>
      </c>
    </row>
    <row r="6068" spans="1:23">
      <c r="A6068" s="3">
        <v>6067</v>
      </c>
      <c r="B6068" s="1" t="s">
        <v>8705</v>
      </c>
      <c r="D6068" s="1" t="s">
        <v>8706</v>
      </c>
      <c r="F6068" s="1" t="s">
        <v>8738</v>
      </c>
      <c r="H6068" s="1" t="s">
        <v>8741</v>
      </c>
      <c r="J6068" s="1" t="s">
        <v>8744</v>
      </c>
      <c r="L6068" s="1" t="s">
        <v>1769</v>
      </c>
      <c r="N6068" s="1" t="s">
        <v>1770</v>
      </c>
      <c r="P6068" s="1" t="s">
        <v>4560</v>
      </c>
      <c r="Q6068" s="3">
        <v>0</v>
      </c>
      <c r="R6068" s="22" t="s">
        <v>2721</v>
      </c>
      <c r="S6068" s="42" t="s">
        <v>6912</v>
      </c>
      <c r="T6068" s="3" t="s">
        <v>4868</v>
      </c>
      <c r="U6068" s="45">
        <v>35</v>
      </c>
      <c r="V6068" t="s">
        <v>8710</v>
      </c>
      <c r="W6068" s="1" t="str">
        <f>HYPERLINK("http://ictvonline.org/taxonomy/p/taxonomy-history?taxnode_id=201902392","ICTVonline=201902392")</f>
        <v>ICTVonline=201902392</v>
      </c>
    </row>
    <row r="6069" spans="1:23">
      <c r="A6069" s="3">
        <v>6068</v>
      </c>
      <c r="B6069" s="1" t="s">
        <v>8705</v>
      </c>
      <c r="D6069" s="1" t="s">
        <v>8706</v>
      </c>
      <c r="F6069" s="1" t="s">
        <v>8738</v>
      </c>
      <c r="H6069" s="1" t="s">
        <v>8741</v>
      </c>
      <c r="J6069" s="1" t="s">
        <v>8744</v>
      </c>
      <c r="L6069" s="1" t="s">
        <v>1769</v>
      </c>
      <c r="N6069" s="1" t="s">
        <v>1770</v>
      </c>
      <c r="P6069" s="1" t="s">
        <v>2317</v>
      </c>
      <c r="Q6069" s="3">
        <v>1</v>
      </c>
      <c r="R6069" s="22" t="s">
        <v>2721</v>
      </c>
      <c r="S6069" s="42" t="s">
        <v>6912</v>
      </c>
      <c r="T6069" s="3" t="s">
        <v>4868</v>
      </c>
      <c r="U6069" s="45">
        <v>35</v>
      </c>
      <c r="V6069" t="s">
        <v>8710</v>
      </c>
      <c r="W6069" s="1" t="str">
        <f>HYPERLINK("http://ictvonline.org/taxonomy/p/taxonomy-history?taxnode_id=201902393","ICTVonline=201902393")</f>
        <v>ICTVonline=201902393</v>
      </c>
    </row>
    <row r="6070" spans="1:23">
      <c r="A6070" s="3">
        <v>6069</v>
      </c>
      <c r="B6070" s="1" t="s">
        <v>8705</v>
      </c>
      <c r="D6070" s="1" t="s">
        <v>8706</v>
      </c>
      <c r="F6070" s="1" t="s">
        <v>8738</v>
      </c>
      <c r="H6070" s="1" t="s">
        <v>8741</v>
      </c>
      <c r="J6070" s="1" t="s">
        <v>8744</v>
      </c>
      <c r="L6070" s="1" t="s">
        <v>1769</v>
      </c>
      <c r="N6070" s="1" t="s">
        <v>1770</v>
      </c>
      <c r="P6070" s="1" t="s">
        <v>2318</v>
      </c>
      <c r="Q6070" s="3">
        <v>0</v>
      </c>
      <c r="R6070" s="22" t="s">
        <v>2721</v>
      </c>
      <c r="S6070" s="42" t="s">
        <v>6912</v>
      </c>
      <c r="T6070" s="3" t="s">
        <v>4868</v>
      </c>
      <c r="U6070" s="45">
        <v>35</v>
      </c>
      <c r="V6070" t="s">
        <v>8710</v>
      </c>
      <c r="W6070" s="1" t="str">
        <f>HYPERLINK("http://ictvonline.org/taxonomy/p/taxonomy-history?taxnode_id=201902394","ICTVonline=201902394")</f>
        <v>ICTVonline=201902394</v>
      </c>
    </row>
    <row r="6071" spans="1:23">
      <c r="A6071" s="3">
        <v>6070</v>
      </c>
      <c r="B6071" s="1" t="s">
        <v>8705</v>
      </c>
      <c r="D6071" s="1" t="s">
        <v>8706</v>
      </c>
      <c r="F6071" s="1" t="s">
        <v>8738</v>
      </c>
      <c r="H6071" s="1" t="s">
        <v>8741</v>
      </c>
      <c r="J6071" s="1" t="s">
        <v>8744</v>
      </c>
      <c r="L6071" s="1" t="s">
        <v>1769</v>
      </c>
      <c r="N6071" s="1" t="s">
        <v>1770</v>
      </c>
      <c r="P6071" s="1" t="s">
        <v>4561</v>
      </c>
      <c r="Q6071" s="3">
        <v>0</v>
      </c>
      <c r="R6071" s="22" t="s">
        <v>2721</v>
      </c>
      <c r="S6071" s="42" t="s">
        <v>6912</v>
      </c>
      <c r="T6071" s="3" t="s">
        <v>4868</v>
      </c>
      <c r="U6071" s="45">
        <v>35</v>
      </c>
      <c r="V6071" t="s">
        <v>8710</v>
      </c>
      <c r="W6071" s="1" t="str">
        <f>HYPERLINK("http://ictvonline.org/taxonomy/p/taxonomy-history?taxnode_id=201902395","ICTVonline=201902395")</f>
        <v>ICTVonline=201902395</v>
      </c>
    </row>
    <row r="6072" spans="1:23">
      <c r="A6072" s="3">
        <v>6071</v>
      </c>
      <c r="B6072" s="1" t="s">
        <v>8705</v>
      </c>
      <c r="D6072" s="1" t="s">
        <v>8706</v>
      </c>
      <c r="F6072" s="1" t="s">
        <v>8738</v>
      </c>
      <c r="H6072" s="1" t="s">
        <v>8741</v>
      </c>
      <c r="J6072" s="1" t="s">
        <v>8744</v>
      </c>
      <c r="L6072" s="1" t="s">
        <v>1769</v>
      </c>
      <c r="N6072" s="1" t="s">
        <v>1770</v>
      </c>
      <c r="P6072" s="1" t="s">
        <v>2319</v>
      </c>
      <c r="Q6072" s="3">
        <v>0</v>
      </c>
      <c r="R6072" s="22" t="s">
        <v>2721</v>
      </c>
      <c r="S6072" s="42" t="s">
        <v>6912</v>
      </c>
      <c r="T6072" s="3" t="s">
        <v>4868</v>
      </c>
      <c r="U6072" s="45">
        <v>35</v>
      </c>
      <c r="V6072" t="s">
        <v>8710</v>
      </c>
      <c r="W6072" s="1" t="str">
        <f>HYPERLINK("http://ictvonline.org/taxonomy/p/taxonomy-history?taxnode_id=201902396","ICTVonline=201902396")</f>
        <v>ICTVonline=201902396</v>
      </c>
    </row>
    <row r="6073" spans="1:23">
      <c r="A6073" s="3">
        <v>6072</v>
      </c>
      <c r="B6073" s="1" t="s">
        <v>8705</v>
      </c>
      <c r="D6073" s="1" t="s">
        <v>8706</v>
      </c>
      <c r="F6073" s="1" t="s">
        <v>8738</v>
      </c>
      <c r="H6073" s="1" t="s">
        <v>8741</v>
      </c>
      <c r="J6073" s="1" t="s">
        <v>8744</v>
      </c>
      <c r="L6073" s="1" t="s">
        <v>1769</v>
      </c>
      <c r="N6073" s="1" t="s">
        <v>1375</v>
      </c>
      <c r="P6073" s="1" t="s">
        <v>3626</v>
      </c>
      <c r="Q6073" s="3">
        <v>0</v>
      </c>
      <c r="R6073" s="22" t="s">
        <v>2721</v>
      </c>
      <c r="S6073" s="42" t="s">
        <v>6912</v>
      </c>
      <c r="T6073" s="3" t="s">
        <v>4868</v>
      </c>
      <c r="U6073" s="45">
        <v>35</v>
      </c>
      <c r="V6073" t="s">
        <v>8710</v>
      </c>
      <c r="W6073" s="1" t="str">
        <f>HYPERLINK("http://ictvonline.org/taxonomy/p/taxonomy-history?taxnode_id=201902398","ICTVonline=201902398")</f>
        <v>ICTVonline=201902398</v>
      </c>
    </row>
    <row r="6074" spans="1:23">
      <c r="A6074" s="3">
        <v>6073</v>
      </c>
      <c r="B6074" s="1" t="s">
        <v>8705</v>
      </c>
      <c r="D6074" s="1" t="s">
        <v>8706</v>
      </c>
      <c r="F6074" s="1" t="s">
        <v>8738</v>
      </c>
      <c r="H6074" s="1" t="s">
        <v>8741</v>
      </c>
      <c r="J6074" s="1" t="s">
        <v>8744</v>
      </c>
      <c r="L6074" s="1" t="s">
        <v>1769</v>
      </c>
      <c r="N6074" s="1" t="s">
        <v>1375</v>
      </c>
      <c r="P6074" s="1" t="s">
        <v>2320</v>
      </c>
      <c r="Q6074" s="3">
        <v>0</v>
      </c>
      <c r="R6074" s="22" t="s">
        <v>2721</v>
      </c>
      <c r="S6074" s="42" t="s">
        <v>6912</v>
      </c>
      <c r="T6074" s="3" t="s">
        <v>4868</v>
      </c>
      <c r="U6074" s="45">
        <v>35</v>
      </c>
      <c r="V6074" t="s">
        <v>8710</v>
      </c>
      <c r="W6074" s="1" t="str">
        <f>HYPERLINK("http://ictvonline.org/taxonomy/p/taxonomy-history?taxnode_id=201902399","ICTVonline=201902399")</f>
        <v>ICTVonline=201902399</v>
      </c>
    </row>
    <row r="6075" spans="1:23">
      <c r="A6075" s="3">
        <v>6074</v>
      </c>
      <c r="B6075" s="1" t="s">
        <v>8705</v>
      </c>
      <c r="D6075" s="1" t="s">
        <v>8706</v>
      </c>
      <c r="F6075" s="1" t="s">
        <v>8738</v>
      </c>
      <c r="H6075" s="1" t="s">
        <v>8741</v>
      </c>
      <c r="J6075" s="1" t="s">
        <v>8744</v>
      </c>
      <c r="L6075" s="1" t="s">
        <v>1769</v>
      </c>
      <c r="N6075" s="1" t="s">
        <v>1375</v>
      </c>
      <c r="P6075" s="1" t="s">
        <v>2321</v>
      </c>
      <c r="Q6075" s="3">
        <v>1</v>
      </c>
      <c r="R6075" s="22" t="s">
        <v>2721</v>
      </c>
      <c r="S6075" s="42" t="s">
        <v>6912</v>
      </c>
      <c r="T6075" s="3" t="s">
        <v>4868</v>
      </c>
      <c r="U6075" s="45">
        <v>35</v>
      </c>
      <c r="V6075" t="s">
        <v>8710</v>
      </c>
      <c r="W6075" s="1" t="str">
        <f>HYPERLINK("http://ictvonline.org/taxonomy/p/taxonomy-history?taxnode_id=201902400","ICTVonline=201902400")</f>
        <v>ICTVonline=201902400</v>
      </c>
    </row>
    <row r="6076" spans="1:23">
      <c r="A6076" s="3">
        <v>6075</v>
      </c>
      <c r="B6076" s="1" t="s">
        <v>8705</v>
      </c>
      <c r="D6076" s="1" t="s">
        <v>8706</v>
      </c>
      <c r="F6076" s="1" t="s">
        <v>8738</v>
      </c>
      <c r="H6076" s="1" t="s">
        <v>8741</v>
      </c>
      <c r="J6076" s="1" t="s">
        <v>8744</v>
      </c>
      <c r="L6076" s="1" t="s">
        <v>1769</v>
      </c>
      <c r="N6076" s="1" t="s">
        <v>1375</v>
      </c>
      <c r="P6076" s="1" t="s">
        <v>2322</v>
      </c>
      <c r="Q6076" s="3">
        <v>0</v>
      </c>
      <c r="R6076" s="22" t="s">
        <v>2721</v>
      </c>
      <c r="S6076" s="42" t="s">
        <v>6912</v>
      </c>
      <c r="T6076" s="3" t="s">
        <v>4868</v>
      </c>
      <c r="U6076" s="45">
        <v>35</v>
      </c>
      <c r="V6076" t="s">
        <v>8710</v>
      </c>
      <c r="W6076" s="1" t="str">
        <f>HYPERLINK("http://ictvonline.org/taxonomy/p/taxonomy-history?taxnode_id=201902401","ICTVonline=201902401")</f>
        <v>ICTVonline=201902401</v>
      </c>
    </row>
    <row r="6077" spans="1:23">
      <c r="A6077" s="3">
        <v>6076</v>
      </c>
      <c r="B6077" s="1" t="s">
        <v>8705</v>
      </c>
      <c r="D6077" s="1" t="s">
        <v>8706</v>
      </c>
      <c r="F6077" s="1" t="s">
        <v>8738</v>
      </c>
      <c r="H6077" s="1" t="s">
        <v>8741</v>
      </c>
      <c r="J6077" s="1" t="s">
        <v>8744</v>
      </c>
      <c r="L6077" s="1" t="s">
        <v>1769</v>
      </c>
      <c r="N6077" s="1" t="s">
        <v>1375</v>
      </c>
      <c r="P6077" s="1" t="s">
        <v>2323</v>
      </c>
      <c r="Q6077" s="3">
        <v>0</v>
      </c>
      <c r="R6077" s="22" t="s">
        <v>2721</v>
      </c>
      <c r="S6077" s="42" t="s">
        <v>6912</v>
      </c>
      <c r="T6077" s="3" t="s">
        <v>4868</v>
      </c>
      <c r="U6077" s="45">
        <v>35</v>
      </c>
      <c r="V6077" t="s">
        <v>8710</v>
      </c>
      <c r="W6077" s="1" t="str">
        <f>HYPERLINK("http://ictvonline.org/taxonomy/p/taxonomy-history?taxnode_id=201902402","ICTVonline=201902402")</f>
        <v>ICTVonline=201902402</v>
      </c>
    </row>
    <row r="6078" spans="1:23">
      <c r="A6078" s="3">
        <v>6077</v>
      </c>
      <c r="B6078" s="1" t="s">
        <v>8705</v>
      </c>
      <c r="D6078" s="1" t="s">
        <v>8706</v>
      </c>
      <c r="F6078" s="1" t="s">
        <v>8738</v>
      </c>
      <c r="H6078" s="1" t="s">
        <v>8741</v>
      </c>
      <c r="J6078" s="1" t="s">
        <v>8744</v>
      </c>
      <c r="L6078" s="1" t="s">
        <v>1769</v>
      </c>
      <c r="N6078" s="1" t="s">
        <v>1375</v>
      </c>
      <c r="P6078" s="1" t="s">
        <v>2324</v>
      </c>
      <c r="Q6078" s="3">
        <v>0</v>
      </c>
      <c r="R6078" s="22" t="s">
        <v>2721</v>
      </c>
      <c r="S6078" s="42" t="s">
        <v>6912</v>
      </c>
      <c r="T6078" s="3" t="s">
        <v>4868</v>
      </c>
      <c r="U6078" s="45">
        <v>35</v>
      </c>
      <c r="V6078" t="s">
        <v>8710</v>
      </c>
      <c r="W6078" s="1" t="str">
        <f>HYPERLINK("http://ictvonline.org/taxonomy/p/taxonomy-history?taxnode_id=201902403","ICTVonline=201902403")</f>
        <v>ICTVonline=201902403</v>
      </c>
    </row>
    <row r="6079" spans="1:23">
      <c r="A6079" s="3">
        <v>6078</v>
      </c>
      <c r="B6079" s="1" t="s">
        <v>8705</v>
      </c>
      <c r="D6079" s="1" t="s">
        <v>8706</v>
      </c>
      <c r="F6079" s="1" t="s">
        <v>8738</v>
      </c>
      <c r="H6079" s="1" t="s">
        <v>8741</v>
      </c>
      <c r="J6079" s="1" t="s">
        <v>8744</v>
      </c>
      <c r="L6079" s="1" t="s">
        <v>1769</v>
      </c>
      <c r="N6079" s="1" t="s">
        <v>1375</v>
      </c>
      <c r="P6079" s="1" t="s">
        <v>2325</v>
      </c>
      <c r="Q6079" s="3">
        <v>0</v>
      </c>
      <c r="R6079" s="22" t="s">
        <v>2721</v>
      </c>
      <c r="S6079" s="42" t="s">
        <v>6912</v>
      </c>
      <c r="T6079" s="3" t="s">
        <v>4868</v>
      </c>
      <c r="U6079" s="45">
        <v>35</v>
      </c>
      <c r="V6079" t="s">
        <v>8710</v>
      </c>
      <c r="W6079" s="1" t="str">
        <f>HYPERLINK("http://ictvonline.org/taxonomy/p/taxonomy-history?taxnode_id=201902404","ICTVonline=201902404")</f>
        <v>ICTVonline=201902404</v>
      </c>
    </row>
    <row r="6080" spans="1:23">
      <c r="A6080" s="3">
        <v>6079</v>
      </c>
      <c r="B6080" s="1" t="s">
        <v>8705</v>
      </c>
      <c r="D6080" s="1" t="s">
        <v>8706</v>
      </c>
      <c r="F6080" s="1" t="s">
        <v>8738</v>
      </c>
      <c r="H6080" s="1" t="s">
        <v>8741</v>
      </c>
      <c r="J6080" s="1" t="s">
        <v>8744</v>
      </c>
      <c r="L6080" s="1" t="s">
        <v>1769</v>
      </c>
      <c r="N6080" s="1" t="s">
        <v>1375</v>
      </c>
      <c r="P6080" s="1" t="s">
        <v>2326</v>
      </c>
      <c r="Q6080" s="3">
        <v>0</v>
      </c>
      <c r="R6080" s="22" t="s">
        <v>2721</v>
      </c>
      <c r="S6080" s="42" t="s">
        <v>6912</v>
      </c>
      <c r="T6080" s="3" t="s">
        <v>4868</v>
      </c>
      <c r="U6080" s="45">
        <v>35</v>
      </c>
      <c r="V6080" t="s">
        <v>8710</v>
      </c>
      <c r="W6080" s="1" t="str">
        <f>HYPERLINK("http://ictvonline.org/taxonomy/p/taxonomy-history?taxnode_id=201902405","ICTVonline=201902405")</f>
        <v>ICTVonline=201902405</v>
      </c>
    </row>
    <row r="6081" spans="1:23">
      <c r="A6081" s="3">
        <v>6080</v>
      </c>
      <c r="B6081" s="1" t="s">
        <v>8705</v>
      </c>
      <c r="D6081" s="1" t="s">
        <v>8706</v>
      </c>
      <c r="F6081" s="1" t="s">
        <v>8738</v>
      </c>
      <c r="H6081" s="1" t="s">
        <v>8741</v>
      </c>
      <c r="J6081" s="1" t="s">
        <v>8744</v>
      </c>
      <c r="L6081" s="1" t="s">
        <v>1769</v>
      </c>
      <c r="N6081" s="1" t="s">
        <v>1375</v>
      </c>
      <c r="P6081" s="1" t="s">
        <v>3627</v>
      </c>
      <c r="Q6081" s="3">
        <v>0</v>
      </c>
      <c r="R6081" s="22" t="s">
        <v>2721</v>
      </c>
      <c r="S6081" s="42" t="s">
        <v>6912</v>
      </c>
      <c r="T6081" s="3" t="s">
        <v>4868</v>
      </c>
      <c r="U6081" s="45">
        <v>35</v>
      </c>
      <c r="V6081" t="s">
        <v>8710</v>
      </c>
      <c r="W6081" s="1" t="str">
        <f>HYPERLINK("http://ictvonline.org/taxonomy/p/taxonomy-history?taxnode_id=201902406","ICTVonline=201902406")</f>
        <v>ICTVonline=201902406</v>
      </c>
    </row>
    <row r="6082" spans="1:23">
      <c r="A6082" s="3">
        <v>6081</v>
      </c>
      <c r="B6082" s="1" t="s">
        <v>8705</v>
      </c>
      <c r="D6082" s="1" t="s">
        <v>8706</v>
      </c>
      <c r="F6082" s="1" t="s">
        <v>8738</v>
      </c>
      <c r="H6082" s="1" t="s">
        <v>8741</v>
      </c>
      <c r="J6082" s="1" t="s">
        <v>8744</v>
      </c>
      <c r="L6082" s="1" t="s">
        <v>1769</v>
      </c>
      <c r="N6082" s="1" t="s">
        <v>1375</v>
      </c>
      <c r="P6082" s="1" t="s">
        <v>5163</v>
      </c>
      <c r="Q6082" s="3">
        <v>0</v>
      </c>
      <c r="R6082" s="22" t="s">
        <v>2721</v>
      </c>
      <c r="S6082" s="42" t="s">
        <v>6912</v>
      </c>
      <c r="T6082" s="3" t="s">
        <v>4868</v>
      </c>
      <c r="U6082" s="45">
        <v>35</v>
      </c>
      <c r="V6082" t="s">
        <v>8710</v>
      </c>
      <c r="W6082" s="1" t="str">
        <f>HYPERLINK("http://ictvonline.org/taxonomy/p/taxonomy-history?taxnode_id=201905653","ICTVonline=201905653")</f>
        <v>ICTVonline=201905653</v>
      </c>
    </row>
    <row r="6083" spans="1:23">
      <c r="A6083" s="3">
        <v>6082</v>
      </c>
      <c r="B6083" s="1" t="s">
        <v>8705</v>
      </c>
      <c r="D6083" s="1" t="s">
        <v>8706</v>
      </c>
      <c r="F6083" s="1" t="s">
        <v>8738</v>
      </c>
      <c r="H6083" s="1" t="s">
        <v>8741</v>
      </c>
      <c r="J6083" s="1" t="s">
        <v>8744</v>
      </c>
      <c r="L6083" s="1" t="s">
        <v>1769</v>
      </c>
      <c r="N6083" s="1" t="s">
        <v>1375</v>
      </c>
      <c r="P6083" s="1" t="s">
        <v>5164</v>
      </c>
      <c r="Q6083" s="3">
        <v>0</v>
      </c>
      <c r="R6083" s="22" t="s">
        <v>2721</v>
      </c>
      <c r="S6083" s="42" t="s">
        <v>6912</v>
      </c>
      <c r="T6083" s="3" t="s">
        <v>4868</v>
      </c>
      <c r="U6083" s="45">
        <v>35</v>
      </c>
      <c r="V6083" t="s">
        <v>8710</v>
      </c>
      <c r="W6083" s="1" t="str">
        <f>HYPERLINK("http://ictvonline.org/taxonomy/p/taxonomy-history?taxnode_id=201905654","ICTVonline=201905654")</f>
        <v>ICTVonline=201905654</v>
      </c>
    </row>
    <row r="6084" spans="1:23">
      <c r="A6084" s="3">
        <v>6083</v>
      </c>
      <c r="B6084" s="1" t="s">
        <v>8705</v>
      </c>
      <c r="D6084" s="1" t="s">
        <v>8706</v>
      </c>
      <c r="F6084" s="1" t="s">
        <v>8738</v>
      </c>
      <c r="H6084" s="1" t="s">
        <v>8741</v>
      </c>
      <c r="J6084" s="1" t="s">
        <v>8744</v>
      </c>
      <c r="L6084" s="1" t="s">
        <v>1769</v>
      </c>
      <c r="N6084" s="1" t="s">
        <v>1375</v>
      </c>
      <c r="P6084" s="1" t="s">
        <v>8745</v>
      </c>
      <c r="Q6084" s="3">
        <v>0</v>
      </c>
      <c r="R6084" s="22" t="s">
        <v>2721</v>
      </c>
      <c r="S6084" s="42" t="s">
        <v>6914</v>
      </c>
      <c r="T6084" s="3" t="s">
        <v>4866</v>
      </c>
      <c r="U6084" s="45">
        <v>35</v>
      </c>
      <c r="V6084" t="s">
        <v>8746</v>
      </c>
      <c r="W6084" s="1" t="str">
        <f>HYPERLINK("http://ictvonline.org/taxonomy/p/taxonomy-history?taxnode_id=201907192","ICTVonline=201907192")</f>
        <v>ICTVonline=201907192</v>
      </c>
    </row>
    <row r="6085" spans="1:23">
      <c r="A6085" s="3">
        <v>6084</v>
      </c>
      <c r="B6085" s="1" t="s">
        <v>8705</v>
      </c>
      <c r="D6085" s="1" t="s">
        <v>8706</v>
      </c>
      <c r="F6085" s="1" t="s">
        <v>8738</v>
      </c>
      <c r="H6085" s="1" t="s">
        <v>8741</v>
      </c>
      <c r="J6085" s="1" t="s">
        <v>8744</v>
      </c>
      <c r="L6085" s="1" t="s">
        <v>1769</v>
      </c>
      <c r="N6085" s="1" t="s">
        <v>1375</v>
      </c>
      <c r="P6085" s="1" t="s">
        <v>2327</v>
      </c>
      <c r="Q6085" s="3">
        <v>0</v>
      </c>
      <c r="R6085" s="22" t="s">
        <v>2721</v>
      </c>
      <c r="S6085" s="42" t="s">
        <v>6912</v>
      </c>
      <c r="T6085" s="3" t="s">
        <v>4868</v>
      </c>
      <c r="U6085" s="45">
        <v>35</v>
      </c>
      <c r="V6085" t="s">
        <v>8710</v>
      </c>
      <c r="W6085" s="1" t="str">
        <f>HYPERLINK("http://ictvonline.org/taxonomy/p/taxonomy-history?taxnode_id=201902407","ICTVonline=201902407")</f>
        <v>ICTVonline=201902407</v>
      </c>
    </row>
    <row r="6086" spans="1:23">
      <c r="A6086" s="3">
        <v>6085</v>
      </c>
      <c r="B6086" s="1" t="s">
        <v>8705</v>
      </c>
      <c r="D6086" s="1" t="s">
        <v>8706</v>
      </c>
      <c r="F6086" s="1" t="s">
        <v>8738</v>
      </c>
      <c r="H6086" s="1" t="s">
        <v>8741</v>
      </c>
      <c r="J6086" s="1" t="s">
        <v>8744</v>
      </c>
      <c r="L6086" s="1" t="s">
        <v>1769</v>
      </c>
      <c r="N6086" s="1" t="s">
        <v>1375</v>
      </c>
      <c r="P6086" s="1" t="s">
        <v>3628</v>
      </c>
      <c r="Q6086" s="3">
        <v>0</v>
      </c>
      <c r="R6086" s="22" t="s">
        <v>2721</v>
      </c>
      <c r="S6086" s="42" t="s">
        <v>6912</v>
      </c>
      <c r="T6086" s="3" t="s">
        <v>4868</v>
      </c>
      <c r="U6086" s="45">
        <v>35</v>
      </c>
      <c r="V6086" t="s">
        <v>8710</v>
      </c>
      <c r="W6086" s="1" t="str">
        <f>HYPERLINK("http://ictvonline.org/taxonomy/p/taxonomy-history?taxnode_id=201902408","ICTVonline=201902408")</f>
        <v>ICTVonline=201902408</v>
      </c>
    </row>
    <row r="6087" spans="1:23">
      <c r="A6087" s="3">
        <v>6086</v>
      </c>
      <c r="B6087" s="1" t="s">
        <v>8705</v>
      </c>
      <c r="D6087" s="1" t="s">
        <v>8706</v>
      </c>
      <c r="F6087" s="1" t="s">
        <v>8738</v>
      </c>
      <c r="H6087" s="1" t="s">
        <v>8741</v>
      </c>
      <c r="J6087" s="1" t="s">
        <v>8744</v>
      </c>
      <c r="L6087" s="1" t="s">
        <v>1769</v>
      </c>
      <c r="N6087" s="1" t="s">
        <v>1375</v>
      </c>
      <c r="P6087" s="1" t="s">
        <v>3629</v>
      </c>
      <c r="Q6087" s="3">
        <v>0</v>
      </c>
      <c r="R6087" s="22" t="s">
        <v>2721</v>
      </c>
      <c r="S6087" s="42" t="s">
        <v>6912</v>
      </c>
      <c r="T6087" s="3" t="s">
        <v>4868</v>
      </c>
      <c r="U6087" s="45">
        <v>35</v>
      </c>
      <c r="V6087" t="s">
        <v>8710</v>
      </c>
      <c r="W6087" s="1" t="str">
        <f>HYPERLINK("http://ictvonline.org/taxonomy/p/taxonomy-history?taxnode_id=201902409","ICTVonline=201902409")</f>
        <v>ICTVonline=201902409</v>
      </c>
    </row>
    <row r="6088" spans="1:23">
      <c r="A6088" s="3">
        <v>6087</v>
      </c>
      <c r="B6088" s="1" t="s">
        <v>8705</v>
      </c>
      <c r="D6088" s="1" t="s">
        <v>8706</v>
      </c>
      <c r="F6088" s="1" t="s">
        <v>8738</v>
      </c>
      <c r="H6088" s="1" t="s">
        <v>8741</v>
      </c>
      <c r="J6088" s="1" t="s">
        <v>8744</v>
      </c>
      <c r="L6088" s="1" t="s">
        <v>1769</v>
      </c>
      <c r="N6088" s="1" t="s">
        <v>1000</v>
      </c>
      <c r="P6088" s="1" t="s">
        <v>2328</v>
      </c>
      <c r="Q6088" s="3">
        <v>1</v>
      </c>
      <c r="R6088" s="22" t="s">
        <v>2721</v>
      </c>
      <c r="S6088" s="42" t="s">
        <v>6912</v>
      </c>
      <c r="T6088" s="3" t="s">
        <v>4868</v>
      </c>
      <c r="U6088" s="45">
        <v>35</v>
      </c>
      <c r="V6088" t="s">
        <v>8710</v>
      </c>
      <c r="W6088" s="1" t="str">
        <f>HYPERLINK("http://ictvonline.org/taxonomy/p/taxonomy-history?taxnode_id=201902411","ICTVonline=201902411")</f>
        <v>ICTVonline=201902411</v>
      </c>
    </row>
    <row r="6089" spans="1:23">
      <c r="A6089" s="3">
        <v>6088</v>
      </c>
      <c r="B6089" s="1" t="s">
        <v>8705</v>
      </c>
      <c r="D6089" s="1" t="s">
        <v>8706</v>
      </c>
      <c r="F6089" s="1" t="s">
        <v>8738</v>
      </c>
      <c r="H6089" s="1" t="s">
        <v>8741</v>
      </c>
      <c r="J6089" s="1" t="s">
        <v>8744</v>
      </c>
      <c r="L6089" s="1" t="s">
        <v>1769</v>
      </c>
      <c r="N6089" s="1" t="s">
        <v>1430</v>
      </c>
      <c r="P6089" s="1" t="s">
        <v>2329</v>
      </c>
      <c r="Q6089" s="3">
        <v>0</v>
      </c>
      <c r="R6089" s="22" t="s">
        <v>2721</v>
      </c>
      <c r="S6089" s="42" t="s">
        <v>6912</v>
      </c>
      <c r="T6089" s="3" t="s">
        <v>4868</v>
      </c>
      <c r="U6089" s="45">
        <v>35</v>
      </c>
      <c r="V6089" t="s">
        <v>8710</v>
      </c>
      <c r="W6089" s="1" t="str">
        <f>HYPERLINK("http://ictvonline.org/taxonomy/p/taxonomy-history?taxnode_id=201902413","ICTVonline=201902413")</f>
        <v>ICTVonline=201902413</v>
      </c>
    </row>
    <row r="6090" spans="1:23">
      <c r="A6090" s="3">
        <v>6089</v>
      </c>
      <c r="B6090" s="1" t="s">
        <v>8705</v>
      </c>
      <c r="D6090" s="1" t="s">
        <v>8706</v>
      </c>
      <c r="F6090" s="1" t="s">
        <v>8738</v>
      </c>
      <c r="H6090" s="1" t="s">
        <v>8741</v>
      </c>
      <c r="J6090" s="1" t="s">
        <v>8744</v>
      </c>
      <c r="L6090" s="1" t="s">
        <v>1769</v>
      </c>
      <c r="N6090" s="1" t="s">
        <v>1430</v>
      </c>
      <c r="P6090" s="1" t="s">
        <v>2330</v>
      </c>
      <c r="Q6090" s="3">
        <v>0</v>
      </c>
      <c r="R6090" s="22" t="s">
        <v>2721</v>
      </c>
      <c r="S6090" s="42" t="s">
        <v>6912</v>
      </c>
      <c r="T6090" s="3" t="s">
        <v>4868</v>
      </c>
      <c r="U6090" s="45">
        <v>35</v>
      </c>
      <c r="V6090" t="s">
        <v>8710</v>
      </c>
      <c r="W6090" s="1" t="str">
        <f>HYPERLINK("http://ictvonline.org/taxonomy/p/taxonomy-history?taxnode_id=201902414","ICTVonline=201902414")</f>
        <v>ICTVonline=201902414</v>
      </c>
    </row>
    <row r="6091" spans="1:23">
      <c r="A6091" s="3">
        <v>6090</v>
      </c>
      <c r="B6091" s="1" t="s">
        <v>8705</v>
      </c>
      <c r="D6091" s="1" t="s">
        <v>8706</v>
      </c>
      <c r="F6091" s="1" t="s">
        <v>8738</v>
      </c>
      <c r="H6091" s="1" t="s">
        <v>8741</v>
      </c>
      <c r="J6091" s="1" t="s">
        <v>8744</v>
      </c>
      <c r="L6091" s="1" t="s">
        <v>1769</v>
      </c>
      <c r="N6091" s="1" t="s">
        <v>1430</v>
      </c>
      <c r="P6091" s="1" t="s">
        <v>5165</v>
      </c>
      <c r="Q6091" s="3">
        <v>0</v>
      </c>
      <c r="R6091" s="22" t="s">
        <v>2721</v>
      </c>
      <c r="S6091" s="42" t="s">
        <v>6912</v>
      </c>
      <c r="T6091" s="3" t="s">
        <v>4868</v>
      </c>
      <c r="U6091" s="45">
        <v>35</v>
      </c>
      <c r="V6091" t="s">
        <v>8710</v>
      </c>
      <c r="W6091" s="1" t="str">
        <f>HYPERLINK("http://ictvonline.org/taxonomy/p/taxonomy-history?taxnode_id=201905655","ICTVonline=201905655")</f>
        <v>ICTVonline=201905655</v>
      </c>
    </row>
    <row r="6092" spans="1:23">
      <c r="A6092" s="3">
        <v>6091</v>
      </c>
      <c r="B6092" s="1" t="s">
        <v>8705</v>
      </c>
      <c r="D6092" s="1" t="s">
        <v>8706</v>
      </c>
      <c r="F6092" s="1" t="s">
        <v>8738</v>
      </c>
      <c r="H6092" s="1" t="s">
        <v>8741</v>
      </c>
      <c r="J6092" s="1" t="s">
        <v>8744</v>
      </c>
      <c r="L6092" s="1" t="s">
        <v>1769</v>
      </c>
      <c r="N6092" s="1" t="s">
        <v>1430</v>
      </c>
      <c r="P6092" s="1" t="s">
        <v>5166</v>
      </c>
      <c r="Q6092" s="3">
        <v>0</v>
      </c>
      <c r="R6092" s="22" t="s">
        <v>2721</v>
      </c>
      <c r="S6092" s="42" t="s">
        <v>6912</v>
      </c>
      <c r="T6092" s="3" t="s">
        <v>4868</v>
      </c>
      <c r="U6092" s="45">
        <v>35</v>
      </c>
      <c r="V6092" t="s">
        <v>8710</v>
      </c>
      <c r="W6092" s="1" t="str">
        <f>HYPERLINK("http://ictvonline.org/taxonomy/p/taxonomy-history?taxnode_id=201905656","ICTVonline=201905656")</f>
        <v>ICTVonline=201905656</v>
      </c>
    </row>
    <row r="6093" spans="1:23">
      <c r="A6093" s="3">
        <v>6092</v>
      </c>
      <c r="B6093" s="1" t="s">
        <v>8705</v>
      </c>
      <c r="D6093" s="1" t="s">
        <v>8706</v>
      </c>
      <c r="F6093" s="1" t="s">
        <v>8738</v>
      </c>
      <c r="H6093" s="1" t="s">
        <v>8741</v>
      </c>
      <c r="J6093" s="1" t="s">
        <v>8744</v>
      </c>
      <c r="L6093" s="1" t="s">
        <v>1769</v>
      </c>
      <c r="N6093" s="1" t="s">
        <v>1430</v>
      </c>
      <c r="P6093" s="1" t="s">
        <v>5167</v>
      </c>
      <c r="Q6093" s="3">
        <v>0</v>
      </c>
      <c r="R6093" s="22" t="s">
        <v>2721</v>
      </c>
      <c r="S6093" s="42" t="s">
        <v>6912</v>
      </c>
      <c r="T6093" s="3" t="s">
        <v>4868</v>
      </c>
      <c r="U6093" s="45">
        <v>35</v>
      </c>
      <c r="V6093" t="s">
        <v>8710</v>
      </c>
      <c r="W6093" s="1" t="str">
        <f>HYPERLINK("http://ictvonline.org/taxonomy/p/taxonomy-history?taxnode_id=201905657","ICTVonline=201905657")</f>
        <v>ICTVonline=201905657</v>
      </c>
    </row>
    <row r="6094" spans="1:23">
      <c r="A6094" s="3">
        <v>6093</v>
      </c>
      <c r="B6094" s="1" t="s">
        <v>8705</v>
      </c>
      <c r="D6094" s="1" t="s">
        <v>8706</v>
      </c>
      <c r="F6094" s="1" t="s">
        <v>8738</v>
      </c>
      <c r="H6094" s="1" t="s">
        <v>8741</v>
      </c>
      <c r="J6094" s="1" t="s">
        <v>8744</v>
      </c>
      <c r="L6094" s="1" t="s">
        <v>1769</v>
      </c>
      <c r="N6094" s="1" t="s">
        <v>1430</v>
      </c>
      <c r="P6094" s="1" t="s">
        <v>5168</v>
      </c>
      <c r="Q6094" s="3">
        <v>0</v>
      </c>
      <c r="R6094" s="22" t="s">
        <v>2721</v>
      </c>
      <c r="S6094" s="42" t="s">
        <v>6912</v>
      </c>
      <c r="T6094" s="3" t="s">
        <v>4868</v>
      </c>
      <c r="U6094" s="45">
        <v>35</v>
      </c>
      <c r="V6094" t="s">
        <v>8710</v>
      </c>
      <c r="W6094" s="1" t="str">
        <f>HYPERLINK("http://ictvonline.org/taxonomy/p/taxonomy-history?taxnode_id=201905658","ICTVonline=201905658")</f>
        <v>ICTVonline=201905658</v>
      </c>
    </row>
    <row r="6095" spans="1:23">
      <c r="A6095" s="3">
        <v>6094</v>
      </c>
      <c r="B6095" s="1" t="s">
        <v>8705</v>
      </c>
      <c r="D6095" s="1" t="s">
        <v>8706</v>
      </c>
      <c r="F6095" s="1" t="s">
        <v>8738</v>
      </c>
      <c r="H6095" s="1" t="s">
        <v>8741</v>
      </c>
      <c r="J6095" s="1" t="s">
        <v>8744</v>
      </c>
      <c r="L6095" s="1" t="s">
        <v>1769</v>
      </c>
      <c r="N6095" s="1" t="s">
        <v>1430</v>
      </c>
      <c r="P6095" s="1" t="s">
        <v>5169</v>
      </c>
      <c r="Q6095" s="3">
        <v>0</v>
      </c>
      <c r="R6095" s="22" t="s">
        <v>2721</v>
      </c>
      <c r="S6095" s="42" t="s">
        <v>6912</v>
      </c>
      <c r="T6095" s="3" t="s">
        <v>4868</v>
      </c>
      <c r="U6095" s="45">
        <v>35</v>
      </c>
      <c r="V6095" t="s">
        <v>8710</v>
      </c>
      <c r="W6095" s="1" t="str">
        <f>HYPERLINK("http://ictvonline.org/taxonomy/p/taxonomy-history?taxnode_id=201905659","ICTVonline=201905659")</f>
        <v>ICTVonline=201905659</v>
      </c>
    </row>
    <row r="6096" spans="1:23">
      <c r="A6096" s="3">
        <v>6095</v>
      </c>
      <c r="B6096" s="1" t="s">
        <v>8705</v>
      </c>
      <c r="D6096" s="1" t="s">
        <v>8706</v>
      </c>
      <c r="F6096" s="1" t="s">
        <v>8738</v>
      </c>
      <c r="H6096" s="1" t="s">
        <v>8741</v>
      </c>
      <c r="J6096" s="1" t="s">
        <v>8744</v>
      </c>
      <c r="L6096" s="1" t="s">
        <v>1769</v>
      </c>
      <c r="N6096" s="1" t="s">
        <v>1430</v>
      </c>
      <c r="P6096" s="1" t="s">
        <v>8747</v>
      </c>
      <c r="Q6096" s="3">
        <v>0</v>
      </c>
      <c r="R6096" s="22" t="s">
        <v>2721</v>
      </c>
      <c r="S6096" s="42" t="s">
        <v>6914</v>
      </c>
      <c r="T6096" s="3" t="s">
        <v>4866</v>
      </c>
      <c r="U6096" s="45">
        <v>35</v>
      </c>
      <c r="V6096" t="s">
        <v>8746</v>
      </c>
      <c r="W6096" s="1" t="str">
        <f>HYPERLINK("http://ictvonline.org/taxonomy/p/taxonomy-history?taxnode_id=201907193","ICTVonline=201907193")</f>
        <v>ICTVonline=201907193</v>
      </c>
    </row>
    <row r="6097" spans="1:23">
      <c r="A6097" s="3">
        <v>6096</v>
      </c>
      <c r="B6097" s="1" t="s">
        <v>8705</v>
      </c>
      <c r="D6097" s="1" t="s">
        <v>8706</v>
      </c>
      <c r="F6097" s="1" t="s">
        <v>8738</v>
      </c>
      <c r="H6097" s="1" t="s">
        <v>8741</v>
      </c>
      <c r="J6097" s="1" t="s">
        <v>8744</v>
      </c>
      <c r="L6097" s="1" t="s">
        <v>1769</v>
      </c>
      <c r="N6097" s="1" t="s">
        <v>1430</v>
      </c>
      <c r="P6097" s="1" t="s">
        <v>8748</v>
      </c>
      <c r="Q6097" s="3">
        <v>0</v>
      </c>
      <c r="R6097" s="22" t="s">
        <v>2721</v>
      </c>
      <c r="S6097" s="42" t="s">
        <v>6914</v>
      </c>
      <c r="T6097" s="3" t="s">
        <v>4866</v>
      </c>
      <c r="U6097" s="45">
        <v>35</v>
      </c>
      <c r="V6097" t="s">
        <v>8746</v>
      </c>
      <c r="W6097" s="1" t="str">
        <f>HYPERLINK("http://ictvonline.org/taxonomy/p/taxonomy-history?taxnode_id=201907194","ICTVonline=201907194")</f>
        <v>ICTVonline=201907194</v>
      </c>
    </row>
    <row r="6098" spans="1:23">
      <c r="A6098" s="3">
        <v>6097</v>
      </c>
      <c r="B6098" s="1" t="s">
        <v>8705</v>
      </c>
      <c r="D6098" s="1" t="s">
        <v>8706</v>
      </c>
      <c r="F6098" s="1" t="s">
        <v>8738</v>
      </c>
      <c r="H6098" s="1" t="s">
        <v>8741</v>
      </c>
      <c r="J6098" s="1" t="s">
        <v>8744</v>
      </c>
      <c r="L6098" s="1" t="s">
        <v>1769</v>
      </c>
      <c r="N6098" s="1" t="s">
        <v>1430</v>
      </c>
      <c r="P6098" s="1" t="s">
        <v>8749</v>
      </c>
      <c r="Q6098" s="3">
        <v>0</v>
      </c>
      <c r="R6098" s="22" t="s">
        <v>2721</v>
      </c>
      <c r="S6098" s="42" t="s">
        <v>6914</v>
      </c>
      <c r="T6098" s="3" t="s">
        <v>4866</v>
      </c>
      <c r="U6098" s="45">
        <v>35</v>
      </c>
      <c r="V6098" t="s">
        <v>8746</v>
      </c>
      <c r="W6098" s="1" t="str">
        <f>HYPERLINK("http://ictvonline.org/taxonomy/p/taxonomy-history?taxnode_id=201907195","ICTVonline=201907195")</f>
        <v>ICTVonline=201907195</v>
      </c>
    </row>
    <row r="6099" spans="1:23">
      <c r="A6099" s="3">
        <v>6098</v>
      </c>
      <c r="B6099" s="1" t="s">
        <v>8705</v>
      </c>
      <c r="D6099" s="1" t="s">
        <v>8706</v>
      </c>
      <c r="F6099" s="1" t="s">
        <v>8738</v>
      </c>
      <c r="H6099" s="1" t="s">
        <v>8741</v>
      </c>
      <c r="J6099" s="1" t="s">
        <v>8744</v>
      </c>
      <c r="L6099" s="1" t="s">
        <v>1769</v>
      </c>
      <c r="N6099" s="1" t="s">
        <v>1430</v>
      </c>
      <c r="P6099" s="1" t="s">
        <v>2331</v>
      </c>
      <c r="Q6099" s="3">
        <v>0</v>
      </c>
      <c r="R6099" s="22" t="s">
        <v>2721</v>
      </c>
      <c r="S6099" s="42" t="s">
        <v>6912</v>
      </c>
      <c r="T6099" s="3" t="s">
        <v>4868</v>
      </c>
      <c r="U6099" s="45">
        <v>35</v>
      </c>
      <c r="V6099" t="s">
        <v>8710</v>
      </c>
      <c r="W6099" s="1" t="str">
        <f>HYPERLINK("http://ictvonline.org/taxonomy/p/taxonomy-history?taxnode_id=201902415","ICTVonline=201902415")</f>
        <v>ICTVonline=201902415</v>
      </c>
    </row>
    <row r="6100" spans="1:23">
      <c r="A6100" s="3">
        <v>6099</v>
      </c>
      <c r="B6100" s="1" t="s">
        <v>8705</v>
      </c>
      <c r="D6100" s="1" t="s">
        <v>8706</v>
      </c>
      <c r="F6100" s="1" t="s">
        <v>8738</v>
      </c>
      <c r="H6100" s="1" t="s">
        <v>8741</v>
      </c>
      <c r="J6100" s="1" t="s">
        <v>8744</v>
      </c>
      <c r="L6100" s="1" t="s">
        <v>1769</v>
      </c>
      <c r="N6100" s="1" t="s">
        <v>1430</v>
      </c>
      <c r="P6100" s="1" t="s">
        <v>2332</v>
      </c>
      <c r="Q6100" s="3">
        <v>0</v>
      </c>
      <c r="R6100" s="22" t="s">
        <v>2721</v>
      </c>
      <c r="S6100" s="42" t="s">
        <v>6912</v>
      </c>
      <c r="T6100" s="3" t="s">
        <v>4868</v>
      </c>
      <c r="U6100" s="45">
        <v>35</v>
      </c>
      <c r="V6100" t="s">
        <v>8710</v>
      </c>
      <c r="W6100" s="1" t="str">
        <f>HYPERLINK("http://ictvonline.org/taxonomy/p/taxonomy-history?taxnode_id=201902416","ICTVonline=201902416")</f>
        <v>ICTVonline=201902416</v>
      </c>
    </row>
    <row r="6101" spans="1:23">
      <c r="A6101" s="3">
        <v>6100</v>
      </c>
      <c r="B6101" s="1" t="s">
        <v>8705</v>
      </c>
      <c r="D6101" s="1" t="s">
        <v>8706</v>
      </c>
      <c r="F6101" s="1" t="s">
        <v>8738</v>
      </c>
      <c r="H6101" s="1" t="s">
        <v>8741</v>
      </c>
      <c r="J6101" s="1" t="s">
        <v>8744</v>
      </c>
      <c r="L6101" s="1" t="s">
        <v>1769</v>
      </c>
      <c r="N6101" s="1" t="s">
        <v>1430</v>
      </c>
      <c r="P6101" s="1" t="s">
        <v>2333</v>
      </c>
      <c r="Q6101" s="3">
        <v>0</v>
      </c>
      <c r="R6101" s="22" t="s">
        <v>2721</v>
      </c>
      <c r="S6101" s="42" t="s">
        <v>6912</v>
      </c>
      <c r="T6101" s="3" t="s">
        <v>4868</v>
      </c>
      <c r="U6101" s="45">
        <v>35</v>
      </c>
      <c r="V6101" t="s">
        <v>8710</v>
      </c>
      <c r="W6101" s="1" t="str">
        <f>HYPERLINK("http://ictvonline.org/taxonomy/p/taxonomy-history?taxnode_id=201902417","ICTVonline=201902417")</f>
        <v>ICTVonline=201902417</v>
      </c>
    </row>
    <row r="6102" spans="1:23">
      <c r="A6102" s="3">
        <v>6101</v>
      </c>
      <c r="B6102" s="1" t="s">
        <v>8705</v>
      </c>
      <c r="D6102" s="1" t="s">
        <v>8706</v>
      </c>
      <c r="F6102" s="1" t="s">
        <v>8738</v>
      </c>
      <c r="H6102" s="1" t="s">
        <v>8741</v>
      </c>
      <c r="J6102" s="1" t="s">
        <v>8744</v>
      </c>
      <c r="L6102" s="1" t="s">
        <v>1769</v>
      </c>
      <c r="N6102" s="1" t="s">
        <v>1430</v>
      </c>
      <c r="P6102" s="1" t="s">
        <v>2334</v>
      </c>
      <c r="Q6102" s="3">
        <v>0</v>
      </c>
      <c r="R6102" s="22" t="s">
        <v>2721</v>
      </c>
      <c r="S6102" s="42" t="s">
        <v>6912</v>
      </c>
      <c r="T6102" s="3" t="s">
        <v>4868</v>
      </c>
      <c r="U6102" s="45">
        <v>35</v>
      </c>
      <c r="V6102" t="s">
        <v>8710</v>
      </c>
      <c r="W6102" s="1" t="str">
        <f>HYPERLINK("http://ictvonline.org/taxonomy/p/taxonomy-history?taxnode_id=201902418","ICTVonline=201902418")</f>
        <v>ICTVonline=201902418</v>
      </c>
    </row>
    <row r="6103" spans="1:23">
      <c r="A6103" s="3">
        <v>6102</v>
      </c>
      <c r="B6103" s="1" t="s">
        <v>8705</v>
      </c>
      <c r="D6103" s="1" t="s">
        <v>8706</v>
      </c>
      <c r="F6103" s="1" t="s">
        <v>8738</v>
      </c>
      <c r="H6103" s="1" t="s">
        <v>8741</v>
      </c>
      <c r="J6103" s="1" t="s">
        <v>8744</v>
      </c>
      <c r="L6103" s="1" t="s">
        <v>1769</v>
      </c>
      <c r="N6103" s="1" t="s">
        <v>1430</v>
      </c>
      <c r="P6103" s="1" t="s">
        <v>5170</v>
      </c>
      <c r="Q6103" s="3">
        <v>0</v>
      </c>
      <c r="R6103" s="22" t="s">
        <v>2721</v>
      </c>
      <c r="S6103" s="42" t="s">
        <v>6912</v>
      </c>
      <c r="T6103" s="3" t="s">
        <v>4868</v>
      </c>
      <c r="U6103" s="45">
        <v>35</v>
      </c>
      <c r="V6103" t="s">
        <v>8710</v>
      </c>
      <c r="W6103" s="1" t="str">
        <f>HYPERLINK("http://ictvonline.org/taxonomy/p/taxonomy-history?taxnode_id=201905660","ICTVonline=201905660")</f>
        <v>ICTVonline=201905660</v>
      </c>
    </row>
    <row r="6104" spans="1:23">
      <c r="A6104" s="3">
        <v>6103</v>
      </c>
      <c r="B6104" s="1" t="s">
        <v>8705</v>
      </c>
      <c r="D6104" s="1" t="s">
        <v>8706</v>
      </c>
      <c r="F6104" s="1" t="s">
        <v>8738</v>
      </c>
      <c r="H6104" s="1" t="s">
        <v>8741</v>
      </c>
      <c r="J6104" s="1" t="s">
        <v>8744</v>
      </c>
      <c r="L6104" s="1" t="s">
        <v>1769</v>
      </c>
      <c r="N6104" s="1" t="s">
        <v>1430</v>
      </c>
      <c r="P6104" s="1" t="s">
        <v>4562</v>
      </c>
      <c r="Q6104" s="3">
        <v>0</v>
      </c>
      <c r="R6104" s="22" t="s">
        <v>2721</v>
      </c>
      <c r="S6104" s="42" t="s">
        <v>6912</v>
      </c>
      <c r="T6104" s="3" t="s">
        <v>4868</v>
      </c>
      <c r="U6104" s="45">
        <v>35</v>
      </c>
      <c r="V6104" t="s">
        <v>8710</v>
      </c>
      <c r="W6104" s="1" t="str">
        <f>HYPERLINK("http://ictvonline.org/taxonomy/p/taxonomy-history?taxnode_id=201902419","ICTVonline=201902419")</f>
        <v>ICTVonline=201902419</v>
      </c>
    </row>
    <row r="6105" spans="1:23">
      <c r="A6105" s="3">
        <v>6104</v>
      </c>
      <c r="B6105" s="1" t="s">
        <v>8705</v>
      </c>
      <c r="D6105" s="1" t="s">
        <v>8706</v>
      </c>
      <c r="F6105" s="1" t="s">
        <v>8738</v>
      </c>
      <c r="H6105" s="1" t="s">
        <v>8741</v>
      </c>
      <c r="J6105" s="1" t="s">
        <v>8744</v>
      </c>
      <c r="L6105" s="1" t="s">
        <v>1769</v>
      </c>
      <c r="N6105" s="1" t="s">
        <v>1430</v>
      </c>
      <c r="P6105" s="1" t="s">
        <v>5171</v>
      </c>
      <c r="Q6105" s="3">
        <v>0</v>
      </c>
      <c r="R6105" s="22" t="s">
        <v>2721</v>
      </c>
      <c r="S6105" s="42" t="s">
        <v>6912</v>
      </c>
      <c r="T6105" s="3" t="s">
        <v>4868</v>
      </c>
      <c r="U6105" s="45">
        <v>35</v>
      </c>
      <c r="V6105" t="s">
        <v>8710</v>
      </c>
      <c r="W6105" s="1" t="str">
        <f>HYPERLINK("http://ictvonline.org/taxonomy/p/taxonomy-history?taxnode_id=201905661","ICTVonline=201905661")</f>
        <v>ICTVonline=201905661</v>
      </c>
    </row>
    <row r="6106" spans="1:23">
      <c r="A6106" s="3">
        <v>6105</v>
      </c>
      <c r="B6106" s="1" t="s">
        <v>8705</v>
      </c>
      <c r="D6106" s="1" t="s">
        <v>8706</v>
      </c>
      <c r="F6106" s="1" t="s">
        <v>8738</v>
      </c>
      <c r="H6106" s="1" t="s">
        <v>8741</v>
      </c>
      <c r="J6106" s="1" t="s">
        <v>8744</v>
      </c>
      <c r="L6106" s="1" t="s">
        <v>1769</v>
      </c>
      <c r="N6106" s="1" t="s">
        <v>1430</v>
      </c>
      <c r="P6106" s="1" t="s">
        <v>2335</v>
      </c>
      <c r="Q6106" s="3">
        <v>0</v>
      </c>
      <c r="R6106" s="22" t="s">
        <v>2721</v>
      </c>
      <c r="S6106" s="42" t="s">
        <v>6912</v>
      </c>
      <c r="T6106" s="3" t="s">
        <v>4868</v>
      </c>
      <c r="U6106" s="45">
        <v>35</v>
      </c>
      <c r="V6106" t="s">
        <v>8710</v>
      </c>
      <c r="W6106" s="1" t="str">
        <f>HYPERLINK("http://ictvonline.org/taxonomy/p/taxonomy-history?taxnode_id=201902420","ICTVonline=201902420")</f>
        <v>ICTVonline=201902420</v>
      </c>
    </row>
    <row r="6107" spans="1:23">
      <c r="A6107" s="3">
        <v>6106</v>
      </c>
      <c r="B6107" s="1" t="s">
        <v>8705</v>
      </c>
      <c r="D6107" s="1" t="s">
        <v>8706</v>
      </c>
      <c r="F6107" s="1" t="s">
        <v>8738</v>
      </c>
      <c r="H6107" s="1" t="s">
        <v>8741</v>
      </c>
      <c r="J6107" s="1" t="s">
        <v>8744</v>
      </c>
      <c r="L6107" s="1" t="s">
        <v>1769</v>
      </c>
      <c r="N6107" s="1" t="s">
        <v>1430</v>
      </c>
      <c r="P6107" s="1" t="s">
        <v>2336</v>
      </c>
      <c r="Q6107" s="3">
        <v>0</v>
      </c>
      <c r="R6107" s="22" t="s">
        <v>2721</v>
      </c>
      <c r="S6107" s="42" t="s">
        <v>6912</v>
      </c>
      <c r="T6107" s="3" t="s">
        <v>4868</v>
      </c>
      <c r="U6107" s="45">
        <v>35</v>
      </c>
      <c r="V6107" t="s">
        <v>8710</v>
      </c>
      <c r="W6107" s="1" t="str">
        <f>HYPERLINK("http://ictvonline.org/taxonomy/p/taxonomy-history?taxnode_id=201902421","ICTVonline=201902421")</f>
        <v>ICTVonline=201902421</v>
      </c>
    </row>
    <row r="6108" spans="1:23">
      <c r="A6108" s="3">
        <v>6107</v>
      </c>
      <c r="B6108" s="1" t="s">
        <v>8705</v>
      </c>
      <c r="D6108" s="1" t="s">
        <v>8706</v>
      </c>
      <c r="F6108" s="1" t="s">
        <v>8738</v>
      </c>
      <c r="H6108" s="1" t="s">
        <v>8741</v>
      </c>
      <c r="J6108" s="1" t="s">
        <v>8744</v>
      </c>
      <c r="L6108" s="1" t="s">
        <v>1769</v>
      </c>
      <c r="N6108" s="1" t="s">
        <v>1430</v>
      </c>
      <c r="P6108" s="1" t="s">
        <v>2337</v>
      </c>
      <c r="Q6108" s="3">
        <v>0</v>
      </c>
      <c r="R6108" s="22" t="s">
        <v>2721</v>
      </c>
      <c r="S6108" s="42" t="s">
        <v>6912</v>
      </c>
      <c r="T6108" s="3" t="s">
        <v>4868</v>
      </c>
      <c r="U6108" s="45">
        <v>35</v>
      </c>
      <c r="V6108" t="s">
        <v>8710</v>
      </c>
      <c r="W6108" s="1" t="str">
        <f>HYPERLINK("http://ictvonline.org/taxonomy/p/taxonomy-history?taxnode_id=201902422","ICTVonline=201902422")</f>
        <v>ICTVonline=201902422</v>
      </c>
    </row>
    <row r="6109" spans="1:23">
      <c r="A6109" s="3">
        <v>6108</v>
      </c>
      <c r="B6109" s="1" t="s">
        <v>8705</v>
      </c>
      <c r="D6109" s="1" t="s">
        <v>8706</v>
      </c>
      <c r="F6109" s="1" t="s">
        <v>8738</v>
      </c>
      <c r="H6109" s="1" t="s">
        <v>8741</v>
      </c>
      <c r="J6109" s="1" t="s">
        <v>8744</v>
      </c>
      <c r="L6109" s="1" t="s">
        <v>1769</v>
      </c>
      <c r="N6109" s="1" t="s">
        <v>1430</v>
      </c>
      <c r="P6109" s="1" t="s">
        <v>2338</v>
      </c>
      <c r="Q6109" s="3">
        <v>0</v>
      </c>
      <c r="R6109" s="22" t="s">
        <v>2721</v>
      </c>
      <c r="S6109" s="42" t="s">
        <v>6912</v>
      </c>
      <c r="T6109" s="3" t="s">
        <v>4868</v>
      </c>
      <c r="U6109" s="45">
        <v>35</v>
      </c>
      <c r="V6109" t="s">
        <v>8710</v>
      </c>
      <c r="W6109" s="1" t="str">
        <f>HYPERLINK("http://ictvonline.org/taxonomy/p/taxonomy-history?taxnode_id=201902423","ICTVonline=201902423")</f>
        <v>ICTVonline=201902423</v>
      </c>
    </row>
    <row r="6110" spans="1:23">
      <c r="A6110" s="3">
        <v>6109</v>
      </c>
      <c r="B6110" s="1" t="s">
        <v>8705</v>
      </c>
      <c r="D6110" s="1" t="s">
        <v>8706</v>
      </c>
      <c r="F6110" s="1" t="s">
        <v>8738</v>
      </c>
      <c r="H6110" s="1" t="s">
        <v>8741</v>
      </c>
      <c r="J6110" s="1" t="s">
        <v>8744</v>
      </c>
      <c r="L6110" s="1" t="s">
        <v>1769</v>
      </c>
      <c r="N6110" s="1" t="s">
        <v>1430</v>
      </c>
      <c r="P6110" s="1" t="s">
        <v>2339</v>
      </c>
      <c r="Q6110" s="3">
        <v>1</v>
      </c>
      <c r="R6110" s="22" t="s">
        <v>2721</v>
      </c>
      <c r="S6110" s="42" t="s">
        <v>6912</v>
      </c>
      <c r="T6110" s="3" t="s">
        <v>4868</v>
      </c>
      <c r="U6110" s="45">
        <v>35</v>
      </c>
      <c r="V6110" t="s">
        <v>8710</v>
      </c>
      <c r="W6110" s="1" t="str">
        <f>HYPERLINK("http://ictvonline.org/taxonomy/p/taxonomy-history?taxnode_id=201902424","ICTVonline=201902424")</f>
        <v>ICTVonline=201902424</v>
      </c>
    </row>
    <row r="6111" spans="1:23">
      <c r="A6111" s="3">
        <v>6110</v>
      </c>
      <c r="B6111" s="1" t="s">
        <v>8705</v>
      </c>
      <c r="D6111" s="1" t="s">
        <v>8706</v>
      </c>
      <c r="F6111" s="1" t="s">
        <v>8738</v>
      </c>
      <c r="H6111" s="1" t="s">
        <v>8741</v>
      </c>
      <c r="J6111" s="1" t="s">
        <v>8744</v>
      </c>
      <c r="L6111" s="1" t="s">
        <v>1769</v>
      </c>
      <c r="N6111" s="1" t="s">
        <v>1430</v>
      </c>
      <c r="P6111" s="1" t="s">
        <v>2340</v>
      </c>
      <c r="Q6111" s="3">
        <v>0</v>
      </c>
      <c r="R6111" s="22" t="s">
        <v>2721</v>
      </c>
      <c r="S6111" s="42" t="s">
        <v>6912</v>
      </c>
      <c r="T6111" s="3" t="s">
        <v>4868</v>
      </c>
      <c r="U6111" s="45">
        <v>35</v>
      </c>
      <c r="V6111" t="s">
        <v>8710</v>
      </c>
      <c r="W6111" s="1" t="str">
        <f>HYPERLINK("http://ictvonline.org/taxonomy/p/taxonomy-history?taxnode_id=201902425","ICTVonline=201902425")</f>
        <v>ICTVonline=201902425</v>
      </c>
    </row>
    <row r="6112" spans="1:23">
      <c r="A6112" s="3">
        <v>6111</v>
      </c>
      <c r="B6112" s="1" t="s">
        <v>8705</v>
      </c>
      <c r="D6112" s="1" t="s">
        <v>8706</v>
      </c>
      <c r="F6112" s="1" t="s">
        <v>8738</v>
      </c>
      <c r="H6112" s="1" t="s">
        <v>8741</v>
      </c>
      <c r="J6112" s="1" t="s">
        <v>8744</v>
      </c>
      <c r="L6112" s="1" t="s">
        <v>1769</v>
      </c>
      <c r="N6112" s="1" t="s">
        <v>1430</v>
      </c>
      <c r="P6112" s="1" t="s">
        <v>2341</v>
      </c>
      <c r="Q6112" s="3">
        <v>0</v>
      </c>
      <c r="R6112" s="22" t="s">
        <v>2721</v>
      </c>
      <c r="S6112" s="42" t="s">
        <v>6912</v>
      </c>
      <c r="T6112" s="3" t="s">
        <v>4868</v>
      </c>
      <c r="U6112" s="45">
        <v>35</v>
      </c>
      <c r="V6112" t="s">
        <v>8710</v>
      </c>
      <c r="W6112" s="1" t="str">
        <f>HYPERLINK("http://ictvonline.org/taxonomy/p/taxonomy-history?taxnode_id=201902426","ICTVonline=201902426")</f>
        <v>ICTVonline=201902426</v>
      </c>
    </row>
    <row r="6113" spans="1:23">
      <c r="A6113" s="3">
        <v>6112</v>
      </c>
      <c r="B6113" s="1" t="s">
        <v>8705</v>
      </c>
      <c r="D6113" s="1" t="s">
        <v>8706</v>
      </c>
      <c r="F6113" s="1" t="s">
        <v>8738</v>
      </c>
      <c r="H6113" s="1" t="s">
        <v>8741</v>
      </c>
      <c r="J6113" s="1" t="s">
        <v>8744</v>
      </c>
      <c r="L6113" s="1" t="s">
        <v>1769</v>
      </c>
      <c r="N6113" s="1" t="s">
        <v>1430</v>
      </c>
      <c r="P6113" s="1" t="s">
        <v>2342</v>
      </c>
      <c r="Q6113" s="3">
        <v>0</v>
      </c>
      <c r="R6113" s="22" t="s">
        <v>2721</v>
      </c>
      <c r="S6113" s="42" t="s">
        <v>6912</v>
      </c>
      <c r="T6113" s="3" t="s">
        <v>4868</v>
      </c>
      <c r="U6113" s="45">
        <v>35</v>
      </c>
      <c r="V6113" t="s">
        <v>8710</v>
      </c>
      <c r="W6113" s="1" t="str">
        <f>HYPERLINK("http://ictvonline.org/taxonomy/p/taxonomy-history?taxnode_id=201902427","ICTVonline=201902427")</f>
        <v>ICTVonline=201902427</v>
      </c>
    </row>
    <row r="6114" spans="1:23">
      <c r="A6114" s="3">
        <v>6113</v>
      </c>
      <c r="B6114" s="1" t="s">
        <v>8705</v>
      </c>
      <c r="D6114" s="1" t="s">
        <v>8706</v>
      </c>
      <c r="F6114" s="1" t="s">
        <v>8738</v>
      </c>
      <c r="H6114" s="1" t="s">
        <v>8741</v>
      </c>
      <c r="J6114" s="1" t="s">
        <v>8744</v>
      </c>
      <c r="L6114" s="1" t="s">
        <v>1769</v>
      </c>
      <c r="N6114" s="1" t="s">
        <v>1430</v>
      </c>
      <c r="P6114" s="1" t="s">
        <v>2343</v>
      </c>
      <c r="Q6114" s="3">
        <v>0</v>
      </c>
      <c r="R6114" s="22" t="s">
        <v>2721</v>
      </c>
      <c r="S6114" s="42" t="s">
        <v>6912</v>
      </c>
      <c r="T6114" s="3" t="s">
        <v>4868</v>
      </c>
      <c r="U6114" s="45">
        <v>35</v>
      </c>
      <c r="V6114" t="s">
        <v>8710</v>
      </c>
      <c r="W6114" s="1" t="str">
        <f>HYPERLINK("http://ictvonline.org/taxonomy/p/taxonomy-history?taxnode_id=201902428","ICTVonline=201902428")</f>
        <v>ICTVonline=201902428</v>
      </c>
    </row>
    <row r="6115" spans="1:23">
      <c r="A6115" s="3">
        <v>6114</v>
      </c>
      <c r="B6115" s="1" t="s">
        <v>8705</v>
      </c>
      <c r="D6115" s="1" t="s">
        <v>8706</v>
      </c>
      <c r="F6115" s="1" t="s">
        <v>8738</v>
      </c>
      <c r="H6115" s="1" t="s">
        <v>8741</v>
      </c>
      <c r="J6115" s="1" t="s">
        <v>8744</v>
      </c>
      <c r="L6115" s="1" t="s">
        <v>1769</v>
      </c>
      <c r="N6115" s="1" t="s">
        <v>1430</v>
      </c>
      <c r="P6115" s="1" t="s">
        <v>2344</v>
      </c>
      <c r="Q6115" s="3">
        <v>0</v>
      </c>
      <c r="R6115" s="22" t="s">
        <v>2721</v>
      </c>
      <c r="S6115" s="42" t="s">
        <v>6912</v>
      </c>
      <c r="T6115" s="3" t="s">
        <v>4868</v>
      </c>
      <c r="U6115" s="45">
        <v>35</v>
      </c>
      <c r="V6115" t="s">
        <v>8710</v>
      </c>
      <c r="W6115" s="1" t="str">
        <f>HYPERLINK("http://ictvonline.org/taxonomy/p/taxonomy-history?taxnode_id=201902429","ICTVonline=201902429")</f>
        <v>ICTVonline=201902429</v>
      </c>
    </row>
    <row r="6116" spans="1:23">
      <c r="A6116" s="3">
        <v>6115</v>
      </c>
      <c r="B6116" s="1" t="s">
        <v>8705</v>
      </c>
      <c r="D6116" s="1" t="s">
        <v>8706</v>
      </c>
      <c r="F6116" s="1" t="s">
        <v>8738</v>
      </c>
      <c r="H6116" s="1" t="s">
        <v>8741</v>
      </c>
      <c r="J6116" s="1" t="s">
        <v>8744</v>
      </c>
      <c r="L6116" s="1" t="s">
        <v>1769</v>
      </c>
      <c r="N6116" s="1" t="s">
        <v>1430</v>
      </c>
      <c r="P6116" s="1" t="s">
        <v>2345</v>
      </c>
      <c r="Q6116" s="3">
        <v>0</v>
      </c>
      <c r="R6116" s="22" t="s">
        <v>2721</v>
      </c>
      <c r="S6116" s="42" t="s">
        <v>6912</v>
      </c>
      <c r="T6116" s="3" t="s">
        <v>4868</v>
      </c>
      <c r="U6116" s="45">
        <v>35</v>
      </c>
      <c r="V6116" t="s">
        <v>8710</v>
      </c>
      <c r="W6116" s="1" t="str">
        <f>HYPERLINK("http://ictvonline.org/taxonomy/p/taxonomy-history?taxnode_id=201902430","ICTVonline=201902430")</f>
        <v>ICTVonline=201902430</v>
      </c>
    </row>
    <row r="6117" spans="1:23">
      <c r="A6117" s="3">
        <v>6116</v>
      </c>
      <c r="B6117" s="1" t="s">
        <v>8705</v>
      </c>
      <c r="D6117" s="1" t="s">
        <v>8706</v>
      </c>
      <c r="F6117" s="1" t="s">
        <v>8738</v>
      </c>
      <c r="H6117" s="1" t="s">
        <v>8741</v>
      </c>
      <c r="J6117" s="1" t="s">
        <v>8744</v>
      </c>
      <c r="L6117" s="1" t="s">
        <v>1769</v>
      </c>
      <c r="N6117" s="1" t="s">
        <v>1430</v>
      </c>
      <c r="P6117" s="1" t="s">
        <v>2346</v>
      </c>
      <c r="Q6117" s="3">
        <v>0</v>
      </c>
      <c r="R6117" s="22" t="s">
        <v>2721</v>
      </c>
      <c r="S6117" s="42" t="s">
        <v>6912</v>
      </c>
      <c r="T6117" s="3" t="s">
        <v>4868</v>
      </c>
      <c r="U6117" s="45">
        <v>35</v>
      </c>
      <c r="V6117" t="s">
        <v>8710</v>
      </c>
      <c r="W6117" s="1" t="str">
        <f>HYPERLINK("http://ictvonline.org/taxonomy/p/taxonomy-history?taxnode_id=201902431","ICTVonline=201902431")</f>
        <v>ICTVonline=201902431</v>
      </c>
    </row>
    <row r="6118" spans="1:23">
      <c r="A6118" s="3">
        <v>6117</v>
      </c>
      <c r="B6118" s="1" t="s">
        <v>8705</v>
      </c>
      <c r="D6118" s="1" t="s">
        <v>8706</v>
      </c>
      <c r="F6118" s="1" t="s">
        <v>8738</v>
      </c>
      <c r="H6118" s="1" t="s">
        <v>8741</v>
      </c>
      <c r="J6118" s="1" t="s">
        <v>8744</v>
      </c>
      <c r="L6118" s="1" t="s">
        <v>1769</v>
      </c>
      <c r="N6118" s="1" t="s">
        <v>1430</v>
      </c>
      <c r="P6118" s="1" t="s">
        <v>2347</v>
      </c>
      <c r="Q6118" s="3">
        <v>0</v>
      </c>
      <c r="R6118" s="22" t="s">
        <v>2721</v>
      </c>
      <c r="S6118" s="42" t="s">
        <v>6912</v>
      </c>
      <c r="T6118" s="3" t="s">
        <v>4868</v>
      </c>
      <c r="U6118" s="45">
        <v>35</v>
      </c>
      <c r="V6118" t="s">
        <v>8710</v>
      </c>
      <c r="W6118" s="1" t="str">
        <f>HYPERLINK("http://ictvonline.org/taxonomy/p/taxonomy-history?taxnode_id=201902432","ICTVonline=201902432")</f>
        <v>ICTVonline=201902432</v>
      </c>
    </row>
    <row r="6119" spans="1:23">
      <c r="A6119" s="3">
        <v>6118</v>
      </c>
      <c r="B6119" s="1" t="s">
        <v>8705</v>
      </c>
      <c r="D6119" s="1" t="s">
        <v>8706</v>
      </c>
      <c r="F6119" s="1" t="s">
        <v>8738</v>
      </c>
      <c r="H6119" s="1" t="s">
        <v>8741</v>
      </c>
      <c r="J6119" s="1" t="s">
        <v>8744</v>
      </c>
      <c r="L6119" s="1" t="s">
        <v>1769</v>
      </c>
      <c r="N6119" s="1" t="s">
        <v>1430</v>
      </c>
      <c r="P6119" s="1" t="s">
        <v>2348</v>
      </c>
      <c r="Q6119" s="3">
        <v>0</v>
      </c>
      <c r="R6119" s="22" t="s">
        <v>2721</v>
      </c>
      <c r="S6119" s="42" t="s">
        <v>6912</v>
      </c>
      <c r="T6119" s="3" t="s">
        <v>4868</v>
      </c>
      <c r="U6119" s="45">
        <v>35</v>
      </c>
      <c r="V6119" t="s">
        <v>8710</v>
      </c>
      <c r="W6119" s="1" t="str">
        <f>HYPERLINK("http://ictvonline.org/taxonomy/p/taxonomy-history?taxnode_id=201902433","ICTVonline=201902433")</f>
        <v>ICTVonline=201902433</v>
      </c>
    </row>
    <row r="6120" spans="1:23">
      <c r="A6120" s="3">
        <v>6119</v>
      </c>
      <c r="B6120" s="1" t="s">
        <v>8705</v>
      </c>
      <c r="D6120" s="1" t="s">
        <v>8706</v>
      </c>
      <c r="F6120" s="1" t="s">
        <v>8738</v>
      </c>
      <c r="H6120" s="1" t="s">
        <v>8741</v>
      </c>
      <c r="J6120" s="1" t="s">
        <v>8744</v>
      </c>
      <c r="L6120" s="1" t="s">
        <v>1769</v>
      </c>
      <c r="N6120" s="1" t="s">
        <v>1430</v>
      </c>
      <c r="P6120" s="1" t="s">
        <v>8750</v>
      </c>
      <c r="Q6120" s="3">
        <v>0</v>
      </c>
      <c r="R6120" s="22" t="s">
        <v>2721</v>
      </c>
      <c r="S6120" s="42" t="s">
        <v>6914</v>
      </c>
      <c r="T6120" s="3" t="s">
        <v>4866</v>
      </c>
      <c r="U6120" s="45">
        <v>35</v>
      </c>
      <c r="V6120" t="s">
        <v>8746</v>
      </c>
      <c r="W6120" s="1" t="str">
        <f>HYPERLINK("http://ictvonline.org/taxonomy/p/taxonomy-history?taxnode_id=201907196","ICTVonline=201907196")</f>
        <v>ICTVonline=201907196</v>
      </c>
    </row>
    <row r="6121" spans="1:23">
      <c r="A6121" s="3">
        <v>6120</v>
      </c>
      <c r="B6121" s="1" t="s">
        <v>8705</v>
      </c>
      <c r="D6121" s="1" t="s">
        <v>8706</v>
      </c>
      <c r="F6121" s="1" t="s">
        <v>8738</v>
      </c>
      <c r="H6121" s="1" t="s">
        <v>8741</v>
      </c>
      <c r="J6121" s="1" t="s">
        <v>8744</v>
      </c>
      <c r="L6121" s="1" t="s">
        <v>1769</v>
      </c>
      <c r="N6121" s="1" t="s">
        <v>1430</v>
      </c>
      <c r="P6121" s="1" t="s">
        <v>4563</v>
      </c>
      <c r="Q6121" s="3">
        <v>0</v>
      </c>
      <c r="R6121" s="22" t="s">
        <v>2721</v>
      </c>
      <c r="S6121" s="42" t="s">
        <v>6912</v>
      </c>
      <c r="T6121" s="3" t="s">
        <v>4868</v>
      </c>
      <c r="U6121" s="45">
        <v>35</v>
      </c>
      <c r="V6121" t="s">
        <v>8710</v>
      </c>
      <c r="W6121" s="1" t="str">
        <f>HYPERLINK("http://ictvonline.org/taxonomy/p/taxonomy-history?taxnode_id=201902434","ICTVonline=201902434")</f>
        <v>ICTVonline=201902434</v>
      </c>
    </row>
    <row r="6122" spans="1:23">
      <c r="A6122" s="3">
        <v>6121</v>
      </c>
      <c r="B6122" s="1" t="s">
        <v>8705</v>
      </c>
      <c r="D6122" s="1" t="s">
        <v>8706</v>
      </c>
      <c r="F6122" s="1" t="s">
        <v>8738</v>
      </c>
      <c r="H6122" s="1" t="s">
        <v>8741</v>
      </c>
      <c r="J6122" s="1" t="s">
        <v>8744</v>
      </c>
      <c r="L6122" s="1" t="s">
        <v>1769</v>
      </c>
      <c r="N6122" s="1" t="s">
        <v>1430</v>
      </c>
      <c r="P6122" s="1" t="s">
        <v>8751</v>
      </c>
      <c r="Q6122" s="3">
        <v>0</v>
      </c>
      <c r="R6122" s="22" t="s">
        <v>2721</v>
      </c>
      <c r="S6122" s="42" t="s">
        <v>6914</v>
      </c>
      <c r="T6122" s="3" t="s">
        <v>4866</v>
      </c>
      <c r="U6122" s="45">
        <v>35</v>
      </c>
      <c r="V6122" t="s">
        <v>8746</v>
      </c>
      <c r="W6122" s="1" t="str">
        <f>HYPERLINK("http://ictvonline.org/taxonomy/p/taxonomy-history?taxnode_id=201907197","ICTVonline=201907197")</f>
        <v>ICTVonline=201907197</v>
      </c>
    </row>
    <row r="6123" spans="1:23">
      <c r="A6123" s="3">
        <v>6122</v>
      </c>
      <c r="B6123" s="1" t="s">
        <v>8705</v>
      </c>
      <c r="D6123" s="1" t="s">
        <v>8706</v>
      </c>
      <c r="F6123" s="1" t="s">
        <v>8738</v>
      </c>
      <c r="H6123" s="1" t="s">
        <v>8741</v>
      </c>
      <c r="J6123" s="1" t="s">
        <v>8744</v>
      </c>
      <c r="L6123" s="1" t="s">
        <v>1769</v>
      </c>
      <c r="N6123" s="1" t="s">
        <v>1430</v>
      </c>
      <c r="P6123" s="1" t="s">
        <v>2349</v>
      </c>
      <c r="Q6123" s="3">
        <v>0</v>
      </c>
      <c r="R6123" s="22" t="s">
        <v>2721</v>
      </c>
      <c r="S6123" s="42" t="s">
        <v>6912</v>
      </c>
      <c r="T6123" s="3" t="s">
        <v>4868</v>
      </c>
      <c r="U6123" s="45">
        <v>35</v>
      </c>
      <c r="V6123" t="s">
        <v>8710</v>
      </c>
      <c r="W6123" s="1" t="str">
        <f>HYPERLINK("http://ictvonline.org/taxonomy/p/taxonomy-history?taxnode_id=201902435","ICTVonline=201902435")</f>
        <v>ICTVonline=201902435</v>
      </c>
    </row>
    <row r="6124" spans="1:23">
      <c r="A6124" s="3">
        <v>6123</v>
      </c>
      <c r="B6124" s="1" t="s">
        <v>8705</v>
      </c>
      <c r="D6124" s="1" t="s">
        <v>8706</v>
      </c>
      <c r="F6124" s="1" t="s">
        <v>8738</v>
      </c>
      <c r="H6124" s="1" t="s">
        <v>8741</v>
      </c>
      <c r="J6124" s="1" t="s">
        <v>8744</v>
      </c>
      <c r="L6124" s="1" t="s">
        <v>1769</v>
      </c>
      <c r="N6124" s="1" t="s">
        <v>1430</v>
      </c>
      <c r="P6124" s="1" t="s">
        <v>2350</v>
      </c>
      <c r="Q6124" s="3">
        <v>0</v>
      </c>
      <c r="R6124" s="22" t="s">
        <v>2721</v>
      </c>
      <c r="S6124" s="42" t="s">
        <v>6912</v>
      </c>
      <c r="T6124" s="3" t="s">
        <v>4868</v>
      </c>
      <c r="U6124" s="45">
        <v>35</v>
      </c>
      <c r="V6124" t="s">
        <v>8710</v>
      </c>
      <c r="W6124" s="1" t="str">
        <f>HYPERLINK("http://ictvonline.org/taxonomy/p/taxonomy-history?taxnode_id=201902436","ICTVonline=201902436")</f>
        <v>ICTVonline=201902436</v>
      </c>
    </row>
    <row r="6125" spans="1:23">
      <c r="A6125" s="3">
        <v>6124</v>
      </c>
      <c r="B6125" s="1" t="s">
        <v>8705</v>
      </c>
      <c r="D6125" s="1" t="s">
        <v>8706</v>
      </c>
      <c r="F6125" s="1" t="s">
        <v>8738</v>
      </c>
      <c r="H6125" s="1" t="s">
        <v>8741</v>
      </c>
      <c r="J6125" s="1" t="s">
        <v>8744</v>
      </c>
      <c r="L6125" s="1" t="s">
        <v>1769</v>
      </c>
      <c r="N6125" s="1" t="s">
        <v>1430</v>
      </c>
      <c r="P6125" s="1" t="s">
        <v>2351</v>
      </c>
      <c r="Q6125" s="3">
        <v>0</v>
      </c>
      <c r="R6125" s="22" t="s">
        <v>2721</v>
      </c>
      <c r="S6125" s="42" t="s">
        <v>6912</v>
      </c>
      <c r="T6125" s="3" t="s">
        <v>4868</v>
      </c>
      <c r="U6125" s="45">
        <v>35</v>
      </c>
      <c r="V6125" t="s">
        <v>8710</v>
      </c>
      <c r="W6125" s="1" t="str">
        <f>HYPERLINK("http://ictvonline.org/taxonomy/p/taxonomy-history?taxnode_id=201902437","ICTVonline=201902437")</f>
        <v>ICTVonline=201902437</v>
      </c>
    </row>
    <row r="6126" spans="1:23">
      <c r="A6126" s="3">
        <v>6125</v>
      </c>
      <c r="B6126" s="1" t="s">
        <v>8705</v>
      </c>
      <c r="D6126" s="1" t="s">
        <v>8706</v>
      </c>
      <c r="F6126" s="1" t="s">
        <v>8738</v>
      </c>
      <c r="H6126" s="1" t="s">
        <v>8741</v>
      </c>
      <c r="J6126" s="1" t="s">
        <v>8744</v>
      </c>
      <c r="L6126" s="1" t="s">
        <v>1769</v>
      </c>
      <c r="N6126" s="1" t="s">
        <v>1430</v>
      </c>
      <c r="P6126" s="1" t="s">
        <v>4564</v>
      </c>
      <c r="Q6126" s="3">
        <v>0</v>
      </c>
      <c r="R6126" s="22" t="s">
        <v>2721</v>
      </c>
      <c r="S6126" s="42" t="s">
        <v>6912</v>
      </c>
      <c r="T6126" s="3" t="s">
        <v>4868</v>
      </c>
      <c r="U6126" s="45">
        <v>35</v>
      </c>
      <c r="V6126" t="s">
        <v>8710</v>
      </c>
      <c r="W6126" s="1" t="str">
        <f>HYPERLINK("http://ictvonline.org/taxonomy/p/taxonomy-history?taxnode_id=201902438","ICTVonline=201902438")</f>
        <v>ICTVonline=201902438</v>
      </c>
    </row>
    <row r="6127" spans="1:23">
      <c r="A6127" s="3">
        <v>6126</v>
      </c>
      <c r="B6127" s="1" t="s">
        <v>8705</v>
      </c>
      <c r="D6127" s="1" t="s">
        <v>8706</v>
      </c>
      <c r="F6127" s="1" t="s">
        <v>8738</v>
      </c>
      <c r="H6127" s="1" t="s">
        <v>8741</v>
      </c>
      <c r="J6127" s="1" t="s">
        <v>8744</v>
      </c>
      <c r="L6127" s="1" t="s">
        <v>1769</v>
      </c>
      <c r="N6127" s="1" t="s">
        <v>1430</v>
      </c>
      <c r="P6127" s="1" t="s">
        <v>2352</v>
      </c>
      <c r="Q6127" s="3">
        <v>0</v>
      </c>
      <c r="R6127" s="22" t="s">
        <v>2721</v>
      </c>
      <c r="S6127" s="42" t="s">
        <v>6912</v>
      </c>
      <c r="T6127" s="3" t="s">
        <v>4868</v>
      </c>
      <c r="U6127" s="45">
        <v>35</v>
      </c>
      <c r="V6127" t="s">
        <v>8710</v>
      </c>
      <c r="W6127" s="1" t="str">
        <f>HYPERLINK("http://ictvonline.org/taxonomy/p/taxonomy-history?taxnode_id=201902439","ICTVonline=201902439")</f>
        <v>ICTVonline=201902439</v>
      </c>
    </row>
    <row r="6128" spans="1:23">
      <c r="A6128" s="3">
        <v>6127</v>
      </c>
      <c r="B6128" s="1" t="s">
        <v>8705</v>
      </c>
      <c r="D6128" s="1" t="s">
        <v>8706</v>
      </c>
      <c r="F6128" s="1" t="s">
        <v>8738</v>
      </c>
      <c r="H6128" s="1" t="s">
        <v>8741</v>
      </c>
      <c r="J6128" s="1" t="s">
        <v>8744</v>
      </c>
      <c r="L6128" s="1" t="s">
        <v>1769</v>
      </c>
      <c r="N6128" s="1" t="s">
        <v>1430</v>
      </c>
      <c r="P6128" s="1" t="s">
        <v>3630</v>
      </c>
      <c r="Q6128" s="3">
        <v>0</v>
      </c>
      <c r="R6128" s="22" t="s">
        <v>2721</v>
      </c>
      <c r="S6128" s="42" t="s">
        <v>6912</v>
      </c>
      <c r="T6128" s="3" t="s">
        <v>4868</v>
      </c>
      <c r="U6128" s="45">
        <v>35</v>
      </c>
      <c r="V6128" t="s">
        <v>8710</v>
      </c>
      <c r="W6128" s="1" t="str">
        <f>HYPERLINK("http://ictvonline.org/taxonomy/p/taxonomy-history?taxnode_id=201902440","ICTVonline=201902440")</f>
        <v>ICTVonline=201902440</v>
      </c>
    </row>
    <row r="6129" spans="1:23">
      <c r="A6129" s="3">
        <v>6128</v>
      </c>
      <c r="B6129" s="1" t="s">
        <v>8705</v>
      </c>
      <c r="D6129" s="1" t="s">
        <v>8706</v>
      </c>
      <c r="F6129" s="1" t="s">
        <v>8738</v>
      </c>
      <c r="H6129" s="1" t="s">
        <v>8741</v>
      </c>
      <c r="J6129" s="1" t="s">
        <v>8744</v>
      </c>
      <c r="L6129" s="1" t="s">
        <v>1769</v>
      </c>
      <c r="N6129" s="1" t="s">
        <v>1430</v>
      </c>
      <c r="P6129" s="1" t="s">
        <v>3631</v>
      </c>
      <c r="Q6129" s="3">
        <v>0</v>
      </c>
      <c r="R6129" s="22" t="s">
        <v>2721</v>
      </c>
      <c r="S6129" s="42" t="s">
        <v>6912</v>
      </c>
      <c r="T6129" s="3" t="s">
        <v>4868</v>
      </c>
      <c r="U6129" s="45">
        <v>35</v>
      </c>
      <c r="V6129" t="s">
        <v>8710</v>
      </c>
      <c r="W6129" s="1" t="str">
        <f>HYPERLINK("http://ictvonline.org/taxonomy/p/taxonomy-history?taxnode_id=201902441","ICTVonline=201902441")</f>
        <v>ICTVonline=201902441</v>
      </c>
    </row>
    <row r="6130" spans="1:23">
      <c r="A6130" s="3">
        <v>6129</v>
      </c>
      <c r="B6130" s="1" t="s">
        <v>8705</v>
      </c>
      <c r="D6130" s="1" t="s">
        <v>8706</v>
      </c>
      <c r="F6130" s="1" t="s">
        <v>8738</v>
      </c>
      <c r="H6130" s="1" t="s">
        <v>8741</v>
      </c>
      <c r="J6130" s="1" t="s">
        <v>8744</v>
      </c>
      <c r="L6130" s="1" t="s">
        <v>1769</v>
      </c>
      <c r="N6130" s="1" t="s">
        <v>1430</v>
      </c>
      <c r="P6130" s="1" t="s">
        <v>4565</v>
      </c>
      <c r="Q6130" s="3">
        <v>0</v>
      </c>
      <c r="R6130" s="22" t="s">
        <v>2721</v>
      </c>
      <c r="S6130" s="42" t="s">
        <v>6912</v>
      </c>
      <c r="T6130" s="3" t="s">
        <v>4868</v>
      </c>
      <c r="U6130" s="45">
        <v>35</v>
      </c>
      <c r="V6130" t="s">
        <v>8710</v>
      </c>
      <c r="W6130" s="1" t="str">
        <f>HYPERLINK("http://ictvonline.org/taxonomy/p/taxonomy-history?taxnode_id=201902442","ICTVonline=201902442")</f>
        <v>ICTVonline=201902442</v>
      </c>
    </row>
    <row r="6131" spans="1:23">
      <c r="A6131" s="3">
        <v>6130</v>
      </c>
      <c r="B6131" s="1" t="s">
        <v>8705</v>
      </c>
      <c r="D6131" s="1" t="s">
        <v>8706</v>
      </c>
      <c r="F6131" s="1" t="s">
        <v>8738</v>
      </c>
      <c r="H6131" s="1" t="s">
        <v>8741</v>
      </c>
      <c r="J6131" s="1" t="s">
        <v>8744</v>
      </c>
      <c r="L6131" s="1" t="s">
        <v>1769</v>
      </c>
      <c r="N6131" s="1" t="s">
        <v>1430</v>
      </c>
      <c r="P6131" s="1" t="s">
        <v>4566</v>
      </c>
      <c r="Q6131" s="3">
        <v>0</v>
      </c>
      <c r="R6131" s="22" t="s">
        <v>2721</v>
      </c>
      <c r="S6131" s="42" t="s">
        <v>6912</v>
      </c>
      <c r="T6131" s="3" t="s">
        <v>4868</v>
      </c>
      <c r="U6131" s="45">
        <v>35</v>
      </c>
      <c r="V6131" t="s">
        <v>8710</v>
      </c>
      <c r="W6131" s="1" t="str">
        <f>HYPERLINK("http://ictvonline.org/taxonomy/p/taxonomy-history?taxnode_id=201902443","ICTVonline=201902443")</f>
        <v>ICTVonline=201902443</v>
      </c>
    </row>
    <row r="6132" spans="1:23">
      <c r="A6132" s="3">
        <v>6131</v>
      </c>
      <c r="B6132" s="1" t="s">
        <v>8705</v>
      </c>
      <c r="D6132" s="1" t="s">
        <v>8706</v>
      </c>
      <c r="F6132" s="1" t="s">
        <v>8738</v>
      </c>
      <c r="H6132" s="1" t="s">
        <v>8741</v>
      </c>
      <c r="J6132" s="1" t="s">
        <v>8744</v>
      </c>
      <c r="L6132" s="1" t="s">
        <v>1769</v>
      </c>
      <c r="N6132" s="1" t="s">
        <v>1430</v>
      </c>
      <c r="P6132" s="1" t="s">
        <v>4567</v>
      </c>
      <c r="Q6132" s="3">
        <v>0</v>
      </c>
      <c r="R6132" s="22" t="s">
        <v>2721</v>
      </c>
      <c r="S6132" s="42" t="s">
        <v>6912</v>
      </c>
      <c r="T6132" s="3" t="s">
        <v>4868</v>
      </c>
      <c r="U6132" s="45">
        <v>35</v>
      </c>
      <c r="V6132" t="s">
        <v>8710</v>
      </c>
      <c r="W6132" s="1" t="str">
        <f>HYPERLINK("http://ictvonline.org/taxonomy/p/taxonomy-history?taxnode_id=201902444","ICTVonline=201902444")</f>
        <v>ICTVonline=201902444</v>
      </c>
    </row>
    <row r="6133" spans="1:23">
      <c r="A6133" s="3">
        <v>6132</v>
      </c>
      <c r="B6133" s="1" t="s">
        <v>8705</v>
      </c>
      <c r="D6133" s="1" t="s">
        <v>8706</v>
      </c>
      <c r="F6133" s="1" t="s">
        <v>8738</v>
      </c>
      <c r="H6133" s="1" t="s">
        <v>8741</v>
      </c>
      <c r="J6133" s="1" t="s">
        <v>8744</v>
      </c>
      <c r="L6133" s="1" t="s">
        <v>1769</v>
      </c>
      <c r="N6133" s="1" t="s">
        <v>1430</v>
      </c>
      <c r="P6133" s="1" t="s">
        <v>4568</v>
      </c>
      <c r="Q6133" s="3">
        <v>0</v>
      </c>
      <c r="R6133" s="22" t="s">
        <v>2721</v>
      </c>
      <c r="S6133" s="42" t="s">
        <v>6912</v>
      </c>
      <c r="T6133" s="3" t="s">
        <v>4868</v>
      </c>
      <c r="U6133" s="45">
        <v>35</v>
      </c>
      <c r="V6133" t="s">
        <v>8710</v>
      </c>
      <c r="W6133" s="1" t="str">
        <f>HYPERLINK("http://ictvonline.org/taxonomy/p/taxonomy-history?taxnode_id=201902445","ICTVonline=201902445")</f>
        <v>ICTVonline=201902445</v>
      </c>
    </row>
    <row r="6134" spans="1:23">
      <c r="A6134" s="3">
        <v>6133</v>
      </c>
      <c r="B6134" s="1" t="s">
        <v>8705</v>
      </c>
      <c r="D6134" s="1" t="s">
        <v>8706</v>
      </c>
      <c r="F6134" s="1" t="s">
        <v>8738</v>
      </c>
      <c r="H6134" s="1" t="s">
        <v>8741</v>
      </c>
      <c r="J6134" s="1" t="s">
        <v>8744</v>
      </c>
      <c r="L6134" s="1" t="s">
        <v>1769</v>
      </c>
      <c r="N6134" s="1" t="s">
        <v>1430</v>
      </c>
      <c r="P6134" s="1" t="s">
        <v>4569</v>
      </c>
      <c r="Q6134" s="3">
        <v>0</v>
      </c>
      <c r="R6134" s="22" t="s">
        <v>2721</v>
      </c>
      <c r="S6134" s="42" t="s">
        <v>6912</v>
      </c>
      <c r="T6134" s="3" t="s">
        <v>4868</v>
      </c>
      <c r="U6134" s="45">
        <v>35</v>
      </c>
      <c r="V6134" t="s">
        <v>8710</v>
      </c>
      <c r="W6134" s="1" t="str">
        <f>HYPERLINK("http://ictvonline.org/taxonomy/p/taxonomy-history?taxnode_id=201902446","ICTVonline=201902446")</f>
        <v>ICTVonline=201902446</v>
      </c>
    </row>
    <row r="6135" spans="1:23">
      <c r="A6135" s="3">
        <v>6134</v>
      </c>
      <c r="B6135" s="1" t="s">
        <v>8705</v>
      </c>
      <c r="D6135" s="1" t="s">
        <v>8706</v>
      </c>
      <c r="F6135" s="1" t="s">
        <v>8738</v>
      </c>
      <c r="H6135" s="1" t="s">
        <v>8741</v>
      </c>
      <c r="J6135" s="1" t="s">
        <v>8744</v>
      </c>
      <c r="L6135" s="1" t="s">
        <v>1769</v>
      </c>
      <c r="N6135" s="1" t="s">
        <v>1430</v>
      </c>
      <c r="P6135" s="1" t="s">
        <v>5172</v>
      </c>
      <c r="Q6135" s="3">
        <v>0</v>
      </c>
      <c r="R6135" s="22" t="s">
        <v>2721</v>
      </c>
      <c r="S6135" s="42" t="s">
        <v>6912</v>
      </c>
      <c r="T6135" s="3" t="s">
        <v>4868</v>
      </c>
      <c r="U6135" s="45">
        <v>35</v>
      </c>
      <c r="V6135" t="s">
        <v>8710</v>
      </c>
      <c r="W6135" s="1" t="str">
        <f>HYPERLINK("http://ictvonline.org/taxonomy/p/taxonomy-history?taxnode_id=201905662","ICTVonline=201905662")</f>
        <v>ICTVonline=201905662</v>
      </c>
    </row>
    <row r="6136" spans="1:23">
      <c r="A6136" s="3">
        <v>6135</v>
      </c>
      <c r="B6136" s="1" t="s">
        <v>8705</v>
      </c>
      <c r="D6136" s="1" t="s">
        <v>8706</v>
      </c>
      <c r="F6136" s="1" t="s">
        <v>8738</v>
      </c>
      <c r="H6136" s="1" t="s">
        <v>8741</v>
      </c>
      <c r="J6136" s="1" t="s">
        <v>8744</v>
      </c>
      <c r="L6136" s="1" t="s">
        <v>1769</v>
      </c>
      <c r="N6136" s="1" t="s">
        <v>1430</v>
      </c>
      <c r="P6136" s="1" t="s">
        <v>4570</v>
      </c>
      <c r="Q6136" s="3">
        <v>0</v>
      </c>
      <c r="R6136" s="22" t="s">
        <v>2721</v>
      </c>
      <c r="S6136" s="42" t="s">
        <v>6912</v>
      </c>
      <c r="T6136" s="3" t="s">
        <v>4868</v>
      </c>
      <c r="U6136" s="45">
        <v>35</v>
      </c>
      <c r="V6136" t="s">
        <v>8710</v>
      </c>
      <c r="W6136" s="1" t="str">
        <f>HYPERLINK("http://ictvonline.org/taxonomy/p/taxonomy-history?taxnode_id=201902447","ICTVonline=201902447")</f>
        <v>ICTVonline=201902447</v>
      </c>
    </row>
    <row r="6137" spans="1:23">
      <c r="A6137" s="3">
        <v>6136</v>
      </c>
      <c r="B6137" s="1" t="s">
        <v>8705</v>
      </c>
      <c r="D6137" s="1" t="s">
        <v>8706</v>
      </c>
      <c r="F6137" s="1" t="s">
        <v>8738</v>
      </c>
      <c r="H6137" s="1" t="s">
        <v>8741</v>
      </c>
      <c r="J6137" s="1" t="s">
        <v>8744</v>
      </c>
      <c r="L6137" s="1" t="s">
        <v>1769</v>
      </c>
      <c r="N6137" s="1" t="s">
        <v>1430</v>
      </c>
      <c r="P6137" s="1" t="s">
        <v>5173</v>
      </c>
      <c r="Q6137" s="3">
        <v>0</v>
      </c>
      <c r="R6137" s="22" t="s">
        <v>2721</v>
      </c>
      <c r="S6137" s="42" t="s">
        <v>6912</v>
      </c>
      <c r="T6137" s="3" t="s">
        <v>4868</v>
      </c>
      <c r="U6137" s="45">
        <v>35</v>
      </c>
      <c r="V6137" t="s">
        <v>8710</v>
      </c>
      <c r="W6137" s="1" t="str">
        <f>HYPERLINK("http://ictvonline.org/taxonomy/p/taxonomy-history?taxnode_id=201905663","ICTVonline=201905663")</f>
        <v>ICTVonline=201905663</v>
      </c>
    </row>
    <row r="6138" spans="1:23">
      <c r="A6138" s="3">
        <v>6137</v>
      </c>
      <c r="B6138" s="1" t="s">
        <v>8705</v>
      </c>
      <c r="D6138" s="1" t="s">
        <v>8706</v>
      </c>
      <c r="F6138" s="1" t="s">
        <v>8738</v>
      </c>
      <c r="H6138" s="1" t="s">
        <v>8741</v>
      </c>
      <c r="J6138" s="1" t="s">
        <v>8744</v>
      </c>
      <c r="L6138" s="1" t="s">
        <v>1769</v>
      </c>
      <c r="N6138" s="1" t="s">
        <v>1430</v>
      </c>
      <c r="P6138" s="1" t="s">
        <v>2353</v>
      </c>
      <c r="Q6138" s="3">
        <v>0</v>
      </c>
      <c r="R6138" s="22" t="s">
        <v>2721</v>
      </c>
      <c r="S6138" s="42" t="s">
        <v>6912</v>
      </c>
      <c r="T6138" s="3" t="s">
        <v>4868</v>
      </c>
      <c r="U6138" s="45">
        <v>35</v>
      </c>
      <c r="V6138" t="s">
        <v>8710</v>
      </c>
      <c r="W6138" s="1" t="str">
        <f>HYPERLINK("http://ictvonline.org/taxonomy/p/taxonomy-history?taxnode_id=201902448","ICTVonline=201902448")</f>
        <v>ICTVonline=201902448</v>
      </c>
    </row>
    <row r="6139" spans="1:23">
      <c r="A6139" s="3">
        <v>6138</v>
      </c>
      <c r="B6139" s="1" t="s">
        <v>8705</v>
      </c>
      <c r="D6139" s="1" t="s">
        <v>8706</v>
      </c>
      <c r="F6139" s="1" t="s">
        <v>8738</v>
      </c>
      <c r="H6139" s="1" t="s">
        <v>8741</v>
      </c>
      <c r="J6139" s="1" t="s">
        <v>8744</v>
      </c>
      <c r="L6139" s="1" t="s">
        <v>1769</v>
      </c>
      <c r="N6139" s="1" t="s">
        <v>679</v>
      </c>
      <c r="P6139" s="1" t="s">
        <v>2354</v>
      </c>
      <c r="Q6139" s="3">
        <v>1</v>
      </c>
      <c r="R6139" s="22" t="s">
        <v>2721</v>
      </c>
      <c r="S6139" s="42" t="s">
        <v>6912</v>
      </c>
      <c r="T6139" s="3" t="s">
        <v>4868</v>
      </c>
      <c r="U6139" s="45">
        <v>35</v>
      </c>
      <c r="V6139" t="s">
        <v>8710</v>
      </c>
      <c r="W6139" s="1" t="str">
        <f>HYPERLINK("http://ictvonline.org/taxonomy/p/taxonomy-history?taxnode_id=201902450","ICTVonline=201902450")</f>
        <v>ICTVonline=201902450</v>
      </c>
    </row>
    <row r="6140" spans="1:23">
      <c r="A6140" s="3">
        <v>6139</v>
      </c>
      <c r="B6140" s="1" t="s">
        <v>8705</v>
      </c>
      <c r="D6140" s="1" t="s">
        <v>8706</v>
      </c>
      <c r="F6140" s="1" t="s">
        <v>8738</v>
      </c>
      <c r="H6140" s="1" t="s">
        <v>8741</v>
      </c>
      <c r="J6140" s="1" t="s">
        <v>8744</v>
      </c>
      <c r="L6140" s="1" t="s">
        <v>1769</v>
      </c>
      <c r="N6140" s="1" t="s">
        <v>679</v>
      </c>
      <c r="P6140" s="1" t="s">
        <v>2355</v>
      </c>
      <c r="Q6140" s="3">
        <v>0</v>
      </c>
      <c r="R6140" s="22" t="s">
        <v>2721</v>
      </c>
      <c r="S6140" s="42" t="s">
        <v>6912</v>
      </c>
      <c r="T6140" s="3" t="s">
        <v>4868</v>
      </c>
      <c r="U6140" s="45">
        <v>35</v>
      </c>
      <c r="V6140" t="s">
        <v>8710</v>
      </c>
      <c r="W6140" s="1" t="str">
        <f>HYPERLINK("http://ictvonline.org/taxonomy/p/taxonomy-history?taxnode_id=201902451","ICTVonline=201902451")</f>
        <v>ICTVonline=201902451</v>
      </c>
    </row>
    <row r="6141" spans="1:23">
      <c r="A6141" s="3">
        <v>6140</v>
      </c>
      <c r="B6141" s="1" t="s">
        <v>8705</v>
      </c>
      <c r="D6141" s="1" t="s">
        <v>8706</v>
      </c>
      <c r="F6141" s="1" t="s">
        <v>8738</v>
      </c>
      <c r="H6141" s="1" t="s">
        <v>8741</v>
      </c>
      <c r="J6141" s="1" t="s">
        <v>8744</v>
      </c>
      <c r="L6141" s="1" t="s">
        <v>1769</v>
      </c>
      <c r="N6141" s="1" t="s">
        <v>679</v>
      </c>
      <c r="P6141" s="1" t="s">
        <v>4571</v>
      </c>
      <c r="Q6141" s="3">
        <v>0</v>
      </c>
      <c r="R6141" s="22" t="s">
        <v>2721</v>
      </c>
      <c r="S6141" s="42" t="s">
        <v>6912</v>
      </c>
      <c r="T6141" s="3" t="s">
        <v>4868</v>
      </c>
      <c r="U6141" s="45">
        <v>35</v>
      </c>
      <c r="V6141" t="s">
        <v>8710</v>
      </c>
      <c r="W6141" s="1" t="str">
        <f>HYPERLINK("http://ictvonline.org/taxonomy/p/taxonomy-history?taxnode_id=201902452","ICTVonline=201902452")</f>
        <v>ICTVonline=201902452</v>
      </c>
    </row>
    <row r="6142" spans="1:23">
      <c r="A6142" s="3">
        <v>6141</v>
      </c>
      <c r="B6142" s="1" t="s">
        <v>8705</v>
      </c>
      <c r="D6142" s="1" t="s">
        <v>8706</v>
      </c>
      <c r="F6142" s="1" t="s">
        <v>8738</v>
      </c>
      <c r="H6142" s="1" t="s">
        <v>8741</v>
      </c>
      <c r="J6142" s="1" t="s">
        <v>8744</v>
      </c>
      <c r="L6142" s="1" t="s">
        <v>1769</v>
      </c>
      <c r="N6142" s="1" t="s">
        <v>679</v>
      </c>
      <c r="P6142" s="1" t="s">
        <v>2356</v>
      </c>
      <c r="Q6142" s="3">
        <v>0</v>
      </c>
      <c r="R6142" s="22" t="s">
        <v>2721</v>
      </c>
      <c r="S6142" s="42" t="s">
        <v>6912</v>
      </c>
      <c r="T6142" s="3" t="s">
        <v>4868</v>
      </c>
      <c r="U6142" s="45">
        <v>35</v>
      </c>
      <c r="V6142" t="s">
        <v>8710</v>
      </c>
      <c r="W6142" s="1" t="str">
        <f>HYPERLINK("http://ictvonline.org/taxonomy/p/taxonomy-history?taxnode_id=201902453","ICTVonline=201902453")</f>
        <v>ICTVonline=201902453</v>
      </c>
    </row>
    <row r="6143" spans="1:23">
      <c r="A6143" s="3">
        <v>6142</v>
      </c>
      <c r="B6143" s="1" t="s">
        <v>8705</v>
      </c>
      <c r="D6143" s="1" t="s">
        <v>8706</v>
      </c>
      <c r="F6143" s="1" t="s">
        <v>8738</v>
      </c>
      <c r="H6143" s="1" t="s">
        <v>8741</v>
      </c>
      <c r="J6143" s="1" t="s">
        <v>8744</v>
      </c>
      <c r="L6143" s="1" t="s">
        <v>1769</v>
      </c>
      <c r="N6143" s="1" t="s">
        <v>679</v>
      </c>
      <c r="P6143" s="1" t="s">
        <v>2357</v>
      </c>
      <c r="Q6143" s="3">
        <v>0</v>
      </c>
      <c r="R6143" s="22" t="s">
        <v>2721</v>
      </c>
      <c r="S6143" s="42" t="s">
        <v>6912</v>
      </c>
      <c r="T6143" s="3" t="s">
        <v>4868</v>
      </c>
      <c r="U6143" s="45">
        <v>35</v>
      </c>
      <c r="V6143" t="s">
        <v>8710</v>
      </c>
      <c r="W6143" s="1" t="str">
        <f>HYPERLINK("http://ictvonline.org/taxonomy/p/taxonomy-history?taxnode_id=201902454","ICTVonline=201902454")</f>
        <v>ICTVonline=201902454</v>
      </c>
    </row>
    <row r="6144" spans="1:23">
      <c r="A6144" s="3">
        <v>6143</v>
      </c>
      <c r="B6144" s="1" t="s">
        <v>8705</v>
      </c>
      <c r="D6144" s="1" t="s">
        <v>8706</v>
      </c>
      <c r="F6144" s="1" t="s">
        <v>8738</v>
      </c>
      <c r="H6144" s="1" t="s">
        <v>8741</v>
      </c>
      <c r="J6144" s="1" t="s">
        <v>8744</v>
      </c>
      <c r="L6144" s="1" t="s">
        <v>1769</v>
      </c>
      <c r="N6144" s="1" t="s">
        <v>679</v>
      </c>
      <c r="P6144" s="1" t="s">
        <v>2358</v>
      </c>
      <c r="Q6144" s="3">
        <v>0</v>
      </c>
      <c r="R6144" s="22" t="s">
        <v>2721</v>
      </c>
      <c r="S6144" s="42" t="s">
        <v>6912</v>
      </c>
      <c r="T6144" s="3" t="s">
        <v>4868</v>
      </c>
      <c r="U6144" s="45">
        <v>35</v>
      </c>
      <c r="V6144" t="s">
        <v>8710</v>
      </c>
      <c r="W6144" s="1" t="str">
        <f>HYPERLINK("http://ictvonline.org/taxonomy/p/taxonomy-history?taxnode_id=201902455","ICTVonline=201902455")</f>
        <v>ICTVonline=201902455</v>
      </c>
    </row>
    <row r="6145" spans="1:23">
      <c r="A6145" s="3">
        <v>6144</v>
      </c>
      <c r="B6145" s="1" t="s">
        <v>8705</v>
      </c>
      <c r="D6145" s="1" t="s">
        <v>8706</v>
      </c>
      <c r="F6145" s="1" t="s">
        <v>8738</v>
      </c>
      <c r="H6145" s="1" t="s">
        <v>8741</v>
      </c>
      <c r="J6145" s="1" t="s">
        <v>8752</v>
      </c>
      <c r="L6145" s="1" t="s">
        <v>2061</v>
      </c>
      <c r="N6145" s="1" t="s">
        <v>2062</v>
      </c>
      <c r="P6145" s="1" t="s">
        <v>6835</v>
      </c>
      <c r="Q6145" s="3">
        <v>0</v>
      </c>
      <c r="R6145" s="22" t="s">
        <v>2721</v>
      </c>
      <c r="S6145" s="42" t="s">
        <v>6912</v>
      </c>
      <c r="T6145" s="3" t="s">
        <v>4868</v>
      </c>
      <c r="U6145" s="45">
        <v>35</v>
      </c>
      <c r="V6145" t="s">
        <v>8710</v>
      </c>
      <c r="W6145" s="1" t="str">
        <f>HYPERLINK("http://ictvonline.org/taxonomy/p/taxonomy-history?taxnode_id=201906992","ICTVonline=201906992")</f>
        <v>ICTVonline=201906992</v>
      </c>
    </row>
    <row r="6146" spans="1:23">
      <c r="A6146" s="3">
        <v>6145</v>
      </c>
      <c r="B6146" s="1" t="s">
        <v>8705</v>
      </c>
      <c r="D6146" s="1" t="s">
        <v>8706</v>
      </c>
      <c r="F6146" s="1" t="s">
        <v>8738</v>
      </c>
      <c r="H6146" s="1" t="s">
        <v>8741</v>
      </c>
      <c r="J6146" s="1" t="s">
        <v>8752</v>
      </c>
      <c r="L6146" s="1" t="s">
        <v>2061</v>
      </c>
      <c r="N6146" s="1" t="s">
        <v>2062</v>
      </c>
      <c r="P6146" s="1" t="s">
        <v>3719</v>
      </c>
      <c r="Q6146" s="3">
        <v>1</v>
      </c>
      <c r="R6146" s="22" t="s">
        <v>2721</v>
      </c>
      <c r="S6146" s="42" t="s">
        <v>6912</v>
      </c>
      <c r="T6146" s="3" t="s">
        <v>4868</v>
      </c>
      <c r="U6146" s="45">
        <v>35</v>
      </c>
      <c r="V6146" t="s">
        <v>8710</v>
      </c>
      <c r="W6146" s="1" t="str">
        <f>HYPERLINK("http://ictvonline.org/taxonomy/p/taxonomy-history?taxnode_id=201903037","ICTVonline=201903037")</f>
        <v>ICTVonline=201903037</v>
      </c>
    </row>
    <row r="6147" spans="1:23">
      <c r="A6147" s="3">
        <v>6146</v>
      </c>
      <c r="B6147" s="1" t="s">
        <v>8705</v>
      </c>
      <c r="D6147" s="1" t="s">
        <v>8753</v>
      </c>
      <c r="F6147" s="1" t="s">
        <v>8754</v>
      </c>
      <c r="H6147" s="1" t="s">
        <v>8755</v>
      </c>
      <c r="J6147" s="1" t="s">
        <v>8756</v>
      </c>
      <c r="L6147" s="1" t="s">
        <v>2705</v>
      </c>
      <c r="N6147" s="1" t="s">
        <v>2706</v>
      </c>
      <c r="P6147" s="1" t="s">
        <v>2707</v>
      </c>
      <c r="Q6147" s="3">
        <v>0</v>
      </c>
      <c r="R6147" s="22" t="s">
        <v>2721</v>
      </c>
      <c r="S6147" s="42" t="s">
        <v>6912</v>
      </c>
      <c r="T6147" s="3" t="s">
        <v>4868</v>
      </c>
      <c r="U6147" s="45">
        <v>35</v>
      </c>
      <c r="V6147" t="s">
        <v>8710</v>
      </c>
      <c r="W6147" s="1" t="str">
        <f>HYPERLINK("http://ictvonline.org/taxonomy/p/taxonomy-history?taxnode_id=201905057","ICTVonline=201905057")</f>
        <v>ICTVonline=201905057</v>
      </c>
    </row>
    <row r="6148" spans="1:23">
      <c r="A6148" s="3">
        <v>6147</v>
      </c>
      <c r="B6148" s="1" t="s">
        <v>8705</v>
      </c>
      <c r="D6148" s="1" t="s">
        <v>8753</v>
      </c>
      <c r="F6148" s="1" t="s">
        <v>8754</v>
      </c>
      <c r="H6148" s="1" t="s">
        <v>8755</v>
      </c>
      <c r="J6148" s="1" t="s">
        <v>8756</v>
      </c>
      <c r="L6148" s="1" t="s">
        <v>2705</v>
      </c>
      <c r="N6148" s="1" t="s">
        <v>2706</v>
      </c>
      <c r="P6148" s="1" t="s">
        <v>2718</v>
      </c>
      <c r="Q6148" s="3">
        <v>0</v>
      </c>
      <c r="R6148" s="22" t="s">
        <v>2721</v>
      </c>
      <c r="S6148" s="42" t="s">
        <v>6912</v>
      </c>
      <c r="T6148" s="3" t="s">
        <v>4868</v>
      </c>
      <c r="U6148" s="45">
        <v>35</v>
      </c>
      <c r="V6148" t="s">
        <v>8710</v>
      </c>
      <c r="W6148" s="1" t="str">
        <f>HYPERLINK("http://ictvonline.org/taxonomy/p/taxonomy-history?taxnode_id=201905058","ICTVonline=201905058")</f>
        <v>ICTVonline=201905058</v>
      </c>
    </row>
    <row r="6149" spans="1:23">
      <c r="A6149" s="3">
        <v>6148</v>
      </c>
      <c r="B6149" s="1" t="s">
        <v>8705</v>
      </c>
      <c r="D6149" s="1" t="s">
        <v>8753</v>
      </c>
      <c r="F6149" s="1" t="s">
        <v>8754</v>
      </c>
      <c r="H6149" s="1" t="s">
        <v>8755</v>
      </c>
      <c r="J6149" s="1" t="s">
        <v>8756</v>
      </c>
      <c r="L6149" s="1" t="s">
        <v>2705</v>
      </c>
      <c r="N6149" s="1" t="s">
        <v>2706</v>
      </c>
      <c r="P6149" s="1" t="s">
        <v>2719</v>
      </c>
      <c r="Q6149" s="3">
        <v>1</v>
      </c>
      <c r="R6149" s="22" t="s">
        <v>2721</v>
      </c>
      <c r="S6149" s="42" t="s">
        <v>6912</v>
      </c>
      <c r="T6149" s="3" t="s">
        <v>4868</v>
      </c>
      <c r="U6149" s="45">
        <v>35</v>
      </c>
      <c r="V6149" t="s">
        <v>8710</v>
      </c>
      <c r="W6149" s="1" t="str">
        <f>HYPERLINK("http://ictvonline.org/taxonomy/p/taxonomy-history?taxnode_id=201905059","ICTVonline=201905059")</f>
        <v>ICTVonline=201905059</v>
      </c>
    </row>
    <row r="6150" spans="1:23">
      <c r="A6150" s="3">
        <v>6149</v>
      </c>
      <c r="B6150" s="1" t="s">
        <v>8705</v>
      </c>
      <c r="D6150" s="1" t="s">
        <v>8753</v>
      </c>
      <c r="F6150" s="1" t="s">
        <v>8754</v>
      </c>
      <c r="H6150" s="1" t="s">
        <v>8755</v>
      </c>
      <c r="J6150" s="1" t="s">
        <v>8756</v>
      </c>
      <c r="L6150" s="1" t="s">
        <v>2705</v>
      </c>
      <c r="N6150" s="1" t="s">
        <v>2706</v>
      </c>
      <c r="P6150" s="1" t="s">
        <v>4779</v>
      </c>
      <c r="Q6150" s="3">
        <v>0</v>
      </c>
      <c r="R6150" s="22" t="s">
        <v>2721</v>
      </c>
      <c r="S6150" s="42" t="s">
        <v>6912</v>
      </c>
      <c r="T6150" s="3" t="s">
        <v>4868</v>
      </c>
      <c r="U6150" s="45">
        <v>35</v>
      </c>
      <c r="V6150" t="s">
        <v>8710</v>
      </c>
      <c r="W6150" s="1" t="str">
        <f>HYPERLINK("http://ictvonline.org/taxonomy/p/taxonomy-history?taxnode_id=201905060","ICTVonline=201905060")</f>
        <v>ICTVonline=201905060</v>
      </c>
    </row>
    <row r="6151" spans="1:23">
      <c r="A6151" s="3">
        <v>6150</v>
      </c>
      <c r="B6151" s="1" t="s">
        <v>8705</v>
      </c>
      <c r="D6151" s="1" t="s">
        <v>8753</v>
      </c>
      <c r="F6151" s="1" t="s">
        <v>8754</v>
      </c>
      <c r="H6151" s="1" t="s">
        <v>8755</v>
      </c>
      <c r="J6151" s="1" t="s">
        <v>8756</v>
      </c>
      <c r="L6151" s="1" t="s">
        <v>2705</v>
      </c>
      <c r="N6151" s="1" t="s">
        <v>2708</v>
      </c>
      <c r="P6151" s="1" t="s">
        <v>2720</v>
      </c>
      <c r="Q6151" s="3">
        <v>1</v>
      </c>
      <c r="R6151" s="22" t="s">
        <v>2721</v>
      </c>
      <c r="S6151" s="42" t="s">
        <v>6912</v>
      </c>
      <c r="T6151" s="3" t="s">
        <v>4868</v>
      </c>
      <c r="U6151" s="45">
        <v>35</v>
      </c>
      <c r="V6151" t="s">
        <v>8710</v>
      </c>
      <c r="W6151" s="1" t="str">
        <f>HYPERLINK("http://ictvonline.org/taxonomy/p/taxonomy-history?taxnode_id=201905062","ICTVonline=201905062")</f>
        <v>ICTVonline=201905062</v>
      </c>
    </row>
    <row r="6152" spans="1:23">
      <c r="A6152" s="3">
        <v>6151</v>
      </c>
      <c r="B6152" s="1" t="s">
        <v>8705</v>
      </c>
      <c r="D6152" s="1" t="s">
        <v>8753</v>
      </c>
      <c r="F6152" s="1" t="s">
        <v>8754</v>
      </c>
      <c r="H6152" s="1" t="s">
        <v>8755</v>
      </c>
      <c r="J6152" s="1" t="s">
        <v>8756</v>
      </c>
      <c r="L6152" s="1" t="s">
        <v>2705</v>
      </c>
      <c r="N6152" s="1" t="s">
        <v>2709</v>
      </c>
      <c r="P6152" s="1" t="s">
        <v>3963</v>
      </c>
      <c r="Q6152" s="3">
        <v>0</v>
      </c>
      <c r="R6152" s="22" t="s">
        <v>2721</v>
      </c>
      <c r="S6152" s="42" t="s">
        <v>6912</v>
      </c>
      <c r="T6152" s="3" t="s">
        <v>4868</v>
      </c>
      <c r="U6152" s="45">
        <v>35</v>
      </c>
      <c r="V6152" t="s">
        <v>8710</v>
      </c>
      <c r="W6152" s="1" t="str">
        <f>HYPERLINK("http://ictvonline.org/taxonomy/p/taxonomy-history?taxnode_id=201905064","ICTVonline=201905064")</f>
        <v>ICTVonline=201905064</v>
      </c>
    </row>
    <row r="6153" spans="1:23">
      <c r="A6153" s="3">
        <v>6152</v>
      </c>
      <c r="B6153" s="1" t="s">
        <v>8705</v>
      </c>
      <c r="D6153" s="1" t="s">
        <v>8753</v>
      </c>
      <c r="F6153" s="1" t="s">
        <v>8754</v>
      </c>
      <c r="H6153" s="1" t="s">
        <v>8755</v>
      </c>
      <c r="J6153" s="1" t="s">
        <v>8756</v>
      </c>
      <c r="L6153" s="1" t="s">
        <v>2705</v>
      </c>
      <c r="N6153" s="1" t="s">
        <v>2709</v>
      </c>
      <c r="P6153" s="1" t="s">
        <v>3964</v>
      </c>
      <c r="Q6153" s="3">
        <v>1</v>
      </c>
      <c r="R6153" s="22" t="s">
        <v>2721</v>
      </c>
      <c r="S6153" s="42" t="s">
        <v>6912</v>
      </c>
      <c r="T6153" s="3" t="s">
        <v>4868</v>
      </c>
      <c r="U6153" s="45">
        <v>35</v>
      </c>
      <c r="V6153" t="s">
        <v>8710</v>
      </c>
      <c r="W6153" s="1" t="str">
        <f>HYPERLINK("http://ictvonline.org/taxonomy/p/taxonomy-history?taxnode_id=201905065","ICTVonline=201905065")</f>
        <v>ICTVonline=201905065</v>
      </c>
    </row>
    <row r="6154" spans="1:23">
      <c r="A6154" s="3">
        <v>6153</v>
      </c>
      <c r="J6154" s="1" t="s">
        <v>2143</v>
      </c>
      <c r="L6154" s="1" t="s">
        <v>1614</v>
      </c>
      <c r="N6154" s="1" t="s">
        <v>8757</v>
      </c>
      <c r="P6154" s="1" t="s">
        <v>8758</v>
      </c>
      <c r="Q6154" s="3">
        <v>0</v>
      </c>
      <c r="R6154" s="22" t="s">
        <v>2721</v>
      </c>
      <c r="S6154" s="42" t="s">
        <v>6914</v>
      </c>
      <c r="T6154" s="3" t="s">
        <v>4866</v>
      </c>
      <c r="U6154" s="45">
        <v>35</v>
      </c>
      <c r="V6154" t="s">
        <v>8759</v>
      </c>
      <c r="W6154" s="1" t="str">
        <f>HYPERLINK("http://ictvonline.org/taxonomy/p/taxonomy-history?taxnode_id=201908644","ICTVonline=201908644")</f>
        <v>ICTVonline=201908644</v>
      </c>
    </row>
    <row r="6155" spans="1:23">
      <c r="A6155" s="3">
        <v>6154</v>
      </c>
      <c r="J6155" s="1" t="s">
        <v>2143</v>
      </c>
      <c r="L6155" s="1" t="s">
        <v>1614</v>
      </c>
      <c r="N6155" s="1" t="s">
        <v>8757</v>
      </c>
      <c r="P6155" s="1" t="s">
        <v>8760</v>
      </c>
      <c r="Q6155" s="3">
        <v>1</v>
      </c>
      <c r="R6155" s="22" t="s">
        <v>2721</v>
      </c>
      <c r="S6155" s="42" t="s">
        <v>6914</v>
      </c>
      <c r="T6155" s="3" t="s">
        <v>4866</v>
      </c>
      <c r="U6155" s="45">
        <v>35</v>
      </c>
      <c r="V6155" t="s">
        <v>8759</v>
      </c>
      <c r="W6155" s="1" t="str">
        <f>HYPERLINK("http://ictvonline.org/taxonomy/p/taxonomy-history?taxnode_id=201908643","ICTVonline=201908643")</f>
        <v>ICTVonline=201908643</v>
      </c>
    </row>
    <row r="6156" spans="1:23">
      <c r="A6156" s="3">
        <v>6155</v>
      </c>
      <c r="J6156" s="1" t="s">
        <v>2143</v>
      </c>
      <c r="L6156" s="1" t="s">
        <v>1614</v>
      </c>
      <c r="N6156" s="1" t="s">
        <v>1616</v>
      </c>
      <c r="P6156" s="1" t="s">
        <v>658</v>
      </c>
      <c r="Q6156" s="3">
        <v>0</v>
      </c>
      <c r="R6156" s="22" t="s">
        <v>2721</v>
      </c>
      <c r="S6156" s="42" t="s">
        <v>6911</v>
      </c>
      <c r="T6156" s="3" t="s">
        <v>4868</v>
      </c>
      <c r="U6156" s="45">
        <v>27</v>
      </c>
      <c r="V6156" t="s">
        <v>5033</v>
      </c>
      <c r="W6156" s="1" t="str">
        <f>HYPERLINK("http://ictvonline.org/taxonomy/p/taxonomy-history?taxnode_id=201901532","ICTVonline=201901532")</f>
        <v>ICTVonline=201901532</v>
      </c>
    </row>
    <row r="6157" spans="1:23">
      <c r="A6157" s="3">
        <v>6156</v>
      </c>
      <c r="J6157" s="1" t="s">
        <v>2143</v>
      </c>
      <c r="L6157" s="1" t="s">
        <v>1614</v>
      </c>
      <c r="N6157" s="1" t="s">
        <v>1616</v>
      </c>
      <c r="P6157" s="1" t="s">
        <v>657</v>
      </c>
      <c r="Q6157" s="3">
        <v>0</v>
      </c>
      <c r="R6157" s="22" t="s">
        <v>2721</v>
      </c>
      <c r="S6157" s="42" t="s">
        <v>6911</v>
      </c>
      <c r="T6157" s="3" t="s">
        <v>4868</v>
      </c>
      <c r="U6157" s="45">
        <v>27</v>
      </c>
      <c r="V6157" t="s">
        <v>5033</v>
      </c>
      <c r="W6157" s="1" t="str">
        <f>HYPERLINK("http://ictvonline.org/taxonomy/p/taxonomy-history?taxnode_id=201901533","ICTVonline=201901533")</f>
        <v>ICTVonline=201901533</v>
      </c>
    </row>
    <row r="6158" spans="1:23">
      <c r="A6158" s="3">
        <v>6157</v>
      </c>
      <c r="J6158" s="1" t="s">
        <v>2143</v>
      </c>
      <c r="L6158" s="1" t="s">
        <v>1614</v>
      </c>
      <c r="N6158" s="1" t="s">
        <v>1616</v>
      </c>
      <c r="P6158" s="1" t="s">
        <v>656</v>
      </c>
      <c r="Q6158" s="3">
        <v>0</v>
      </c>
      <c r="R6158" s="22" t="s">
        <v>2721</v>
      </c>
      <c r="S6158" s="42" t="s">
        <v>6911</v>
      </c>
      <c r="T6158" s="3" t="s">
        <v>4868</v>
      </c>
      <c r="U6158" s="45">
        <v>27</v>
      </c>
      <c r="V6158" t="s">
        <v>5033</v>
      </c>
      <c r="W6158" s="1" t="str">
        <f>HYPERLINK("http://ictvonline.org/taxonomy/p/taxonomy-history?taxnode_id=201901534","ICTVonline=201901534")</f>
        <v>ICTVonline=201901534</v>
      </c>
    </row>
    <row r="6159" spans="1:23">
      <c r="A6159" s="3">
        <v>6158</v>
      </c>
      <c r="J6159" s="1" t="s">
        <v>2143</v>
      </c>
      <c r="L6159" s="1" t="s">
        <v>1614</v>
      </c>
      <c r="N6159" s="1" t="s">
        <v>1616</v>
      </c>
      <c r="P6159" s="1" t="s">
        <v>1778</v>
      </c>
      <c r="Q6159" s="3">
        <v>0</v>
      </c>
      <c r="R6159" s="22" t="s">
        <v>2721</v>
      </c>
      <c r="S6159" s="42" t="s">
        <v>6911</v>
      </c>
      <c r="T6159" s="3" t="s">
        <v>4868</v>
      </c>
      <c r="U6159" s="45">
        <v>27</v>
      </c>
      <c r="V6159" t="s">
        <v>5033</v>
      </c>
      <c r="W6159" s="1" t="str">
        <f>HYPERLINK("http://ictvonline.org/taxonomy/p/taxonomy-history?taxnode_id=201901535","ICTVonline=201901535")</f>
        <v>ICTVonline=201901535</v>
      </c>
    </row>
    <row r="6160" spans="1:23">
      <c r="A6160" s="3">
        <v>6159</v>
      </c>
      <c r="J6160" s="1" t="s">
        <v>2143</v>
      </c>
      <c r="L6160" s="1" t="s">
        <v>1614</v>
      </c>
      <c r="N6160" s="1" t="s">
        <v>1616</v>
      </c>
      <c r="P6160" s="1" t="s">
        <v>1777</v>
      </c>
      <c r="Q6160" s="3">
        <v>0</v>
      </c>
      <c r="R6160" s="22" t="s">
        <v>2721</v>
      </c>
      <c r="S6160" s="42" t="s">
        <v>6911</v>
      </c>
      <c r="T6160" s="3" t="s">
        <v>4868</v>
      </c>
      <c r="U6160" s="45">
        <v>27</v>
      </c>
      <c r="V6160" t="s">
        <v>5033</v>
      </c>
      <c r="W6160" s="1" t="str">
        <f>HYPERLINK("http://ictvonline.org/taxonomy/p/taxonomy-history?taxnode_id=201901536","ICTVonline=201901536")</f>
        <v>ICTVonline=201901536</v>
      </c>
    </row>
    <row r="6161" spans="1:23">
      <c r="A6161" s="3">
        <v>6160</v>
      </c>
      <c r="J6161" s="1" t="s">
        <v>2143</v>
      </c>
      <c r="L6161" s="1" t="s">
        <v>1614</v>
      </c>
      <c r="N6161" s="1" t="s">
        <v>1616</v>
      </c>
      <c r="P6161" s="1" t="s">
        <v>1617</v>
      </c>
      <c r="Q6161" s="3">
        <v>1</v>
      </c>
      <c r="R6161" s="22" t="s">
        <v>2721</v>
      </c>
      <c r="S6161" s="42" t="s">
        <v>6911</v>
      </c>
      <c r="T6161" s="3" t="s">
        <v>4868</v>
      </c>
      <c r="U6161" s="45">
        <v>27</v>
      </c>
      <c r="V6161" t="s">
        <v>5033</v>
      </c>
      <c r="W6161" s="1" t="str">
        <f>HYPERLINK("http://ictvonline.org/taxonomy/p/taxonomy-history?taxnode_id=201901537","ICTVonline=201901537")</f>
        <v>ICTVonline=201901537</v>
      </c>
    </row>
    <row r="6162" spans="1:23">
      <c r="A6162" s="3">
        <v>6161</v>
      </c>
      <c r="J6162" s="1" t="s">
        <v>2143</v>
      </c>
      <c r="L6162" s="1" t="s">
        <v>1614</v>
      </c>
      <c r="N6162" s="1" t="s">
        <v>1113</v>
      </c>
      <c r="P6162" s="1" t="s">
        <v>1953</v>
      </c>
      <c r="Q6162" s="3">
        <v>1</v>
      </c>
      <c r="R6162" s="22" t="s">
        <v>2721</v>
      </c>
      <c r="S6162" s="42" t="s">
        <v>6911</v>
      </c>
      <c r="T6162" s="3" t="s">
        <v>4868</v>
      </c>
      <c r="U6162" s="45">
        <v>27</v>
      </c>
      <c r="V6162" t="s">
        <v>5033</v>
      </c>
      <c r="W6162" s="1" t="str">
        <f>HYPERLINK("http://ictvonline.org/taxonomy/p/taxonomy-history?taxnode_id=201901539","ICTVonline=201901539")</f>
        <v>ICTVonline=201901539</v>
      </c>
    </row>
    <row r="6163" spans="1:23">
      <c r="A6163" s="3">
        <v>6162</v>
      </c>
      <c r="J6163" s="1" t="s">
        <v>2143</v>
      </c>
      <c r="L6163" s="1" t="s">
        <v>1614</v>
      </c>
      <c r="N6163" s="1" t="s">
        <v>1113</v>
      </c>
      <c r="P6163" s="1" t="s">
        <v>8761</v>
      </c>
      <c r="Q6163" s="3">
        <v>0</v>
      </c>
      <c r="R6163" s="22" t="s">
        <v>2721</v>
      </c>
      <c r="S6163" s="42" t="s">
        <v>6914</v>
      </c>
      <c r="T6163" s="3" t="s">
        <v>4866</v>
      </c>
      <c r="U6163" s="45">
        <v>35</v>
      </c>
      <c r="V6163" t="s">
        <v>8759</v>
      </c>
      <c r="W6163" s="1" t="str">
        <f>HYPERLINK("http://ictvonline.org/taxonomy/p/taxonomy-history?taxnode_id=201908645","ICTVonline=201908645")</f>
        <v>ICTVonline=201908645</v>
      </c>
    </row>
    <row r="6164" spans="1:23">
      <c r="A6164" s="3">
        <v>6163</v>
      </c>
      <c r="J6164" s="1" t="s">
        <v>2143</v>
      </c>
      <c r="L6164" s="1" t="s">
        <v>1614</v>
      </c>
      <c r="N6164" s="1" t="s">
        <v>1954</v>
      </c>
      <c r="P6164" s="1" t="s">
        <v>1955</v>
      </c>
      <c r="Q6164" s="3">
        <v>1</v>
      </c>
      <c r="R6164" s="22" t="s">
        <v>2721</v>
      </c>
      <c r="S6164" s="42" t="s">
        <v>6911</v>
      </c>
      <c r="T6164" s="3" t="s">
        <v>4868</v>
      </c>
      <c r="U6164" s="45">
        <v>27</v>
      </c>
      <c r="V6164" t="s">
        <v>5033</v>
      </c>
      <c r="W6164" s="1" t="str">
        <f>HYPERLINK("http://ictvonline.org/taxonomy/p/taxonomy-history?taxnode_id=201901541","ICTVonline=201901541")</f>
        <v>ICTVonline=201901541</v>
      </c>
    </row>
    <row r="6165" spans="1:23">
      <c r="A6165" s="3">
        <v>6164</v>
      </c>
      <c r="J6165" s="1" t="s">
        <v>2143</v>
      </c>
      <c r="L6165" s="1" t="s">
        <v>1288</v>
      </c>
      <c r="N6165" s="1" t="s">
        <v>1289</v>
      </c>
      <c r="P6165" s="1" t="s">
        <v>1880</v>
      </c>
      <c r="Q6165" s="3">
        <v>0</v>
      </c>
      <c r="R6165" s="22" t="s">
        <v>2721</v>
      </c>
      <c r="S6165" s="42" t="s">
        <v>6911</v>
      </c>
      <c r="T6165" s="3" t="s">
        <v>4868</v>
      </c>
      <c r="U6165" s="45">
        <v>27</v>
      </c>
      <c r="V6165" t="s">
        <v>5033</v>
      </c>
      <c r="W6165" s="1" t="str">
        <f>HYPERLINK("http://ictvonline.org/taxonomy/p/taxonomy-history?taxnode_id=201901545","ICTVonline=201901545")</f>
        <v>ICTVonline=201901545</v>
      </c>
    </row>
    <row r="6166" spans="1:23">
      <c r="A6166" s="3">
        <v>6165</v>
      </c>
      <c r="J6166" s="1" t="s">
        <v>2143</v>
      </c>
      <c r="L6166" s="1" t="s">
        <v>1288</v>
      </c>
      <c r="N6166" s="1" t="s">
        <v>1289</v>
      </c>
      <c r="P6166" s="1" t="s">
        <v>1881</v>
      </c>
      <c r="Q6166" s="3">
        <v>0</v>
      </c>
      <c r="R6166" s="22" t="s">
        <v>2721</v>
      </c>
      <c r="S6166" s="42" t="s">
        <v>6911</v>
      </c>
      <c r="T6166" s="3" t="s">
        <v>4868</v>
      </c>
      <c r="U6166" s="45">
        <v>27</v>
      </c>
      <c r="V6166" t="s">
        <v>5033</v>
      </c>
      <c r="W6166" s="1" t="str">
        <f>HYPERLINK("http://ictvonline.org/taxonomy/p/taxonomy-history?taxnode_id=201901546","ICTVonline=201901546")</f>
        <v>ICTVonline=201901546</v>
      </c>
    </row>
    <row r="6167" spans="1:23">
      <c r="A6167" s="3">
        <v>6166</v>
      </c>
      <c r="J6167" s="1" t="s">
        <v>2143</v>
      </c>
      <c r="L6167" s="1" t="s">
        <v>1288</v>
      </c>
      <c r="N6167" s="1" t="s">
        <v>1289</v>
      </c>
      <c r="P6167" s="1" t="s">
        <v>1575</v>
      </c>
      <c r="Q6167" s="3">
        <v>1</v>
      </c>
      <c r="R6167" s="22" t="s">
        <v>2721</v>
      </c>
      <c r="S6167" s="42" t="s">
        <v>6911</v>
      </c>
      <c r="T6167" s="3" t="s">
        <v>4868</v>
      </c>
      <c r="U6167" s="45">
        <v>27</v>
      </c>
      <c r="V6167" t="s">
        <v>5033</v>
      </c>
      <c r="W6167" s="1" t="str">
        <f>HYPERLINK("http://ictvonline.org/taxonomy/p/taxonomy-history?taxnode_id=201901547","ICTVonline=201901547")</f>
        <v>ICTVonline=201901547</v>
      </c>
    </row>
    <row r="6168" spans="1:23">
      <c r="A6168" s="3">
        <v>6167</v>
      </c>
      <c r="L6168" s="1" t="s">
        <v>5174</v>
      </c>
      <c r="M6168" s="1" t="s">
        <v>5175</v>
      </c>
      <c r="N6168" s="1" t="s">
        <v>5176</v>
      </c>
      <c r="P6168" s="1" t="s">
        <v>5177</v>
      </c>
      <c r="Q6168" s="3">
        <v>1</v>
      </c>
      <c r="R6168" s="22" t="s">
        <v>2724</v>
      </c>
      <c r="S6168" s="42" t="s">
        <v>6912</v>
      </c>
      <c r="T6168" s="3" t="s">
        <v>4866</v>
      </c>
      <c r="U6168" s="45">
        <v>32</v>
      </c>
      <c r="V6168" t="s">
        <v>5178</v>
      </c>
      <c r="W6168" s="1" t="str">
        <f>HYPERLINK("http://ictvonline.org/taxonomy/p/taxonomy-history?taxnode_id=201906012","ICTVonline=201906012")</f>
        <v>ICTVonline=201906012</v>
      </c>
    </row>
    <row r="6169" spans="1:23">
      <c r="A6169" s="3">
        <v>6168</v>
      </c>
      <c r="L6169" s="1" t="s">
        <v>5174</v>
      </c>
      <c r="M6169" s="1" t="s">
        <v>5175</v>
      </c>
      <c r="N6169" s="1" t="s">
        <v>5176</v>
      </c>
      <c r="P6169" s="1" t="s">
        <v>5179</v>
      </c>
      <c r="Q6169" s="3">
        <v>0</v>
      </c>
      <c r="R6169" s="22" t="s">
        <v>2724</v>
      </c>
      <c r="S6169" s="42" t="s">
        <v>6912</v>
      </c>
      <c r="T6169" s="3" t="s">
        <v>4866</v>
      </c>
      <c r="U6169" s="45">
        <v>32</v>
      </c>
      <c r="V6169" t="s">
        <v>5178</v>
      </c>
      <c r="W6169" s="1" t="str">
        <f>HYPERLINK("http://ictvonline.org/taxonomy/p/taxonomy-history?taxnode_id=201905664","ICTVonline=201905664")</f>
        <v>ICTVonline=201905664</v>
      </c>
    </row>
    <row r="6170" spans="1:23">
      <c r="A6170" s="3">
        <v>6169</v>
      </c>
      <c r="L6170" s="1" t="s">
        <v>5174</v>
      </c>
      <c r="M6170" s="1" t="s">
        <v>5175</v>
      </c>
      <c r="N6170" s="1" t="s">
        <v>5180</v>
      </c>
      <c r="P6170" s="1" t="s">
        <v>8762</v>
      </c>
      <c r="Q6170" s="3">
        <v>0</v>
      </c>
      <c r="R6170" s="22" t="s">
        <v>2724</v>
      </c>
      <c r="S6170" s="42" t="s">
        <v>6914</v>
      </c>
      <c r="T6170" s="3" t="s">
        <v>4866</v>
      </c>
      <c r="U6170" s="45">
        <v>35</v>
      </c>
      <c r="V6170" t="s">
        <v>8763</v>
      </c>
      <c r="W6170" s="1" t="str">
        <f>HYPERLINK("http://ictvonline.org/taxonomy/p/taxonomy-history?taxnode_id=201907290","ICTVonline=201907290")</f>
        <v>ICTVonline=201907290</v>
      </c>
    </row>
    <row r="6171" spans="1:23">
      <c r="A6171" s="3">
        <v>6170</v>
      </c>
      <c r="L6171" s="1" t="s">
        <v>5174</v>
      </c>
      <c r="M6171" s="1" t="s">
        <v>5175</v>
      </c>
      <c r="N6171" s="1" t="s">
        <v>5180</v>
      </c>
      <c r="P6171" s="1" t="s">
        <v>8764</v>
      </c>
      <c r="Q6171" s="3">
        <v>0</v>
      </c>
      <c r="R6171" s="22" t="s">
        <v>2724</v>
      </c>
      <c r="S6171" s="42" t="s">
        <v>6914</v>
      </c>
      <c r="T6171" s="3" t="s">
        <v>4866</v>
      </c>
      <c r="U6171" s="45">
        <v>35</v>
      </c>
      <c r="V6171" t="s">
        <v>8763</v>
      </c>
      <c r="W6171" s="1" t="str">
        <f>HYPERLINK("http://ictvonline.org/taxonomy/p/taxonomy-history?taxnode_id=201907289","ICTVonline=201907289")</f>
        <v>ICTVonline=201907289</v>
      </c>
    </row>
    <row r="6172" spans="1:23">
      <c r="A6172" s="3">
        <v>6171</v>
      </c>
      <c r="L6172" s="1" t="s">
        <v>5174</v>
      </c>
      <c r="M6172" s="1" t="s">
        <v>5175</v>
      </c>
      <c r="N6172" s="1" t="s">
        <v>5180</v>
      </c>
      <c r="P6172" s="1" t="s">
        <v>5181</v>
      </c>
      <c r="Q6172" s="3">
        <v>1</v>
      </c>
      <c r="R6172" s="22" t="s">
        <v>2724</v>
      </c>
      <c r="S6172" s="42" t="s">
        <v>6912</v>
      </c>
      <c r="T6172" s="3" t="s">
        <v>4866</v>
      </c>
      <c r="U6172" s="45">
        <v>32</v>
      </c>
      <c r="V6172" t="s">
        <v>5178</v>
      </c>
      <c r="W6172" s="1" t="str">
        <f>HYPERLINK("http://ictvonline.org/taxonomy/p/taxonomy-history?taxnode_id=201905666","ICTVonline=201905666")</f>
        <v>ICTVonline=201905666</v>
      </c>
    </row>
    <row r="6173" spans="1:23">
      <c r="A6173" s="3">
        <v>6172</v>
      </c>
      <c r="L6173" s="1" t="s">
        <v>5174</v>
      </c>
      <c r="M6173" s="1" t="s">
        <v>5175</v>
      </c>
      <c r="N6173" s="1" t="s">
        <v>5180</v>
      </c>
      <c r="P6173" s="1" t="s">
        <v>5182</v>
      </c>
      <c r="Q6173" s="3">
        <v>0</v>
      </c>
      <c r="R6173" s="22" t="s">
        <v>2724</v>
      </c>
      <c r="S6173" s="42" t="s">
        <v>6912</v>
      </c>
      <c r="T6173" s="3" t="s">
        <v>4866</v>
      </c>
      <c r="U6173" s="45">
        <v>32</v>
      </c>
      <c r="V6173" t="s">
        <v>5178</v>
      </c>
      <c r="W6173" s="1" t="str">
        <f>HYPERLINK("http://ictvonline.org/taxonomy/p/taxonomy-history?taxnode_id=201905667","ICTVonline=201905667")</f>
        <v>ICTVonline=201905667</v>
      </c>
    </row>
    <row r="6174" spans="1:23">
      <c r="A6174" s="3">
        <v>6173</v>
      </c>
      <c r="L6174" s="1" t="s">
        <v>5174</v>
      </c>
      <c r="M6174" s="1" t="s">
        <v>5175</v>
      </c>
      <c r="N6174" s="1" t="s">
        <v>5180</v>
      </c>
      <c r="P6174" s="1" t="s">
        <v>5183</v>
      </c>
      <c r="Q6174" s="3">
        <v>0</v>
      </c>
      <c r="R6174" s="22" t="s">
        <v>2724</v>
      </c>
      <c r="S6174" s="42" t="s">
        <v>6912</v>
      </c>
      <c r="T6174" s="3" t="s">
        <v>4866</v>
      </c>
      <c r="U6174" s="45">
        <v>32</v>
      </c>
      <c r="V6174" t="s">
        <v>5178</v>
      </c>
      <c r="W6174" s="1" t="str">
        <f>HYPERLINK("http://ictvonline.org/taxonomy/p/taxonomy-history?taxnode_id=201905668","ICTVonline=201905668")</f>
        <v>ICTVonline=201905668</v>
      </c>
    </row>
    <row r="6175" spans="1:23">
      <c r="A6175" s="3">
        <v>6174</v>
      </c>
      <c r="L6175" s="1" t="s">
        <v>5174</v>
      </c>
      <c r="M6175" s="1" t="s">
        <v>5175</v>
      </c>
      <c r="N6175" s="1" t="s">
        <v>5180</v>
      </c>
      <c r="P6175" s="1" t="s">
        <v>5184</v>
      </c>
      <c r="Q6175" s="3">
        <v>0</v>
      </c>
      <c r="R6175" s="22" t="s">
        <v>2724</v>
      </c>
      <c r="S6175" s="42" t="s">
        <v>6912</v>
      </c>
      <c r="T6175" s="3" t="s">
        <v>4866</v>
      </c>
      <c r="U6175" s="45">
        <v>32</v>
      </c>
      <c r="V6175" t="s">
        <v>5178</v>
      </c>
      <c r="W6175" s="1" t="str">
        <f>HYPERLINK("http://ictvonline.org/taxonomy/p/taxonomy-history?taxnode_id=201905669","ICTVonline=201905669")</f>
        <v>ICTVonline=201905669</v>
      </c>
    </row>
    <row r="6176" spans="1:23">
      <c r="A6176" s="3">
        <v>6175</v>
      </c>
      <c r="L6176" s="1" t="s">
        <v>5174</v>
      </c>
      <c r="M6176" s="1" t="s">
        <v>5175</v>
      </c>
      <c r="N6176" s="1" t="s">
        <v>5180</v>
      </c>
      <c r="P6176" s="1" t="s">
        <v>5185</v>
      </c>
      <c r="Q6176" s="3">
        <v>0</v>
      </c>
      <c r="R6176" s="22" t="s">
        <v>2724</v>
      </c>
      <c r="S6176" s="42" t="s">
        <v>6912</v>
      </c>
      <c r="T6176" s="3" t="s">
        <v>4866</v>
      </c>
      <c r="U6176" s="45">
        <v>32</v>
      </c>
      <c r="V6176" t="s">
        <v>5178</v>
      </c>
      <c r="W6176" s="1" t="str">
        <f>HYPERLINK("http://ictvonline.org/taxonomy/p/taxonomy-history?taxnode_id=201905670","ICTVonline=201905670")</f>
        <v>ICTVonline=201905670</v>
      </c>
    </row>
    <row r="6177" spans="1:23">
      <c r="A6177" s="3">
        <v>6176</v>
      </c>
      <c r="L6177" s="1" t="s">
        <v>5174</v>
      </c>
      <c r="M6177" s="1" t="s">
        <v>5175</v>
      </c>
      <c r="N6177" s="1" t="s">
        <v>5180</v>
      </c>
      <c r="P6177" s="1" t="s">
        <v>8765</v>
      </c>
      <c r="Q6177" s="3">
        <v>0</v>
      </c>
      <c r="R6177" s="22" t="s">
        <v>2724</v>
      </c>
      <c r="S6177" s="42" t="s">
        <v>6914</v>
      </c>
      <c r="T6177" s="3" t="s">
        <v>4866</v>
      </c>
      <c r="U6177" s="45">
        <v>35</v>
      </c>
      <c r="V6177" t="s">
        <v>8763</v>
      </c>
      <c r="W6177" s="1" t="str">
        <f>HYPERLINK("http://ictvonline.org/taxonomy/p/taxonomy-history?taxnode_id=201907291","ICTVonline=201907291")</f>
        <v>ICTVonline=201907291</v>
      </c>
    </row>
    <row r="6178" spans="1:23">
      <c r="A6178" s="3">
        <v>6177</v>
      </c>
      <c r="L6178" s="1" t="s">
        <v>5174</v>
      </c>
      <c r="M6178" s="1" t="s">
        <v>5175</v>
      </c>
      <c r="N6178" s="1" t="s">
        <v>5180</v>
      </c>
      <c r="P6178" s="1" t="s">
        <v>8766</v>
      </c>
      <c r="Q6178" s="3">
        <v>0</v>
      </c>
      <c r="R6178" s="22" t="s">
        <v>2724</v>
      </c>
      <c r="S6178" s="42" t="s">
        <v>6914</v>
      </c>
      <c r="T6178" s="3" t="s">
        <v>4866</v>
      </c>
      <c r="U6178" s="45">
        <v>35</v>
      </c>
      <c r="V6178" t="s">
        <v>8763</v>
      </c>
      <c r="W6178" s="1" t="str">
        <f>HYPERLINK("http://ictvonline.org/taxonomy/p/taxonomy-history?taxnode_id=201907292","ICTVonline=201907292")</f>
        <v>ICTVonline=201907292</v>
      </c>
    </row>
    <row r="6179" spans="1:23">
      <c r="A6179" s="3">
        <v>6178</v>
      </c>
      <c r="L6179" s="1" t="s">
        <v>5174</v>
      </c>
      <c r="M6179" s="1" t="s">
        <v>5175</v>
      </c>
      <c r="N6179" s="1" t="s">
        <v>5180</v>
      </c>
      <c r="P6179" s="1" t="s">
        <v>5186</v>
      </c>
      <c r="Q6179" s="3">
        <v>0</v>
      </c>
      <c r="R6179" s="22" t="s">
        <v>2724</v>
      </c>
      <c r="S6179" s="42" t="s">
        <v>6912</v>
      </c>
      <c r="T6179" s="3" t="s">
        <v>4866</v>
      </c>
      <c r="U6179" s="45">
        <v>32</v>
      </c>
      <c r="V6179" t="s">
        <v>5178</v>
      </c>
      <c r="W6179" s="1" t="str">
        <f>HYPERLINK("http://ictvonline.org/taxonomy/p/taxonomy-history?taxnode_id=201905671","ICTVonline=201905671")</f>
        <v>ICTVonline=201905671</v>
      </c>
    </row>
    <row r="6180" spans="1:23">
      <c r="A6180" s="3">
        <v>6179</v>
      </c>
      <c r="L6180" s="1" t="s">
        <v>5174</v>
      </c>
      <c r="M6180" s="1" t="s">
        <v>5175</v>
      </c>
      <c r="N6180" s="1" t="s">
        <v>5180</v>
      </c>
      <c r="P6180" s="1" t="s">
        <v>5187</v>
      </c>
      <c r="Q6180" s="3">
        <v>0</v>
      </c>
      <c r="R6180" s="22" t="s">
        <v>2724</v>
      </c>
      <c r="S6180" s="42" t="s">
        <v>6912</v>
      </c>
      <c r="T6180" s="3" t="s">
        <v>4866</v>
      </c>
      <c r="U6180" s="45">
        <v>32</v>
      </c>
      <c r="V6180" t="s">
        <v>5178</v>
      </c>
      <c r="W6180" s="1" t="str">
        <f>HYPERLINK("http://ictvonline.org/taxonomy/p/taxonomy-history?taxnode_id=201905672","ICTVonline=201905672")</f>
        <v>ICTVonline=201905672</v>
      </c>
    </row>
    <row r="6181" spans="1:23">
      <c r="A6181" s="3">
        <v>6180</v>
      </c>
      <c r="L6181" s="1" t="s">
        <v>5174</v>
      </c>
      <c r="M6181" s="1" t="s">
        <v>5175</v>
      </c>
      <c r="N6181" s="1" t="s">
        <v>5180</v>
      </c>
      <c r="P6181" s="1" t="s">
        <v>5188</v>
      </c>
      <c r="Q6181" s="3">
        <v>0</v>
      </c>
      <c r="R6181" s="22" t="s">
        <v>2724</v>
      </c>
      <c r="S6181" s="42" t="s">
        <v>6912</v>
      </c>
      <c r="T6181" s="3" t="s">
        <v>4866</v>
      </c>
      <c r="U6181" s="45">
        <v>32</v>
      </c>
      <c r="V6181" t="s">
        <v>5178</v>
      </c>
      <c r="W6181" s="1" t="str">
        <f>HYPERLINK("http://ictvonline.org/taxonomy/p/taxonomy-history?taxnode_id=201905673","ICTVonline=201905673")</f>
        <v>ICTVonline=201905673</v>
      </c>
    </row>
    <row r="6182" spans="1:23">
      <c r="A6182" s="3">
        <v>6181</v>
      </c>
      <c r="L6182" s="1" t="s">
        <v>5174</v>
      </c>
      <c r="M6182" s="1" t="s">
        <v>5175</v>
      </c>
      <c r="N6182" s="1" t="s">
        <v>5189</v>
      </c>
      <c r="P6182" s="1" t="s">
        <v>5190</v>
      </c>
      <c r="Q6182" s="3">
        <v>0</v>
      </c>
      <c r="R6182" s="22" t="s">
        <v>2724</v>
      </c>
      <c r="S6182" s="42" t="s">
        <v>6912</v>
      </c>
      <c r="T6182" s="3" t="s">
        <v>4866</v>
      </c>
      <c r="U6182" s="45">
        <v>32</v>
      </c>
      <c r="V6182" t="s">
        <v>5178</v>
      </c>
      <c r="W6182" s="1" t="str">
        <f>HYPERLINK("http://ictvonline.org/taxonomy/p/taxonomy-history?taxnode_id=201905675","ICTVonline=201905675")</f>
        <v>ICTVonline=201905675</v>
      </c>
    </row>
    <row r="6183" spans="1:23">
      <c r="A6183" s="3">
        <v>6182</v>
      </c>
      <c r="L6183" s="1" t="s">
        <v>5174</v>
      </c>
      <c r="M6183" s="1" t="s">
        <v>5175</v>
      </c>
      <c r="N6183" s="1" t="s">
        <v>5189</v>
      </c>
      <c r="P6183" s="1" t="s">
        <v>5191</v>
      </c>
      <c r="Q6183" s="3">
        <v>0</v>
      </c>
      <c r="R6183" s="22" t="s">
        <v>2724</v>
      </c>
      <c r="S6183" s="42" t="s">
        <v>6912</v>
      </c>
      <c r="T6183" s="3" t="s">
        <v>4866</v>
      </c>
      <c r="U6183" s="45">
        <v>32</v>
      </c>
      <c r="V6183" t="s">
        <v>5178</v>
      </c>
      <c r="W6183" s="1" t="str">
        <f>HYPERLINK("http://ictvonline.org/taxonomy/p/taxonomy-history?taxnode_id=201905676","ICTVonline=201905676")</f>
        <v>ICTVonline=201905676</v>
      </c>
    </row>
    <row r="6184" spans="1:23">
      <c r="A6184" s="3">
        <v>6183</v>
      </c>
      <c r="L6184" s="1" t="s">
        <v>5174</v>
      </c>
      <c r="M6184" s="1" t="s">
        <v>5175</v>
      </c>
      <c r="N6184" s="1" t="s">
        <v>5189</v>
      </c>
      <c r="P6184" s="1" t="s">
        <v>5192</v>
      </c>
      <c r="Q6184" s="3">
        <v>0</v>
      </c>
      <c r="R6184" s="22" t="s">
        <v>2724</v>
      </c>
      <c r="S6184" s="42" t="s">
        <v>6912</v>
      </c>
      <c r="T6184" s="3" t="s">
        <v>4866</v>
      </c>
      <c r="U6184" s="45">
        <v>32</v>
      </c>
      <c r="V6184" t="s">
        <v>5178</v>
      </c>
      <c r="W6184" s="1" t="str">
        <f>HYPERLINK("http://ictvonline.org/taxonomy/p/taxonomy-history?taxnode_id=201905677","ICTVonline=201905677")</f>
        <v>ICTVonline=201905677</v>
      </c>
    </row>
    <row r="6185" spans="1:23">
      <c r="A6185" s="3">
        <v>6184</v>
      </c>
      <c r="L6185" s="1" t="s">
        <v>5174</v>
      </c>
      <c r="M6185" s="1" t="s">
        <v>5175</v>
      </c>
      <c r="N6185" s="1" t="s">
        <v>5189</v>
      </c>
      <c r="P6185" s="1" t="s">
        <v>5193</v>
      </c>
      <c r="Q6185" s="3">
        <v>0</v>
      </c>
      <c r="R6185" s="22" t="s">
        <v>2724</v>
      </c>
      <c r="S6185" s="42" t="s">
        <v>6912</v>
      </c>
      <c r="T6185" s="3" t="s">
        <v>4866</v>
      </c>
      <c r="U6185" s="45">
        <v>32</v>
      </c>
      <c r="V6185" t="s">
        <v>5178</v>
      </c>
      <c r="W6185" s="1" t="str">
        <f>HYPERLINK("http://ictvonline.org/taxonomy/p/taxonomy-history?taxnode_id=201905678","ICTVonline=201905678")</f>
        <v>ICTVonline=201905678</v>
      </c>
    </row>
    <row r="6186" spans="1:23">
      <c r="A6186" s="3">
        <v>6185</v>
      </c>
      <c r="L6186" s="1" t="s">
        <v>5174</v>
      </c>
      <c r="M6186" s="1" t="s">
        <v>5175</v>
      </c>
      <c r="N6186" s="1" t="s">
        <v>5189</v>
      </c>
      <c r="P6186" s="1" t="s">
        <v>5194</v>
      </c>
      <c r="Q6186" s="3">
        <v>0</v>
      </c>
      <c r="R6186" s="22" t="s">
        <v>2724</v>
      </c>
      <c r="S6186" s="42" t="s">
        <v>6912</v>
      </c>
      <c r="T6186" s="3" t="s">
        <v>4866</v>
      </c>
      <c r="U6186" s="45">
        <v>32</v>
      </c>
      <c r="V6186" t="s">
        <v>5178</v>
      </c>
      <c r="W6186" s="1" t="str">
        <f>HYPERLINK("http://ictvonline.org/taxonomy/p/taxonomy-history?taxnode_id=201905679","ICTVonline=201905679")</f>
        <v>ICTVonline=201905679</v>
      </c>
    </row>
    <row r="6187" spans="1:23">
      <c r="A6187" s="3">
        <v>6186</v>
      </c>
      <c r="L6187" s="1" t="s">
        <v>5174</v>
      </c>
      <c r="M6187" s="1" t="s">
        <v>5175</v>
      </c>
      <c r="N6187" s="1" t="s">
        <v>5189</v>
      </c>
      <c r="P6187" s="1" t="s">
        <v>5195</v>
      </c>
      <c r="Q6187" s="3">
        <v>0</v>
      </c>
      <c r="R6187" s="22" t="s">
        <v>2724</v>
      </c>
      <c r="S6187" s="42" t="s">
        <v>6912</v>
      </c>
      <c r="T6187" s="3" t="s">
        <v>4866</v>
      </c>
      <c r="U6187" s="45">
        <v>32</v>
      </c>
      <c r="V6187" t="s">
        <v>5178</v>
      </c>
      <c r="W6187" s="1" t="str">
        <f>HYPERLINK("http://ictvonline.org/taxonomy/p/taxonomy-history?taxnode_id=201905680","ICTVonline=201905680")</f>
        <v>ICTVonline=201905680</v>
      </c>
    </row>
    <row r="6188" spans="1:23">
      <c r="A6188" s="3">
        <v>6187</v>
      </c>
      <c r="L6188" s="1" t="s">
        <v>5174</v>
      </c>
      <c r="M6188" s="1" t="s">
        <v>5175</v>
      </c>
      <c r="N6188" s="1" t="s">
        <v>5189</v>
      </c>
      <c r="P6188" s="1" t="s">
        <v>5196</v>
      </c>
      <c r="Q6188" s="3">
        <v>0</v>
      </c>
      <c r="R6188" s="22" t="s">
        <v>2724</v>
      </c>
      <c r="S6188" s="42" t="s">
        <v>6912</v>
      </c>
      <c r="T6188" s="3" t="s">
        <v>4866</v>
      </c>
      <c r="U6188" s="45">
        <v>32</v>
      </c>
      <c r="V6188" t="s">
        <v>5178</v>
      </c>
      <c r="W6188" s="1" t="str">
        <f>HYPERLINK("http://ictvonline.org/taxonomy/p/taxonomy-history?taxnode_id=201905681","ICTVonline=201905681")</f>
        <v>ICTVonline=201905681</v>
      </c>
    </row>
    <row r="6189" spans="1:23">
      <c r="A6189" s="3">
        <v>6188</v>
      </c>
      <c r="L6189" s="1" t="s">
        <v>5174</v>
      </c>
      <c r="M6189" s="1" t="s">
        <v>5175</v>
      </c>
      <c r="N6189" s="1" t="s">
        <v>5189</v>
      </c>
      <c r="P6189" s="1" t="s">
        <v>5197</v>
      </c>
      <c r="Q6189" s="3">
        <v>0</v>
      </c>
      <c r="R6189" s="22" t="s">
        <v>2724</v>
      </c>
      <c r="S6189" s="42" t="s">
        <v>6912</v>
      </c>
      <c r="T6189" s="3" t="s">
        <v>4866</v>
      </c>
      <c r="U6189" s="45">
        <v>32</v>
      </c>
      <c r="V6189" t="s">
        <v>5178</v>
      </c>
      <c r="W6189" s="1" t="str">
        <f>HYPERLINK("http://ictvonline.org/taxonomy/p/taxonomy-history?taxnode_id=201905682","ICTVonline=201905682")</f>
        <v>ICTVonline=201905682</v>
      </c>
    </row>
    <row r="6190" spans="1:23">
      <c r="A6190" s="3">
        <v>6189</v>
      </c>
      <c r="L6190" s="1" t="s">
        <v>5174</v>
      </c>
      <c r="M6190" s="1" t="s">
        <v>5175</v>
      </c>
      <c r="N6190" s="1" t="s">
        <v>5189</v>
      </c>
      <c r="P6190" s="1" t="s">
        <v>5198</v>
      </c>
      <c r="Q6190" s="3">
        <v>0</v>
      </c>
      <c r="R6190" s="22" t="s">
        <v>2724</v>
      </c>
      <c r="S6190" s="42" t="s">
        <v>6912</v>
      </c>
      <c r="T6190" s="3" t="s">
        <v>4866</v>
      </c>
      <c r="U6190" s="45">
        <v>32</v>
      </c>
      <c r="V6190" t="s">
        <v>5178</v>
      </c>
      <c r="W6190" s="1" t="str">
        <f>HYPERLINK("http://ictvonline.org/taxonomy/p/taxonomy-history?taxnode_id=201905683","ICTVonline=201905683")</f>
        <v>ICTVonline=201905683</v>
      </c>
    </row>
    <row r="6191" spans="1:23">
      <c r="A6191" s="3">
        <v>6190</v>
      </c>
      <c r="L6191" s="1" t="s">
        <v>5174</v>
      </c>
      <c r="M6191" s="1" t="s">
        <v>5175</v>
      </c>
      <c r="N6191" s="1" t="s">
        <v>5189</v>
      </c>
      <c r="P6191" s="1" t="s">
        <v>5199</v>
      </c>
      <c r="Q6191" s="3">
        <v>0</v>
      </c>
      <c r="R6191" s="22" t="s">
        <v>2724</v>
      </c>
      <c r="S6191" s="42" t="s">
        <v>6912</v>
      </c>
      <c r="T6191" s="3" t="s">
        <v>4866</v>
      </c>
      <c r="U6191" s="45">
        <v>32</v>
      </c>
      <c r="V6191" t="s">
        <v>5178</v>
      </c>
      <c r="W6191" s="1" t="str">
        <f>HYPERLINK("http://ictvonline.org/taxonomy/p/taxonomy-history?taxnode_id=201905684","ICTVonline=201905684")</f>
        <v>ICTVonline=201905684</v>
      </c>
    </row>
    <row r="6192" spans="1:23">
      <c r="A6192" s="3">
        <v>6191</v>
      </c>
      <c r="L6192" s="1" t="s">
        <v>5174</v>
      </c>
      <c r="M6192" s="1" t="s">
        <v>5175</v>
      </c>
      <c r="N6192" s="1" t="s">
        <v>5189</v>
      </c>
      <c r="P6192" s="1" t="s">
        <v>5200</v>
      </c>
      <c r="Q6192" s="3">
        <v>1</v>
      </c>
      <c r="R6192" s="22" t="s">
        <v>2724</v>
      </c>
      <c r="S6192" s="42" t="s">
        <v>6912</v>
      </c>
      <c r="T6192" s="3" t="s">
        <v>4866</v>
      </c>
      <c r="U6192" s="45">
        <v>32</v>
      </c>
      <c r="V6192" t="s">
        <v>5178</v>
      </c>
      <c r="W6192" s="1" t="str">
        <f>HYPERLINK("http://ictvonline.org/taxonomy/p/taxonomy-history?taxnode_id=201905685","ICTVonline=201905685")</f>
        <v>ICTVonline=201905685</v>
      </c>
    </row>
    <row r="6193" spans="1:23">
      <c r="A6193" s="3">
        <v>6192</v>
      </c>
      <c r="L6193" s="1" t="s">
        <v>5174</v>
      </c>
      <c r="M6193" s="1" t="s">
        <v>5175</v>
      </c>
      <c r="N6193" s="1" t="s">
        <v>5189</v>
      </c>
      <c r="P6193" s="1" t="s">
        <v>5201</v>
      </c>
      <c r="Q6193" s="3">
        <v>0</v>
      </c>
      <c r="R6193" s="22" t="s">
        <v>2724</v>
      </c>
      <c r="S6193" s="42" t="s">
        <v>6912</v>
      </c>
      <c r="T6193" s="3" t="s">
        <v>4866</v>
      </c>
      <c r="U6193" s="45">
        <v>32</v>
      </c>
      <c r="V6193" t="s">
        <v>5178</v>
      </c>
      <c r="W6193" s="1" t="str">
        <f>HYPERLINK("http://ictvonline.org/taxonomy/p/taxonomy-history?taxnode_id=201905686","ICTVonline=201905686")</f>
        <v>ICTVonline=201905686</v>
      </c>
    </row>
    <row r="6194" spans="1:23">
      <c r="A6194" s="3">
        <v>6193</v>
      </c>
      <c r="L6194" s="1" t="s">
        <v>5174</v>
      </c>
      <c r="M6194" s="1" t="s">
        <v>5175</v>
      </c>
      <c r="N6194" s="1" t="s">
        <v>5189</v>
      </c>
      <c r="P6194" s="1" t="s">
        <v>5202</v>
      </c>
      <c r="Q6194" s="3">
        <v>0</v>
      </c>
      <c r="R6194" s="22" t="s">
        <v>2724</v>
      </c>
      <c r="S6194" s="42" t="s">
        <v>6912</v>
      </c>
      <c r="T6194" s="3" t="s">
        <v>4866</v>
      </c>
      <c r="U6194" s="45">
        <v>32</v>
      </c>
      <c r="V6194" t="s">
        <v>5178</v>
      </c>
      <c r="W6194" s="1" t="str">
        <f>HYPERLINK("http://ictvonline.org/taxonomy/p/taxonomy-history?taxnode_id=201905687","ICTVonline=201905687")</f>
        <v>ICTVonline=201905687</v>
      </c>
    </row>
    <row r="6195" spans="1:23">
      <c r="A6195" s="3">
        <v>6194</v>
      </c>
      <c r="L6195" s="1" t="s">
        <v>5174</v>
      </c>
      <c r="M6195" s="1" t="s">
        <v>5175</v>
      </c>
      <c r="N6195" s="1" t="s">
        <v>5189</v>
      </c>
      <c r="P6195" s="1" t="s">
        <v>5203</v>
      </c>
      <c r="Q6195" s="3">
        <v>0</v>
      </c>
      <c r="R6195" s="22" t="s">
        <v>2724</v>
      </c>
      <c r="S6195" s="42" t="s">
        <v>6912</v>
      </c>
      <c r="T6195" s="3" t="s">
        <v>4866</v>
      </c>
      <c r="U6195" s="45">
        <v>32</v>
      </c>
      <c r="V6195" t="s">
        <v>5178</v>
      </c>
      <c r="W6195" s="1" t="str">
        <f>HYPERLINK("http://ictvonline.org/taxonomy/p/taxonomy-history?taxnode_id=201905688","ICTVonline=201905688")</f>
        <v>ICTVonline=201905688</v>
      </c>
    </row>
    <row r="6196" spans="1:23">
      <c r="A6196" s="3">
        <v>6195</v>
      </c>
      <c r="L6196" s="1" t="s">
        <v>5174</v>
      </c>
      <c r="M6196" s="1" t="s">
        <v>5175</v>
      </c>
      <c r="N6196" s="1" t="s">
        <v>5189</v>
      </c>
      <c r="P6196" s="1" t="s">
        <v>5204</v>
      </c>
      <c r="Q6196" s="3">
        <v>0</v>
      </c>
      <c r="R6196" s="22" t="s">
        <v>2724</v>
      </c>
      <c r="S6196" s="42" t="s">
        <v>6912</v>
      </c>
      <c r="T6196" s="3" t="s">
        <v>4866</v>
      </c>
      <c r="U6196" s="45">
        <v>32</v>
      </c>
      <c r="V6196" t="s">
        <v>5178</v>
      </c>
      <c r="W6196" s="1" t="str">
        <f>HYPERLINK("http://ictvonline.org/taxonomy/p/taxonomy-history?taxnode_id=201905689","ICTVonline=201905689")</f>
        <v>ICTVonline=201905689</v>
      </c>
    </row>
    <row r="6197" spans="1:23">
      <c r="A6197" s="3">
        <v>6196</v>
      </c>
      <c r="L6197" s="1" t="s">
        <v>5174</v>
      </c>
      <c r="M6197" s="1" t="s">
        <v>5175</v>
      </c>
      <c r="N6197" s="1" t="s">
        <v>5189</v>
      </c>
      <c r="P6197" s="1" t="s">
        <v>5205</v>
      </c>
      <c r="Q6197" s="3">
        <v>0</v>
      </c>
      <c r="R6197" s="22" t="s">
        <v>2724</v>
      </c>
      <c r="S6197" s="42" t="s">
        <v>6912</v>
      </c>
      <c r="T6197" s="3" t="s">
        <v>4866</v>
      </c>
      <c r="U6197" s="45">
        <v>32</v>
      </c>
      <c r="V6197" t="s">
        <v>5178</v>
      </c>
      <c r="W6197" s="1" t="str">
        <f>HYPERLINK("http://ictvonline.org/taxonomy/p/taxonomy-history?taxnode_id=201905690","ICTVonline=201905690")</f>
        <v>ICTVonline=201905690</v>
      </c>
    </row>
    <row r="6198" spans="1:23">
      <c r="A6198" s="3">
        <v>6197</v>
      </c>
      <c r="L6198" s="1" t="s">
        <v>5174</v>
      </c>
      <c r="M6198" s="1" t="s">
        <v>5175</v>
      </c>
      <c r="N6198" s="1" t="s">
        <v>5189</v>
      </c>
      <c r="P6198" s="1" t="s">
        <v>5206</v>
      </c>
      <c r="Q6198" s="3">
        <v>0</v>
      </c>
      <c r="R6198" s="22" t="s">
        <v>2724</v>
      </c>
      <c r="S6198" s="42" t="s">
        <v>6912</v>
      </c>
      <c r="T6198" s="3" t="s">
        <v>4866</v>
      </c>
      <c r="U6198" s="45">
        <v>32</v>
      </c>
      <c r="V6198" t="s">
        <v>5178</v>
      </c>
      <c r="W6198" s="1" t="str">
        <f>HYPERLINK("http://ictvonline.org/taxonomy/p/taxonomy-history?taxnode_id=201905691","ICTVonline=201905691")</f>
        <v>ICTVonline=201905691</v>
      </c>
    </row>
    <row r="6199" spans="1:23">
      <c r="A6199" s="3">
        <v>6198</v>
      </c>
      <c r="L6199" s="1" t="s">
        <v>5174</v>
      </c>
      <c r="M6199" s="1" t="s">
        <v>5175</v>
      </c>
      <c r="N6199" s="1" t="s">
        <v>5189</v>
      </c>
      <c r="P6199" s="1" t="s">
        <v>5207</v>
      </c>
      <c r="Q6199" s="3">
        <v>0</v>
      </c>
      <c r="R6199" s="22" t="s">
        <v>2724</v>
      </c>
      <c r="S6199" s="42" t="s">
        <v>6912</v>
      </c>
      <c r="T6199" s="3" t="s">
        <v>4866</v>
      </c>
      <c r="U6199" s="45">
        <v>32</v>
      </c>
      <c r="V6199" t="s">
        <v>5178</v>
      </c>
      <c r="W6199" s="1" t="str">
        <f>HYPERLINK("http://ictvonline.org/taxonomy/p/taxonomy-history?taxnode_id=201905692","ICTVonline=201905692")</f>
        <v>ICTVonline=201905692</v>
      </c>
    </row>
    <row r="6200" spans="1:23">
      <c r="A6200" s="3">
        <v>6199</v>
      </c>
      <c r="L6200" s="1" t="s">
        <v>5174</v>
      </c>
      <c r="M6200" s="1" t="s">
        <v>5175</v>
      </c>
      <c r="N6200" s="1" t="s">
        <v>5189</v>
      </c>
      <c r="P6200" s="1" t="s">
        <v>5208</v>
      </c>
      <c r="Q6200" s="3">
        <v>0</v>
      </c>
      <c r="R6200" s="22" t="s">
        <v>2724</v>
      </c>
      <c r="S6200" s="42" t="s">
        <v>6912</v>
      </c>
      <c r="T6200" s="3" t="s">
        <v>4866</v>
      </c>
      <c r="U6200" s="45">
        <v>32</v>
      </c>
      <c r="V6200" t="s">
        <v>5178</v>
      </c>
      <c r="W6200" s="1" t="str">
        <f>HYPERLINK("http://ictvonline.org/taxonomy/p/taxonomy-history?taxnode_id=201905693","ICTVonline=201905693")</f>
        <v>ICTVonline=201905693</v>
      </c>
    </row>
    <row r="6201" spans="1:23">
      <c r="A6201" s="3">
        <v>6200</v>
      </c>
      <c r="L6201" s="1" t="s">
        <v>5174</v>
      </c>
      <c r="M6201" s="1" t="s">
        <v>5175</v>
      </c>
      <c r="N6201" s="1" t="s">
        <v>5189</v>
      </c>
      <c r="P6201" s="1" t="s">
        <v>5209</v>
      </c>
      <c r="Q6201" s="3">
        <v>0</v>
      </c>
      <c r="R6201" s="22" t="s">
        <v>2724</v>
      </c>
      <c r="S6201" s="42" t="s">
        <v>6912</v>
      </c>
      <c r="T6201" s="3" t="s">
        <v>4866</v>
      </c>
      <c r="U6201" s="45">
        <v>32</v>
      </c>
      <c r="V6201" t="s">
        <v>5178</v>
      </c>
      <c r="W6201" s="1" t="str">
        <f>HYPERLINK("http://ictvonline.org/taxonomy/p/taxonomy-history?taxnode_id=201905694","ICTVonline=201905694")</f>
        <v>ICTVonline=201905694</v>
      </c>
    </row>
    <row r="6202" spans="1:23">
      <c r="A6202" s="3">
        <v>6201</v>
      </c>
      <c r="L6202" s="1" t="s">
        <v>5174</v>
      </c>
      <c r="M6202" s="1" t="s">
        <v>5175</v>
      </c>
      <c r="N6202" s="1" t="s">
        <v>5189</v>
      </c>
      <c r="P6202" s="1" t="s">
        <v>5210</v>
      </c>
      <c r="Q6202" s="3">
        <v>0</v>
      </c>
      <c r="R6202" s="22" t="s">
        <v>2724</v>
      </c>
      <c r="S6202" s="42" t="s">
        <v>6912</v>
      </c>
      <c r="T6202" s="3" t="s">
        <v>4866</v>
      </c>
      <c r="U6202" s="45">
        <v>32</v>
      </c>
      <c r="V6202" t="s">
        <v>5178</v>
      </c>
      <c r="W6202" s="1" t="str">
        <f>HYPERLINK("http://ictvonline.org/taxonomy/p/taxonomy-history?taxnode_id=201905695","ICTVonline=201905695")</f>
        <v>ICTVonline=201905695</v>
      </c>
    </row>
    <row r="6203" spans="1:23">
      <c r="A6203" s="3">
        <v>6202</v>
      </c>
      <c r="L6203" s="1" t="s">
        <v>5174</v>
      </c>
      <c r="M6203" s="1" t="s">
        <v>5175</v>
      </c>
      <c r="N6203" s="1" t="s">
        <v>5189</v>
      </c>
      <c r="P6203" s="1" t="s">
        <v>5211</v>
      </c>
      <c r="Q6203" s="3">
        <v>0</v>
      </c>
      <c r="R6203" s="22" t="s">
        <v>2724</v>
      </c>
      <c r="S6203" s="42" t="s">
        <v>6912</v>
      </c>
      <c r="T6203" s="3" t="s">
        <v>4866</v>
      </c>
      <c r="U6203" s="45">
        <v>32</v>
      </c>
      <c r="V6203" t="s">
        <v>5178</v>
      </c>
      <c r="W6203" s="1" t="str">
        <f>HYPERLINK("http://ictvonline.org/taxonomy/p/taxonomy-history?taxnode_id=201905696","ICTVonline=201905696")</f>
        <v>ICTVonline=201905696</v>
      </c>
    </row>
    <row r="6204" spans="1:23">
      <c r="A6204" s="3">
        <v>6203</v>
      </c>
      <c r="L6204" s="1" t="s">
        <v>5174</v>
      </c>
      <c r="M6204" s="1" t="s">
        <v>5175</v>
      </c>
      <c r="N6204" s="1" t="s">
        <v>5189</v>
      </c>
      <c r="P6204" s="1" t="s">
        <v>8767</v>
      </c>
      <c r="Q6204" s="3">
        <v>0</v>
      </c>
      <c r="R6204" s="22" t="s">
        <v>2724</v>
      </c>
      <c r="S6204" s="42" t="s">
        <v>6914</v>
      </c>
      <c r="T6204" s="3" t="s">
        <v>4866</v>
      </c>
      <c r="U6204" s="45">
        <v>35</v>
      </c>
      <c r="V6204" t="s">
        <v>8763</v>
      </c>
      <c r="W6204" s="1" t="str">
        <f>HYPERLINK("http://ictvonline.org/taxonomy/p/taxonomy-history?taxnode_id=201907294","ICTVonline=201907294")</f>
        <v>ICTVonline=201907294</v>
      </c>
    </row>
    <row r="6205" spans="1:23">
      <c r="A6205" s="3">
        <v>6204</v>
      </c>
      <c r="L6205" s="1" t="s">
        <v>5174</v>
      </c>
      <c r="M6205" s="1" t="s">
        <v>5175</v>
      </c>
      <c r="N6205" s="1" t="s">
        <v>5189</v>
      </c>
      <c r="P6205" s="1" t="s">
        <v>5212</v>
      </c>
      <c r="Q6205" s="3">
        <v>0</v>
      </c>
      <c r="R6205" s="22" t="s">
        <v>2724</v>
      </c>
      <c r="S6205" s="42" t="s">
        <v>6912</v>
      </c>
      <c r="T6205" s="3" t="s">
        <v>4866</v>
      </c>
      <c r="U6205" s="45">
        <v>32</v>
      </c>
      <c r="V6205" t="s">
        <v>5178</v>
      </c>
      <c r="W6205" s="1" t="str">
        <f>HYPERLINK("http://ictvonline.org/taxonomy/p/taxonomy-history?taxnode_id=201905697","ICTVonline=201905697")</f>
        <v>ICTVonline=201905697</v>
      </c>
    </row>
    <row r="6206" spans="1:23">
      <c r="A6206" s="3">
        <v>6205</v>
      </c>
      <c r="L6206" s="1" t="s">
        <v>5174</v>
      </c>
      <c r="M6206" s="1" t="s">
        <v>5175</v>
      </c>
      <c r="N6206" s="1" t="s">
        <v>5189</v>
      </c>
      <c r="P6206" s="1" t="s">
        <v>5213</v>
      </c>
      <c r="Q6206" s="3">
        <v>0</v>
      </c>
      <c r="R6206" s="22" t="s">
        <v>2724</v>
      </c>
      <c r="S6206" s="42" t="s">
        <v>6912</v>
      </c>
      <c r="T6206" s="3" t="s">
        <v>4866</v>
      </c>
      <c r="U6206" s="45">
        <v>32</v>
      </c>
      <c r="V6206" t="s">
        <v>5178</v>
      </c>
      <c r="W6206" s="1" t="str">
        <f>HYPERLINK("http://ictvonline.org/taxonomy/p/taxonomy-history?taxnode_id=201905698","ICTVonline=201905698")</f>
        <v>ICTVonline=201905698</v>
      </c>
    </row>
    <row r="6207" spans="1:23">
      <c r="A6207" s="3">
        <v>6206</v>
      </c>
      <c r="L6207" s="1" t="s">
        <v>5174</v>
      </c>
      <c r="M6207" s="1" t="s">
        <v>5175</v>
      </c>
      <c r="N6207" s="1" t="s">
        <v>5189</v>
      </c>
      <c r="P6207" s="1" t="s">
        <v>5214</v>
      </c>
      <c r="Q6207" s="3">
        <v>0</v>
      </c>
      <c r="R6207" s="22" t="s">
        <v>2724</v>
      </c>
      <c r="S6207" s="42" t="s">
        <v>6912</v>
      </c>
      <c r="T6207" s="3" t="s">
        <v>4866</v>
      </c>
      <c r="U6207" s="45">
        <v>32</v>
      </c>
      <c r="V6207" t="s">
        <v>5178</v>
      </c>
      <c r="W6207" s="1" t="str">
        <f>HYPERLINK("http://ictvonline.org/taxonomy/p/taxonomy-history?taxnode_id=201905699","ICTVonline=201905699")</f>
        <v>ICTVonline=201905699</v>
      </c>
    </row>
    <row r="6208" spans="1:23">
      <c r="A6208" s="3">
        <v>6207</v>
      </c>
      <c r="L6208" s="1" t="s">
        <v>5174</v>
      </c>
      <c r="M6208" s="1" t="s">
        <v>5175</v>
      </c>
      <c r="N6208" s="1" t="s">
        <v>5215</v>
      </c>
      <c r="P6208" s="1" t="s">
        <v>8768</v>
      </c>
      <c r="Q6208" s="3">
        <v>0</v>
      </c>
      <c r="R6208" s="22" t="s">
        <v>2724</v>
      </c>
      <c r="S6208" s="42" t="s">
        <v>6914</v>
      </c>
      <c r="T6208" s="3" t="s">
        <v>4866</v>
      </c>
      <c r="U6208" s="45">
        <v>35</v>
      </c>
      <c r="V6208" t="s">
        <v>8763</v>
      </c>
      <c r="W6208" s="1" t="str">
        <f>HYPERLINK("http://ictvonline.org/taxonomy/p/taxonomy-history?taxnode_id=201907293","ICTVonline=201907293")</f>
        <v>ICTVonline=201907293</v>
      </c>
    </row>
    <row r="6209" spans="1:23">
      <c r="A6209" s="3">
        <v>6208</v>
      </c>
      <c r="L6209" s="1" t="s">
        <v>5174</v>
      </c>
      <c r="M6209" s="1" t="s">
        <v>5175</v>
      </c>
      <c r="N6209" s="1" t="s">
        <v>5215</v>
      </c>
      <c r="P6209" s="1" t="s">
        <v>5216</v>
      </c>
      <c r="Q6209" s="3">
        <v>1</v>
      </c>
      <c r="R6209" s="22" t="s">
        <v>2724</v>
      </c>
      <c r="S6209" s="42" t="s">
        <v>6912</v>
      </c>
      <c r="T6209" s="3" t="s">
        <v>4866</v>
      </c>
      <c r="U6209" s="45">
        <v>32</v>
      </c>
      <c r="V6209" t="s">
        <v>5178</v>
      </c>
      <c r="W6209" s="1" t="str">
        <f>HYPERLINK("http://ictvonline.org/taxonomy/p/taxonomy-history?taxnode_id=201905701","ICTVonline=201905701")</f>
        <v>ICTVonline=201905701</v>
      </c>
    </row>
    <row r="6210" spans="1:23">
      <c r="A6210" s="3">
        <v>6209</v>
      </c>
      <c r="L6210" s="1" t="s">
        <v>5174</v>
      </c>
      <c r="M6210" s="1" t="s">
        <v>5175</v>
      </c>
      <c r="N6210" s="1" t="s">
        <v>5215</v>
      </c>
      <c r="P6210" s="1" t="s">
        <v>5217</v>
      </c>
      <c r="Q6210" s="3">
        <v>0</v>
      </c>
      <c r="R6210" s="22" t="s">
        <v>2724</v>
      </c>
      <c r="S6210" s="42" t="s">
        <v>6912</v>
      </c>
      <c r="T6210" s="3" t="s">
        <v>4866</v>
      </c>
      <c r="U6210" s="45">
        <v>32</v>
      </c>
      <c r="V6210" t="s">
        <v>5178</v>
      </c>
      <c r="W6210" s="1" t="str">
        <f>HYPERLINK("http://ictvonline.org/taxonomy/p/taxonomy-history?taxnode_id=201905702","ICTVonline=201905702")</f>
        <v>ICTVonline=201905702</v>
      </c>
    </row>
    <row r="6211" spans="1:23">
      <c r="A6211" s="3">
        <v>6210</v>
      </c>
      <c r="L6211" s="1" t="s">
        <v>5174</v>
      </c>
      <c r="M6211" s="1" t="s">
        <v>5175</v>
      </c>
      <c r="N6211" s="1" t="s">
        <v>5215</v>
      </c>
      <c r="P6211" s="1" t="s">
        <v>5218</v>
      </c>
      <c r="Q6211" s="3">
        <v>0</v>
      </c>
      <c r="R6211" s="22" t="s">
        <v>2724</v>
      </c>
      <c r="S6211" s="42" t="s">
        <v>6912</v>
      </c>
      <c r="T6211" s="3" t="s">
        <v>4866</v>
      </c>
      <c r="U6211" s="45">
        <v>32</v>
      </c>
      <c r="V6211" t="s">
        <v>5178</v>
      </c>
      <c r="W6211" s="1" t="str">
        <f>HYPERLINK("http://ictvonline.org/taxonomy/p/taxonomy-history?taxnode_id=201905703","ICTVonline=201905703")</f>
        <v>ICTVonline=201905703</v>
      </c>
    </row>
    <row r="6212" spans="1:23">
      <c r="A6212" s="3">
        <v>6211</v>
      </c>
      <c r="L6212" s="1" t="s">
        <v>5174</v>
      </c>
      <c r="M6212" s="1" t="s">
        <v>5175</v>
      </c>
      <c r="N6212" s="1" t="s">
        <v>5215</v>
      </c>
      <c r="P6212" s="1" t="s">
        <v>5219</v>
      </c>
      <c r="Q6212" s="3">
        <v>0</v>
      </c>
      <c r="R6212" s="22" t="s">
        <v>2724</v>
      </c>
      <c r="S6212" s="42" t="s">
        <v>6912</v>
      </c>
      <c r="T6212" s="3" t="s">
        <v>4866</v>
      </c>
      <c r="U6212" s="45">
        <v>32</v>
      </c>
      <c r="V6212" t="s">
        <v>5178</v>
      </c>
      <c r="W6212" s="1" t="str">
        <f>HYPERLINK("http://ictvonline.org/taxonomy/p/taxonomy-history?taxnode_id=201905704","ICTVonline=201905704")</f>
        <v>ICTVonline=201905704</v>
      </c>
    </row>
    <row r="6213" spans="1:23">
      <c r="A6213" s="3">
        <v>6212</v>
      </c>
      <c r="L6213" s="1" t="s">
        <v>5174</v>
      </c>
      <c r="M6213" s="1" t="s">
        <v>5175</v>
      </c>
      <c r="N6213" s="1" t="s">
        <v>5215</v>
      </c>
      <c r="P6213" s="1" t="s">
        <v>5220</v>
      </c>
      <c r="Q6213" s="3">
        <v>0</v>
      </c>
      <c r="R6213" s="22" t="s">
        <v>2724</v>
      </c>
      <c r="S6213" s="42" t="s">
        <v>6912</v>
      </c>
      <c r="T6213" s="3" t="s">
        <v>4866</v>
      </c>
      <c r="U6213" s="45">
        <v>32</v>
      </c>
      <c r="V6213" t="s">
        <v>5178</v>
      </c>
      <c r="W6213" s="1" t="str">
        <f>HYPERLINK("http://ictvonline.org/taxonomy/p/taxonomy-history?taxnode_id=201905705","ICTVonline=201905705")</f>
        <v>ICTVonline=201905705</v>
      </c>
    </row>
    <row r="6214" spans="1:23">
      <c r="A6214" s="3">
        <v>6213</v>
      </c>
      <c r="L6214" s="1" t="s">
        <v>5174</v>
      </c>
      <c r="M6214" s="1" t="s">
        <v>5175</v>
      </c>
      <c r="N6214" s="1" t="s">
        <v>5215</v>
      </c>
      <c r="P6214" s="1" t="s">
        <v>5221</v>
      </c>
      <c r="Q6214" s="3">
        <v>0</v>
      </c>
      <c r="R6214" s="22" t="s">
        <v>2724</v>
      </c>
      <c r="S6214" s="42" t="s">
        <v>6912</v>
      </c>
      <c r="T6214" s="3" t="s">
        <v>4866</v>
      </c>
      <c r="U6214" s="45">
        <v>32</v>
      </c>
      <c r="V6214" t="s">
        <v>5178</v>
      </c>
      <c r="W6214" s="1" t="str">
        <f>HYPERLINK("http://ictvonline.org/taxonomy/p/taxonomy-history?taxnode_id=201905706","ICTVonline=201905706")</f>
        <v>ICTVonline=201905706</v>
      </c>
    </row>
    <row r="6215" spans="1:23">
      <c r="A6215" s="3">
        <v>6214</v>
      </c>
      <c r="L6215" s="1" t="s">
        <v>5174</v>
      </c>
      <c r="M6215" s="1" t="s">
        <v>5175</v>
      </c>
      <c r="P6215" s="1" t="s">
        <v>5222</v>
      </c>
      <c r="Q6215" s="3">
        <v>0</v>
      </c>
      <c r="R6215" s="22" t="s">
        <v>2724</v>
      </c>
      <c r="S6215" s="42" t="s">
        <v>6912</v>
      </c>
      <c r="T6215" s="3" t="s">
        <v>4866</v>
      </c>
      <c r="U6215" s="45">
        <v>32</v>
      </c>
      <c r="V6215" t="s">
        <v>5178</v>
      </c>
      <c r="W6215" s="1" t="str">
        <f>HYPERLINK("http://ictvonline.org/taxonomy/p/taxonomy-history?taxnode_id=201905708","ICTVonline=201905708")</f>
        <v>ICTVonline=201905708</v>
      </c>
    </row>
    <row r="6216" spans="1:23">
      <c r="A6216" s="3">
        <v>6215</v>
      </c>
      <c r="L6216" s="1" t="s">
        <v>5174</v>
      </c>
      <c r="M6216" s="1" t="s">
        <v>5175</v>
      </c>
      <c r="P6216" s="1" t="s">
        <v>6800</v>
      </c>
      <c r="Q6216" s="3">
        <v>0</v>
      </c>
      <c r="R6216" s="22" t="s">
        <v>2724</v>
      </c>
      <c r="S6216" s="42" t="s">
        <v>6912</v>
      </c>
      <c r="T6216" s="3" t="s">
        <v>4869</v>
      </c>
      <c r="U6216" s="45">
        <v>34</v>
      </c>
      <c r="V6216" t="s">
        <v>6801</v>
      </c>
      <c r="W6216" s="1" t="str">
        <f>HYPERLINK("http://ictvonline.org/taxonomy/p/taxonomy-history?taxnode_id=201905709","ICTVonline=201905709")</f>
        <v>ICTVonline=201905709</v>
      </c>
    </row>
    <row r="6217" spans="1:23">
      <c r="A6217" s="3">
        <v>6216</v>
      </c>
      <c r="L6217" s="1" t="s">
        <v>5174</v>
      </c>
      <c r="M6217" s="1" t="s">
        <v>5223</v>
      </c>
      <c r="N6217" s="1" t="s">
        <v>5224</v>
      </c>
      <c r="P6217" s="1" t="s">
        <v>5225</v>
      </c>
      <c r="Q6217" s="3">
        <v>1</v>
      </c>
      <c r="R6217" s="22" t="s">
        <v>2724</v>
      </c>
      <c r="S6217" s="42" t="s">
        <v>6912</v>
      </c>
      <c r="T6217" s="3" t="s">
        <v>4866</v>
      </c>
      <c r="U6217" s="45">
        <v>32</v>
      </c>
      <c r="V6217" t="s">
        <v>5178</v>
      </c>
      <c r="W6217" s="1" t="str">
        <f>HYPERLINK("http://ictvonline.org/taxonomy/p/taxonomy-history?taxnode_id=201905712","ICTVonline=201905712")</f>
        <v>ICTVonline=201905712</v>
      </c>
    </row>
    <row r="6218" spans="1:23">
      <c r="A6218" s="3">
        <v>6217</v>
      </c>
      <c r="L6218" s="1" t="s">
        <v>5174</v>
      </c>
      <c r="M6218" s="1" t="s">
        <v>5223</v>
      </c>
      <c r="N6218" s="1" t="s">
        <v>5224</v>
      </c>
      <c r="P6218" s="1" t="s">
        <v>5881</v>
      </c>
      <c r="Q6218" s="3">
        <v>0</v>
      </c>
      <c r="R6218" s="22" t="s">
        <v>2724</v>
      </c>
      <c r="S6218" s="42" t="s">
        <v>6912</v>
      </c>
      <c r="T6218" s="3" t="s">
        <v>4866</v>
      </c>
      <c r="U6218" s="45">
        <v>32</v>
      </c>
      <c r="V6218" t="s">
        <v>5178</v>
      </c>
      <c r="W6218" s="1" t="str">
        <f>HYPERLINK("http://ictvonline.org/taxonomy/p/taxonomy-history?taxnode_id=201905711","ICTVonline=201905711")</f>
        <v>ICTVonline=201905711</v>
      </c>
    </row>
    <row r="6219" spans="1:23">
      <c r="A6219" s="3">
        <v>6218</v>
      </c>
      <c r="L6219" s="1" t="s">
        <v>5174</v>
      </c>
      <c r="M6219" s="1" t="s">
        <v>5223</v>
      </c>
      <c r="N6219" s="1" t="s">
        <v>5224</v>
      </c>
      <c r="P6219" s="1" t="s">
        <v>5226</v>
      </c>
      <c r="Q6219" s="3">
        <v>0</v>
      </c>
      <c r="R6219" s="22" t="s">
        <v>2724</v>
      </c>
      <c r="S6219" s="42" t="s">
        <v>6912</v>
      </c>
      <c r="T6219" s="3" t="s">
        <v>4866</v>
      </c>
      <c r="U6219" s="45">
        <v>32</v>
      </c>
      <c r="V6219" t="s">
        <v>5178</v>
      </c>
      <c r="W6219" s="1" t="str">
        <f>HYPERLINK("http://ictvonline.org/taxonomy/p/taxonomy-history?taxnode_id=201905713","ICTVonline=201905713")</f>
        <v>ICTVonline=201905713</v>
      </c>
    </row>
    <row r="6220" spans="1:23">
      <c r="A6220" s="3">
        <v>6219</v>
      </c>
      <c r="L6220" s="1" t="s">
        <v>5174</v>
      </c>
      <c r="M6220" s="1" t="s">
        <v>5223</v>
      </c>
      <c r="N6220" s="1" t="s">
        <v>5224</v>
      </c>
      <c r="P6220" s="1" t="s">
        <v>5227</v>
      </c>
      <c r="Q6220" s="3">
        <v>0</v>
      </c>
      <c r="R6220" s="22" t="s">
        <v>2724</v>
      </c>
      <c r="S6220" s="42" t="s">
        <v>6912</v>
      </c>
      <c r="T6220" s="3" t="s">
        <v>4866</v>
      </c>
      <c r="U6220" s="45">
        <v>32</v>
      </c>
      <c r="V6220" t="s">
        <v>5178</v>
      </c>
      <c r="W6220" s="1" t="str">
        <f>HYPERLINK("http://ictvonline.org/taxonomy/p/taxonomy-history?taxnode_id=201905714","ICTVonline=201905714")</f>
        <v>ICTVonline=201905714</v>
      </c>
    </row>
    <row r="6221" spans="1:23">
      <c r="A6221" s="3">
        <v>6220</v>
      </c>
      <c r="L6221" s="1" t="s">
        <v>5174</v>
      </c>
      <c r="M6221" s="1" t="s">
        <v>5223</v>
      </c>
      <c r="N6221" s="1" t="s">
        <v>5228</v>
      </c>
      <c r="P6221" s="1" t="s">
        <v>5882</v>
      </c>
      <c r="Q6221" s="3">
        <v>0</v>
      </c>
      <c r="R6221" s="22" t="s">
        <v>2724</v>
      </c>
      <c r="S6221" s="42" t="s">
        <v>6912</v>
      </c>
      <c r="T6221" s="3" t="s">
        <v>4866</v>
      </c>
      <c r="U6221" s="45">
        <v>32</v>
      </c>
      <c r="V6221" t="s">
        <v>5178</v>
      </c>
      <c r="W6221" s="1" t="str">
        <f>HYPERLINK("http://ictvonline.org/taxonomy/p/taxonomy-history?taxnode_id=201905716","ICTVonline=201905716")</f>
        <v>ICTVonline=201905716</v>
      </c>
    </row>
    <row r="6222" spans="1:23">
      <c r="A6222" s="3">
        <v>6221</v>
      </c>
      <c r="L6222" s="1" t="s">
        <v>5174</v>
      </c>
      <c r="M6222" s="1" t="s">
        <v>5223</v>
      </c>
      <c r="N6222" s="1" t="s">
        <v>5228</v>
      </c>
      <c r="P6222" s="1" t="s">
        <v>5883</v>
      </c>
      <c r="Q6222" s="3">
        <v>0</v>
      </c>
      <c r="R6222" s="22" t="s">
        <v>2724</v>
      </c>
      <c r="S6222" s="42" t="s">
        <v>6912</v>
      </c>
      <c r="T6222" s="3" t="s">
        <v>4866</v>
      </c>
      <c r="U6222" s="45">
        <v>32</v>
      </c>
      <c r="V6222" t="s">
        <v>5178</v>
      </c>
      <c r="W6222" s="1" t="str">
        <f>HYPERLINK("http://ictvonline.org/taxonomy/p/taxonomy-history?taxnode_id=201905717","ICTVonline=201905717")</f>
        <v>ICTVonline=201905717</v>
      </c>
    </row>
    <row r="6223" spans="1:23">
      <c r="A6223" s="3">
        <v>6222</v>
      </c>
      <c r="L6223" s="1" t="s">
        <v>5174</v>
      </c>
      <c r="M6223" s="1" t="s">
        <v>5223</v>
      </c>
      <c r="N6223" s="1" t="s">
        <v>5228</v>
      </c>
      <c r="P6223" s="1" t="s">
        <v>5884</v>
      </c>
      <c r="Q6223" s="3">
        <v>0</v>
      </c>
      <c r="R6223" s="22" t="s">
        <v>2724</v>
      </c>
      <c r="S6223" s="42" t="s">
        <v>6912</v>
      </c>
      <c r="T6223" s="3" t="s">
        <v>4866</v>
      </c>
      <c r="U6223" s="45">
        <v>32</v>
      </c>
      <c r="V6223" t="s">
        <v>5178</v>
      </c>
      <c r="W6223" s="1" t="str">
        <f>HYPERLINK("http://ictvonline.org/taxonomy/p/taxonomy-history?taxnode_id=201905718","ICTVonline=201905718")</f>
        <v>ICTVonline=201905718</v>
      </c>
    </row>
    <row r="6224" spans="1:23">
      <c r="A6224" s="3">
        <v>6223</v>
      </c>
      <c r="L6224" s="1" t="s">
        <v>5174</v>
      </c>
      <c r="M6224" s="1" t="s">
        <v>5223</v>
      </c>
      <c r="N6224" s="1" t="s">
        <v>5228</v>
      </c>
      <c r="P6224" s="1" t="s">
        <v>5885</v>
      </c>
      <c r="Q6224" s="3">
        <v>0</v>
      </c>
      <c r="R6224" s="22" t="s">
        <v>2724</v>
      </c>
      <c r="S6224" s="42" t="s">
        <v>6912</v>
      </c>
      <c r="T6224" s="3" t="s">
        <v>4866</v>
      </c>
      <c r="U6224" s="45">
        <v>32</v>
      </c>
      <c r="V6224" t="s">
        <v>5178</v>
      </c>
      <c r="W6224" s="1" t="str">
        <f>HYPERLINK("http://ictvonline.org/taxonomy/p/taxonomy-history?taxnode_id=201905719","ICTVonline=201905719")</f>
        <v>ICTVonline=201905719</v>
      </c>
    </row>
    <row r="6225" spans="1:23">
      <c r="A6225" s="3">
        <v>6224</v>
      </c>
      <c r="L6225" s="1" t="s">
        <v>5174</v>
      </c>
      <c r="M6225" s="1" t="s">
        <v>5223</v>
      </c>
      <c r="N6225" s="1" t="s">
        <v>5228</v>
      </c>
      <c r="P6225" s="1" t="s">
        <v>5229</v>
      </c>
      <c r="Q6225" s="3">
        <v>1</v>
      </c>
      <c r="R6225" s="22" t="s">
        <v>2724</v>
      </c>
      <c r="S6225" s="42" t="s">
        <v>6912</v>
      </c>
      <c r="T6225" s="3" t="s">
        <v>4866</v>
      </c>
      <c r="U6225" s="45">
        <v>32</v>
      </c>
      <c r="V6225" t="s">
        <v>5178</v>
      </c>
      <c r="W6225" s="1" t="str">
        <f>HYPERLINK("http://ictvonline.org/taxonomy/p/taxonomy-history?taxnode_id=201905720","ICTVonline=201905720")</f>
        <v>ICTVonline=201905720</v>
      </c>
    </row>
    <row r="6226" spans="1:23">
      <c r="A6226" s="3">
        <v>6225</v>
      </c>
      <c r="L6226" s="1" t="s">
        <v>5174</v>
      </c>
      <c r="M6226" s="1" t="s">
        <v>5223</v>
      </c>
      <c r="N6226" s="1" t="s">
        <v>5230</v>
      </c>
      <c r="P6226" s="1" t="s">
        <v>5231</v>
      </c>
      <c r="Q6226" s="3">
        <v>1</v>
      </c>
      <c r="R6226" s="22" t="s">
        <v>2724</v>
      </c>
      <c r="S6226" s="42" t="s">
        <v>6912</v>
      </c>
      <c r="T6226" s="3" t="s">
        <v>4866</v>
      </c>
      <c r="U6226" s="45">
        <v>32</v>
      </c>
      <c r="V6226" t="s">
        <v>5178</v>
      </c>
      <c r="W6226" s="1" t="str">
        <f>HYPERLINK("http://ictvonline.org/taxonomy/p/taxonomy-history?taxnode_id=201905722","ICTVonline=201905722")</f>
        <v>ICTVonline=201905722</v>
      </c>
    </row>
    <row r="6227" spans="1:23">
      <c r="A6227" s="3">
        <v>6226</v>
      </c>
      <c r="L6227" s="1" t="s">
        <v>5174</v>
      </c>
      <c r="M6227" s="1" t="s">
        <v>5223</v>
      </c>
      <c r="N6227" s="1" t="s">
        <v>5232</v>
      </c>
      <c r="P6227" s="1" t="s">
        <v>5886</v>
      </c>
      <c r="Q6227" s="3">
        <v>1</v>
      </c>
      <c r="R6227" s="22" t="s">
        <v>2724</v>
      </c>
      <c r="S6227" s="42" t="s">
        <v>6912</v>
      </c>
      <c r="T6227" s="3" t="s">
        <v>4866</v>
      </c>
      <c r="U6227" s="45">
        <v>32</v>
      </c>
      <c r="V6227" t="s">
        <v>5178</v>
      </c>
      <c r="W6227" s="1" t="str">
        <f>HYPERLINK("http://ictvonline.org/taxonomy/p/taxonomy-history?taxnode_id=201905724","ICTVonline=201905724")</f>
        <v>ICTVonline=201905724</v>
      </c>
    </row>
    <row r="6228" spans="1:23">
      <c r="A6228" s="3">
        <v>6227</v>
      </c>
      <c r="L6228" s="1" t="s">
        <v>5174</v>
      </c>
      <c r="M6228" s="1" t="s">
        <v>5223</v>
      </c>
      <c r="N6228" s="1" t="s">
        <v>5233</v>
      </c>
      <c r="P6228" s="1" t="s">
        <v>5234</v>
      </c>
      <c r="Q6228" s="3">
        <v>0</v>
      </c>
      <c r="R6228" s="22" t="s">
        <v>2724</v>
      </c>
      <c r="S6228" s="42" t="s">
        <v>6912</v>
      </c>
      <c r="T6228" s="3" t="s">
        <v>4866</v>
      </c>
      <c r="U6228" s="45">
        <v>32</v>
      </c>
      <c r="V6228" t="s">
        <v>5178</v>
      </c>
      <c r="W6228" s="1" t="str">
        <f>HYPERLINK("http://ictvonline.org/taxonomy/p/taxonomy-history?taxnode_id=201905726","ICTVonline=201905726")</f>
        <v>ICTVonline=201905726</v>
      </c>
    </row>
    <row r="6229" spans="1:23">
      <c r="A6229" s="3">
        <v>6228</v>
      </c>
      <c r="L6229" s="1" t="s">
        <v>5174</v>
      </c>
      <c r="M6229" s="1" t="s">
        <v>5223</v>
      </c>
      <c r="N6229" s="1" t="s">
        <v>5233</v>
      </c>
      <c r="P6229" s="1" t="s">
        <v>5887</v>
      </c>
      <c r="Q6229" s="3">
        <v>1</v>
      </c>
      <c r="R6229" s="22" t="s">
        <v>2724</v>
      </c>
      <c r="S6229" s="42" t="s">
        <v>6912</v>
      </c>
      <c r="T6229" s="3" t="s">
        <v>4866</v>
      </c>
      <c r="U6229" s="45">
        <v>32</v>
      </c>
      <c r="V6229" t="s">
        <v>5178</v>
      </c>
      <c r="W6229" s="1" t="str">
        <f>HYPERLINK("http://ictvonline.org/taxonomy/p/taxonomy-history?taxnode_id=201905727","ICTVonline=201905727")</f>
        <v>ICTVonline=201905727</v>
      </c>
    </row>
    <row r="6230" spans="1:23">
      <c r="A6230" s="3">
        <v>6229</v>
      </c>
      <c r="L6230" s="1" t="s">
        <v>5174</v>
      </c>
      <c r="M6230" s="1" t="s">
        <v>5223</v>
      </c>
      <c r="N6230" s="1" t="s">
        <v>5233</v>
      </c>
      <c r="P6230" s="1" t="s">
        <v>5888</v>
      </c>
      <c r="Q6230" s="3">
        <v>0</v>
      </c>
      <c r="R6230" s="22" t="s">
        <v>2724</v>
      </c>
      <c r="S6230" s="42" t="s">
        <v>6912</v>
      </c>
      <c r="T6230" s="3" t="s">
        <v>4866</v>
      </c>
      <c r="U6230" s="45">
        <v>32</v>
      </c>
      <c r="V6230" t="s">
        <v>5178</v>
      </c>
      <c r="W6230" s="1" t="str">
        <f>HYPERLINK("http://ictvonline.org/taxonomy/p/taxonomy-history?taxnode_id=201905728","ICTVonline=201905728")</f>
        <v>ICTVonline=201905728</v>
      </c>
    </row>
    <row r="6231" spans="1:23">
      <c r="A6231" s="3">
        <v>6230</v>
      </c>
      <c r="L6231" s="1" t="s">
        <v>5174</v>
      </c>
      <c r="M6231" s="1" t="s">
        <v>5223</v>
      </c>
      <c r="N6231" s="1" t="s">
        <v>5233</v>
      </c>
      <c r="P6231" s="1" t="s">
        <v>5235</v>
      </c>
      <c r="Q6231" s="3">
        <v>0</v>
      </c>
      <c r="R6231" s="22" t="s">
        <v>2724</v>
      </c>
      <c r="S6231" s="42" t="s">
        <v>6912</v>
      </c>
      <c r="T6231" s="3" t="s">
        <v>4866</v>
      </c>
      <c r="U6231" s="45">
        <v>32</v>
      </c>
      <c r="V6231" t="s">
        <v>5178</v>
      </c>
      <c r="W6231" s="1" t="str">
        <f>HYPERLINK("http://ictvonline.org/taxonomy/p/taxonomy-history?taxnode_id=201905729","ICTVonline=201905729")</f>
        <v>ICTVonline=201905729</v>
      </c>
    </row>
    <row r="6232" spans="1:23">
      <c r="A6232" s="3">
        <v>6231</v>
      </c>
      <c r="L6232" s="1" t="s">
        <v>5174</v>
      </c>
      <c r="M6232" s="1" t="s">
        <v>5223</v>
      </c>
      <c r="N6232" s="1" t="s">
        <v>5236</v>
      </c>
      <c r="P6232" s="1" t="s">
        <v>8769</v>
      </c>
      <c r="Q6232" s="3">
        <v>0</v>
      </c>
      <c r="R6232" s="22" t="s">
        <v>2724</v>
      </c>
      <c r="S6232" s="42" t="s">
        <v>6914</v>
      </c>
      <c r="T6232" s="3" t="s">
        <v>4866</v>
      </c>
      <c r="U6232" s="45">
        <v>35</v>
      </c>
      <c r="V6232" t="s">
        <v>8763</v>
      </c>
      <c r="W6232" s="1" t="str">
        <f>HYPERLINK("http://ictvonline.org/taxonomy/p/taxonomy-history?taxnode_id=201907296","ICTVonline=201907296")</f>
        <v>ICTVonline=201907296</v>
      </c>
    </row>
    <row r="6233" spans="1:23">
      <c r="A6233" s="3">
        <v>6232</v>
      </c>
      <c r="L6233" s="1" t="s">
        <v>5174</v>
      </c>
      <c r="M6233" s="1" t="s">
        <v>5223</v>
      </c>
      <c r="N6233" s="1" t="s">
        <v>5236</v>
      </c>
      <c r="P6233" s="1" t="s">
        <v>5237</v>
      </c>
      <c r="Q6233" s="3">
        <v>1</v>
      </c>
      <c r="R6233" s="22" t="s">
        <v>2724</v>
      </c>
      <c r="S6233" s="42" t="s">
        <v>6912</v>
      </c>
      <c r="T6233" s="3" t="s">
        <v>4866</v>
      </c>
      <c r="U6233" s="45">
        <v>32</v>
      </c>
      <c r="V6233" t="s">
        <v>5178</v>
      </c>
      <c r="W6233" s="1" t="str">
        <f>HYPERLINK("http://ictvonline.org/taxonomy/p/taxonomy-history?taxnode_id=201905731","ICTVonline=201905731")</f>
        <v>ICTVonline=201905731</v>
      </c>
    </row>
    <row r="6234" spans="1:23">
      <c r="A6234" s="3">
        <v>6233</v>
      </c>
      <c r="L6234" s="1" t="s">
        <v>5174</v>
      </c>
      <c r="M6234" s="1" t="s">
        <v>5223</v>
      </c>
      <c r="N6234" s="1" t="s">
        <v>5238</v>
      </c>
      <c r="P6234" s="1" t="s">
        <v>5239</v>
      </c>
      <c r="Q6234" s="3">
        <v>0</v>
      </c>
      <c r="R6234" s="22" t="s">
        <v>2724</v>
      </c>
      <c r="S6234" s="42" t="s">
        <v>6912</v>
      </c>
      <c r="T6234" s="3" t="s">
        <v>4866</v>
      </c>
      <c r="U6234" s="45">
        <v>32</v>
      </c>
      <c r="V6234" t="s">
        <v>5178</v>
      </c>
      <c r="W6234" s="1" t="str">
        <f>HYPERLINK("http://ictvonline.org/taxonomy/p/taxonomy-history?taxnode_id=201905733","ICTVonline=201905733")</f>
        <v>ICTVonline=201905733</v>
      </c>
    </row>
    <row r="6235" spans="1:23">
      <c r="A6235" s="3">
        <v>6234</v>
      </c>
      <c r="L6235" s="1" t="s">
        <v>5174</v>
      </c>
      <c r="M6235" s="1" t="s">
        <v>5223</v>
      </c>
      <c r="N6235" s="1" t="s">
        <v>5238</v>
      </c>
      <c r="P6235" s="1" t="s">
        <v>8770</v>
      </c>
      <c r="Q6235" s="3">
        <v>0</v>
      </c>
      <c r="R6235" s="22" t="s">
        <v>2724</v>
      </c>
      <c r="S6235" s="42" t="s">
        <v>6914</v>
      </c>
      <c r="T6235" s="3" t="s">
        <v>4866</v>
      </c>
      <c r="U6235" s="45">
        <v>35</v>
      </c>
      <c r="V6235" t="s">
        <v>8763</v>
      </c>
      <c r="W6235" s="1" t="str">
        <f>HYPERLINK("http://ictvonline.org/taxonomy/p/taxonomy-history?taxnode_id=201907295","ICTVonline=201907295")</f>
        <v>ICTVonline=201907295</v>
      </c>
    </row>
    <row r="6236" spans="1:23">
      <c r="A6236" s="3">
        <v>6235</v>
      </c>
      <c r="L6236" s="1" t="s">
        <v>5174</v>
      </c>
      <c r="M6236" s="1" t="s">
        <v>5223</v>
      </c>
      <c r="N6236" s="1" t="s">
        <v>5238</v>
      </c>
      <c r="P6236" s="1" t="s">
        <v>6802</v>
      </c>
      <c r="Q6236" s="3">
        <v>0</v>
      </c>
      <c r="R6236" s="22" t="s">
        <v>2724</v>
      </c>
      <c r="S6236" s="42" t="s">
        <v>6912</v>
      </c>
      <c r="T6236" s="3" t="s">
        <v>4869</v>
      </c>
      <c r="U6236" s="45">
        <v>34</v>
      </c>
      <c r="V6236" t="s">
        <v>6801</v>
      </c>
      <c r="W6236" s="1" t="str">
        <f>HYPERLINK("http://ictvonline.org/taxonomy/p/taxonomy-history?taxnode_id=201905734","ICTVonline=201905734")</f>
        <v>ICTVonline=201905734</v>
      </c>
    </row>
    <row r="6237" spans="1:23">
      <c r="A6237" s="3">
        <v>6236</v>
      </c>
      <c r="L6237" s="1" t="s">
        <v>5174</v>
      </c>
      <c r="M6237" s="1" t="s">
        <v>5223</v>
      </c>
      <c r="N6237" s="1" t="s">
        <v>5238</v>
      </c>
      <c r="P6237" s="1" t="s">
        <v>5240</v>
      </c>
      <c r="Q6237" s="3">
        <v>1</v>
      </c>
      <c r="R6237" s="22" t="s">
        <v>2724</v>
      </c>
      <c r="S6237" s="42" t="s">
        <v>6912</v>
      </c>
      <c r="T6237" s="3" t="s">
        <v>4866</v>
      </c>
      <c r="U6237" s="45">
        <v>32</v>
      </c>
      <c r="V6237" t="s">
        <v>5178</v>
      </c>
      <c r="W6237" s="1" t="str">
        <f>HYPERLINK("http://ictvonline.org/taxonomy/p/taxonomy-history?taxnode_id=201905735","ICTVonline=201905735")</f>
        <v>ICTVonline=201905735</v>
      </c>
    </row>
    <row r="6238" spans="1:23">
      <c r="A6238" s="3">
        <v>6237</v>
      </c>
      <c r="L6238" s="1" t="s">
        <v>5174</v>
      </c>
      <c r="P6238" s="1" t="s">
        <v>5241</v>
      </c>
      <c r="Q6238" s="3">
        <v>0</v>
      </c>
      <c r="R6238" s="22" t="s">
        <v>2724</v>
      </c>
      <c r="S6238" s="42" t="s">
        <v>6912</v>
      </c>
      <c r="T6238" s="3" t="s">
        <v>4866</v>
      </c>
      <c r="U6238" s="45">
        <v>32</v>
      </c>
      <c r="V6238" t="s">
        <v>5178</v>
      </c>
      <c r="W6238" s="1" t="str">
        <f>HYPERLINK("http://ictvonline.org/taxonomy/p/taxonomy-history?taxnode_id=201905738","ICTVonline=201905738")</f>
        <v>ICTVonline=201905738</v>
      </c>
    </row>
    <row r="6239" spans="1:23">
      <c r="A6239" s="3">
        <v>6238</v>
      </c>
      <c r="L6239" s="1" t="s">
        <v>1055</v>
      </c>
      <c r="N6239" s="1" t="s">
        <v>1056</v>
      </c>
      <c r="P6239" s="1" t="s">
        <v>1057</v>
      </c>
      <c r="Q6239" s="3">
        <v>1</v>
      </c>
      <c r="R6239" s="22" t="s">
        <v>2721</v>
      </c>
      <c r="S6239" s="42" t="s">
        <v>6912</v>
      </c>
      <c r="T6239" s="3" t="s">
        <v>4870</v>
      </c>
      <c r="U6239" s="45">
        <v>24</v>
      </c>
      <c r="V6239" t="s">
        <v>5242</v>
      </c>
      <c r="W6239" s="1" t="str">
        <f>HYPERLINK("http://ictvonline.org/taxonomy/p/taxonomy-history?taxnode_id=201902484","ICTVonline=201902484")</f>
        <v>ICTVonline=201902484</v>
      </c>
    </row>
    <row r="6240" spans="1:23">
      <c r="A6240" s="3">
        <v>6239</v>
      </c>
      <c r="L6240" s="1" t="s">
        <v>307</v>
      </c>
      <c r="N6240" s="1" t="s">
        <v>308</v>
      </c>
      <c r="P6240" s="1" t="s">
        <v>1685</v>
      </c>
      <c r="Q6240" s="3">
        <v>1</v>
      </c>
      <c r="R6240" s="22" t="s">
        <v>3632</v>
      </c>
      <c r="S6240" s="42" t="s">
        <v>6912</v>
      </c>
      <c r="T6240" s="3" t="s">
        <v>4870</v>
      </c>
      <c r="U6240" s="45">
        <v>25</v>
      </c>
      <c r="V6240" t="s">
        <v>5243</v>
      </c>
      <c r="W6240" s="1" t="str">
        <f>HYPERLINK("http://ictvonline.org/taxonomy/p/taxonomy-history?taxnode_id=201902488","ICTVonline=201902488")</f>
        <v>ICTVonline=201902488</v>
      </c>
    </row>
    <row r="6241" spans="1:23">
      <c r="A6241" s="3">
        <v>6240</v>
      </c>
      <c r="L6241" s="1" t="s">
        <v>307</v>
      </c>
      <c r="N6241" s="1" t="s">
        <v>308</v>
      </c>
      <c r="P6241" s="1" t="s">
        <v>1686</v>
      </c>
      <c r="Q6241" s="3">
        <v>0</v>
      </c>
      <c r="R6241" s="22" t="s">
        <v>3632</v>
      </c>
      <c r="S6241" s="42" t="s">
        <v>6912</v>
      </c>
      <c r="T6241" s="3" t="s">
        <v>4866</v>
      </c>
      <c r="U6241" s="45">
        <v>25</v>
      </c>
      <c r="V6241" t="s">
        <v>5243</v>
      </c>
      <c r="W6241" s="1" t="str">
        <f>HYPERLINK("http://ictvonline.org/taxonomy/p/taxonomy-history?taxnode_id=201902489","ICTVonline=201902489")</f>
        <v>ICTVonline=201902489</v>
      </c>
    </row>
    <row r="6242" spans="1:23">
      <c r="A6242" s="3">
        <v>6241</v>
      </c>
      <c r="L6242" s="1" t="s">
        <v>307</v>
      </c>
      <c r="N6242" s="1" t="s">
        <v>308</v>
      </c>
      <c r="P6242" s="1" t="s">
        <v>1687</v>
      </c>
      <c r="Q6242" s="3">
        <v>0</v>
      </c>
      <c r="R6242" s="22" t="s">
        <v>3632</v>
      </c>
      <c r="S6242" s="42" t="s">
        <v>6912</v>
      </c>
      <c r="T6242" s="3" t="s">
        <v>4866</v>
      </c>
      <c r="U6242" s="45">
        <v>25</v>
      </c>
      <c r="V6242" t="s">
        <v>5243</v>
      </c>
      <c r="W6242" s="1" t="str">
        <f>HYPERLINK("http://ictvonline.org/taxonomy/p/taxonomy-history?taxnode_id=201902490","ICTVonline=201902490")</f>
        <v>ICTVonline=201902490</v>
      </c>
    </row>
    <row r="6243" spans="1:23">
      <c r="A6243" s="3">
        <v>6242</v>
      </c>
      <c r="L6243" s="1" t="s">
        <v>307</v>
      </c>
      <c r="N6243" s="1" t="s">
        <v>308</v>
      </c>
      <c r="P6243" s="1" t="s">
        <v>312</v>
      </c>
      <c r="Q6243" s="3">
        <v>0</v>
      </c>
      <c r="R6243" s="22" t="s">
        <v>3632</v>
      </c>
      <c r="S6243" s="42" t="s">
        <v>6912</v>
      </c>
      <c r="T6243" s="3" t="s">
        <v>4866</v>
      </c>
      <c r="U6243" s="45">
        <v>25</v>
      </c>
      <c r="V6243" t="s">
        <v>5243</v>
      </c>
      <c r="W6243" s="1" t="str">
        <f>HYPERLINK("http://ictvonline.org/taxonomy/p/taxonomy-history?taxnode_id=201902491","ICTVonline=201902491")</f>
        <v>ICTVonline=201902491</v>
      </c>
    </row>
    <row r="6244" spans="1:23">
      <c r="A6244" s="3">
        <v>6243</v>
      </c>
      <c r="L6244" s="1" t="s">
        <v>307</v>
      </c>
      <c r="N6244" s="1" t="s">
        <v>308</v>
      </c>
      <c r="P6244" s="1" t="s">
        <v>313</v>
      </c>
      <c r="Q6244" s="3">
        <v>0</v>
      </c>
      <c r="R6244" s="22" t="s">
        <v>3632</v>
      </c>
      <c r="S6244" s="42" t="s">
        <v>6912</v>
      </c>
      <c r="T6244" s="3" t="s">
        <v>4866</v>
      </c>
      <c r="U6244" s="45">
        <v>25</v>
      </c>
      <c r="V6244" t="s">
        <v>5243</v>
      </c>
      <c r="W6244" s="1" t="str">
        <f>HYPERLINK("http://ictvonline.org/taxonomy/p/taxonomy-history?taxnode_id=201902492","ICTVonline=201902492")</f>
        <v>ICTVonline=201902492</v>
      </c>
    </row>
    <row r="6245" spans="1:23">
      <c r="A6245" s="3">
        <v>6244</v>
      </c>
      <c r="L6245" s="1" t="s">
        <v>307</v>
      </c>
      <c r="N6245" s="1" t="s">
        <v>308</v>
      </c>
      <c r="P6245" s="1" t="s">
        <v>314</v>
      </c>
      <c r="Q6245" s="3">
        <v>0</v>
      </c>
      <c r="R6245" s="22" t="s">
        <v>3632</v>
      </c>
      <c r="S6245" s="42" t="s">
        <v>6912</v>
      </c>
      <c r="T6245" s="3" t="s">
        <v>4866</v>
      </c>
      <c r="U6245" s="45">
        <v>25</v>
      </c>
      <c r="V6245" t="s">
        <v>5243</v>
      </c>
      <c r="W6245" s="1" t="str">
        <f>HYPERLINK("http://ictvonline.org/taxonomy/p/taxonomy-history?taxnode_id=201902493","ICTVonline=201902493")</f>
        <v>ICTVonline=201902493</v>
      </c>
    </row>
    <row r="6246" spans="1:23">
      <c r="A6246" s="3">
        <v>6245</v>
      </c>
      <c r="L6246" s="1" t="s">
        <v>307</v>
      </c>
      <c r="N6246" s="1" t="s">
        <v>308</v>
      </c>
      <c r="P6246" s="1" t="s">
        <v>315</v>
      </c>
      <c r="Q6246" s="3">
        <v>0</v>
      </c>
      <c r="R6246" s="22" t="s">
        <v>3632</v>
      </c>
      <c r="S6246" s="42" t="s">
        <v>6912</v>
      </c>
      <c r="T6246" s="3" t="s">
        <v>4866</v>
      </c>
      <c r="U6246" s="45">
        <v>25</v>
      </c>
      <c r="V6246" t="s">
        <v>5243</v>
      </c>
      <c r="W6246" s="1" t="str">
        <f>HYPERLINK("http://ictvonline.org/taxonomy/p/taxonomy-history?taxnode_id=201902494","ICTVonline=201902494")</f>
        <v>ICTVonline=201902494</v>
      </c>
    </row>
    <row r="6247" spans="1:23">
      <c r="A6247" s="3">
        <v>6246</v>
      </c>
      <c r="L6247" s="1" t="s">
        <v>307</v>
      </c>
      <c r="N6247" s="1" t="s">
        <v>308</v>
      </c>
      <c r="P6247" s="1" t="s">
        <v>316</v>
      </c>
      <c r="Q6247" s="3">
        <v>0</v>
      </c>
      <c r="R6247" s="22" t="s">
        <v>3632</v>
      </c>
      <c r="S6247" s="42" t="s">
        <v>6912</v>
      </c>
      <c r="T6247" s="3" t="s">
        <v>4866</v>
      </c>
      <c r="U6247" s="45">
        <v>25</v>
      </c>
      <c r="V6247" t="s">
        <v>5243</v>
      </c>
      <c r="W6247" s="1" t="str">
        <f>HYPERLINK("http://ictvonline.org/taxonomy/p/taxonomy-history?taxnode_id=201902495","ICTVonline=201902495")</f>
        <v>ICTVonline=201902495</v>
      </c>
    </row>
    <row r="6248" spans="1:23">
      <c r="A6248" s="3">
        <v>6247</v>
      </c>
      <c r="L6248" s="1" t="s">
        <v>307</v>
      </c>
      <c r="N6248" s="1" t="s">
        <v>308</v>
      </c>
      <c r="P6248" s="1" t="s">
        <v>317</v>
      </c>
      <c r="Q6248" s="3">
        <v>0</v>
      </c>
      <c r="R6248" s="22" t="s">
        <v>3632</v>
      </c>
      <c r="S6248" s="42" t="s">
        <v>6912</v>
      </c>
      <c r="T6248" s="3" t="s">
        <v>4866</v>
      </c>
      <c r="U6248" s="45">
        <v>25</v>
      </c>
      <c r="V6248" t="s">
        <v>5243</v>
      </c>
      <c r="W6248" s="1" t="str">
        <f>HYPERLINK("http://ictvonline.org/taxonomy/p/taxonomy-history?taxnode_id=201902496","ICTVonline=201902496")</f>
        <v>ICTVonline=201902496</v>
      </c>
    </row>
    <row r="6249" spans="1:23">
      <c r="A6249" s="3">
        <v>6248</v>
      </c>
      <c r="L6249" s="1" t="s">
        <v>307</v>
      </c>
      <c r="N6249" s="1" t="s">
        <v>308</v>
      </c>
      <c r="P6249" s="1" t="s">
        <v>318</v>
      </c>
      <c r="Q6249" s="3">
        <v>0</v>
      </c>
      <c r="R6249" s="22" t="s">
        <v>3632</v>
      </c>
      <c r="S6249" s="42" t="s">
        <v>6912</v>
      </c>
      <c r="T6249" s="3" t="s">
        <v>4866</v>
      </c>
      <c r="U6249" s="45">
        <v>25</v>
      </c>
      <c r="V6249" t="s">
        <v>5243</v>
      </c>
      <c r="W6249" s="1" t="str">
        <f>HYPERLINK("http://ictvonline.org/taxonomy/p/taxonomy-history?taxnode_id=201902497","ICTVonline=201902497")</f>
        <v>ICTVonline=201902497</v>
      </c>
    </row>
    <row r="6250" spans="1:23">
      <c r="A6250" s="3">
        <v>6249</v>
      </c>
      <c r="L6250" s="1" t="s">
        <v>307</v>
      </c>
      <c r="N6250" s="1" t="s">
        <v>308</v>
      </c>
      <c r="P6250" s="1" t="s">
        <v>319</v>
      </c>
      <c r="Q6250" s="3">
        <v>0</v>
      </c>
      <c r="R6250" s="22" t="s">
        <v>3632</v>
      </c>
      <c r="S6250" s="42" t="s">
        <v>6912</v>
      </c>
      <c r="T6250" s="3" t="s">
        <v>4866</v>
      </c>
      <c r="U6250" s="45">
        <v>25</v>
      </c>
      <c r="V6250" t="s">
        <v>5243</v>
      </c>
      <c r="W6250" s="1" t="str">
        <f>HYPERLINK("http://ictvonline.org/taxonomy/p/taxonomy-history?taxnode_id=201902498","ICTVonline=201902498")</f>
        <v>ICTVonline=201902498</v>
      </c>
    </row>
    <row r="6251" spans="1:23">
      <c r="A6251" s="3">
        <v>6250</v>
      </c>
      <c r="L6251" s="1" t="s">
        <v>307</v>
      </c>
      <c r="N6251" s="1" t="s">
        <v>308</v>
      </c>
      <c r="P6251" s="1" t="s">
        <v>320</v>
      </c>
      <c r="Q6251" s="3">
        <v>0</v>
      </c>
      <c r="R6251" s="22" t="s">
        <v>3632</v>
      </c>
      <c r="S6251" s="42" t="s">
        <v>6912</v>
      </c>
      <c r="T6251" s="3" t="s">
        <v>4866</v>
      </c>
      <c r="U6251" s="45">
        <v>25</v>
      </c>
      <c r="V6251" t="s">
        <v>5243</v>
      </c>
      <c r="W6251" s="1" t="str">
        <f>HYPERLINK("http://ictvonline.org/taxonomy/p/taxonomy-history?taxnode_id=201902499","ICTVonline=201902499")</f>
        <v>ICTVonline=201902499</v>
      </c>
    </row>
    <row r="6252" spans="1:23">
      <c r="A6252" s="3">
        <v>6251</v>
      </c>
      <c r="L6252" s="1" t="s">
        <v>307</v>
      </c>
      <c r="N6252" s="1" t="s">
        <v>308</v>
      </c>
      <c r="P6252" s="1" t="s">
        <v>321</v>
      </c>
      <c r="Q6252" s="3">
        <v>0</v>
      </c>
      <c r="R6252" s="22" t="s">
        <v>3632</v>
      </c>
      <c r="S6252" s="42" t="s">
        <v>6912</v>
      </c>
      <c r="T6252" s="3" t="s">
        <v>4866</v>
      </c>
      <c r="U6252" s="45">
        <v>25</v>
      </c>
      <c r="V6252" t="s">
        <v>5243</v>
      </c>
      <c r="W6252" s="1" t="str">
        <f>HYPERLINK("http://ictvonline.org/taxonomy/p/taxonomy-history?taxnode_id=201902500","ICTVonline=201902500")</f>
        <v>ICTVonline=201902500</v>
      </c>
    </row>
    <row r="6253" spans="1:23">
      <c r="A6253" s="3">
        <v>6252</v>
      </c>
      <c r="L6253" s="1" t="s">
        <v>307</v>
      </c>
      <c r="N6253" s="1" t="s">
        <v>308</v>
      </c>
      <c r="P6253" s="1" t="s">
        <v>322</v>
      </c>
      <c r="Q6253" s="3">
        <v>0</v>
      </c>
      <c r="R6253" s="22" t="s">
        <v>3632</v>
      </c>
      <c r="S6253" s="42" t="s">
        <v>6912</v>
      </c>
      <c r="T6253" s="3" t="s">
        <v>4866</v>
      </c>
      <c r="U6253" s="45">
        <v>25</v>
      </c>
      <c r="V6253" t="s">
        <v>5243</v>
      </c>
      <c r="W6253" s="1" t="str">
        <f>HYPERLINK("http://ictvonline.org/taxonomy/p/taxonomy-history?taxnode_id=201902501","ICTVonline=201902501")</f>
        <v>ICTVonline=201902501</v>
      </c>
    </row>
    <row r="6254" spans="1:23">
      <c r="A6254" s="3">
        <v>6253</v>
      </c>
      <c r="L6254" s="1" t="s">
        <v>307</v>
      </c>
      <c r="N6254" s="1" t="s">
        <v>308</v>
      </c>
      <c r="P6254" s="1" t="s">
        <v>323</v>
      </c>
      <c r="Q6254" s="3">
        <v>0</v>
      </c>
      <c r="R6254" s="22" t="s">
        <v>3632</v>
      </c>
      <c r="S6254" s="42" t="s">
        <v>6912</v>
      </c>
      <c r="T6254" s="3" t="s">
        <v>4866</v>
      </c>
      <c r="U6254" s="45">
        <v>25</v>
      </c>
      <c r="V6254" t="s">
        <v>5243</v>
      </c>
      <c r="W6254" s="1" t="str">
        <f>HYPERLINK("http://ictvonline.org/taxonomy/p/taxonomy-history?taxnode_id=201902502","ICTVonline=201902502")</f>
        <v>ICTVonline=201902502</v>
      </c>
    </row>
    <row r="6255" spans="1:23">
      <c r="A6255" s="3">
        <v>6254</v>
      </c>
      <c r="L6255" s="1" t="s">
        <v>307</v>
      </c>
      <c r="N6255" s="1" t="s">
        <v>308</v>
      </c>
      <c r="P6255" s="1" t="s">
        <v>324</v>
      </c>
      <c r="Q6255" s="3">
        <v>0</v>
      </c>
      <c r="R6255" s="22" t="s">
        <v>3632</v>
      </c>
      <c r="S6255" s="42" t="s">
        <v>6912</v>
      </c>
      <c r="T6255" s="3" t="s">
        <v>4866</v>
      </c>
      <c r="U6255" s="45">
        <v>25</v>
      </c>
      <c r="V6255" t="s">
        <v>5243</v>
      </c>
      <c r="W6255" s="1" t="str">
        <f>HYPERLINK("http://ictvonline.org/taxonomy/p/taxonomy-history?taxnode_id=201902503","ICTVonline=201902503")</f>
        <v>ICTVonline=201902503</v>
      </c>
    </row>
    <row r="6256" spans="1:23">
      <c r="A6256" s="3">
        <v>6255</v>
      </c>
      <c r="L6256" s="1" t="s">
        <v>307</v>
      </c>
      <c r="N6256" s="1" t="s">
        <v>308</v>
      </c>
      <c r="P6256" s="1" t="s">
        <v>325</v>
      </c>
      <c r="Q6256" s="3">
        <v>0</v>
      </c>
      <c r="R6256" s="22" t="s">
        <v>3632</v>
      </c>
      <c r="S6256" s="42" t="s">
        <v>6912</v>
      </c>
      <c r="T6256" s="3" t="s">
        <v>4866</v>
      </c>
      <c r="U6256" s="45">
        <v>25</v>
      </c>
      <c r="V6256" t="s">
        <v>5243</v>
      </c>
      <c r="W6256" s="1" t="str">
        <f>HYPERLINK("http://ictvonline.org/taxonomy/p/taxonomy-history?taxnode_id=201902504","ICTVonline=201902504")</f>
        <v>ICTVonline=201902504</v>
      </c>
    </row>
    <row r="6257" spans="1:23">
      <c r="A6257" s="3">
        <v>6256</v>
      </c>
      <c r="L6257" s="1" t="s">
        <v>307</v>
      </c>
      <c r="N6257" s="1" t="s">
        <v>308</v>
      </c>
      <c r="P6257" s="1" t="s">
        <v>326</v>
      </c>
      <c r="Q6257" s="3">
        <v>0</v>
      </c>
      <c r="R6257" s="22" t="s">
        <v>3632</v>
      </c>
      <c r="S6257" s="42" t="s">
        <v>6912</v>
      </c>
      <c r="T6257" s="3" t="s">
        <v>4866</v>
      </c>
      <c r="U6257" s="45">
        <v>25</v>
      </c>
      <c r="V6257" t="s">
        <v>5243</v>
      </c>
      <c r="W6257" s="1" t="str">
        <f>HYPERLINK("http://ictvonline.org/taxonomy/p/taxonomy-history?taxnode_id=201902505","ICTVonline=201902505")</f>
        <v>ICTVonline=201902505</v>
      </c>
    </row>
    <row r="6258" spans="1:23">
      <c r="A6258" s="3">
        <v>6257</v>
      </c>
      <c r="L6258" s="1" t="s">
        <v>307</v>
      </c>
      <c r="N6258" s="1" t="s">
        <v>308</v>
      </c>
      <c r="P6258" s="1" t="s">
        <v>327</v>
      </c>
      <c r="Q6258" s="3">
        <v>0</v>
      </c>
      <c r="R6258" s="22" t="s">
        <v>3632</v>
      </c>
      <c r="S6258" s="42" t="s">
        <v>6912</v>
      </c>
      <c r="T6258" s="3" t="s">
        <v>4866</v>
      </c>
      <c r="U6258" s="45">
        <v>25</v>
      </c>
      <c r="V6258" t="s">
        <v>5243</v>
      </c>
      <c r="W6258" s="1" t="str">
        <f>HYPERLINK("http://ictvonline.org/taxonomy/p/taxonomy-history?taxnode_id=201902506","ICTVonline=201902506")</f>
        <v>ICTVonline=201902506</v>
      </c>
    </row>
    <row r="6259" spans="1:23">
      <c r="A6259" s="3">
        <v>6258</v>
      </c>
      <c r="L6259" s="1" t="s">
        <v>307</v>
      </c>
      <c r="N6259" s="1" t="s">
        <v>308</v>
      </c>
      <c r="P6259" s="1" t="s">
        <v>328</v>
      </c>
      <c r="Q6259" s="3">
        <v>0</v>
      </c>
      <c r="R6259" s="22" t="s">
        <v>3632</v>
      </c>
      <c r="S6259" s="42" t="s">
        <v>6912</v>
      </c>
      <c r="T6259" s="3" t="s">
        <v>4866</v>
      </c>
      <c r="U6259" s="45">
        <v>25</v>
      </c>
      <c r="V6259" t="s">
        <v>5243</v>
      </c>
      <c r="W6259" s="1" t="str">
        <f>HYPERLINK("http://ictvonline.org/taxonomy/p/taxonomy-history?taxnode_id=201902507","ICTVonline=201902507")</f>
        <v>ICTVonline=201902507</v>
      </c>
    </row>
    <row r="6260" spans="1:23">
      <c r="A6260" s="3">
        <v>6259</v>
      </c>
      <c r="L6260" s="1" t="s">
        <v>307</v>
      </c>
      <c r="N6260" s="1" t="s">
        <v>308</v>
      </c>
      <c r="P6260" s="1" t="s">
        <v>329</v>
      </c>
      <c r="Q6260" s="3">
        <v>0</v>
      </c>
      <c r="R6260" s="22" t="s">
        <v>3632</v>
      </c>
      <c r="S6260" s="42" t="s">
        <v>6912</v>
      </c>
      <c r="T6260" s="3" t="s">
        <v>4866</v>
      </c>
      <c r="U6260" s="45">
        <v>25</v>
      </c>
      <c r="V6260" t="s">
        <v>5243</v>
      </c>
      <c r="W6260" s="1" t="str">
        <f>HYPERLINK("http://ictvonline.org/taxonomy/p/taxonomy-history?taxnode_id=201902508","ICTVonline=201902508")</f>
        <v>ICTVonline=201902508</v>
      </c>
    </row>
    <row r="6261" spans="1:23">
      <c r="A6261" s="3">
        <v>6260</v>
      </c>
      <c r="L6261" s="1" t="s">
        <v>307</v>
      </c>
      <c r="N6261" s="1" t="s">
        <v>308</v>
      </c>
      <c r="P6261" s="1" t="s">
        <v>330</v>
      </c>
      <c r="Q6261" s="3">
        <v>0</v>
      </c>
      <c r="R6261" s="22" t="s">
        <v>3632</v>
      </c>
      <c r="S6261" s="42" t="s">
        <v>6912</v>
      </c>
      <c r="T6261" s="3" t="s">
        <v>4866</v>
      </c>
      <c r="U6261" s="45">
        <v>25</v>
      </c>
      <c r="V6261" t="s">
        <v>5243</v>
      </c>
      <c r="W6261" s="1" t="str">
        <f>HYPERLINK("http://ictvonline.org/taxonomy/p/taxonomy-history?taxnode_id=201902509","ICTVonline=201902509")</f>
        <v>ICTVonline=201902509</v>
      </c>
    </row>
    <row r="6262" spans="1:23">
      <c r="A6262" s="3">
        <v>6261</v>
      </c>
      <c r="L6262" s="1" t="s">
        <v>307</v>
      </c>
      <c r="N6262" s="1" t="s">
        <v>308</v>
      </c>
      <c r="P6262" s="1" t="s">
        <v>331</v>
      </c>
      <c r="Q6262" s="3">
        <v>0</v>
      </c>
      <c r="R6262" s="22" t="s">
        <v>3632</v>
      </c>
      <c r="S6262" s="42" t="s">
        <v>6912</v>
      </c>
      <c r="T6262" s="3" t="s">
        <v>4866</v>
      </c>
      <c r="U6262" s="45">
        <v>25</v>
      </c>
      <c r="V6262" t="s">
        <v>5243</v>
      </c>
      <c r="W6262" s="1" t="str">
        <f>HYPERLINK("http://ictvonline.org/taxonomy/p/taxonomy-history?taxnode_id=201902510","ICTVonline=201902510")</f>
        <v>ICTVonline=201902510</v>
      </c>
    </row>
    <row r="6263" spans="1:23">
      <c r="A6263" s="3">
        <v>6262</v>
      </c>
      <c r="L6263" s="1" t="s">
        <v>307</v>
      </c>
      <c r="N6263" s="1" t="s">
        <v>308</v>
      </c>
      <c r="P6263" s="1" t="s">
        <v>332</v>
      </c>
      <c r="Q6263" s="3">
        <v>0</v>
      </c>
      <c r="R6263" s="22" t="s">
        <v>3632</v>
      </c>
      <c r="S6263" s="42" t="s">
        <v>6912</v>
      </c>
      <c r="T6263" s="3" t="s">
        <v>4866</v>
      </c>
      <c r="U6263" s="45">
        <v>25</v>
      </c>
      <c r="V6263" t="s">
        <v>5243</v>
      </c>
      <c r="W6263" s="1" t="str">
        <f>HYPERLINK("http://ictvonline.org/taxonomy/p/taxonomy-history?taxnode_id=201902511","ICTVonline=201902511")</f>
        <v>ICTVonline=201902511</v>
      </c>
    </row>
    <row r="6264" spans="1:23">
      <c r="A6264" s="3">
        <v>6263</v>
      </c>
      <c r="L6264" s="1" t="s">
        <v>307</v>
      </c>
      <c r="N6264" s="1" t="s">
        <v>308</v>
      </c>
      <c r="P6264" s="1" t="s">
        <v>446</v>
      </c>
      <c r="Q6264" s="3">
        <v>0</v>
      </c>
      <c r="R6264" s="22" t="s">
        <v>3632</v>
      </c>
      <c r="S6264" s="42" t="s">
        <v>6912</v>
      </c>
      <c r="T6264" s="3" t="s">
        <v>4866</v>
      </c>
      <c r="U6264" s="45">
        <v>25</v>
      </c>
      <c r="V6264" t="s">
        <v>5243</v>
      </c>
      <c r="W6264" s="1" t="str">
        <f>HYPERLINK("http://ictvonline.org/taxonomy/p/taxonomy-history?taxnode_id=201902512","ICTVonline=201902512")</f>
        <v>ICTVonline=201902512</v>
      </c>
    </row>
    <row r="6265" spans="1:23">
      <c r="A6265" s="3">
        <v>6264</v>
      </c>
      <c r="L6265" s="1" t="s">
        <v>307</v>
      </c>
      <c r="N6265" s="1" t="s">
        <v>308</v>
      </c>
      <c r="P6265" s="1" t="s">
        <v>447</v>
      </c>
      <c r="Q6265" s="3">
        <v>0</v>
      </c>
      <c r="R6265" s="22" t="s">
        <v>3632</v>
      </c>
      <c r="S6265" s="42" t="s">
        <v>6912</v>
      </c>
      <c r="T6265" s="3" t="s">
        <v>4866</v>
      </c>
      <c r="U6265" s="45">
        <v>25</v>
      </c>
      <c r="V6265" t="s">
        <v>5243</v>
      </c>
      <c r="W6265" s="1" t="str">
        <f>HYPERLINK("http://ictvonline.org/taxonomy/p/taxonomy-history?taxnode_id=201902513","ICTVonline=201902513")</f>
        <v>ICTVonline=201902513</v>
      </c>
    </row>
    <row r="6266" spans="1:23">
      <c r="A6266" s="3">
        <v>6265</v>
      </c>
      <c r="L6266" s="1" t="s">
        <v>307</v>
      </c>
      <c r="N6266" s="1" t="s">
        <v>308</v>
      </c>
      <c r="P6266" s="1" t="s">
        <v>448</v>
      </c>
      <c r="Q6266" s="3">
        <v>0</v>
      </c>
      <c r="R6266" s="22" t="s">
        <v>3632</v>
      </c>
      <c r="S6266" s="42" t="s">
        <v>6912</v>
      </c>
      <c r="T6266" s="3" t="s">
        <v>4866</v>
      </c>
      <c r="U6266" s="45">
        <v>25</v>
      </c>
      <c r="V6266" t="s">
        <v>5243</v>
      </c>
      <c r="W6266" s="1" t="str">
        <f>HYPERLINK("http://ictvonline.org/taxonomy/p/taxonomy-history?taxnode_id=201902514","ICTVonline=201902514")</f>
        <v>ICTVonline=201902514</v>
      </c>
    </row>
    <row r="6267" spans="1:23">
      <c r="A6267" s="3">
        <v>6266</v>
      </c>
      <c r="L6267" s="1" t="s">
        <v>307</v>
      </c>
      <c r="N6267" s="1" t="s">
        <v>308</v>
      </c>
      <c r="P6267" s="1" t="s">
        <v>449</v>
      </c>
      <c r="Q6267" s="3">
        <v>0</v>
      </c>
      <c r="R6267" s="22" t="s">
        <v>3632</v>
      </c>
      <c r="S6267" s="42" t="s">
        <v>6912</v>
      </c>
      <c r="T6267" s="3" t="s">
        <v>4866</v>
      </c>
      <c r="U6267" s="45">
        <v>25</v>
      </c>
      <c r="V6267" t="s">
        <v>5243</v>
      </c>
      <c r="W6267" s="1" t="str">
        <f>HYPERLINK("http://ictvonline.org/taxonomy/p/taxonomy-history?taxnode_id=201902515","ICTVonline=201902515")</f>
        <v>ICTVonline=201902515</v>
      </c>
    </row>
    <row r="6268" spans="1:23">
      <c r="A6268" s="3">
        <v>6267</v>
      </c>
      <c r="L6268" s="1" t="s">
        <v>307</v>
      </c>
      <c r="N6268" s="1" t="s">
        <v>308</v>
      </c>
      <c r="P6268" s="1" t="s">
        <v>1461</v>
      </c>
      <c r="Q6268" s="3">
        <v>0</v>
      </c>
      <c r="R6268" s="22" t="s">
        <v>3632</v>
      </c>
      <c r="S6268" s="42" t="s">
        <v>6912</v>
      </c>
      <c r="T6268" s="3" t="s">
        <v>4866</v>
      </c>
      <c r="U6268" s="45">
        <v>25</v>
      </c>
      <c r="V6268" t="s">
        <v>5243</v>
      </c>
      <c r="W6268" s="1" t="str">
        <f>HYPERLINK("http://ictvonline.org/taxonomy/p/taxonomy-history?taxnode_id=201902516","ICTVonline=201902516")</f>
        <v>ICTVonline=201902516</v>
      </c>
    </row>
    <row r="6269" spans="1:23">
      <c r="A6269" s="3">
        <v>6268</v>
      </c>
      <c r="L6269" s="1" t="s">
        <v>307</v>
      </c>
      <c r="N6269" s="1" t="s">
        <v>309</v>
      </c>
      <c r="P6269" s="1" t="s">
        <v>1859</v>
      </c>
      <c r="Q6269" s="3">
        <v>1</v>
      </c>
      <c r="R6269" s="22" t="s">
        <v>3632</v>
      </c>
      <c r="S6269" s="42" t="s">
        <v>6912</v>
      </c>
      <c r="T6269" s="3" t="s">
        <v>4870</v>
      </c>
      <c r="U6269" s="45">
        <v>25</v>
      </c>
      <c r="V6269" t="s">
        <v>5243</v>
      </c>
      <c r="W6269" s="1" t="str">
        <f>HYPERLINK("http://ictvonline.org/taxonomy/p/taxonomy-history?taxnode_id=201902518","ICTVonline=201902518")</f>
        <v>ICTVonline=201902518</v>
      </c>
    </row>
    <row r="6270" spans="1:23">
      <c r="A6270" s="3">
        <v>6269</v>
      </c>
      <c r="L6270" s="1" t="s">
        <v>307</v>
      </c>
      <c r="N6270" s="1" t="s">
        <v>309</v>
      </c>
      <c r="P6270" s="1" t="s">
        <v>1837</v>
      </c>
      <c r="Q6270" s="3">
        <v>0</v>
      </c>
      <c r="R6270" s="22" t="s">
        <v>3632</v>
      </c>
      <c r="S6270" s="42" t="s">
        <v>6912</v>
      </c>
      <c r="T6270" s="3" t="s">
        <v>4866</v>
      </c>
      <c r="U6270" s="45">
        <v>25</v>
      </c>
      <c r="V6270" t="s">
        <v>5243</v>
      </c>
      <c r="W6270" s="1" t="str">
        <f>HYPERLINK("http://ictvonline.org/taxonomy/p/taxonomy-history?taxnode_id=201902519","ICTVonline=201902519")</f>
        <v>ICTVonline=201902519</v>
      </c>
    </row>
    <row r="6271" spans="1:23">
      <c r="A6271" s="3">
        <v>6270</v>
      </c>
      <c r="L6271" s="1" t="s">
        <v>307</v>
      </c>
      <c r="N6271" s="1" t="s">
        <v>309</v>
      </c>
      <c r="P6271" s="1" t="s">
        <v>1838</v>
      </c>
      <c r="Q6271" s="3">
        <v>0</v>
      </c>
      <c r="R6271" s="22" t="s">
        <v>3632</v>
      </c>
      <c r="S6271" s="42" t="s">
        <v>6912</v>
      </c>
      <c r="T6271" s="3" t="s">
        <v>4866</v>
      </c>
      <c r="U6271" s="45">
        <v>25</v>
      </c>
      <c r="V6271" t="s">
        <v>5243</v>
      </c>
      <c r="W6271" s="1" t="str">
        <f>HYPERLINK("http://ictvonline.org/taxonomy/p/taxonomy-history?taxnode_id=201902520","ICTVonline=201902520")</f>
        <v>ICTVonline=201902520</v>
      </c>
    </row>
    <row r="6272" spans="1:23">
      <c r="A6272" s="3">
        <v>6271</v>
      </c>
      <c r="L6272" s="1" t="s">
        <v>307</v>
      </c>
      <c r="N6272" s="1" t="s">
        <v>309</v>
      </c>
      <c r="P6272" s="1" t="s">
        <v>1839</v>
      </c>
      <c r="Q6272" s="3">
        <v>0</v>
      </c>
      <c r="R6272" s="22" t="s">
        <v>3632</v>
      </c>
      <c r="S6272" s="42" t="s">
        <v>6912</v>
      </c>
      <c r="T6272" s="3" t="s">
        <v>4866</v>
      </c>
      <c r="U6272" s="45">
        <v>25</v>
      </c>
      <c r="V6272" t="s">
        <v>5243</v>
      </c>
      <c r="W6272" s="1" t="str">
        <f>HYPERLINK("http://ictvonline.org/taxonomy/p/taxonomy-history?taxnode_id=201902521","ICTVonline=201902521")</f>
        <v>ICTVonline=201902521</v>
      </c>
    </row>
    <row r="6273" spans="1:23">
      <c r="A6273" s="3">
        <v>6272</v>
      </c>
      <c r="L6273" s="1" t="s">
        <v>307</v>
      </c>
      <c r="N6273" s="1" t="s">
        <v>309</v>
      </c>
      <c r="P6273" s="1" t="s">
        <v>1862</v>
      </c>
      <c r="Q6273" s="3">
        <v>0</v>
      </c>
      <c r="R6273" s="22" t="s">
        <v>3632</v>
      </c>
      <c r="S6273" s="42" t="s">
        <v>6912</v>
      </c>
      <c r="T6273" s="3" t="s">
        <v>4866</v>
      </c>
      <c r="U6273" s="45">
        <v>25</v>
      </c>
      <c r="V6273" t="s">
        <v>5243</v>
      </c>
      <c r="W6273" s="1" t="str">
        <f>HYPERLINK("http://ictvonline.org/taxonomy/p/taxonomy-history?taxnode_id=201902522","ICTVonline=201902522")</f>
        <v>ICTVonline=201902522</v>
      </c>
    </row>
    <row r="6274" spans="1:23">
      <c r="A6274" s="3">
        <v>6273</v>
      </c>
      <c r="L6274" s="1" t="s">
        <v>307</v>
      </c>
      <c r="N6274" s="1" t="s">
        <v>309</v>
      </c>
      <c r="P6274" s="1" t="s">
        <v>1863</v>
      </c>
      <c r="Q6274" s="3">
        <v>0</v>
      </c>
      <c r="R6274" s="22" t="s">
        <v>3632</v>
      </c>
      <c r="S6274" s="42" t="s">
        <v>6912</v>
      </c>
      <c r="T6274" s="3" t="s">
        <v>4866</v>
      </c>
      <c r="U6274" s="45">
        <v>25</v>
      </c>
      <c r="V6274" t="s">
        <v>5243</v>
      </c>
      <c r="W6274" s="1" t="str">
        <f>HYPERLINK("http://ictvonline.org/taxonomy/p/taxonomy-history?taxnode_id=201902523","ICTVonline=201902523")</f>
        <v>ICTVonline=201902523</v>
      </c>
    </row>
    <row r="6275" spans="1:23">
      <c r="A6275" s="3">
        <v>6274</v>
      </c>
      <c r="L6275" s="1" t="s">
        <v>307</v>
      </c>
      <c r="N6275" s="1" t="s">
        <v>309</v>
      </c>
      <c r="P6275" s="1" t="s">
        <v>1551</v>
      </c>
      <c r="Q6275" s="3">
        <v>0</v>
      </c>
      <c r="R6275" s="22" t="s">
        <v>3632</v>
      </c>
      <c r="S6275" s="42" t="s">
        <v>6912</v>
      </c>
      <c r="T6275" s="3" t="s">
        <v>4866</v>
      </c>
      <c r="U6275" s="45">
        <v>25</v>
      </c>
      <c r="V6275" t="s">
        <v>5243</v>
      </c>
      <c r="W6275" s="1" t="str">
        <f>HYPERLINK("http://ictvonline.org/taxonomy/p/taxonomy-history?taxnode_id=201902524","ICTVonline=201902524")</f>
        <v>ICTVonline=201902524</v>
      </c>
    </row>
    <row r="6276" spans="1:23">
      <c r="A6276" s="3">
        <v>6275</v>
      </c>
      <c r="L6276" s="1" t="s">
        <v>307</v>
      </c>
      <c r="N6276" s="1" t="s">
        <v>309</v>
      </c>
      <c r="P6276" s="1" t="s">
        <v>1552</v>
      </c>
      <c r="Q6276" s="3">
        <v>0</v>
      </c>
      <c r="R6276" s="22" t="s">
        <v>3632</v>
      </c>
      <c r="S6276" s="42" t="s">
        <v>6912</v>
      </c>
      <c r="T6276" s="3" t="s">
        <v>4866</v>
      </c>
      <c r="U6276" s="45">
        <v>25</v>
      </c>
      <c r="V6276" t="s">
        <v>5243</v>
      </c>
      <c r="W6276" s="1" t="str">
        <f>HYPERLINK("http://ictvonline.org/taxonomy/p/taxonomy-history?taxnode_id=201902525","ICTVonline=201902525")</f>
        <v>ICTVonline=201902525</v>
      </c>
    </row>
    <row r="6277" spans="1:23">
      <c r="A6277" s="3">
        <v>6276</v>
      </c>
      <c r="L6277" s="1" t="s">
        <v>307</v>
      </c>
      <c r="N6277" s="1" t="s">
        <v>309</v>
      </c>
      <c r="P6277" s="1" t="s">
        <v>1553</v>
      </c>
      <c r="Q6277" s="3">
        <v>0</v>
      </c>
      <c r="R6277" s="22" t="s">
        <v>3632</v>
      </c>
      <c r="S6277" s="42" t="s">
        <v>6912</v>
      </c>
      <c r="T6277" s="3" t="s">
        <v>4866</v>
      </c>
      <c r="U6277" s="45">
        <v>25</v>
      </c>
      <c r="V6277" t="s">
        <v>5243</v>
      </c>
      <c r="W6277" s="1" t="str">
        <f>HYPERLINK("http://ictvonline.org/taxonomy/p/taxonomy-history?taxnode_id=201902526","ICTVonline=201902526")</f>
        <v>ICTVonline=201902526</v>
      </c>
    </row>
    <row r="6278" spans="1:23">
      <c r="A6278" s="3">
        <v>6277</v>
      </c>
      <c r="L6278" s="1" t="s">
        <v>307</v>
      </c>
      <c r="N6278" s="1" t="s">
        <v>309</v>
      </c>
      <c r="P6278" s="1" t="s">
        <v>22</v>
      </c>
      <c r="Q6278" s="3">
        <v>0</v>
      </c>
      <c r="R6278" s="22" t="s">
        <v>3632</v>
      </c>
      <c r="S6278" s="42" t="s">
        <v>6912</v>
      </c>
      <c r="T6278" s="3" t="s">
        <v>4866</v>
      </c>
      <c r="U6278" s="45">
        <v>26</v>
      </c>
      <c r="V6278" t="s">
        <v>5244</v>
      </c>
      <c r="W6278" s="1" t="str">
        <f>HYPERLINK("http://ictvonline.org/taxonomy/p/taxonomy-history?taxnode_id=201902527","ICTVonline=201902527")</f>
        <v>ICTVonline=201902527</v>
      </c>
    </row>
    <row r="6279" spans="1:23">
      <c r="A6279" s="3">
        <v>6278</v>
      </c>
      <c r="L6279" s="1" t="s">
        <v>307</v>
      </c>
      <c r="N6279" s="1" t="s">
        <v>309</v>
      </c>
      <c r="P6279" s="1" t="s">
        <v>23</v>
      </c>
      <c r="Q6279" s="3">
        <v>0</v>
      </c>
      <c r="R6279" s="22" t="s">
        <v>3632</v>
      </c>
      <c r="S6279" s="42" t="s">
        <v>6912</v>
      </c>
      <c r="T6279" s="3" t="s">
        <v>4866</v>
      </c>
      <c r="U6279" s="45">
        <v>26</v>
      </c>
      <c r="V6279" t="s">
        <v>5244</v>
      </c>
      <c r="W6279" s="1" t="str">
        <f>HYPERLINK("http://ictvonline.org/taxonomy/p/taxonomy-history?taxnode_id=201902528","ICTVonline=201902528")</f>
        <v>ICTVonline=201902528</v>
      </c>
    </row>
    <row r="6280" spans="1:23">
      <c r="A6280" s="3">
        <v>6279</v>
      </c>
      <c r="L6280" s="1" t="s">
        <v>307</v>
      </c>
      <c r="N6280" s="1" t="s">
        <v>309</v>
      </c>
      <c r="P6280" s="1" t="s">
        <v>24</v>
      </c>
      <c r="Q6280" s="3">
        <v>0</v>
      </c>
      <c r="R6280" s="22" t="s">
        <v>3632</v>
      </c>
      <c r="S6280" s="42" t="s">
        <v>6912</v>
      </c>
      <c r="T6280" s="3" t="s">
        <v>4866</v>
      </c>
      <c r="U6280" s="45">
        <v>26</v>
      </c>
      <c r="V6280" t="s">
        <v>5244</v>
      </c>
      <c r="W6280" s="1" t="str">
        <f>HYPERLINK("http://ictvonline.org/taxonomy/p/taxonomy-history?taxnode_id=201902529","ICTVonline=201902529")</f>
        <v>ICTVonline=201902529</v>
      </c>
    </row>
    <row r="6281" spans="1:23">
      <c r="A6281" s="3">
        <v>6280</v>
      </c>
      <c r="L6281" s="1" t="s">
        <v>307</v>
      </c>
      <c r="N6281" s="1" t="s">
        <v>311</v>
      </c>
      <c r="P6281" s="1" t="s">
        <v>1558</v>
      </c>
      <c r="Q6281" s="3">
        <v>1</v>
      </c>
      <c r="R6281" s="22" t="s">
        <v>3632</v>
      </c>
      <c r="S6281" s="42" t="s">
        <v>6912</v>
      </c>
      <c r="T6281" s="3" t="s">
        <v>4870</v>
      </c>
      <c r="U6281" s="45">
        <v>25</v>
      </c>
      <c r="V6281" t="s">
        <v>5243</v>
      </c>
      <c r="W6281" s="1" t="str">
        <f>HYPERLINK("http://ictvonline.org/taxonomy/p/taxonomy-history?taxnode_id=201902531","ICTVonline=201902531")</f>
        <v>ICTVonline=201902531</v>
      </c>
    </row>
    <row r="6282" spans="1:23">
      <c r="A6282" s="3">
        <v>6281</v>
      </c>
      <c r="L6282" s="1" t="s">
        <v>307</v>
      </c>
      <c r="N6282" s="1" t="s">
        <v>1680</v>
      </c>
      <c r="P6282" s="1" t="s">
        <v>487</v>
      </c>
      <c r="Q6282" s="3">
        <v>1</v>
      </c>
      <c r="R6282" s="22" t="s">
        <v>3632</v>
      </c>
      <c r="S6282" s="42" t="s">
        <v>6912</v>
      </c>
      <c r="T6282" s="3" t="s">
        <v>4870</v>
      </c>
      <c r="U6282" s="45">
        <v>25</v>
      </c>
      <c r="V6282" t="s">
        <v>5243</v>
      </c>
      <c r="W6282" s="1" t="str">
        <f>HYPERLINK("http://ictvonline.org/taxonomy/p/taxonomy-history?taxnode_id=201902533","ICTVonline=201902533")</f>
        <v>ICTVonline=201902533</v>
      </c>
    </row>
    <row r="6283" spans="1:23">
      <c r="A6283" s="3">
        <v>6282</v>
      </c>
      <c r="L6283" s="1" t="s">
        <v>307</v>
      </c>
      <c r="N6283" s="1" t="s">
        <v>1682</v>
      </c>
      <c r="P6283" s="1" t="s">
        <v>1561</v>
      </c>
      <c r="Q6283" s="3">
        <v>1</v>
      </c>
      <c r="R6283" s="22" t="s">
        <v>3632</v>
      </c>
      <c r="S6283" s="42" t="s">
        <v>6912</v>
      </c>
      <c r="T6283" s="3" t="s">
        <v>4870</v>
      </c>
      <c r="U6283" s="45">
        <v>25</v>
      </c>
      <c r="V6283" t="s">
        <v>5243</v>
      </c>
      <c r="W6283" s="1" t="str">
        <f>HYPERLINK("http://ictvonline.org/taxonomy/p/taxonomy-history?taxnode_id=201902535","ICTVonline=201902535")</f>
        <v>ICTVonline=201902535</v>
      </c>
    </row>
    <row r="6284" spans="1:23">
      <c r="A6284" s="3">
        <v>6283</v>
      </c>
      <c r="L6284" s="1" t="s">
        <v>307</v>
      </c>
      <c r="N6284" s="1" t="s">
        <v>1682</v>
      </c>
      <c r="P6284" s="1" t="s">
        <v>25</v>
      </c>
      <c r="Q6284" s="3">
        <v>0</v>
      </c>
      <c r="R6284" s="22" t="s">
        <v>3632</v>
      </c>
      <c r="S6284" s="42" t="s">
        <v>6912</v>
      </c>
      <c r="T6284" s="3" t="s">
        <v>4866</v>
      </c>
      <c r="U6284" s="45">
        <v>26</v>
      </c>
      <c r="V6284" t="s">
        <v>5245</v>
      </c>
      <c r="W6284" s="1" t="str">
        <f>HYPERLINK("http://ictvonline.org/taxonomy/p/taxonomy-history?taxnode_id=201902536","ICTVonline=201902536")</f>
        <v>ICTVonline=201902536</v>
      </c>
    </row>
    <row r="6285" spans="1:23">
      <c r="A6285" s="3">
        <v>6284</v>
      </c>
      <c r="L6285" s="1" t="s">
        <v>307</v>
      </c>
      <c r="N6285" s="1" t="s">
        <v>310</v>
      </c>
      <c r="P6285" s="1" t="s">
        <v>1867</v>
      </c>
      <c r="Q6285" s="3">
        <v>1</v>
      </c>
      <c r="R6285" s="22" t="s">
        <v>3632</v>
      </c>
      <c r="S6285" s="42" t="s">
        <v>6912</v>
      </c>
      <c r="T6285" s="3" t="s">
        <v>4870</v>
      </c>
      <c r="U6285" s="45">
        <v>25</v>
      </c>
      <c r="V6285" t="s">
        <v>5243</v>
      </c>
      <c r="W6285" s="1" t="str">
        <f>HYPERLINK("http://ictvonline.org/taxonomy/p/taxonomy-history?taxnode_id=201902538","ICTVonline=201902538")</f>
        <v>ICTVonline=201902538</v>
      </c>
    </row>
    <row r="6286" spans="1:23">
      <c r="A6286" s="3">
        <v>6285</v>
      </c>
      <c r="L6286" s="1" t="s">
        <v>307</v>
      </c>
      <c r="N6286" s="1" t="s">
        <v>310</v>
      </c>
      <c r="P6286" s="1" t="s">
        <v>1868</v>
      </c>
      <c r="Q6286" s="3">
        <v>0</v>
      </c>
      <c r="R6286" s="22" t="s">
        <v>3632</v>
      </c>
      <c r="S6286" s="42" t="s">
        <v>6912</v>
      </c>
      <c r="T6286" s="3" t="s">
        <v>4866</v>
      </c>
      <c r="U6286" s="45">
        <v>25</v>
      </c>
      <c r="V6286" t="s">
        <v>5243</v>
      </c>
      <c r="W6286" s="1" t="str">
        <f>HYPERLINK("http://ictvonline.org/taxonomy/p/taxonomy-history?taxnode_id=201902539","ICTVonline=201902539")</f>
        <v>ICTVonline=201902539</v>
      </c>
    </row>
    <row r="6287" spans="1:23">
      <c r="A6287" s="3">
        <v>6286</v>
      </c>
      <c r="L6287" s="1" t="s">
        <v>307</v>
      </c>
      <c r="N6287" s="1" t="s">
        <v>310</v>
      </c>
      <c r="P6287" s="1" t="s">
        <v>32</v>
      </c>
      <c r="Q6287" s="3">
        <v>0</v>
      </c>
      <c r="R6287" s="22" t="s">
        <v>3632</v>
      </c>
      <c r="S6287" s="42" t="s">
        <v>6912</v>
      </c>
      <c r="T6287" s="3" t="s">
        <v>4866</v>
      </c>
      <c r="U6287" s="45">
        <v>26</v>
      </c>
      <c r="V6287" t="s">
        <v>5246</v>
      </c>
      <c r="W6287" s="1" t="str">
        <f>HYPERLINK("http://ictvonline.org/taxonomy/p/taxonomy-history?taxnode_id=201902540","ICTVonline=201902540")</f>
        <v>ICTVonline=201902540</v>
      </c>
    </row>
    <row r="6288" spans="1:23">
      <c r="A6288" s="3">
        <v>6287</v>
      </c>
      <c r="L6288" s="1" t="s">
        <v>307</v>
      </c>
      <c r="N6288" s="1" t="s">
        <v>310</v>
      </c>
      <c r="P6288" s="1" t="s">
        <v>33</v>
      </c>
      <c r="Q6288" s="3">
        <v>0</v>
      </c>
      <c r="R6288" s="22" t="s">
        <v>3632</v>
      </c>
      <c r="S6288" s="42" t="s">
        <v>6912</v>
      </c>
      <c r="T6288" s="3" t="s">
        <v>4866</v>
      </c>
      <c r="U6288" s="45">
        <v>26</v>
      </c>
      <c r="V6288" t="s">
        <v>5246</v>
      </c>
      <c r="W6288" s="1" t="str">
        <f>HYPERLINK("http://ictvonline.org/taxonomy/p/taxonomy-history?taxnode_id=201902541","ICTVonline=201902541")</f>
        <v>ICTVonline=201902541</v>
      </c>
    </row>
    <row r="6289" spans="1:23">
      <c r="A6289" s="3">
        <v>6288</v>
      </c>
      <c r="L6289" s="1" t="s">
        <v>307</v>
      </c>
      <c r="N6289" s="1" t="s">
        <v>310</v>
      </c>
      <c r="P6289" s="1" t="s">
        <v>34</v>
      </c>
      <c r="Q6289" s="3">
        <v>0</v>
      </c>
      <c r="R6289" s="22" t="s">
        <v>3632</v>
      </c>
      <c r="S6289" s="42" t="s">
        <v>6912</v>
      </c>
      <c r="T6289" s="3" t="s">
        <v>4866</v>
      </c>
      <c r="U6289" s="45">
        <v>26</v>
      </c>
      <c r="V6289" t="s">
        <v>5246</v>
      </c>
      <c r="W6289" s="1" t="str">
        <f>HYPERLINK("http://ictvonline.org/taxonomy/p/taxonomy-history?taxnode_id=201902542","ICTVonline=201902542")</f>
        <v>ICTVonline=201902542</v>
      </c>
    </row>
    <row r="6290" spans="1:23">
      <c r="A6290" s="3">
        <v>6289</v>
      </c>
      <c r="L6290" s="1" t="s">
        <v>307</v>
      </c>
      <c r="N6290" s="1" t="s">
        <v>310</v>
      </c>
      <c r="P6290" s="1" t="s">
        <v>35</v>
      </c>
      <c r="Q6290" s="3">
        <v>0</v>
      </c>
      <c r="R6290" s="22" t="s">
        <v>3632</v>
      </c>
      <c r="S6290" s="42" t="s">
        <v>6912</v>
      </c>
      <c r="T6290" s="3" t="s">
        <v>4866</v>
      </c>
      <c r="U6290" s="45">
        <v>26</v>
      </c>
      <c r="V6290" t="s">
        <v>5246</v>
      </c>
      <c r="W6290" s="1" t="str">
        <f>HYPERLINK("http://ictvonline.org/taxonomy/p/taxonomy-history?taxnode_id=201902543","ICTVonline=201902543")</f>
        <v>ICTVonline=201902543</v>
      </c>
    </row>
    <row r="6291" spans="1:23">
      <c r="A6291" s="3">
        <v>6290</v>
      </c>
      <c r="L6291" s="1" t="s">
        <v>307</v>
      </c>
      <c r="N6291" s="1" t="s">
        <v>310</v>
      </c>
      <c r="P6291" s="1" t="s">
        <v>36</v>
      </c>
      <c r="Q6291" s="3">
        <v>0</v>
      </c>
      <c r="R6291" s="22" t="s">
        <v>3632</v>
      </c>
      <c r="S6291" s="42" t="s">
        <v>6912</v>
      </c>
      <c r="T6291" s="3" t="s">
        <v>4866</v>
      </c>
      <c r="U6291" s="45">
        <v>26</v>
      </c>
      <c r="V6291" t="s">
        <v>5246</v>
      </c>
      <c r="W6291" s="1" t="str">
        <f>HYPERLINK("http://ictvonline.org/taxonomy/p/taxonomy-history?taxnode_id=201902544","ICTVonline=201902544")</f>
        <v>ICTVonline=201902544</v>
      </c>
    </row>
    <row r="6292" spans="1:23">
      <c r="A6292" s="3">
        <v>6291</v>
      </c>
      <c r="L6292" s="1" t="s">
        <v>307</v>
      </c>
      <c r="N6292" s="1" t="s">
        <v>310</v>
      </c>
      <c r="P6292" s="1" t="s">
        <v>37</v>
      </c>
      <c r="Q6292" s="3">
        <v>0</v>
      </c>
      <c r="R6292" s="22" t="s">
        <v>3632</v>
      </c>
      <c r="S6292" s="42" t="s">
        <v>6912</v>
      </c>
      <c r="T6292" s="3" t="s">
        <v>4866</v>
      </c>
      <c r="U6292" s="45">
        <v>26</v>
      </c>
      <c r="V6292" t="s">
        <v>5246</v>
      </c>
      <c r="W6292" s="1" t="str">
        <f>HYPERLINK("http://ictvonline.org/taxonomy/p/taxonomy-history?taxnode_id=201902545","ICTVonline=201902545")</f>
        <v>ICTVonline=201902545</v>
      </c>
    </row>
    <row r="6293" spans="1:23">
      <c r="A6293" s="3">
        <v>6292</v>
      </c>
      <c r="L6293" s="1" t="s">
        <v>307</v>
      </c>
      <c r="N6293" s="1" t="s">
        <v>310</v>
      </c>
      <c r="P6293" s="1" t="s">
        <v>38</v>
      </c>
      <c r="Q6293" s="3">
        <v>0</v>
      </c>
      <c r="R6293" s="22" t="s">
        <v>3632</v>
      </c>
      <c r="S6293" s="42" t="s">
        <v>6912</v>
      </c>
      <c r="T6293" s="3" t="s">
        <v>4866</v>
      </c>
      <c r="U6293" s="45">
        <v>26</v>
      </c>
      <c r="V6293" t="s">
        <v>5246</v>
      </c>
      <c r="W6293" s="1" t="str">
        <f>HYPERLINK("http://ictvonline.org/taxonomy/p/taxonomy-history?taxnode_id=201902546","ICTVonline=201902546")</f>
        <v>ICTVonline=201902546</v>
      </c>
    </row>
    <row r="6294" spans="1:23">
      <c r="A6294" s="3">
        <v>6293</v>
      </c>
      <c r="L6294" s="1" t="s">
        <v>307</v>
      </c>
      <c r="N6294" s="1" t="s">
        <v>310</v>
      </c>
      <c r="P6294" s="1" t="s">
        <v>26</v>
      </c>
      <c r="Q6294" s="3">
        <v>0</v>
      </c>
      <c r="R6294" s="22" t="s">
        <v>3632</v>
      </c>
      <c r="S6294" s="42" t="s">
        <v>6912</v>
      </c>
      <c r="T6294" s="3" t="s">
        <v>4866</v>
      </c>
      <c r="U6294" s="45">
        <v>26</v>
      </c>
      <c r="V6294" t="s">
        <v>5246</v>
      </c>
      <c r="W6294" s="1" t="str">
        <f>HYPERLINK("http://ictvonline.org/taxonomy/p/taxonomy-history?taxnode_id=201902547","ICTVonline=201902547")</f>
        <v>ICTVonline=201902547</v>
      </c>
    </row>
    <row r="6295" spans="1:23">
      <c r="A6295" s="3">
        <v>6294</v>
      </c>
      <c r="L6295" s="1" t="s">
        <v>307</v>
      </c>
      <c r="N6295" s="1" t="s">
        <v>310</v>
      </c>
      <c r="P6295" s="1" t="s">
        <v>27</v>
      </c>
      <c r="Q6295" s="3">
        <v>0</v>
      </c>
      <c r="R6295" s="22" t="s">
        <v>3632</v>
      </c>
      <c r="S6295" s="42" t="s">
        <v>6912</v>
      </c>
      <c r="T6295" s="3" t="s">
        <v>4866</v>
      </c>
      <c r="U6295" s="45">
        <v>26</v>
      </c>
      <c r="V6295" t="s">
        <v>5246</v>
      </c>
      <c r="W6295" s="1" t="str">
        <f>HYPERLINK("http://ictvonline.org/taxonomy/p/taxonomy-history?taxnode_id=201902548","ICTVonline=201902548")</f>
        <v>ICTVonline=201902548</v>
      </c>
    </row>
    <row r="6296" spans="1:23">
      <c r="A6296" s="3">
        <v>6295</v>
      </c>
      <c r="L6296" s="1" t="s">
        <v>307</v>
      </c>
      <c r="N6296" s="1" t="s">
        <v>310</v>
      </c>
      <c r="P6296" s="1" t="s">
        <v>28</v>
      </c>
      <c r="Q6296" s="3">
        <v>0</v>
      </c>
      <c r="R6296" s="22" t="s">
        <v>3632</v>
      </c>
      <c r="S6296" s="42" t="s">
        <v>6912</v>
      </c>
      <c r="T6296" s="3" t="s">
        <v>4866</v>
      </c>
      <c r="U6296" s="45">
        <v>26</v>
      </c>
      <c r="V6296" t="s">
        <v>5246</v>
      </c>
      <c r="W6296" s="1" t="str">
        <f>HYPERLINK("http://ictvonline.org/taxonomy/p/taxonomy-history?taxnode_id=201902549","ICTVonline=201902549")</f>
        <v>ICTVonline=201902549</v>
      </c>
    </row>
    <row r="6297" spans="1:23">
      <c r="A6297" s="3">
        <v>6296</v>
      </c>
      <c r="L6297" s="1" t="s">
        <v>307</v>
      </c>
      <c r="N6297" s="1" t="s">
        <v>310</v>
      </c>
      <c r="P6297" s="1" t="s">
        <v>29</v>
      </c>
      <c r="Q6297" s="3">
        <v>0</v>
      </c>
      <c r="R6297" s="22" t="s">
        <v>3632</v>
      </c>
      <c r="S6297" s="42" t="s">
        <v>6912</v>
      </c>
      <c r="T6297" s="3" t="s">
        <v>4866</v>
      </c>
      <c r="U6297" s="45">
        <v>26</v>
      </c>
      <c r="V6297" t="s">
        <v>5246</v>
      </c>
      <c r="W6297" s="1" t="str">
        <f>HYPERLINK("http://ictvonline.org/taxonomy/p/taxonomy-history?taxnode_id=201902550","ICTVonline=201902550")</f>
        <v>ICTVonline=201902550</v>
      </c>
    </row>
    <row r="6298" spans="1:23">
      <c r="A6298" s="3">
        <v>6297</v>
      </c>
      <c r="L6298" s="1" t="s">
        <v>307</v>
      </c>
      <c r="N6298" s="1" t="s">
        <v>310</v>
      </c>
      <c r="P6298" s="1" t="s">
        <v>30</v>
      </c>
      <c r="Q6298" s="3">
        <v>0</v>
      </c>
      <c r="R6298" s="22" t="s">
        <v>3632</v>
      </c>
      <c r="S6298" s="42" t="s">
        <v>6912</v>
      </c>
      <c r="T6298" s="3" t="s">
        <v>4866</v>
      </c>
      <c r="U6298" s="45">
        <v>26</v>
      </c>
      <c r="V6298" t="s">
        <v>5246</v>
      </c>
      <c r="W6298" s="1" t="str">
        <f>HYPERLINK("http://ictvonline.org/taxonomy/p/taxonomy-history?taxnode_id=201902551","ICTVonline=201902551")</f>
        <v>ICTVonline=201902551</v>
      </c>
    </row>
    <row r="6299" spans="1:23">
      <c r="A6299" s="3">
        <v>6298</v>
      </c>
      <c r="L6299" s="1" t="s">
        <v>307</v>
      </c>
      <c r="N6299" s="1" t="s">
        <v>310</v>
      </c>
      <c r="P6299" s="1" t="s">
        <v>31</v>
      </c>
      <c r="Q6299" s="3">
        <v>0</v>
      </c>
      <c r="R6299" s="22" t="s">
        <v>3632</v>
      </c>
      <c r="S6299" s="42" t="s">
        <v>6912</v>
      </c>
      <c r="T6299" s="3" t="s">
        <v>4866</v>
      </c>
      <c r="U6299" s="45">
        <v>26</v>
      </c>
      <c r="V6299" t="s">
        <v>5246</v>
      </c>
      <c r="W6299" s="1" t="str">
        <f>HYPERLINK("http://ictvonline.org/taxonomy/p/taxonomy-history?taxnode_id=201902552","ICTVonline=201902552")</f>
        <v>ICTVonline=201902552</v>
      </c>
    </row>
    <row r="6300" spans="1:23">
      <c r="A6300" s="3">
        <v>6299</v>
      </c>
      <c r="L6300" s="1" t="s">
        <v>307</v>
      </c>
      <c r="N6300" s="1" t="s">
        <v>1945</v>
      </c>
      <c r="P6300" s="1" t="s">
        <v>1946</v>
      </c>
      <c r="Q6300" s="3">
        <v>1</v>
      </c>
      <c r="R6300" s="22" t="s">
        <v>3632</v>
      </c>
      <c r="S6300" s="42" t="s">
        <v>6912</v>
      </c>
      <c r="T6300" s="3" t="s">
        <v>4868</v>
      </c>
      <c r="U6300" s="45">
        <v>30</v>
      </c>
      <c r="V6300" t="s">
        <v>5247</v>
      </c>
      <c r="W6300" s="1" t="str">
        <f>HYPERLINK("http://ictvonline.org/taxonomy/p/taxonomy-history?taxnode_id=201902554","ICTVonline=201902554")</f>
        <v>ICTVonline=201902554</v>
      </c>
    </row>
    <row r="6301" spans="1:23">
      <c r="A6301" s="3">
        <v>6300</v>
      </c>
      <c r="L6301" s="1" t="s">
        <v>307</v>
      </c>
      <c r="N6301" s="1" t="s">
        <v>1684</v>
      </c>
      <c r="P6301" s="1" t="s">
        <v>39</v>
      </c>
      <c r="Q6301" s="3">
        <v>1</v>
      </c>
      <c r="R6301" s="22" t="s">
        <v>3632</v>
      </c>
      <c r="S6301" s="42" t="s">
        <v>6912</v>
      </c>
      <c r="T6301" s="3" t="s">
        <v>4869</v>
      </c>
      <c r="U6301" s="45">
        <v>26</v>
      </c>
      <c r="V6301" t="s">
        <v>5248</v>
      </c>
      <c r="W6301" s="1" t="str">
        <f>HYPERLINK("http://ictvonline.org/taxonomy/p/taxonomy-history?taxnode_id=201902556","ICTVonline=201902556")</f>
        <v>ICTVonline=201902556</v>
      </c>
    </row>
    <row r="6302" spans="1:23">
      <c r="A6302" s="3">
        <v>6301</v>
      </c>
      <c r="L6302" s="1" t="s">
        <v>307</v>
      </c>
      <c r="N6302" s="1" t="s">
        <v>1684</v>
      </c>
      <c r="P6302" s="1" t="s">
        <v>40</v>
      </c>
      <c r="Q6302" s="3">
        <v>0</v>
      </c>
      <c r="R6302" s="22" t="s">
        <v>3632</v>
      </c>
      <c r="S6302" s="42" t="s">
        <v>6912</v>
      </c>
      <c r="T6302" s="3" t="s">
        <v>4869</v>
      </c>
      <c r="U6302" s="45">
        <v>26</v>
      </c>
      <c r="V6302" t="s">
        <v>5248</v>
      </c>
      <c r="W6302" s="1" t="str">
        <f>HYPERLINK("http://ictvonline.org/taxonomy/p/taxonomy-history?taxnode_id=201902557","ICTVonline=201902557")</f>
        <v>ICTVonline=201902557</v>
      </c>
    </row>
    <row r="6303" spans="1:23">
      <c r="A6303" s="3">
        <v>6302</v>
      </c>
      <c r="L6303" s="1" t="s">
        <v>307</v>
      </c>
      <c r="N6303" s="1" t="s">
        <v>41</v>
      </c>
      <c r="P6303" s="1" t="s">
        <v>3633</v>
      </c>
      <c r="Q6303" s="3">
        <v>1</v>
      </c>
      <c r="R6303" s="22" t="s">
        <v>3632</v>
      </c>
      <c r="S6303" s="42" t="s">
        <v>6912</v>
      </c>
      <c r="T6303" s="3" t="s">
        <v>4869</v>
      </c>
      <c r="U6303" s="45">
        <v>30</v>
      </c>
      <c r="V6303" t="s">
        <v>5249</v>
      </c>
      <c r="W6303" s="1" t="str">
        <f>HYPERLINK("http://ictvonline.org/taxonomy/p/taxonomy-history?taxnode_id=201902559","ICTVonline=201902559")</f>
        <v>ICTVonline=201902559</v>
      </c>
    </row>
    <row r="6304" spans="1:23">
      <c r="A6304" s="3">
        <v>6303</v>
      </c>
      <c r="L6304" s="1" t="s">
        <v>307</v>
      </c>
      <c r="N6304" s="1" t="s">
        <v>41</v>
      </c>
      <c r="P6304" s="1" t="s">
        <v>3634</v>
      </c>
      <c r="Q6304" s="3">
        <v>0</v>
      </c>
      <c r="R6304" s="22" t="s">
        <v>3632</v>
      </c>
      <c r="S6304" s="42" t="s">
        <v>6912</v>
      </c>
      <c r="T6304" s="3" t="s">
        <v>4866</v>
      </c>
      <c r="U6304" s="45">
        <v>30</v>
      </c>
      <c r="V6304" t="s">
        <v>5249</v>
      </c>
      <c r="W6304" s="1" t="str">
        <f>HYPERLINK("http://ictvonline.org/taxonomy/p/taxonomy-history?taxnode_id=201902560","ICTVonline=201902560")</f>
        <v>ICTVonline=201902560</v>
      </c>
    </row>
    <row r="6305" spans="1:23">
      <c r="A6305" s="3">
        <v>6304</v>
      </c>
      <c r="L6305" s="1" t="s">
        <v>307</v>
      </c>
      <c r="N6305" s="1" t="s">
        <v>42</v>
      </c>
      <c r="P6305" s="1" t="s">
        <v>6803</v>
      </c>
      <c r="Q6305" s="3">
        <v>0</v>
      </c>
      <c r="R6305" s="22" t="s">
        <v>3632</v>
      </c>
      <c r="S6305" s="42" t="s">
        <v>6912</v>
      </c>
      <c r="T6305" s="3" t="s">
        <v>4866</v>
      </c>
      <c r="U6305" s="45">
        <v>34</v>
      </c>
      <c r="V6305" t="s">
        <v>6804</v>
      </c>
      <c r="W6305" s="1" t="str">
        <f>HYPERLINK("http://ictvonline.org/taxonomy/p/taxonomy-history?taxnode_id=201906510","ICTVonline=201906510")</f>
        <v>ICTVonline=201906510</v>
      </c>
    </row>
    <row r="6306" spans="1:23">
      <c r="A6306" s="3">
        <v>6305</v>
      </c>
      <c r="L6306" s="1" t="s">
        <v>307</v>
      </c>
      <c r="N6306" s="1" t="s">
        <v>42</v>
      </c>
      <c r="P6306" s="1" t="s">
        <v>6805</v>
      </c>
      <c r="Q6306" s="3">
        <v>0</v>
      </c>
      <c r="R6306" s="22" t="s">
        <v>3632</v>
      </c>
      <c r="S6306" s="42" t="s">
        <v>6912</v>
      </c>
      <c r="T6306" s="3" t="s">
        <v>4866</v>
      </c>
      <c r="U6306" s="45">
        <v>34</v>
      </c>
      <c r="V6306" t="s">
        <v>6804</v>
      </c>
      <c r="W6306" s="1" t="str">
        <f>HYPERLINK("http://ictvonline.org/taxonomy/p/taxonomy-history?taxnode_id=201906511","ICTVonline=201906511")</f>
        <v>ICTVonline=201906511</v>
      </c>
    </row>
    <row r="6307" spans="1:23">
      <c r="A6307" s="3">
        <v>6306</v>
      </c>
      <c r="L6307" s="1" t="s">
        <v>307</v>
      </c>
      <c r="N6307" s="1" t="s">
        <v>42</v>
      </c>
      <c r="P6307" s="1" t="s">
        <v>6806</v>
      </c>
      <c r="Q6307" s="3">
        <v>0</v>
      </c>
      <c r="R6307" s="22" t="s">
        <v>3632</v>
      </c>
      <c r="S6307" s="42" t="s">
        <v>6912</v>
      </c>
      <c r="T6307" s="3" t="s">
        <v>4866</v>
      </c>
      <c r="U6307" s="45">
        <v>34</v>
      </c>
      <c r="V6307" t="s">
        <v>6804</v>
      </c>
      <c r="W6307" s="1" t="str">
        <f>HYPERLINK("http://ictvonline.org/taxonomy/p/taxonomy-history?taxnode_id=201906512","ICTVonline=201906512")</f>
        <v>ICTVonline=201906512</v>
      </c>
    </row>
    <row r="6308" spans="1:23">
      <c r="A6308" s="3">
        <v>6307</v>
      </c>
      <c r="L6308" s="1" t="s">
        <v>307</v>
      </c>
      <c r="N6308" s="1" t="s">
        <v>42</v>
      </c>
      <c r="P6308" s="1" t="s">
        <v>6807</v>
      </c>
      <c r="Q6308" s="3">
        <v>0</v>
      </c>
      <c r="R6308" s="22" t="s">
        <v>3632</v>
      </c>
      <c r="S6308" s="42" t="s">
        <v>6912</v>
      </c>
      <c r="T6308" s="3" t="s">
        <v>4866</v>
      </c>
      <c r="U6308" s="45">
        <v>34</v>
      </c>
      <c r="V6308" t="s">
        <v>6804</v>
      </c>
      <c r="W6308" s="1" t="str">
        <f>HYPERLINK("http://ictvonline.org/taxonomy/p/taxonomy-history?taxnode_id=201906513","ICTVonline=201906513")</f>
        <v>ICTVonline=201906513</v>
      </c>
    </row>
    <row r="6309" spans="1:23">
      <c r="A6309" s="3">
        <v>6308</v>
      </c>
      <c r="L6309" s="1" t="s">
        <v>307</v>
      </c>
      <c r="N6309" s="1" t="s">
        <v>42</v>
      </c>
      <c r="P6309" s="1" t="s">
        <v>6808</v>
      </c>
      <c r="Q6309" s="3">
        <v>0</v>
      </c>
      <c r="R6309" s="22" t="s">
        <v>3632</v>
      </c>
      <c r="S6309" s="42" t="s">
        <v>6912</v>
      </c>
      <c r="T6309" s="3" t="s">
        <v>4866</v>
      </c>
      <c r="U6309" s="45">
        <v>34</v>
      </c>
      <c r="V6309" t="s">
        <v>6804</v>
      </c>
      <c r="W6309" s="1" t="str">
        <f>HYPERLINK("http://ictvonline.org/taxonomy/p/taxonomy-history?taxnode_id=201906514","ICTVonline=201906514")</f>
        <v>ICTVonline=201906514</v>
      </c>
    </row>
    <row r="6310" spans="1:23">
      <c r="A6310" s="3">
        <v>6309</v>
      </c>
      <c r="L6310" s="1" t="s">
        <v>307</v>
      </c>
      <c r="N6310" s="1" t="s">
        <v>42</v>
      </c>
      <c r="P6310" s="1" t="s">
        <v>43</v>
      </c>
      <c r="Q6310" s="3">
        <v>1</v>
      </c>
      <c r="R6310" s="22" t="s">
        <v>3632</v>
      </c>
      <c r="S6310" s="42" t="s">
        <v>6912</v>
      </c>
      <c r="T6310" s="3" t="s">
        <v>4870</v>
      </c>
      <c r="U6310" s="45">
        <v>26</v>
      </c>
      <c r="V6310" t="s">
        <v>5250</v>
      </c>
      <c r="W6310" s="1" t="str">
        <f>HYPERLINK("http://ictvonline.org/taxonomy/p/taxonomy-history?taxnode_id=201902562","ICTVonline=201902562")</f>
        <v>ICTVonline=201902562</v>
      </c>
    </row>
    <row r="6311" spans="1:23">
      <c r="A6311" s="3">
        <v>6310</v>
      </c>
      <c r="L6311" s="1" t="s">
        <v>307</v>
      </c>
      <c r="N6311" s="1" t="s">
        <v>6809</v>
      </c>
      <c r="P6311" s="1" t="s">
        <v>6810</v>
      </c>
      <c r="Q6311" s="3">
        <v>1</v>
      </c>
      <c r="R6311" s="22" t="s">
        <v>3632</v>
      </c>
      <c r="S6311" s="42" t="s">
        <v>6912</v>
      </c>
      <c r="T6311" s="3" t="s">
        <v>4866</v>
      </c>
      <c r="U6311" s="45">
        <v>34</v>
      </c>
      <c r="V6311" t="s">
        <v>6804</v>
      </c>
      <c r="W6311" s="1" t="str">
        <f>HYPERLINK("http://ictvonline.org/taxonomy/p/taxonomy-history?taxnode_id=201906509","ICTVonline=201906509")</f>
        <v>ICTVonline=201906509</v>
      </c>
    </row>
    <row r="6312" spans="1:23">
      <c r="A6312" s="3">
        <v>6311</v>
      </c>
      <c r="L6312" s="1" t="s">
        <v>307</v>
      </c>
      <c r="N6312" s="1" t="s">
        <v>6811</v>
      </c>
      <c r="P6312" s="1" t="s">
        <v>6812</v>
      </c>
      <c r="Q6312" s="3">
        <v>1</v>
      </c>
      <c r="R6312" s="22" t="s">
        <v>3632</v>
      </c>
      <c r="S6312" s="42" t="s">
        <v>6912</v>
      </c>
      <c r="T6312" s="3" t="s">
        <v>4866</v>
      </c>
      <c r="U6312" s="45">
        <v>34</v>
      </c>
      <c r="V6312" t="s">
        <v>6804</v>
      </c>
      <c r="W6312" s="1" t="str">
        <f>HYPERLINK("http://ictvonline.org/taxonomy/p/taxonomy-history?taxnode_id=201906516","ICTVonline=201906516")</f>
        <v>ICTVonline=201906516</v>
      </c>
    </row>
    <row r="6313" spans="1:23">
      <c r="A6313" s="3">
        <v>6312</v>
      </c>
      <c r="L6313" s="1" t="s">
        <v>307</v>
      </c>
      <c r="N6313" s="1" t="s">
        <v>6811</v>
      </c>
      <c r="P6313" s="1" t="s">
        <v>6813</v>
      </c>
      <c r="Q6313" s="3">
        <v>0</v>
      </c>
      <c r="R6313" s="22" t="s">
        <v>3632</v>
      </c>
      <c r="S6313" s="42" t="s">
        <v>6912</v>
      </c>
      <c r="T6313" s="3" t="s">
        <v>4866</v>
      </c>
      <c r="U6313" s="45">
        <v>34</v>
      </c>
      <c r="V6313" t="s">
        <v>6804</v>
      </c>
      <c r="W6313" s="1" t="str">
        <f>HYPERLINK("http://ictvonline.org/taxonomy/p/taxonomy-history?taxnode_id=201906517","ICTVonline=201906517")</f>
        <v>ICTVonline=201906517</v>
      </c>
    </row>
    <row r="6314" spans="1:23">
      <c r="A6314" s="3">
        <v>6313</v>
      </c>
      <c r="L6314" s="1" t="s">
        <v>307</v>
      </c>
      <c r="N6314" s="1" t="s">
        <v>1683</v>
      </c>
      <c r="P6314" s="1" t="s">
        <v>1562</v>
      </c>
      <c r="Q6314" s="3">
        <v>1</v>
      </c>
      <c r="R6314" s="22" t="s">
        <v>3632</v>
      </c>
      <c r="S6314" s="42" t="s">
        <v>6912</v>
      </c>
      <c r="T6314" s="3" t="s">
        <v>4870</v>
      </c>
      <c r="U6314" s="45">
        <v>25</v>
      </c>
      <c r="V6314" t="s">
        <v>5243</v>
      </c>
      <c r="W6314" s="1" t="str">
        <f>HYPERLINK("http://ictvonline.org/taxonomy/p/taxonomy-history?taxnode_id=201902564","ICTVonline=201902564")</f>
        <v>ICTVonline=201902564</v>
      </c>
    </row>
    <row r="6315" spans="1:23">
      <c r="A6315" s="3">
        <v>6314</v>
      </c>
      <c r="L6315" s="1" t="s">
        <v>307</v>
      </c>
      <c r="N6315" s="1" t="s">
        <v>1681</v>
      </c>
      <c r="P6315" s="1" t="s">
        <v>488</v>
      </c>
      <c r="Q6315" s="3">
        <v>1</v>
      </c>
      <c r="R6315" s="22" t="s">
        <v>3632</v>
      </c>
      <c r="S6315" s="42" t="s">
        <v>6912</v>
      </c>
      <c r="T6315" s="3" t="s">
        <v>4870</v>
      </c>
      <c r="U6315" s="45">
        <v>25</v>
      </c>
      <c r="V6315" t="s">
        <v>5243</v>
      </c>
      <c r="W6315" s="1" t="str">
        <f>HYPERLINK("http://ictvonline.org/taxonomy/p/taxonomy-history?taxnode_id=201902566","ICTVonline=201902566")</f>
        <v>ICTVonline=201902566</v>
      </c>
    </row>
    <row r="6316" spans="1:23">
      <c r="A6316" s="3">
        <v>6315</v>
      </c>
      <c r="L6316" s="1" t="s">
        <v>551</v>
      </c>
      <c r="N6316" s="1" t="s">
        <v>552</v>
      </c>
      <c r="P6316" s="1" t="s">
        <v>553</v>
      </c>
      <c r="Q6316" s="3">
        <v>1</v>
      </c>
      <c r="R6316" s="22" t="s">
        <v>5889</v>
      </c>
      <c r="S6316" s="42" t="s">
        <v>6912</v>
      </c>
      <c r="T6316" s="3" t="s">
        <v>4868</v>
      </c>
      <c r="U6316" s="45">
        <v>35</v>
      </c>
      <c r="V6316" t="s">
        <v>8771</v>
      </c>
      <c r="W6316" s="1" t="str">
        <f>HYPERLINK("http://ictvonline.org/taxonomy/p/taxonomy-history?taxnode_id=201902648","ICTVonline=201902648")</f>
        <v>ICTVonline=201902648</v>
      </c>
    </row>
    <row r="6317" spans="1:23">
      <c r="A6317" s="3">
        <v>6316</v>
      </c>
      <c r="L6317" s="1" t="s">
        <v>551</v>
      </c>
      <c r="N6317" s="1" t="s">
        <v>554</v>
      </c>
      <c r="P6317" s="1" t="s">
        <v>555</v>
      </c>
      <c r="Q6317" s="3">
        <v>1</v>
      </c>
      <c r="R6317" s="22" t="s">
        <v>5889</v>
      </c>
      <c r="S6317" s="42" t="s">
        <v>6912</v>
      </c>
      <c r="T6317" s="3" t="s">
        <v>4868</v>
      </c>
      <c r="U6317" s="45">
        <v>35</v>
      </c>
      <c r="V6317" t="s">
        <v>8771</v>
      </c>
      <c r="W6317" s="1" t="str">
        <f>HYPERLINK("http://ictvonline.org/taxonomy/p/taxonomy-history?taxnode_id=201902650","ICTVonline=201902650")</f>
        <v>ICTVonline=201902650</v>
      </c>
    </row>
    <row r="6318" spans="1:23">
      <c r="A6318" s="3">
        <v>6317</v>
      </c>
      <c r="L6318" s="1" t="s">
        <v>551</v>
      </c>
      <c r="N6318" s="1" t="s">
        <v>556</v>
      </c>
      <c r="P6318" s="1" t="s">
        <v>8772</v>
      </c>
      <c r="Q6318" s="3">
        <v>0</v>
      </c>
      <c r="R6318" s="22" t="s">
        <v>5889</v>
      </c>
      <c r="S6318" s="42" t="s">
        <v>6914</v>
      </c>
      <c r="T6318" s="3" t="s">
        <v>4866</v>
      </c>
      <c r="U6318" s="45">
        <v>35</v>
      </c>
      <c r="V6318" t="s">
        <v>8773</v>
      </c>
      <c r="W6318" s="1" t="str">
        <f>HYPERLINK("http://ictvonline.org/taxonomy/p/taxonomy-history?taxnode_id=201907651","ICTVonline=201907651")</f>
        <v>ICTVonline=201907651</v>
      </c>
    </row>
    <row r="6319" spans="1:23">
      <c r="A6319" s="3">
        <v>6318</v>
      </c>
      <c r="L6319" s="1" t="s">
        <v>551</v>
      </c>
      <c r="N6319" s="1" t="s">
        <v>556</v>
      </c>
      <c r="P6319" s="1" t="s">
        <v>557</v>
      </c>
      <c r="Q6319" s="3">
        <v>0</v>
      </c>
      <c r="R6319" s="22" t="s">
        <v>5889</v>
      </c>
      <c r="S6319" s="42" t="s">
        <v>6912</v>
      </c>
      <c r="T6319" s="3" t="s">
        <v>4868</v>
      </c>
      <c r="U6319" s="45">
        <v>35</v>
      </c>
      <c r="V6319" t="s">
        <v>8771</v>
      </c>
      <c r="W6319" s="1" t="str">
        <f>HYPERLINK("http://ictvonline.org/taxonomy/p/taxonomy-history?taxnode_id=201902652","ICTVonline=201902652")</f>
        <v>ICTVonline=201902652</v>
      </c>
    </row>
    <row r="6320" spans="1:23">
      <c r="A6320" s="3">
        <v>6319</v>
      </c>
      <c r="L6320" s="1" t="s">
        <v>551</v>
      </c>
      <c r="N6320" s="1" t="s">
        <v>556</v>
      </c>
      <c r="P6320" s="1" t="s">
        <v>1712</v>
      </c>
      <c r="Q6320" s="3">
        <v>1</v>
      </c>
      <c r="R6320" s="22" t="s">
        <v>5889</v>
      </c>
      <c r="S6320" s="42" t="s">
        <v>6912</v>
      </c>
      <c r="T6320" s="3" t="s">
        <v>4868</v>
      </c>
      <c r="U6320" s="45">
        <v>35</v>
      </c>
      <c r="V6320" t="s">
        <v>8771</v>
      </c>
      <c r="W6320" s="1" t="str">
        <f>HYPERLINK("http://ictvonline.org/taxonomy/p/taxonomy-history?taxnode_id=201902653","ICTVonline=201902653")</f>
        <v>ICTVonline=201902653</v>
      </c>
    </row>
    <row r="6321" spans="1:23">
      <c r="A6321" s="3">
        <v>6320</v>
      </c>
      <c r="L6321" s="1" t="s">
        <v>1713</v>
      </c>
      <c r="N6321" s="1" t="s">
        <v>1714</v>
      </c>
      <c r="P6321" s="1" t="s">
        <v>693</v>
      </c>
      <c r="Q6321" s="3">
        <v>0</v>
      </c>
      <c r="R6321" s="22" t="s">
        <v>2721</v>
      </c>
      <c r="S6321" s="42" t="s">
        <v>6912</v>
      </c>
      <c r="T6321" s="3" t="s">
        <v>4868</v>
      </c>
      <c r="U6321" s="45">
        <v>24</v>
      </c>
      <c r="V6321" t="s">
        <v>5286</v>
      </c>
      <c r="W6321" s="1" t="str">
        <f>HYPERLINK("http://ictvonline.org/taxonomy/p/taxonomy-history?taxnode_id=201902657","ICTVonline=201902657")</f>
        <v>ICTVonline=201902657</v>
      </c>
    </row>
    <row r="6322" spans="1:23">
      <c r="A6322" s="3">
        <v>6321</v>
      </c>
      <c r="L6322" s="1" t="s">
        <v>1713</v>
      </c>
      <c r="N6322" s="1" t="s">
        <v>1714</v>
      </c>
      <c r="P6322" s="1" t="s">
        <v>694</v>
      </c>
      <c r="Q6322" s="3">
        <v>0</v>
      </c>
      <c r="R6322" s="22" t="s">
        <v>2721</v>
      </c>
      <c r="S6322" s="42" t="s">
        <v>6912</v>
      </c>
      <c r="T6322" s="3" t="s">
        <v>4868</v>
      </c>
      <c r="U6322" s="45">
        <v>24</v>
      </c>
      <c r="V6322" t="s">
        <v>5286</v>
      </c>
      <c r="W6322" s="1" t="str">
        <f>HYPERLINK("http://ictvonline.org/taxonomy/p/taxonomy-history?taxnode_id=201902658","ICTVonline=201902658")</f>
        <v>ICTVonline=201902658</v>
      </c>
    </row>
    <row r="6323" spans="1:23">
      <c r="A6323" s="3">
        <v>6322</v>
      </c>
      <c r="L6323" s="1" t="s">
        <v>1713</v>
      </c>
      <c r="N6323" s="1" t="s">
        <v>1714</v>
      </c>
      <c r="P6323" s="1" t="s">
        <v>3641</v>
      </c>
      <c r="Q6323" s="3">
        <v>0</v>
      </c>
      <c r="R6323" s="22" t="s">
        <v>2721</v>
      </c>
      <c r="S6323" s="42" t="s">
        <v>6912</v>
      </c>
      <c r="T6323" s="3" t="s">
        <v>4869</v>
      </c>
      <c r="U6323" s="45">
        <v>30</v>
      </c>
      <c r="V6323" t="s">
        <v>5287</v>
      </c>
      <c r="W6323" s="1" t="str">
        <f>HYPERLINK("http://ictvonline.org/taxonomy/p/taxonomy-history?taxnode_id=201902659","ICTVonline=201902659")</f>
        <v>ICTVonline=201902659</v>
      </c>
    </row>
    <row r="6324" spans="1:23">
      <c r="A6324" s="3">
        <v>6323</v>
      </c>
      <c r="L6324" s="1" t="s">
        <v>1713</v>
      </c>
      <c r="N6324" s="1" t="s">
        <v>1714</v>
      </c>
      <c r="P6324" s="1" t="s">
        <v>3642</v>
      </c>
      <c r="Q6324" s="3">
        <v>0</v>
      </c>
      <c r="R6324" s="22" t="s">
        <v>2721</v>
      </c>
      <c r="S6324" s="42" t="s">
        <v>6912</v>
      </c>
      <c r="T6324" s="3" t="s">
        <v>4866</v>
      </c>
      <c r="U6324" s="45">
        <v>30</v>
      </c>
      <c r="V6324" t="s">
        <v>5287</v>
      </c>
      <c r="W6324" s="1" t="str">
        <f>HYPERLINK("http://ictvonline.org/taxonomy/p/taxonomy-history?taxnode_id=201902660","ICTVonline=201902660")</f>
        <v>ICTVonline=201902660</v>
      </c>
    </row>
    <row r="6325" spans="1:23">
      <c r="A6325" s="3">
        <v>6324</v>
      </c>
      <c r="L6325" s="1" t="s">
        <v>1713</v>
      </c>
      <c r="N6325" s="1" t="s">
        <v>1714</v>
      </c>
      <c r="P6325" s="1" t="s">
        <v>2202</v>
      </c>
      <c r="Q6325" s="3">
        <v>0</v>
      </c>
      <c r="R6325" s="22" t="s">
        <v>2721</v>
      </c>
      <c r="S6325" s="42" t="s">
        <v>6912</v>
      </c>
      <c r="T6325" s="3" t="s">
        <v>4866</v>
      </c>
      <c r="U6325" s="45">
        <v>27</v>
      </c>
      <c r="V6325" t="s">
        <v>5288</v>
      </c>
      <c r="W6325" s="1" t="str">
        <f>HYPERLINK("http://ictvonline.org/taxonomy/p/taxonomy-history?taxnode_id=201902661","ICTVonline=201902661")</f>
        <v>ICTVonline=201902661</v>
      </c>
    </row>
    <row r="6326" spans="1:23">
      <c r="A6326" s="3">
        <v>6325</v>
      </c>
      <c r="L6326" s="1" t="s">
        <v>1713</v>
      </c>
      <c r="N6326" s="1" t="s">
        <v>1714</v>
      </c>
      <c r="P6326" s="1" t="s">
        <v>1730</v>
      </c>
      <c r="Q6326" s="3">
        <v>0</v>
      </c>
      <c r="R6326" s="22" t="s">
        <v>2721</v>
      </c>
      <c r="S6326" s="42" t="s">
        <v>6912</v>
      </c>
      <c r="T6326" s="3" t="s">
        <v>4868</v>
      </c>
      <c r="U6326" s="45">
        <v>24</v>
      </c>
      <c r="V6326" t="s">
        <v>5286</v>
      </c>
      <c r="W6326" s="1" t="str">
        <f>HYPERLINK("http://ictvonline.org/taxonomy/p/taxonomy-history?taxnode_id=201902662","ICTVonline=201902662")</f>
        <v>ICTVonline=201902662</v>
      </c>
    </row>
    <row r="6327" spans="1:23">
      <c r="A6327" s="3">
        <v>6326</v>
      </c>
      <c r="L6327" s="1" t="s">
        <v>1713</v>
      </c>
      <c r="N6327" s="1" t="s">
        <v>1714</v>
      </c>
      <c r="P6327" s="1" t="s">
        <v>695</v>
      </c>
      <c r="Q6327" s="3">
        <v>1</v>
      </c>
      <c r="R6327" s="22" t="s">
        <v>2721</v>
      </c>
      <c r="S6327" s="42" t="s">
        <v>6912</v>
      </c>
      <c r="T6327" s="3" t="s">
        <v>4868</v>
      </c>
      <c r="U6327" s="45">
        <v>24</v>
      </c>
      <c r="V6327" t="s">
        <v>5286</v>
      </c>
      <c r="W6327" s="1" t="str">
        <f>HYPERLINK("http://ictvonline.org/taxonomy/p/taxonomy-history?taxnode_id=201902663","ICTVonline=201902663")</f>
        <v>ICTVonline=201902663</v>
      </c>
    </row>
    <row r="6328" spans="1:23">
      <c r="A6328" s="3">
        <v>6327</v>
      </c>
      <c r="L6328" s="1" t="s">
        <v>1713</v>
      </c>
      <c r="N6328" s="1" t="s">
        <v>1714</v>
      </c>
      <c r="P6328" s="1" t="s">
        <v>696</v>
      </c>
      <c r="Q6328" s="3">
        <v>0</v>
      </c>
      <c r="R6328" s="22" t="s">
        <v>2721</v>
      </c>
      <c r="S6328" s="42" t="s">
        <v>6912</v>
      </c>
      <c r="T6328" s="3" t="s">
        <v>4868</v>
      </c>
      <c r="U6328" s="45">
        <v>24</v>
      </c>
      <c r="V6328" t="s">
        <v>5286</v>
      </c>
      <c r="W6328" s="1" t="str">
        <f>HYPERLINK("http://ictvonline.org/taxonomy/p/taxonomy-history?taxnode_id=201902664","ICTVonline=201902664")</f>
        <v>ICTVonline=201902664</v>
      </c>
    </row>
    <row r="6329" spans="1:23">
      <c r="A6329" s="3">
        <v>6328</v>
      </c>
      <c r="L6329" s="1" t="s">
        <v>1713</v>
      </c>
      <c r="N6329" s="1" t="s">
        <v>1714</v>
      </c>
      <c r="P6329" s="1" t="s">
        <v>697</v>
      </c>
      <c r="Q6329" s="3">
        <v>0</v>
      </c>
      <c r="R6329" s="22" t="s">
        <v>2721</v>
      </c>
      <c r="S6329" s="42" t="s">
        <v>6912</v>
      </c>
      <c r="T6329" s="3" t="s">
        <v>4868</v>
      </c>
      <c r="U6329" s="45">
        <v>24</v>
      </c>
      <c r="V6329" t="s">
        <v>5286</v>
      </c>
      <c r="W6329" s="1" t="str">
        <f>HYPERLINK("http://ictvonline.org/taxonomy/p/taxonomy-history?taxnode_id=201902665","ICTVonline=201902665")</f>
        <v>ICTVonline=201902665</v>
      </c>
    </row>
    <row r="6330" spans="1:23">
      <c r="A6330" s="3">
        <v>6329</v>
      </c>
      <c r="L6330" s="1" t="s">
        <v>1713</v>
      </c>
      <c r="N6330" s="1" t="s">
        <v>1714</v>
      </c>
      <c r="P6330" s="1" t="s">
        <v>4574</v>
      </c>
      <c r="Q6330" s="3">
        <v>0</v>
      </c>
      <c r="R6330" s="22" t="s">
        <v>2721</v>
      </c>
      <c r="S6330" s="42" t="s">
        <v>6912</v>
      </c>
      <c r="T6330" s="3" t="s">
        <v>4866</v>
      </c>
      <c r="U6330" s="45">
        <v>31</v>
      </c>
      <c r="V6330" t="s">
        <v>5289</v>
      </c>
      <c r="W6330" s="1" t="str">
        <f>HYPERLINK("http://ictvonline.org/taxonomy/p/taxonomy-history?taxnode_id=201902666","ICTVonline=201902666")</f>
        <v>ICTVonline=201902666</v>
      </c>
    </row>
    <row r="6331" spans="1:23">
      <c r="A6331" s="3">
        <v>6330</v>
      </c>
      <c r="L6331" s="1" t="s">
        <v>1713</v>
      </c>
      <c r="N6331" s="1" t="s">
        <v>1714</v>
      </c>
      <c r="P6331" s="1" t="s">
        <v>698</v>
      </c>
      <c r="Q6331" s="3">
        <v>0</v>
      </c>
      <c r="R6331" s="22" t="s">
        <v>2721</v>
      </c>
      <c r="S6331" s="42" t="s">
        <v>6912</v>
      </c>
      <c r="T6331" s="3" t="s">
        <v>4868</v>
      </c>
      <c r="U6331" s="45">
        <v>24</v>
      </c>
      <c r="V6331" t="s">
        <v>5286</v>
      </c>
      <c r="W6331" s="1" t="str">
        <f>HYPERLINK("http://ictvonline.org/taxonomy/p/taxonomy-history?taxnode_id=201902667","ICTVonline=201902667")</f>
        <v>ICTVonline=201902667</v>
      </c>
    </row>
    <row r="6332" spans="1:23">
      <c r="A6332" s="3">
        <v>6331</v>
      </c>
      <c r="L6332" s="1" t="s">
        <v>1713</v>
      </c>
      <c r="N6332" s="1" t="s">
        <v>1714</v>
      </c>
      <c r="P6332" s="1" t="s">
        <v>1734</v>
      </c>
      <c r="Q6332" s="3">
        <v>0</v>
      </c>
      <c r="R6332" s="22" t="s">
        <v>2721</v>
      </c>
      <c r="S6332" s="42" t="s">
        <v>6912</v>
      </c>
      <c r="T6332" s="3" t="s">
        <v>4868</v>
      </c>
      <c r="U6332" s="45">
        <v>24</v>
      </c>
      <c r="V6332" t="s">
        <v>5286</v>
      </c>
      <c r="W6332" s="1" t="str">
        <f>HYPERLINK("http://ictvonline.org/taxonomy/p/taxonomy-history?taxnode_id=201902668","ICTVonline=201902668")</f>
        <v>ICTVonline=201902668</v>
      </c>
    </row>
    <row r="6333" spans="1:23">
      <c r="A6333" s="3">
        <v>6332</v>
      </c>
      <c r="L6333" s="1" t="s">
        <v>1713</v>
      </c>
      <c r="N6333" s="1" t="s">
        <v>1714</v>
      </c>
      <c r="P6333" s="1" t="s">
        <v>4575</v>
      </c>
      <c r="Q6333" s="3">
        <v>0</v>
      </c>
      <c r="R6333" s="22" t="s">
        <v>2721</v>
      </c>
      <c r="S6333" s="42" t="s">
        <v>6912</v>
      </c>
      <c r="T6333" s="3" t="s">
        <v>4866</v>
      </c>
      <c r="U6333" s="45">
        <v>31</v>
      </c>
      <c r="V6333" t="s">
        <v>5290</v>
      </c>
      <c r="W6333" s="1" t="str">
        <f>HYPERLINK("http://ictvonline.org/taxonomy/p/taxonomy-history?taxnode_id=201902669","ICTVonline=201902669")</f>
        <v>ICTVonline=201902669</v>
      </c>
    </row>
    <row r="6334" spans="1:23">
      <c r="A6334" s="3">
        <v>6333</v>
      </c>
      <c r="L6334" s="1" t="s">
        <v>1713</v>
      </c>
      <c r="N6334" s="1" t="s">
        <v>1714</v>
      </c>
      <c r="P6334" s="1" t="s">
        <v>1736</v>
      </c>
      <c r="Q6334" s="3">
        <v>0</v>
      </c>
      <c r="R6334" s="22" t="s">
        <v>2721</v>
      </c>
      <c r="S6334" s="42" t="s">
        <v>6912</v>
      </c>
      <c r="T6334" s="3" t="s">
        <v>4868</v>
      </c>
      <c r="U6334" s="45">
        <v>24</v>
      </c>
      <c r="V6334" t="s">
        <v>5286</v>
      </c>
      <c r="W6334" s="1" t="str">
        <f>HYPERLINK("http://ictvonline.org/taxonomy/p/taxonomy-history?taxnode_id=201902670","ICTVonline=201902670")</f>
        <v>ICTVonline=201902670</v>
      </c>
    </row>
    <row r="6335" spans="1:23">
      <c r="A6335" s="3">
        <v>6334</v>
      </c>
      <c r="L6335" s="1" t="s">
        <v>1713</v>
      </c>
      <c r="N6335" s="1" t="s">
        <v>1714</v>
      </c>
      <c r="P6335" s="1" t="s">
        <v>2203</v>
      </c>
      <c r="Q6335" s="3">
        <v>0</v>
      </c>
      <c r="R6335" s="22" t="s">
        <v>2721</v>
      </c>
      <c r="S6335" s="42" t="s">
        <v>6912</v>
      </c>
      <c r="T6335" s="3" t="s">
        <v>4866</v>
      </c>
      <c r="U6335" s="45">
        <v>27</v>
      </c>
      <c r="V6335" t="s">
        <v>5288</v>
      </c>
      <c r="W6335" s="1" t="str">
        <f>HYPERLINK("http://ictvonline.org/taxonomy/p/taxonomy-history?taxnode_id=201902671","ICTVonline=201902671")</f>
        <v>ICTVonline=201902671</v>
      </c>
    </row>
    <row r="6336" spans="1:23">
      <c r="A6336" s="3">
        <v>6335</v>
      </c>
      <c r="L6336" s="1" t="s">
        <v>1713</v>
      </c>
      <c r="N6336" s="1" t="s">
        <v>1714</v>
      </c>
      <c r="P6336" s="1" t="s">
        <v>3643</v>
      </c>
      <c r="Q6336" s="3">
        <v>0</v>
      </c>
      <c r="R6336" s="22" t="s">
        <v>2721</v>
      </c>
      <c r="S6336" s="42" t="s">
        <v>6912</v>
      </c>
      <c r="T6336" s="3" t="s">
        <v>4866</v>
      </c>
      <c r="U6336" s="45">
        <v>30</v>
      </c>
      <c r="V6336" t="s">
        <v>5291</v>
      </c>
      <c r="W6336" s="1" t="str">
        <f>HYPERLINK("http://ictvonline.org/taxonomy/p/taxonomy-history?taxnode_id=201902672","ICTVonline=201902672")</f>
        <v>ICTVonline=201902672</v>
      </c>
    </row>
    <row r="6337" spans="1:23">
      <c r="A6337" s="3">
        <v>6336</v>
      </c>
      <c r="L6337" s="1" t="s">
        <v>1713</v>
      </c>
      <c r="N6337" s="1" t="s">
        <v>1714</v>
      </c>
      <c r="P6337" s="1" t="s">
        <v>2204</v>
      </c>
      <c r="Q6337" s="3">
        <v>0</v>
      </c>
      <c r="R6337" s="22" t="s">
        <v>2721</v>
      </c>
      <c r="S6337" s="42" t="s">
        <v>6912</v>
      </c>
      <c r="T6337" s="3" t="s">
        <v>4866</v>
      </c>
      <c r="U6337" s="45">
        <v>27</v>
      </c>
      <c r="V6337" t="s">
        <v>5288</v>
      </c>
      <c r="W6337" s="1" t="str">
        <f>HYPERLINK("http://ictvonline.org/taxonomy/p/taxonomy-history?taxnode_id=201902673","ICTVonline=201902673")</f>
        <v>ICTVonline=201902673</v>
      </c>
    </row>
    <row r="6338" spans="1:23">
      <c r="A6338" s="3">
        <v>6337</v>
      </c>
      <c r="L6338" s="1" t="s">
        <v>1713</v>
      </c>
      <c r="N6338" s="1" t="s">
        <v>1714</v>
      </c>
      <c r="P6338" s="1" t="s">
        <v>8774</v>
      </c>
      <c r="Q6338" s="3">
        <v>0</v>
      </c>
      <c r="R6338" s="22" t="s">
        <v>2721</v>
      </c>
      <c r="S6338" s="42" t="s">
        <v>6914</v>
      </c>
      <c r="T6338" s="3" t="s">
        <v>4866</v>
      </c>
      <c r="U6338" s="45">
        <v>35</v>
      </c>
      <c r="V6338" t="s">
        <v>8775</v>
      </c>
      <c r="W6338" s="1" t="str">
        <f>HYPERLINK("http://ictvonline.org/taxonomy/p/taxonomy-history?taxnode_id=201908661","ICTVonline=201908661")</f>
        <v>ICTVonline=201908661</v>
      </c>
    </row>
    <row r="6339" spans="1:23">
      <c r="A6339" s="3">
        <v>6338</v>
      </c>
      <c r="L6339" s="1" t="s">
        <v>1713</v>
      </c>
      <c r="N6339" s="1" t="s">
        <v>1714</v>
      </c>
      <c r="P6339" s="1" t="s">
        <v>8776</v>
      </c>
      <c r="Q6339" s="3">
        <v>0</v>
      </c>
      <c r="R6339" s="22" t="s">
        <v>2721</v>
      </c>
      <c r="S6339" s="42" t="s">
        <v>6914</v>
      </c>
      <c r="T6339" s="3" t="s">
        <v>4866</v>
      </c>
      <c r="U6339" s="45">
        <v>35</v>
      </c>
      <c r="V6339" t="s">
        <v>8775</v>
      </c>
      <c r="W6339" s="1" t="str">
        <f>HYPERLINK("http://ictvonline.org/taxonomy/p/taxonomy-history?taxnode_id=201908662","ICTVonline=201908662")</f>
        <v>ICTVonline=201908662</v>
      </c>
    </row>
    <row r="6340" spans="1:23">
      <c r="A6340" s="3">
        <v>6339</v>
      </c>
      <c r="L6340" s="1" t="s">
        <v>1713</v>
      </c>
      <c r="N6340" s="1" t="s">
        <v>1714</v>
      </c>
      <c r="P6340" s="1" t="s">
        <v>8777</v>
      </c>
      <c r="Q6340" s="3">
        <v>0</v>
      </c>
      <c r="R6340" s="22" t="s">
        <v>2721</v>
      </c>
      <c r="S6340" s="42" t="s">
        <v>6914</v>
      </c>
      <c r="T6340" s="3" t="s">
        <v>4866</v>
      </c>
      <c r="U6340" s="45">
        <v>35</v>
      </c>
      <c r="V6340" t="s">
        <v>8775</v>
      </c>
      <c r="W6340" s="1" t="str">
        <f>HYPERLINK("http://ictvonline.org/taxonomy/p/taxonomy-history?taxnode_id=201908663","ICTVonline=201908663")</f>
        <v>ICTVonline=201908663</v>
      </c>
    </row>
    <row r="6341" spans="1:23">
      <c r="A6341" s="3">
        <v>6340</v>
      </c>
      <c r="L6341" s="1" t="s">
        <v>1713</v>
      </c>
      <c r="N6341" s="1" t="s">
        <v>1714</v>
      </c>
      <c r="P6341" s="1" t="s">
        <v>1737</v>
      </c>
      <c r="Q6341" s="3">
        <v>0</v>
      </c>
      <c r="R6341" s="22" t="s">
        <v>2721</v>
      </c>
      <c r="S6341" s="42" t="s">
        <v>6912</v>
      </c>
      <c r="T6341" s="3" t="s">
        <v>4867</v>
      </c>
      <c r="U6341" s="45">
        <v>24</v>
      </c>
      <c r="V6341" t="s">
        <v>5286</v>
      </c>
      <c r="W6341" s="1" t="str">
        <f>HYPERLINK("http://ictvonline.org/taxonomy/p/taxonomy-history?taxnode_id=201902674","ICTVonline=201902674")</f>
        <v>ICTVonline=201902674</v>
      </c>
    </row>
    <row r="6342" spans="1:23">
      <c r="A6342" s="3">
        <v>6341</v>
      </c>
      <c r="L6342" s="1" t="s">
        <v>1713</v>
      </c>
      <c r="N6342" s="1" t="s">
        <v>1714</v>
      </c>
      <c r="P6342" s="1" t="s">
        <v>1738</v>
      </c>
      <c r="Q6342" s="3">
        <v>0</v>
      </c>
      <c r="R6342" s="22" t="s">
        <v>2721</v>
      </c>
      <c r="S6342" s="42" t="s">
        <v>6912</v>
      </c>
      <c r="T6342" s="3" t="s">
        <v>4868</v>
      </c>
      <c r="U6342" s="45">
        <v>24</v>
      </c>
      <c r="V6342" t="s">
        <v>5286</v>
      </c>
      <c r="W6342" s="1" t="str">
        <f>HYPERLINK("http://ictvonline.org/taxonomy/p/taxonomy-history?taxnode_id=201902675","ICTVonline=201902675")</f>
        <v>ICTVonline=201902675</v>
      </c>
    </row>
    <row r="6343" spans="1:23">
      <c r="A6343" s="3">
        <v>6342</v>
      </c>
      <c r="L6343" s="1" t="s">
        <v>1713</v>
      </c>
      <c r="N6343" s="1" t="s">
        <v>1714</v>
      </c>
      <c r="P6343" s="1" t="s">
        <v>2205</v>
      </c>
      <c r="Q6343" s="3">
        <v>0</v>
      </c>
      <c r="R6343" s="22" t="s">
        <v>2721</v>
      </c>
      <c r="S6343" s="42" t="s">
        <v>6912</v>
      </c>
      <c r="T6343" s="3" t="s">
        <v>4866</v>
      </c>
      <c r="U6343" s="45">
        <v>27</v>
      </c>
      <c r="V6343" t="s">
        <v>5288</v>
      </c>
      <c r="W6343" s="1" t="str">
        <f>HYPERLINK("http://ictvonline.org/taxonomy/p/taxonomy-history?taxnode_id=201902676","ICTVonline=201902676")</f>
        <v>ICTVonline=201902676</v>
      </c>
    </row>
    <row r="6344" spans="1:23">
      <c r="A6344" s="3">
        <v>6343</v>
      </c>
      <c r="L6344" s="1" t="s">
        <v>1713</v>
      </c>
      <c r="N6344" s="1" t="s">
        <v>1714</v>
      </c>
      <c r="P6344" s="1" t="s">
        <v>1739</v>
      </c>
      <c r="Q6344" s="3">
        <v>0</v>
      </c>
      <c r="R6344" s="22" t="s">
        <v>2721</v>
      </c>
      <c r="S6344" s="42" t="s">
        <v>6912</v>
      </c>
      <c r="T6344" s="3" t="s">
        <v>4873</v>
      </c>
      <c r="U6344" s="45">
        <v>29</v>
      </c>
      <c r="V6344" t="s">
        <v>5292</v>
      </c>
      <c r="W6344" s="1" t="str">
        <f>HYPERLINK("http://ictvonline.org/taxonomy/p/taxonomy-history?taxnode_id=201902677","ICTVonline=201902677")</f>
        <v>ICTVonline=201902677</v>
      </c>
    </row>
    <row r="6345" spans="1:23">
      <c r="A6345" s="3">
        <v>6344</v>
      </c>
      <c r="L6345" s="1" t="s">
        <v>1713</v>
      </c>
      <c r="N6345" s="1" t="s">
        <v>1714</v>
      </c>
      <c r="P6345" s="1" t="s">
        <v>6814</v>
      </c>
      <c r="Q6345" s="3">
        <v>0</v>
      </c>
      <c r="R6345" s="22" t="s">
        <v>2721</v>
      </c>
      <c r="S6345" s="42" t="s">
        <v>6912</v>
      </c>
      <c r="T6345" s="3" t="s">
        <v>4866</v>
      </c>
      <c r="U6345" s="45">
        <v>34</v>
      </c>
      <c r="V6345" t="s">
        <v>6815</v>
      </c>
      <c r="W6345" s="1" t="str">
        <f>HYPERLINK("http://ictvonline.org/taxonomy/p/taxonomy-history?taxnode_id=201906526","ICTVonline=201906526")</f>
        <v>ICTVonline=201906526</v>
      </c>
    </row>
    <row r="6346" spans="1:23">
      <c r="A6346" s="3">
        <v>6345</v>
      </c>
      <c r="L6346" s="1" t="s">
        <v>1713</v>
      </c>
      <c r="N6346" s="1" t="s">
        <v>1714</v>
      </c>
      <c r="P6346" s="1" t="s">
        <v>2206</v>
      </c>
      <c r="Q6346" s="3">
        <v>0</v>
      </c>
      <c r="R6346" s="22" t="s">
        <v>2721</v>
      </c>
      <c r="S6346" s="42" t="s">
        <v>6912</v>
      </c>
      <c r="T6346" s="3" t="s">
        <v>4866</v>
      </c>
      <c r="U6346" s="45">
        <v>27</v>
      </c>
      <c r="V6346" t="s">
        <v>5288</v>
      </c>
      <c r="W6346" s="1" t="str">
        <f>HYPERLINK("http://ictvonline.org/taxonomy/p/taxonomy-history?taxnode_id=201902678","ICTVonline=201902678")</f>
        <v>ICTVonline=201902678</v>
      </c>
    </row>
    <row r="6347" spans="1:23">
      <c r="A6347" s="3">
        <v>6346</v>
      </c>
      <c r="L6347" s="1" t="s">
        <v>1713</v>
      </c>
      <c r="N6347" s="1" t="s">
        <v>1714</v>
      </c>
      <c r="P6347" s="1" t="s">
        <v>8778</v>
      </c>
      <c r="Q6347" s="3">
        <v>0</v>
      </c>
      <c r="R6347" s="22" t="s">
        <v>2721</v>
      </c>
      <c r="S6347" s="42" t="s">
        <v>6914</v>
      </c>
      <c r="T6347" s="3" t="s">
        <v>4866</v>
      </c>
      <c r="U6347" s="45">
        <v>35</v>
      </c>
      <c r="V6347" t="s">
        <v>8775</v>
      </c>
      <c r="W6347" s="1" t="str">
        <f>HYPERLINK("http://ictvonline.org/taxonomy/p/taxonomy-history?taxnode_id=201908664","ICTVonline=201908664")</f>
        <v>ICTVonline=201908664</v>
      </c>
    </row>
    <row r="6348" spans="1:23">
      <c r="A6348" s="3">
        <v>6347</v>
      </c>
      <c r="L6348" s="1" t="s">
        <v>1713</v>
      </c>
      <c r="N6348" s="1" t="s">
        <v>1714</v>
      </c>
      <c r="P6348" s="1" t="s">
        <v>4576</v>
      </c>
      <c r="Q6348" s="3">
        <v>0</v>
      </c>
      <c r="R6348" s="22" t="s">
        <v>2721</v>
      </c>
      <c r="S6348" s="42" t="s">
        <v>6912</v>
      </c>
      <c r="T6348" s="3" t="s">
        <v>4866</v>
      </c>
      <c r="U6348" s="45">
        <v>31</v>
      </c>
      <c r="V6348" t="s">
        <v>5290</v>
      </c>
      <c r="W6348" s="1" t="str">
        <f>HYPERLINK("http://ictvonline.org/taxonomy/p/taxonomy-history?taxnode_id=201902679","ICTVonline=201902679")</f>
        <v>ICTVonline=201902679</v>
      </c>
    </row>
    <row r="6349" spans="1:23">
      <c r="A6349" s="3">
        <v>6348</v>
      </c>
      <c r="L6349" s="1" t="s">
        <v>1713</v>
      </c>
      <c r="N6349" s="1" t="s">
        <v>1714</v>
      </c>
      <c r="P6349" s="1" t="s">
        <v>2207</v>
      </c>
      <c r="Q6349" s="3">
        <v>0</v>
      </c>
      <c r="R6349" s="22" t="s">
        <v>2721</v>
      </c>
      <c r="S6349" s="42" t="s">
        <v>6912</v>
      </c>
      <c r="T6349" s="3" t="s">
        <v>4866</v>
      </c>
      <c r="U6349" s="45">
        <v>27</v>
      </c>
      <c r="V6349" t="s">
        <v>5288</v>
      </c>
      <c r="W6349" s="1" t="str">
        <f>HYPERLINK("http://ictvonline.org/taxonomy/p/taxonomy-history?taxnode_id=201902680","ICTVonline=201902680")</f>
        <v>ICTVonline=201902680</v>
      </c>
    </row>
    <row r="6350" spans="1:23">
      <c r="A6350" s="3">
        <v>6349</v>
      </c>
      <c r="L6350" s="1" t="s">
        <v>1713</v>
      </c>
      <c r="N6350" s="1" t="s">
        <v>1714</v>
      </c>
      <c r="P6350" s="1" t="s">
        <v>6816</v>
      </c>
      <c r="Q6350" s="3">
        <v>0</v>
      </c>
      <c r="R6350" s="22" t="s">
        <v>2721</v>
      </c>
      <c r="S6350" s="42" t="s">
        <v>6912</v>
      </c>
      <c r="T6350" s="3" t="s">
        <v>4866</v>
      </c>
      <c r="U6350" s="45">
        <v>34</v>
      </c>
      <c r="V6350" t="s">
        <v>6815</v>
      </c>
      <c r="W6350" s="1" t="str">
        <f>HYPERLINK("http://ictvonline.org/taxonomy/p/taxonomy-history?taxnode_id=201906527","ICTVonline=201906527")</f>
        <v>ICTVonline=201906527</v>
      </c>
    </row>
    <row r="6351" spans="1:23">
      <c r="A6351" s="3">
        <v>6350</v>
      </c>
      <c r="L6351" s="1" t="s">
        <v>1713</v>
      </c>
      <c r="N6351" s="1" t="s">
        <v>1714</v>
      </c>
      <c r="P6351" s="1" t="s">
        <v>1740</v>
      </c>
      <c r="Q6351" s="3">
        <v>0</v>
      </c>
      <c r="R6351" s="22" t="s">
        <v>2721</v>
      </c>
      <c r="S6351" s="42" t="s">
        <v>6912</v>
      </c>
      <c r="T6351" s="3" t="s">
        <v>4868</v>
      </c>
      <c r="U6351" s="45">
        <v>24</v>
      </c>
      <c r="V6351" t="s">
        <v>5286</v>
      </c>
      <c r="W6351" s="1" t="str">
        <f>HYPERLINK("http://ictvonline.org/taxonomy/p/taxonomy-history?taxnode_id=201902681","ICTVonline=201902681")</f>
        <v>ICTVonline=201902681</v>
      </c>
    </row>
    <row r="6352" spans="1:23">
      <c r="A6352" s="3">
        <v>6351</v>
      </c>
      <c r="L6352" s="1" t="s">
        <v>1713</v>
      </c>
      <c r="N6352" s="1" t="s">
        <v>1714</v>
      </c>
      <c r="P6352" s="1" t="s">
        <v>4577</v>
      </c>
      <c r="Q6352" s="3">
        <v>0</v>
      </c>
      <c r="R6352" s="22" t="s">
        <v>2721</v>
      </c>
      <c r="S6352" s="42" t="s">
        <v>6912</v>
      </c>
      <c r="T6352" s="3" t="s">
        <v>4866</v>
      </c>
      <c r="U6352" s="45">
        <v>31</v>
      </c>
      <c r="V6352" t="s">
        <v>5290</v>
      </c>
      <c r="W6352" s="1" t="str">
        <f>HYPERLINK("http://ictvonline.org/taxonomy/p/taxonomy-history?taxnode_id=201902682","ICTVonline=201902682")</f>
        <v>ICTVonline=201902682</v>
      </c>
    </row>
    <row r="6353" spans="1:23">
      <c r="A6353" s="3">
        <v>6352</v>
      </c>
      <c r="L6353" s="1" t="s">
        <v>1713</v>
      </c>
      <c r="N6353" s="1" t="s">
        <v>1714</v>
      </c>
      <c r="P6353" s="1" t="s">
        <v>700</v>
      </c>
      <c r="Q6353" s="3">
        <v>0</v>
      </c>
      <c r="R6353" s="22" t="s">
        <v>2721</v>
      </c>
      <c r="S6353" s="42" t="s">
        <v>6912</v>
      </c>
      <c r="T6353" s="3" t="s">
        <v>4868</v>
      </c>
      <c r="U6353" s="45">
        <v>24</v>
      </c>
      <c r="V6353" t="s">
        <v>5286</v>
      </c>
      <c r="W6353" s="1" t="str">
        <f>HYPERLINK("http://ictvonline.org/taxonomy/p/taxonomy-history?taxnode_id=201902683","ICTVonline=201902683")</f>
        <v>ICTVonline=201902683</v>
      </c>
    </row>
    <row r="6354" spans="1:23">
      <c r="A6354" s="3">
        <v>6353</v>
      </c>
      <c r="L6354" s="1" t="s">
        <v>1713</v>
      </c>
      <c r="N6354" s="1" t="s">
        <v>1714</v>
      </c>
      <c r="P6354" s="1" t="s">
        <v>701</v>
      </c>
      <c r="Q6354" s="3">
        <v>0</v>
      </c>
      <c r="R6354" s="22" t="s">
        <v>2721</v>
      </c>
      <c r="S6354" s="42" t="s">
        <v>6912</v>
      </c>
      <c r="T6354" s="3" t="s">
        <v>4868</v>
      </c>
      <c r="U6354" s="45">
        <v>24</v>
      </c>
      <c r="V6354" t="s">
        <v>5286</v>
      </c>
      <c r="W6354" s="1" t="str">
        <f>HYPERLINK("http://ictvonline.org/taxonomy/p/taxonomy-history?taxnode_id=201902684","ICTVonline=201902684")</f>
        <v>ICTVonline=201902684</v>
      </c>
    </row>
    <row r="6355" spans="1:23">
      <c r="A6355" s="3">
        <v>6354</v>
      </c>
      <c r="L6355" s="1" t="s">
        <v>1713</v>
      </c>
      <c r="N6355" s="1" t="s">
        <v>1714</v>
      </c>
      <c r="P6355" s="1" t="s">
        <v>702</v>
      </c>
      <c r="Q6355" s="3">
        <v>0</v>
      </c>
      <c r="R6355" s="22" t="s">
        <v>2721</v>
      </c>
      <c r="S6355" s="42" t="s">
        <v>6912</v>
      </c>
      <c r="T6355" s="3" t="s">
        <v>4868</v>
      </c>
      <c r="U6355" s="45">
        <v>24</v>
      </c>
      <c r="V6355" t="s">
        <v>5286</v>
      </c>
      <c r="W6355" s="1" t="str">
        <f>HYPERLINK("http://ictvonline.org/taxonomy/p/taxonomy-history?taxnode_id=201902685","ICTVonline=201902685")</f>
        <v>ICTVonline=201902685</v>
      </c>
    </row>
    <row r="6356" spans="1:23">
      <c r="A6356" s="3">
        <v>6355</v>
      </c>
      <c r="L6356" s="1" t="s">
        <v>1713</v>
      </c>
      <c r="N6356" s="1" t="s">
        <v>1714</v>
      </c>
      <c r="P6356" s="1" t="s">
        <v>2208</v>
      </c>
      <c r="Q6356" s="3">
        <v>0</v>
      </c>
      <c r="R6356" s="22" t="s">
        <v>2721</v>
      </c>
      <c r="S6356" s="42" t="s">
        <v>6912</v>
      </c>
      <c r="T6356" s="3" t="s">
        <v>4866</v>
      </c>
      <c r="U6356" s="45">
        <v>27</v>
      </c>
      <c r="V6356" t="s">
        <v>5288</v>
      </c>
      <c r="W6356" s="1" t="str">
        <f>HYPERLINK("http://ictvonline.org/taxonomy/p/taxonomy-history?taxnode_id=201902686","ICTVonline=201902686")</f>
        <v>ICTVonline=201902686</v>
      </c>
    </row>
    <row r="6357" spans="1:23">
      <c r="A6357" s="3">
        <v>6356</v>
      </c>
      <c r="L6357" s="1" t="s">
        <v>1713</v>
      </c>
      <c r="N6357" s="1" t="s">
        <v>1714</v>
      </c>
      <c r="P6357" s="1" t="s">
        <v>8779</v>
      </c>
      <c r="Q6357" s="3">
        <v>0</v>
      </c>
      <c r="R6357" s="22" t="s">
        <v>2721</v>
      </c>
      <c r="S6357" s="42" t="s">
        <v>6914</v>
      </c>
      <c r="T6357" s="3" t="s">
        <v>4869</v>
      </c>
      <c r="U6357" s="45">
        <v>35</v>
      </c>
      <c r="V6357" t="s">
        <v>8775</v>
      </c>
      <c r="W6357" s="1" t="str">
        <f>HYPERLINK("http://ictvonline.org/taxonomy/p/taxonomy-history?taxnode_id=201906528","ICTVonline=201906528")</f>
        <v>ICTVonline=201906528</v>
      </c>
    </row>
    <row r="6358" spans="1:23">
      <c r="A6358" s="3">
        <v>6357</v>
      </c>
      <c r="L6358" s="1" t="s">
        <v>1713</v>
      </c>
      <c r="N6358" s="1" t="s">
        <v>1714</v>
      </c>
      <c r="P6358" s="1" t="s">
        <v>8780</v>
      </c>
      <c r="Q6358" s="3">
        <v>0</v>
      </c>
      <c r="R6358" s="22" t="s">
        <v>2721</v>
      </c>
      <c r="S6358" s="42" t="s">
        <v>6914</v>
      </c>
      <c r="T6358" s="3" t="s">
        <v>4866</v>
      </c>
      <c r="U6358" s="45">
        <v>35</v>
      </c>
      <c r="V6358" t="s">
        <v>8775</v>
      </c>
      <c r="W6358" s="1" t="str">
        <f>HYPERLINK("http://ictvonline.org/taxonomy/p/taxonomy-history?taxnode_id=201908665","ICTVonline=201908665")</f>
        <v>ICTVonline=201908665</v>
      </c>
    </row>
    <row r="6359" spans="1:23">
      <c r="A6359" s="3">
        <v>6358</v>
      </c>
      <c r="L6359" s="1" t="s">
        <v>1713</v>
      </c>
      <c r="N6359" s="1" t="s">
        <v>1714</v>
      </c>
      <c r="P6359" s="1" t="s">
        <v>6817</v>
      </c>
      <c r="Q6359" s="3">
        <v>0</v>
      </c>
      <c r="R6359" s="22" t="s">
        <v>2721</v>
      </c>
      <c r="S6359" s="42" t="s">
        <v>6912</v>
      </c>
      <c r="T6359" s="3" t="s">
        <v>4866</v>
      </c>
      <c r="U6359" s="45">
        <v>34</v>
      </c>
      <c r="V6359" t="s">
        <v>6815</v>
      </c>
      <c r="W6359" s="1" t="str">
        <f>HYPERLINK("http://ictvonline.org/taxonomy/p/taxonomy-history?taxnode_id=201906529","ICTVonline=201906529")</f>
        <v>ICTVonline=201906529</v>
      </c>
    </row>
    <row r="6360" spans="1:23">
      <c r="A6360" s="3">
        <v>6359</v>
      </c>
      <c r="L6360" s="1" t="s">
        <v>1713</v>
      </c>
      <c r="N6360" s="1" t="s">
        <v>1714</v>
      </c>
      <c r="P6360" s="1" t="s">
        <v>4578</v>
      </c>
      <c r="Q6360" s="3">
        <v>0</v>
      </c>
      <c r="R6360" s="22" t="s">
        <v>2721</v>
      </c>
      <c r="S6360" s="42" t="s">
        <v>6912</v>
      </c>
      <c r="T6360" s="3" t="s">
        <v>4866</v>
      </c>
      <c r="U6360" s="45">
        <v>31</v>
      </c>
      <c r="V6360" t="s">
        <v>5290</v>
      </c>
      <c r="W6360" s="1" t="str">
        <f>HYPERLINK("http://ictvonline.org/taxonomy/p/taxonomy-history?taxnode_id=201902687","ICTVonline=201902687")</f>
        <v>ICTVonline=201902687</v>
      </c>
    </row>
    <row r="6361" spans="1:23">
      <c r="A6361" s="3">
        <v>6360</v>
      </c>
      <c r="L6361" s="1" t="s">
        <v>1713</v>
      </c>
      <c r="N6361" s="1" t="s">
        <v>1714</v>
      </c>
      <c r="P6361" s="1" t="s">
        <v>703</v>
      </c>
      <c r="Q6361" s="3">
        <v>0</v>
      </c>
      <c r="R6361" s="22" t="s">
        <v>2721</v>
      </c>
      <c r="S6361" s="42" t="s">
        <v>6912</v>
      </c>
      <c r="T6361" s="3" t="s">
        <v>4868</v>
      </c>
      <c r="U6361" s="45">
        <v>24</v>
      </c>
      <c r="V6361" t="s">
        <v>5286</v>
      </c>
      <c r="W6361" s="1" t="str">
        <f>HYPERLINK("http://ictvonline.org/taxonomy/p/taxonomy-history?taxnode_id=201902688","ICTVonline=201902688")</f>
        <v>ICTVonline=201902688</v>
      </c>
    </row>
    <row r="6362" spans="1:23">
      <c r="A6362" s="3">
        <v>6361</v>
      </c>
      <c r="L6362" s="1" t="s">
        <v>1713</v>
      </c>
      <c r="N6362" s="1" t="s">
        <v>1714</v>
      </c>
      <c r="P6362" s="1" t="s">
        <v>6818</v>
      </c>
      <c r="Q6362" s="3">
        <v>0</v>
      </c>
      <c r="R6362" s="22" t="s">
        <v>2721</v>
      </c>
      <c r="S6362" s="42" t="s">
        <v>6912</v>
      </c>
      <c r="T6362" s="3" t="s">
        <v>4866</v>
      </c>
      <c r="U6362" s="45">
        <v>34</v>
      </c>
      <c r="V6362" t="s">
        <v>6815</v>
      </c>
      <c r="W6362" s="1" t="str">
        <f>HYPERLINK("http://ictvonline.org/taxonomy/p/taxonomy-history?taxnode_id=201906530","ICTVonline=201906530")</f>
        <v>ICTVonline=201906530</v>
      </c>
    </row>
    <row r="6363" spans="1:23">
      <c r="A6363" s="3">
        <v>6362</v>
      </c>
      <c r="L6363" s="1" t="s">
        <v>1713</v>
      </c>
      <c r="N6363" s="1" t="s">
        <v>1714</v>
      </c>
      <c r="P6363" s="1" t="s">
        <v>6819</v>
      </c>
      <c r="Q6363" s="3">
        <v>0</v>
      </c>
      <c r="R6363" s="22" t="s">
        <v>2721</v>
      </c>
      <c r="S6363" s="42" t="s">
        <v>6912</v>
      </c>
      <c r="T6363" s="3" t="s">
        <v>4866</v>
      </c>
      <c r="U6363" s="45">
        <v>34</v>
      </c>
      <c r="V6363" t="s">
        <v>6815</v>
      </c>
      <c r="W6363" s="1" t="str">
        <f>HYPERLINK("http://ictvonline.org/taxonomy/p/taxonomy-history?taxnode_id=201906531","ICTVonline=201906531")</f>
        <v>ICTVonline=201906531</v>
      </c>
    </row>
    <row r="6364" spans="1:23">
      <c r="A6364" s="3">
        <v>6363</v>
      </c>
      <c r="L6364" s="1" t="s">
        <v>1713</v>
      </c>
      <c r="N6364" s="1" t="s">
        <v>1714</v>
      </c>
      <c r="P6364" s="1" t="s">
        <v>6820</v>
      </c>
      <c r="Q6364" s="3">
        <v>0</v>
      </c>
      <c r="R6364" s="22" t="s">
        <v>2721</v>
      </c>
      <c r="S6364" s="42" t="s">
        <v>6912</v>
      </c>
      <c r="T6364" s="3" t="s">
        <v>4866</v>
      </c>
      <c r="U6364" s="45">
        <v>34</v>
      </c>
      <c r="V6364" t="s">
        <v>6815</v>
      </c>
      <c r="W6364" s="1" t="str">
        <f>HYPERLINK("http://ictvonline.org/taxonomy/p/taxonomy-history?taxnode_id=201906532","ICTVonline=201906532")</f>
        <v>ICTVonline=201906532</v>
      </c>
    </row>
    <row r="6365" spans="1:23">
      <c r="A6365" s="3">
        <v>6364</v>
      </c>
      <c r="L6365" s="1" t="s">
        <v>1713</v>
      </c>
      <c r="N6365" s="1" t="s">
        <v>1714</v>
      </c>
      <c r="P6365" s="1" t="s">
        <v>8781</v>
      </c>
      <c r="Q6365" s="3">
        <v>0</v>
      </c>
      <c r="R6365" s="22" t="s">
        <v>2721</v>
      </c>
      <c r="S6365" s="42" t="s">
        <v>6914</v>
      </c>
      <c r="T6365" s="3" t="s">
        <v>4866</v>
      </c>
      <c r="U6365" s="45">
        <v>35</v>
      </c>
      <c r="V6365" t="s">
        <v>8775</v>
      </c>
      <c r="W6365" s="1" t="str">
        <f>HYPERLINK("http://ictvonline.org/taxonomy/p/taxonomy-history?taxnode_id=201908666","ICTVonline=201908666")</f>
        <v>ICTVonline=201908666</v>
      </c>
    </row>
    <row r="6366" spans="1:23">
      <c r="A6366" s="3">
        <v>6365</v>
      </c>
      <c r="L6366" s="1" t="s">
        <v>1713</v>
      </c>
      <c r="N6366" s="1" t="s">
        <v>1714</v>
      </c>
      <c r="P6366" s="1" t="s">
        <v>8782</v>
      </c>
      <c r="Q6366" s="3">
        <v>0</v>
      </c>
      <c r="R6366" s="22" t="s">
        <v>2721</v>
      </c>
      <c r="S6366" s="42" t="s">
        <v>6914</v>
      </c>
      <c r="T6366" s="3" t="s">
        <v>4866</v>
      </c>
      <c r="U6366" s="45">
        <v>35</v>
      </c>
      <c r="V6366" t="s">
        <v>8775</v>
      </c>
      <c r="W6366" s="1" t="str">
        <f>HYPERLINK("http://ictvonline.org/taxonomy/p/taxonomy-history?taxnode_id=201908667","ICTVonline=201908667")</f>
        <v>ICTVonline=201908667</v>
      </c>
    </row>
    <row r="6367" spans="1:23">
      <c r="A6367" s="3">
        <v>6366</v>
      </c>
      <c r="L6367" s="1" t="s">
        <v>1713</v>
      </c>
      <c r="N6367" s="1" t="s">
        <v>1714</v>
      </c>
      <c r="P6367" s="1" t="s">
        <v>704</v>
      </c>
      <c r="Q6367" s="3">
        <v>0</v>
      </c>
      <c r="R6367" s="22" t="s">
        <v>2721</v>
      </c>
      <c r="S6367" s="42" t="s">
        <v>6912</v>
      </c>
      <c r="T6367" s="3" t="s">
        <v>4868</v>
      </c>
      <c r="U6367" s="45">
        <v>24</v>
      </c>
      <c r="V6367" t="s">
        <v>5286</v>
      </c>
      <c r="W6367" s="1" t="str">
        <f>HYPERLINK("http://ictvonline.org/taxonomy/p/taxonomy-history?taxnode_id=201902689","ICTVonline=201902689")</f>
        <v>ICTVonline=201902689</v>
      </c>
    </row>
    <row r="6368" spans="1:23">
      <c r="A6368" s="3">
        <v>6367</v>
      </c>
      <c r="L6368" s="1" t="s">
        <v>1713</v>
      </c>
      <c r="N6368" s="1" t="s">
        <v>1714</v>
      </c>
      <c r="P6368" s="1" t="s">
        <v>803</v>
      </c>
      <c r="Q6368" s="3">
        <v>0</v>
      </c>
      <c r="R6368" s="22" t="s">
        <v>2721</v>
      </c>
      <c r="S6368" s="42" t="s">
        <v>6912</v>
      </c>
      <c r="T6368" s="3" t="s">
        <v>4868</v>
      </c>
      <c r="U6368" s="45">
        <v>24</v>
      </c>
      <c r="V6368" t="s">
        <v>5286</v>
      </c>
      <c r="W6368" s="1" t="str">
        <f>HYPERLINK("http://ictvonline.org/taxonomy/p/taxonomy-history?taxnode_id=201902690","ICTVonline=201902690")</f>
        <v>ICTVonline=201902690</v>
      </c>
    </row>
    <row r="6369" spans="1:23">
      <c r="A6369" s="3">
        <v>6368</v>
      </c>
      <c r="L6369" s="1" t="s">
        <v>1713</v>
      </c>
      <c r="N6369" s="1" t="s">
        <v>1714</v>
      </c>
      <c r="P6369" s="1" t="s">
        <v>804</v>
      </c>
      <c r="Q6369" s="3">
        <v>0</v>
      </c>
      <c r="R6369" s="22" t="s">
        <v>2721</v>
      </c>
      <c r="S6369" s="42" t="s">
        <v>6912</v>
      </c>
      <c r="T6369" s="3" t="s">
        <v>4868</v>
      </c>
      <c r="U6369" s="45">
        <v>24</v>
      </c>
      <c r="V6369" t="s">
        <v>5286</v>
      </c>
      <c r="W6369" s="1" t="str">
        <f>HYPERLINK("http://ictvonline.org/taxonomy/p/taxonomy-history?taxnode_id=201902691","ICTVonline=201902691")</f>
        <v>ICTVonline=201902691</v>
      </c>
    </row>
    <row r="6370" spans="1:23">
      <c r="A6370" s="3">
        <v>6369</v>
      </c>
      <c r="L6370" s="1" t="s">
        <v>1713</v>
      </c>
      <c r="N6370" s="1" t="s">
        <v>1714</v>
      </c>
      <c r="P6370" s="1" t="s">
        <v>805</v>
      </c>
      <c r="Q6370" s="3">
        <v>0</v>
      </c>
      <c r="R6370" s="22" t="s">
        <v>2721</v>
      </c>
      <c r="S6370" s="42" t="s">
        <v>6912</v>
      </c>
      <c r="T6370" s="3" t="s">
        <v>4868</v>
      </c>
      <c r="U6370" s="45">
        <v>24</v>
      </c>
      <c r="V6370" t="s">
        <v>5286</v>
      </c>
      <c r="W6370" s="1" t="str">
        <f>HYPERLINK("http://ictvonline.org/taxonomy/p/taxonomy-history?taxnode_id=201902692","ICTVonline=201902692")</f>
        <v>ICTVonline=201902692</v>
      </c>
    </row>
    <row r="6371" spans="1:23">
      <c r="A6371" s="3">
        <v>6370</v>
      </c>
      <c r="L6371" s="1" t="s">
        <v>1713</v>
      </c>
      <c r="N6371" s="1" t="s">
        <v>1714</v>
      </c>
      <c r="P6371" s="1" t="s">
        <v>3644</v>
      </c>
      <c r="Q6371" s="3">
        <v>0</v>
      </c>
      <c r="R6371" s="22" t="s">
        <v>2721</v>
      </c>
      <c r="S6371" s="42" t="s">
        <v>6912</v>
      </c>
      <c r="T6371" s="3" t="s">
        <v>4866</v>
      </c>
      <c r="U6371" s="45">
        <v>30</v>
      </c>
      <c r="V6371" t="s">
        <v>5293</v>
      </c>
      <c r="W6371" s="1" t="str">
        <f>HYPERLINK("http://ictvonline.org/taxonomy/p/taxonomy-history?taxnode_id=201902693","ICTVonline=201902693")</f>
        <v>ICTVonline=201902693</v>
      </c>
    </row>
    <row r="6372" spans="1:23">
      <c r="A6372" s="3">
        <v>6371</v>
      </c>
      <c r="L6372" s="1" t="s">
        <v>1713</v>
      </c>
      <c r="N6372" s="1" t="s">
        <v>1714</v>
      </c>
      <c r="P6372" s="1" t="s">
        <v>806</v>
      </c>
      <c r="Q6372" s="3">
        <v>0</v>
      </c>
      <c r="R6372" s="22" t="s">
        <v>2721</v>
      </c>
      <c r="S6372" s="42" t="s">
        <v>6912</v>
      </c>
      <c r="T6372" s="3" t="s">
        <v>4868</v>
      </c>
      <c r="U6372" s="45">
        <v>24</v>
      </c>
      <c r="V6372" t="s">
        <v>5286</v>
      </c>
      <c r="W6372" s="1" t="str">
        <f>HYPERLINK("http://ictvonline.org/taxonomy/p/taxonomy-history?taxnode_id=201902694","ICTVonline=201902694")</f>
        <v>ICTVonline=201902694</v>
      </c>
    </row>
    <row r="6373" spans="1:23">
      <c r="A6373" s="3">
        <v>6372</v>
      </c>
      <c r="L6373" s="1" t="s">
        <v>1713</v>
      </c>
      <c r="N6373" s="1" t="s">
        <v>1714</v>
      </c>
      <c r="P6373" s="1" t="s">
        <v>807</v>
      </c>
      <c r="Q6373" s="3">
        <v>0</v>
      </c>
      <c r="R6373" s="22" t="s">
        <v>2721</v>
      </c>
      <c r="S6373" s="42" t="s">
        <v>6912</v>
      </c>
      <c r="T6373" s="3" t="s">
        <v>4868</v>
      </c>
      <c r="U6373" s="45">
        <v>24</v>
      </c>
      <c r="V6373" t="s">
        <v>5286</v>
      </c>
      <c r="W6373" s="1" t="str">
        <f>HYPERLINK("http://ictvonline.org/taxonomy/p/taxonomy-history?taxnode_id=201902695","ICTVonline=201902695")</f>
        <v>ICTVonline=201902695</v>
      </c>
    </row>
    <row r="6374" spans="1:23">
      <c r="A6374" s="3">
        <v>6373</v>
      </c>
      <c r="L6374" s="1" t="s">
        <v>1713</v>
      </c>
      <c r="N6374" s="1" t="s">
        <v>1714</v>
      </c>
      <c r="P6374" s="1" t="s">
        <v>8783</v>
      </c>
      <c r="Q6374" s="3">
        <v>0</v>
      </c>
      <c r="R6374" s="22" t="s">
        <v>2721</v>
      </c>
      <c r="S6374" s="42" t="s">
        <v>6914</v>
      </c>
      <c r="T6374" s="3" t="s">
        <v>4866</v>
      </c>
      <c r="U6374" s="45">
        <v>35</v>
      </c>
      <c r="V6374" t="s">
        <v>8775</v>
      </c>
      <c r="W6374" s="1" t="str">
        <f>HYPERLINK("http://ictvonline.org/taxonomy/p/taxonomy-history?taxnode_id=201908668","ICTVonline=201908668")</f>
        <v>ICTVonline=201908668</v>
      </c>
    </row>
    <row r="6375" spans="1:23">
      <c r="A6375" s="3">
        <v>6374</v>
      </c>
      <c r="L6375" s="1" t="s">
        <v>1713</v>
      </c>
      <c r="N6375" s="1" t="s">
        <v>1714</v>
      </c>
      <c r="P6375" s="1" t="s">
        <v>1155</v>
      </c>
      <c r="Q6375" s="3">
        <v>0</v>
      </c>
      <c r="R6375" s="22" t="s">
        <v>2721</v>
      </c>
      <c r="S6375" s="42" t="s">
        <v>6912</v>
      </c>
      <c r="T6375" s="3" t="s">
        <v>4868</v>
      </c>
      <c r="U6375" s="45">
        <v>24</v>
      </c>
      <c r="V6375" t="s">
        <v>5286</v>
      </c>
      <c r="W6375" s="1" t="str">
        <f>HYPERLINK("http://ictvonline.org/taxonomy/p/taxonomy-history?taxnode_id=201902696","ICTVonline=201902696")</f>
        <v>ICTVonline=201902696</v>
      </c>
    </row>
    <row r="6376" spans="1:23">
      <c r="A6376" s="3">
        <v>6375</v>
      </c>
      <c r="L6376" s="1" t="s">
        <v>1713</v>
      </c>
      <c r="N6376" s="1" t="s">
        <v>1156</v>
      </c>
      <c r="P6376" s="1" t="s">
        <v>1157</v>
      </c>
      <c r="Q6376" s="3">
        <v>0</v>
      </c>
      <c r="R6376" s="22" t="s">
        <v>2721</v>
      </c>
      <c r="S6376" s="42" t="s">
        <v>6912</v>
      </c>
      <c r="T6376" s="3" t="s">
        <v>4868</v>
      </c>
      <c r="U6376" s="45">
        <v>24</v>
      </c>
      <c r="V6376" t="s">
        <v>5294</v>
      </c>
      <c r="W6376" s="1" t="str">
        <f>HYPERLINK("http://ictvonline.org/taxonomy/p/taxonomy-history?taxnode_id=201902698","ICTVonline=201902698")</f>
        <v>ICTVonline=201902698</v>
      </c>
    </row>
    <row r="6377" spans="1:23">
      <c r="A6377" s="3">
        <v>6376</v>
      </c>
      <c r="L6377" s="1" t="s">
        <v>1713</v>
      </c>
      <c r="N6377" s="1" t="s">
        <v>1156</v>
      </c>
      <c r="P6377" s="1" t="s">
        <v>3645</v>
      </c>
      <c r="Q6377" s="3">
        <v>0</v>
      </c>
      <c r="R6377" s="22" t="s">
        <v>2721</v>
      </c>
      <c r="S6377" s="42" t="s">
        <v>6912</v>
      </c>
      <c r="T6377" s="3" t="s">
        <v>4866</v>
      </c>
      <c r="U6377" s="45">
        <v>30</v>
      </c>
      <c r="V6377" t="s">
        <v>5295</v>
      </c>
      <c r="W6377" s="1" t="str">
        <f>HYPERLINK("http://ictvonline.org/taxonomy/p/taxonomy-history?taxnode_id=201902699","ICTVonline=201902699")</f>
        <v>ICTVonline=201902699</v>
      </c>
    </row>
    <row r="6378" spans="1:23">
      <c r="A6378" s="3">
        <v>6377</v>
      </c>
      <c r="L6378" s="1" t="s">
        <v>1713</v>
      </c>
      <c r="N6378" s="1" t="s">
        <v>1156</v>
      </c>
      <c r="P6378" s="1" t="s">
        <v>1158</v>
      </c>
      <c r="Q6378" s="3">
        <v>0</v>
      </c>
      <c r="R6378" s="22" t="s">
        <v>2721</v>
      </c>
      <c r="S6378" s="42" t="s">
        <v>6912</v>
      </c>
      <c r="T6378" s="3" t="s">
        <v>4868</v>
      </c>
      <c r="U6378" s="45">
        <v>24</v>
      </c>
      <c r="V6378" t="s">
        <v>5294</v>
      </c>
      <c r="W6378" s="1" t="str">
        <f>HYPERLINK("http://ictvonline.org/taxonomy/p/taxonomy-history?taxnode_id=201902700","ICTVonline=201902700")</f>
        <v>ICTVonline=201902700</v>
      </c>
    </row>
    <row r="6379" spans="1:23">
      <c r="A6379" s="3">
        <v>6378</v>
      </c>
      <c r="L6379" s="1" t="s">
        <v>1713</v>
      </c>
      <c r="N6379" s="1" t="s">
        <v>1156</v>
      </c>
      <c r="P6379" s="1" t="s">
        <v>1159</v>
      </c>
      <c r="Q6379" s="3">
        <v>0</v>
      </c>
      <c r="R6379" s="22" t="s">
        <v>2721</v>
      </c>
      <c r="S6379" s="42" t="s">
        <v>6912</v>
      </c>
      <c r="T6379" s="3" t="s">
        <v>4868</v>
      </c>
      <c r="U6379" s="45">
        <v>24</v>
      </c>
      <c r="V6379" t="s">
        <v>5294</v>
      </c>
      <c r="W6379" s="1" t="str">
        <f>HYPERLINK("http://ictvonline.org/taxonomy/p/taxonomy-history?taxnode_id=201902701","ICTVonline=201902701")</f>
        <v>ICTVonline=201902701</v>
      </c>
    </row>
    <row r="6380" spans="1:23">
      <c r="A6380" s="3">
        <v>6379</v>
      </c>
      <c r="L6380" s="1" t="s">
        <v>1713</v>
      </c>
      <c r="N6380" s="1" t="s">
        <v>1156</v>
      </c>
      <c r="P6380" s="1" t="s">
        <v>4579</v>
      </c>
      <c r="Q6380" s="3">
        <v>0</v>
      </c>
      <c r="R6380" s="22" t="s">
        <v>2721</v>
      </c>
      <c r="S6380" s="42" t="s">
        <v>6912</v>
      </c>
      <c r="T6380" s="3" t="s">
        <v>4866</v>
      </c>
      <c r="U6380" s="45">
        <v>31</v>
      </c>
      <c r="V6380" t="s">
        <v>5296</v>
      </c>
      <c r="W6380" s="1" t="str">
        <f>HYPERLINK("http://ictvonline.org/taxonomy/p/taxonomy-history?taxnode_id=201902702","ICTVonline=201902702")</f>
        <v>ICTVonline=201902702</v>
      </c>
    </row>
    <row r="6381" spans="1:23">
      <c r="A6381" s="3">
        <v>6380</v>
      </c>
      <c r="L6381" s="1" t="s">
        <v>1713</v>
      </c>
      <c r="N6381" s="1" t="s">
        <v>1156</v>
      </c>
      <c r="P6381" s="1" t="s">
        <v>4580</v>
      </c>
      <c r="Q6381" s="3">
        <v>0</v>
      </c>
      <c r="R6381" s="22" t="s">
        <v>2721</v>
      </c>
      <c r="S6381" s="42" t="s">
        <v>6912</v>
      </c>
      <c r="T6381" s="3" t="s">
        <v>4866</v>
      </c>
      <c r="U6381" s="45">
        <v>31</v>
      </c>
      <c r="V6381" t="s">
        <v>5296</v>
      </c>
      <c r="W6381" s="1" t="str">
        <f>HYPERLINK("http://ictvonline.org/taxonomy/p/taxonomy-history?taxnode_id=201902703","ICTVonline=201902703")</f>
        <v>ICTVonline=201902703</v>
      </c>
    </row>
    <row r="6382" spans="1:23">
      <c r="A6382" s="3">
        <v>6381</v>
      </c>
      <c r="L6382" s="1" t="s">
        <v>1713</v>
      </c>
      <c r="N6382" s="1" t="s">
        <v>1156</v>
      </c>
      <c r="P6382" s="1" t="s">
        <v>4581</v>
      </c>
      <c r="Q6382" s="3">
        <v>0</v>
      </c>
      <c r="R6382" s="22" t="s">
        <v>2721</v>
      </c>
      <c r="S6382" s="42" t="s">
        <v>6912</v>
      </c>
      <c r="T6382" s="3" t="s">
        <v>4866</v>
      </c>
      <c r="U6382" s="45">
        <v>31</v>
      </c>
      <c r="V6382" t="s">
        <v>5296</v>
      </c>
      <c r="W6382" s="1" t="str">
        <f>HYPERLINK("http://ictvonline.org/taxonomy/p/taxonomy-history?taxnode_id=201902704","ICTVonline=201902704")</f>
        <v>ICTVonline=201902704</v>
      </c>
    </row>
    <row r="6383" spans="1:23">
      <c r="A6383" s="3">
        <v>6382</v>
      </c>
      <c r="L6383" s="1" t="s">
        <v>1713</v>
      </c>
      <c r="N6383" s="1" t="s">
        <v>1156</v>
      </c>
      <c r="P6383" s="1" t="s">
        <v>5297</v>
      </c>
      <c r="Q6383" s="3">
        <v>0</v>
      </c>
      <c r="R6383" s="22" t="s">
        <v>2721</v>
      </c>
      <c r="S6383" s="42" t="s">
        <v>6912</v>
      </c>
      <c r="T6383" s="3" t="s">
        <v>4866</v>
      </c>
      <c r="U6383" s="45">
        <v>32</v>
      </c>
      <c r="V6383" t="s">
        <v>5298</v>
      </c>
      <c r="W6383" s="1" t="str">
        <f>HYPERLINK("http://ictvonline.org/taxonomy/p/taxonomy-history?taxnode_id=201905756","ICTVonline=201905756")</f>
        <v>ICTVonline=201905756</v>
      </c>
    </row>
    <row r="6384" spans="1:23">
      <c r="A6384" s="3">
        <v>6383</v>
      </c>
      <c r="L6384" s="1" t="s">
        <v>1713</v>
      </c>
      <c r="N6384" s="1" t="s">
        <v>1156</v>
      </c>
      <c r="P6384" s="1" t="s">
        <v>707</v>
      </c>
      <c r="Q6384" s="3">
        <v>0</v>
      </c>
      <c r="R6384" s="22" t="s">
        <v>2721</v>
      </c>
      <c r="S6384" s="42" t="s">
        <v>6912</v>
      </c>
      <c r="T6384" s="3" t="s">
        <v>4868</v>
      </c>
      <c r="U6384" s="45">
        <v>24</v>
      </c>
      <c r="V6384" t="s">
        <v>5294</v>
      </c>
      <c r="W6384" s="1" t="str">
        <f>HYPERLINK("http://ictvonline.org/taxonomy/p/taxonomy-history?taxnode_id=201902705","ICTVonline=201902705")</f>
        <v>ICTVonline=201902705</v>
      </c>
    </row>
    <row r="6385" spans="1:23">
      <c r="A6385" s="3">
        <v>6384</v>
      </c>
      <c r="L6385" s="1" t="s">
        <v>1713</v>
      </c>
      <c r="N6385" s="1" t="s">
        <v>1156</v>
      </c>
      <c r="P6385" s="1" t="s">
        <v>708</v>
      </c>
      <c r="Q6385" s="3">
        <v>1</v>
      </c>
      <c r="R6385" s="22" t="s">
        <v>2721</v>
      </c>
      <c r="S6385" s="42" t="s">
        <v>6912</v>
      </c>
      <c r="T6385" s="3" t="s">
        <v>4868</v>
      </c>
      <c r="U6385" s="45">
        <v>24</v>
      </c>
      <c r="V6385" t="s">
        <v>5294</v>
      </c>
      <c r="W6385" s="1" t="str">
        <f>HYPERLINK("http://ictvonline.org/taxonomy/p/taxonomy-history?taxnode_id=201902706","ICTVonline=201902706")</f>
        <v>ICTVonline=201902706</v>
      </c>
    </row>
    <row r="6386" spans="1:23">
      <c r="A6386" s="3">
        <v>6385</v>
      </c>
      <c r="L6386" s="1" t="s">
        <v>1713</v>
      </c>
      <c r="N6386" s="1" t="s">
        <v>1156</v>
      </c>
      <c r="P6386" s="1" t="s">
        <v>4582</v>
      </c>
      <c r="Q6386" s="3">
        <v>0</v>
      </c>
      <c r="R6386" s="22" t="s">
        <v>2721</v>
      </c>
      <c r="S6386" s="42" t="s">
        <v>6912</v>
      </c>
      <c r="T6386" s="3" t="s">
        <v>4866</v>
      </c>
      <c r="U6386" s="45">
        <v>31</v>
      </c>
      <c r="V6386" t="s">
        <v>5296</v>
      </c>
      <c r="W6386" s="1" t="str">
        <f>HYPERLINK("http://ictvonline.org/taxonomy/p/taxonomy-history?taxnode_id=201902707","ICTVonline=201902707")</f>
        <v>ICTVonline=201902707</v>
      </c>
    </row>
    <row r="6387" spans="1:23">
      <c r="A6387" s="3">
        <v>6386</v>
      </c>
      <c r="L6387" s="1" t="s">
        <v>1713</v>
      </c>
      <c r="N6387" s="1" t="s">
        <v>1156</v>
      </c>
      <c r="P6387" s="1" t="s">
        <v>4583</v>
      </c>
      <c r="Q6387" s="3">
        <v>0</v>
      </c>
      <c r="R6387" s="22" t="s">
        <v>2721</v>
      </c>
      <c r="S6387" s="42" t="s">
        <v>6912</v>
      </c>
      <c r="T6387" s="3" t="s">
        <v>4866</v>
      </c>
      <c r="U6387" s="45">
        <v>31</v>
      </c>
      <c r="V6387" t="s">
        <v>5296</v>
      </c>
      <c r="W6387" s="1" t="str">
        <f>HYPERLINK("http://ictvonline.org/taxonomy/p/taxonomy-history?taxnode_id=201902708","ICTVonline=201902708")</f>
        <v>ICTVonline=201902708</v>
      </c>
    </row>
    <row r="6388" spans="1:23">
      <c r="A6388" s="3">
        <v>6387</v>
      </c>
      <c r="L6388" s="1" t="s">
        <v>1713</v>
      </c>
      <c r="N6388" s="1" t="s">
        <v>1156</v>
      </c>
      <c r="P6388" s="1" t="s">
        <v>3646</v>
      </c>
      <c r="Q6388" s="3">
        <v>0</v>
      </c>
      <c r="R6388" s="22" t="s">
        <v>2721</v>
      </c>
      <c r="S6388" s="42" t="s">
        <v>6912</v>
      </c>
      <c r="T6388" s="3" t="s">
        <v>4866</v>
      </c>
      <c r="U6388" s="45">
        <v>30</v>
      </c>
      <c r="V6388" t="s">
        <v>5299</v>
      </c>
      <c r="W6388" s="1" t="str">
        <f>HYPERLINK("http://ictvonline.org/taxonomy/p/taxonomy-history?taxnode_id=201902709","ICTVonline=201902709")</f>
        <v>ICTVonline=201902709</v>
      </c>
    </row>
    <row r="6389" spans="1:23">
      <c r="A6389" s="3">
        <v>6388</v>
      </c>
      <c r="L6389" s="1" t="s">
        <v>1713</v>
      </c>
      <c r="N6389" s="1" t="s">
        <v>1156</v>
      </c>
      <c r="P6389" s="1" t="s">
        <v>706</v>
      </c>
      <c r="Q6389" s="3">
        <v>0</v>
      </c>
      <c r="R6389" s="22" t="s">
        <v>2721</v>
      </c>
      <c r="S6389" s="42" t="s">
        <v>6912</v>
      </c>
      <c r="T6389" s="3" t="s">
        <v>4868</v>
      </c>
      <c r="U6389" s="45">
        <v>24</v>
      </c>
      <c r="V6389" t="s">
        <v>5294</v>
      </c>
      <c r="W6389" s="1" t="str">
        <f>HYPERLINK("http://ictvonline.org/taxonomy/p/taxonomy-history?taxnode_id=201902710","ICTVonline=201902710")</f>
        <v>ICTVonline=201902710</v>
      </c>
    </row>
    <row r="6390" spans="1:23">
      <c r="A6390" s="3">
        <v>6389</v>
      </c>
      <c r="L6390" s="1" t="s">
        <v>1713</v>
      </c>
      <c r="N6390" s="1" t="s">
        <v>1156</v>
      </c>
      <c r="P6390" s="1" t="s">
        <v>710</v>
      </c>
      <c r="Q6390" s="3">
        <v>0</v>
      </c>
      <c r="R6390" s="22" t="s">
        <v>2721</v>
      </c>
      <c r="S6390" s="42" t="s">
        <v>6912</v>
      </c>
      <c r="T6390" s="3" t="s">
        <v>4868</v>
      </c>
      <c r="U6390" s="45">
        <v>24</v>
      </c>
      <c r="V6390" t="s">
        <v>5294</v>
      </c>
      <c r="W6390" s="1" t="str">
        <f>HYPERLINK("http://ictvonline.org/taxonomy/p/taxonomy-history?taxnode_id=201902711","ICTVonline=201902711")</f>
        <v>ICTVonline=201902711</v>
      </c>
    </row>
    <row r="6391" spans="1:23">
      <c r="A6391" s="3">
        <v>6390</v>
      </c>
      <c r="L6391" s="1" t="s">
        <v>1713</v>
      </c>
      <c r="N6391" s="1" t="s">
        <v>1156</v>
      </c>
      <c r="P6391" s="1" t="s">
        <v>1744</v>
      </c>
      <c r="Q6391" s="3">
        <v>0</v>
      </c>
      <c r="R6391" s="22" t="s">
        <v>2721</v>
      </c>
      <c r="S6391" s="42" t="s">
        <v>6912</v>
      </c>
      <c r="T6391" s="3" t="s">
        <v>4868</v>
      </c>
      <c r="U6391" s="45">
        <v>24</v>
      </c>
      <c r="V6391" t="s">
        <v>5294</v>
      </c>
      <c r="W6391" s="1" t="str">
        <f>HYPERLINK("http://ictvonline.org/taxonomy/p/taxonomy-history?taxnode_id=201902712","ICTVonline=201902712")</f>
        <v>ICTVonline=201902712</v>
      </c>
    </row>
    <row r="6392" spans="1:23">
      <c r="A6392" s="3">
        <v>6391</v>
      </c>
      <c r="L6392" s="1" t="s">
        <v>1713</v>
      </c>
      <c r="N6392" s="1" t="s">
        <v>1156</v>
      </c>
      <c r="P6392" s="1" t="s">
        <v>6821</v>
      </c>
      <c r="Q6392" s="3">
        <v>0</v>
      </c>
      <c r="R6392" s="22" t="s">
        <v>2721</v>
      </c>
      <c r="S6392" s="42" t="s">
        <v>6912</v>
      </c>
      <c r="T6392" s="3" t="s">
        <v>4866</v>
      </c>
      <c r="U6392" s="45">
        <v>34</v>
      </c>
      <c r="V6392" t="s">
        <v>6815</v>
      </c>
      <c r="W6392" s="1" t="str">
        <f>HYPERLINK("http://ictvonline.org/taxonomy/p/taxonomy-history?taxnode_id=201906533","ICTVonline=201906533")</f>
        <v>ICTVonline=201906533</v>
      </c>
    </row>
    <row r="6393" spans="1:23">
      <c r="A6393" s="3">
        <v>6392</v>
      </c>
      <c r="L6393" s="1" t="s">
        <v>1713</v>
      </c>
      <c r="N6393" s="1" t="s">
        <v>1156</v>
      </c>
      <c r="P6393" s="1" t="s">
        <v>5300</v>
      </c>
      <c r="Q6393" s="3">
        <v>0</v>
      </c>
      <c r="R6393" s="22" t="s">
        <v>2721</v>
      </c>
      <c r="S6393" s="42" t="s">
        <v>6912</v>
      </c>
      <c r="T6393" s="3" t="s">
        <v>4869</v>
      </c>
      <c r="U6393" s="45">
        <v>32</v>
      </c>
      <c r="V6393" t="s">
        <v>5298</v>
      </c>
      <c r="W6393" s="1" t="str">
        <f>HYPERLINK("http://ictvonline.org/taxonomy/p/taxonomy-history?taxnode_id=201902716","ICTVonline=201902716")</f>
        <v>ICTVonline=201902716</v>
      </c>
    </row>
    <row r="6394" spans="1:23">
      <c r="A6394" s="3">
        <v>6393</v>
      </c>
      <c r="L6394" s="1" t="s">
        <v>1713</v>
      </c>
      <c r="N6394" s="1" t="s">
        <v>1156</v>
      </c>
      <c r="P6394" s="1" t="s">
        <v>5301</v>
      </c>
      <c r="Q6394" s="3">
        <v>0</v>
      </c>
      <c r="R6394" s="22" t="s">
        <v>2721</v>
      </c>
      <c r="S6394" s="42" t="s">
        <v>6912</v>
      </c>
      <c r="T6394" s="3" t="s">
        <v>4866</v>
      </c>
      <c r="U6394" s="45">
        <v>32</v>
      </c>
      <c r="V6394" t="s">
        <v>5298</v>
      </c>
      <c r="W6394" s="1" t="str">
        <f>HYPERLINK("http://ictvonline.org/taxonomy/p/taxonomy-history?taxnode_id=201905757","ICTVonline=201905757")</f>
        <v>ICTVonline=201905757</v>
      </c>
    </row>
    <row r="6395" spans="1:23">
      <c r="A6395" s="3">
        <v>6394</v>
      </c>
      <c r="L6395" s="1" t="s">
        <v>1713</v>
      </c>
      <c r="N6395" s="1" t="s">
        <v>1156</v>
      </c>
      <c r="P6395" s="1" t="s">
        <v>1745</v>
      </c>
      <c r="Q6395" s="3">
        <v>0</v>
      </c>
      <c r="R6395" s="22" t="s">
        <v>2721</v>
      </c>
      <c r="S6395" s="42" t="s">
        <v>6912</v>
      </c>
      <c r="T6395" s="3" t="s">
        <v>4868</v>
      </c>
      <c r="U6395" s="45">
        <v>24</v>
      </c>
      <c r="V6395" t="s">
        <v>5294</v>
      </c>
      <c r="W6395" s="1" t="str">
        <f>HYPERLINK("http://ictvonline.org/taxonomy/p/taxonomy-history?taxnode_id=201902713","ICTVonline=201902713")</f>
        <v>ICTVonline=201902713</v>
      </c>
    </row>
    <row r="6396" spans="1:23">
      <c r="A6396" s="3">
        <v>6395</v>
      </c>
      <c r="L6396" s="1" t="s">
        <v>1713</v>
      </c>
      <c r="N6396" s="1" t="s">
        <v>1156</v>
      </c>
      <c r="P6396" s="1" t="s">
        <v>623</v>
      </c>
      <c r="Q6396" s="3">
        <v>0</v>
      </c>
      <c r="R6396" s="22" t="s">
        <v>2721</v>
      </c>
      <c r="S6396" s="42" t="s">
        <v>6912</v>
      </c>
      <c r="T6396" s="3" t="s">
        <v>4868</v>
      </c>
      <c r="U6396" s="45">
        <v>24</v>
      </c>
      <c r="V6396" t="s">
        <v>5294</v>
      </c>
      <c r="W6396" s="1" t="str">
        <f>HYPERLINK("http://ictvonline.org/taxonomy/p/taxonomy-history?taxnode_id=201902714","ICTVonline=201902714")</f>
        <v>ICTVonline=201902714</v>
      </c>
    </row>
    <row r="6397" spans="1:23">
      <c r="A6397" s="3">
        <v>6396</v>
      </c>
      <c r="L6397" s="1" t="s">
        <v>1713</v>
      </c>
      <c r="N6397" s="1" t="s">
        <v>1156</v>
      </c>
      <c r="P6397" s="1" t="s">
        <v>624</v>
      </c>
      <c r="Q6397" s="3">
        <v>0</v>
      </c>
      <c r="R6397" s="22" t="s">
        <v>2721</v>
      </c>
      <c r="S6397" s="42" t="s">
        <v>6912</v>
      </c>
      <c r="T6397" s="3" t="s">
        <v>4868</v>
      </c>
      <c r="U6397" s="45">
        <v>24</v>
      </c>
      <c r="V6397" t="s">
        <v>5294</v>
      </c>
      <c r="W6397" s="1" t="str">
        <f>HYPERLINK("http://ictvonline.org/taxonomy/p/taxonomy-history?taxnode_id=201902715","ICTVonline=201902715")</f>
        <v>ICTVonline=201902715</v>
      </c>
    </row>
    <row r="6398" spans="1:23">
      <c r="A6398" s="3">
        <v>6397</v>
      </c>
      <c r="L6398" s="1" t="s">
        <v>1713</v>
      </c>
      <c r="N6398" s="1" t="s">
        <v>1156</v>
      </c>
      <c r="P6398" s="1" t="s">
        <v>3647</v>
      </c>
      <c r="Q6398" s="3">
        <v>0</v>
      </c>
      <c r="R6398" s="22" t="s">
        <v>2721</v>
      </c>
      <c r="S6398" s="42" t="s">
        <v>6912</v>
      </c>
      <c r="T6398" s="3" t="s">
        <v>4866</v>
      </c>
      <c r="U6398" s="45">
        <v>30</v>
      </c>
      <c r="V6398" t="s">
        <v>5302</v>
      </c>
      <c r="W6398" s="1" t="str">
        <f>HYPERLINK("http://ictvonline.org/taxonomy/p/taxonomy-history?taxnode_id=201902717","ICTVonline=201902717")</f>
        <v>ICTVonline=201902717</v>
      </c>
    </row>
    <row r="6399" spans="1:23">
      <c r="A6399" s="3">
        <v>6398</v>
      </c>
      <c r="L6399" s="1" t="s">
        <v>1713</v>
      </c>
      <c r="N6399" s="1" t="s">
        <v>1156</v>
      </c>
      <c r="P6399" s="1" t="s">
        <v>4584</v>
      </c>
      <c r="Q6399" s="3">
        <v>0</v>
      </c>
      <c r="R6399" s="22" t="s">
        <v>2721</v>
      </c>
      <c r="S6399" s="42" t="s">
        <v>6912</v>
      </c>
      <c r="T6399" s="3" t="s">
        <v>4866</v>
      </c>
      <c r="U6399" s="45">
        <v>31</v>
      </c>
      <c r="V6399" t="s">
        <v>5296</v>
      </c>
      <c r="W6399" s="1" t="str">
        <f>HYPERLINK("http://ictvonline.org/taxonomy/p/taxonomy-history?taxnode_id=201902718","ICTVonline=201902718")</f>
        <v>ICTVonline=201902718</v>
      </c>
    </row>
    <row r="6400" spans="1:23">
      <c r="A6400" s="3">
        <v>6399</v>
      </c>
      <c r="L6400" s="1" t="s">
        <v>1713</v>
      </c>
      <c r="N6400" s="1" t="s">
        <v>1156</v>
      </c>
      <c r="P6400" s="1" t="s">
        <v>1748</v>
      </c>
      <c r="Q6400" s="3">
        <v>0</v>
      </c>
      <c r="R6400" s="22" t="s">
        <v>2721</v>
      </c>
      <c r="S6400" s="42" t="s">
        <v>6912</v>
      </c>
      <c r="T6400" s="3" t="s">
        <v>4868</v>
      </c>
      <c r="U6400" s="45">
        <v>24</v>
      </c>
      <c r="V6400" t="s">
        <v>5294</v>
      </c>
      <c r="W6400" s="1" t="str">
        <f>HYPERLINK("http://ictvonline.org/taxonomy/p/taxonomy-history?taxnode_id=201902719","ICTVonline=201902719")</f>
        <v>ICTVonline=201902719</v>
      </c>
    </row>
    <row r="6401" spans="1:23">
      <c r="A6401" s="3">
        <v>6400</v>
      </c>
      <c r="L6401" s="1" t="s">
        <v>1713</v>
      </c>
      <c r="N6401" s="1" t="s">
        <v>1156</v>
      </c>
      <c r="P6401" s="1" t="s">
        <v>1749</v>
      </c>
      <c r="Q6401" s="3">
        <v>0</v>
      </c>
      <c r="R6401" s="22" t="s">
        <v>2721</v>
      </c>
      <c r="S6401" s="42" t="s">
        <v>6912</v>
      </c>
      <c r="T6401" s="3" t="s">
        <v>4868</v>
      </c>
      <c r="U6401" s="45">
        <v>24</v>
      </c>
      <c r="V6401" t="s">
        <v>5294</v>
      </c>
      <c r="W6401" s="1" t="str">
        <f>HYPERLINK("http://ictvonline.org/taxonomy/p/taxonomy-history?taxnode_id=201902720","ICTVonline=201902720")</f>
        <v>ICTVonline=201902720</v>
      </c>
    </row>
    <row r="6402" spans="1:23">
      <c r="A6402" s="3">
        <v>6401</v>
      </c>
      <c r="L6402" s="1" t="s">
        <v>1713</v>
      </c>
      <c r="N6402" s="1" t="s">
        <v>1750</v>
      </c>
      <c r="P6402" s="1" t="s">
        <v>628</v>
      </c>
      <c r="Q6402" s="3">
        <v>1</v>
      </c>
      <c r="R6402" s="22" t="s">
        <v>2721</v>
      </c>
      <c r="S6402" s="42" t="s">
        <v>6912</v>
      </c>
      <c r="T6402" s="3" t="s">
        <v>4871</v>
      </c>
      <c r="U6402" s="45">
        <v>24</v>
      </c>
      <c r="V6402" t="s">
        <v>5303</v>
      </c>
      <c r="W6402" s="1" t="str">
        <f>HYPERLINK("http://ictvonline.org/taxonomy/p/taxonomy-history?taxnode_id=201902722","ICTVonline=201902722")</f>
        <v>ICTVonline=201902722</v>
      </c>
    </row>
    <row r="6403" spans="1:23">
      <c r="A6403" s="3">
        <v>6402</v>
      </c>
      <c r="L6403" s="1" t="s">
        <v>1713</v>
      </c>
      <c r="N6403" s="1" t="s">
        <v>629</v>
      </c>
      <c r="P6403" s="1" t="s">
        <v>630</v>
      </c>
      <c r="Q6403" s="3">
        <v>1</v>
      </c>
      <c r="R6403" s="22" t="s">
        <v>2721</v>
      </c>
      <c r="S6403" s="42" t="s">
        <v>6912</v>
      </c>
      <c r="T6403" s="3" t="s">
        <v>4872</v>
      </c>
      <c r="U6403" s="45">
        <v>24</v>
      </c>
      <c r="V6403" t="s">
        <v>5304</v>
      </c>
      <c r="W6403" s="1" t="str">
        <f>HYPERLINK("http://ictvonline.org/taxonomy/p/taxonomy-history?taxnode_id=201902724","ICTVonline=201902724")</f>
        <v>ICTVonline=201902724</v>
      </c>
    </row>
    <row r="6404" spans="1:23">
      <c r="A6404" s="3">
        <v>6403</v>
      </c>
      <c r="L6404" s="1" t="s">
        <v>1713</v>
      </c>
      <c r="N6404" s="1" t="s">
        <v>629</v>
      </c>
      <c r="P6404" s="1" t="s">
        <v>1753</v>
      </c>
      <c r="Q6404" s="3">
        <v>0</v>
      </c>
      <c r="R6404" s="22" t="s">
        <v>2721</v>
      </c>
      <c r="S6404" s="42" t="s">
        <v>6912</v>
      </c>
      <c r="T6404" s="3" t="s">
        <v>4868</v>
      </c>
      <c r="U6404" s="45">
        <v>24</v>
      </c>
      <c r="V6404" t="s">
        <v>5304</v>
      </c>
      <c r="W6404" s="1" t="str">
        <f>HYPERLINK("http://ictvonline.org/taxonomy/p/taxonomy-history?taxnode_id=201902725","ICTVonline=201902725")</f>
        <v>ICTVonline=201902725</v>
      </c>
    </row>
    <row r="6405" spans="1:23">
      <c r="A6405" s="3">
        <v>6404</v>
      </c>
      <c r="L6405" s="1" t="s">
        <v>647</v>
      </c>
      <c r="N6405" s="1" t="s">
        <v>648</v>
      </c>
      <c r="P6405" s="1" t="s">
        <v>649</v>
      </c>
      <c r="Q6405" s="3">
        <v>1</v>
      </c>
      <c r="R6405" s="22" t="s">
        <v>2721</v>
      </c>
      <c r="S6405" s="42" t="s">
        <v>6912</v>
      </c>
      <c r="T6405" s="3" t="s">
        <v>4870</v>
      </c>
      <c r="U6405" s="45">
        <v>25</v>
      </c>
      <c r="V6405" t="s">
        <v>5305</v>
      </c>
      <c r="W6405" s="1" t="str">
        <f>HYPERLINK("http://ictvonline.org/taxonomy/p/taxonomy-history?taxnode_id=201902740","ICTVonline=201902740")</f>
        <v>ICTVonline=201902740</v>
      </c>
    </row>
    <row r="6406" spans="1:23">
      <c r="A6406" s="3">
        <v>6405</v>
      </c>
      <c r="L6406" s="1" t="s">
        <v>89</v>
      </c>
      <c r="N6406" s="1" t="s">
        <v>90</v>
      </c>
      <c r="P6406" s="1" t="s">
        <v>91</v>
      </c>
      <c r="Q6406" s="3">
        <v>1</v>
      </c>
      <c r="R6406" s="22" t="s">
        <v>2721</v>
      </c>
      <c r="S6406" s="42" t="s">
        <v>6912</v>
      </c>
      <c r="T6406" s="3" t="s">
        <v>4870</v>
      </c>
      <c r="U6406" s="45">
        <v>26</v>
      </c>
      <c r="V6406" t="s">
        <v>5315</v>
      </c>
      <c r="W6406" s="1" t="str">
        <f>HYPERLINK("http://ictvonline.org/taxonomy/p/taxonomy-history?taxnode_id=201902977","ICTVonline=201902977")</f>
        <v>ICTVonline=201902977</v>
      </c>
    </row>
    <row r="6407" spans="1:23">
      <c r="A6407" s="3">
        <v>6406</v>
      </c>
      <c r="L6407" s="1" t="s">
        <v>8784</v>
      </c>
      <c r="N6407" s="1" t="s">
        <v>8785</v>
      </c>
      <c r="P6407" s="1" t="s">
        <v>8786</v>
      </c>
      <c r="Q6407" s="3">
        <v>1</v>
      </c>
      <c r="R6407" s="22" t="s">
        <v>2724</v>
      </c>
      <c r="S6407" s="42" t="s">
        <v>6914</v>
      </c>
      <c r="T6407" s="3" t="s">
        <v>4866</v>
      </c>
      <c r="U6407" s="45">
        <v>35</v>
      </c>
      <c r="V6407" t="s">
        <v>8787</v>
      </c>
      <c r="W6407" s="1" t="str">
        <f>HYPERLINK("http://ictvonline.org/taxonomy/p/taxonomy-history?taxnode_id=201907848","ICTVonline=201907848")</f>
        <v>ICTVonline=201907848</v>
      </c>
    </row>
    <row r="6408" spans="1:23">
      <c r="A6408" s="3">
        <v>6407</v>
      </c>
      <c r="L6408" s="1" t="s">
        <v>2076</v>
      </c>
      <c r="N6408" s="1" t="s">
        <v>2219</v>
      </c>
      <c r="P6408" s="1" t="s">
        <v>2077</v>
      </c>
      <c r="Q6408" s="3">
        <v>1</v>
      </c>
      <c r="R6408" s="22" t="s">
        <v>2721</v>
      </c>
      <c r="S6408" s="42" t="s">
        <v>6912</v>
      </c>
      <c r="T6408" s="3" t="s">
        <v>4868</v>
      </c>
      <c r="U6408" s="45">
        <v>27</v>
      </c>
      <c r="V6408" t="s">
        <v>5337</v>
      </c>
      <c r="W6408" s="1" t="str">
        <f>HYPERLINK("http://ictvonline.org/taxonomy/p/taxonomy-history?taxnode_id=201903159","ICTVonline=201903159")</f>
        <v>ICTVonline=201903159</v>
      </c>
    </row>
    <row r="6409" spans="1:23">
      <c r="A6409" s="3">
        <v>6408</v>
      </c>
      <c r="L6409" s="1" t="s">
        <v>2076</v>
      </c>
      <c r="N6409" s="1" t="s">
        <v>2219</v>
      </c>
      <c r="P6409" s="1" t="s">
        <v>2220</v>
      </c>
      <c r="Q6409" s="3">
        <v>0</v>
      </c>
      <c r="R6409" s="22" t="s">
        <v>2721</v>
      </c>
      <c r="S6409" s="42" t="s">
        <v>6912</v>
      </c>
      <c r="T6409" s="3" t="s">
        <v>4866</v>
      </c>
      <c r="U6409" s="45">
        <v>27</v>
      </c>
      <c r="V6409" t="s">
        <v>5337</v>
      </c>
      <c r="W6409" s="1" t="str">
        <f>HYPERLINK("http://ictvonline.org/taxonomy/p/taxonomy-history?taxnode_id=201903160","ICTVonline=201903160")</f>
        <v>ICTVonline=201903160</v>
      </c>
    </row>
    <row r="6410" spans="1:23">
      <c r="A6410" s="3">
        <v>6409</v>
      </c>
      <c r="L6410" s="1" t="s">
        <v>2076</v>
      </c>
      <c r="N6410" s="1" t="s">
        <v>2219</v>
      </c>
      <c r="P6410" s="1" t="s">
        <v>2221</v>
      </c>
      <c r="Q6410" s="3">
        <v>0</v>
      </c>
      <c r="R6410" s="22" t="s">
        <v>2721</v>
      </c>
      <c r="S6410" s="42" t="s">
        <v>6912</v>
      </c>
      <c r="T6410" s="3" t="s">
        <v>4866</v>
      </c>
      <c r="U6410" s="45">
        <v>27</v>
      </c>
      <c r="V6410" t="s">
        <v>5337</v>
      </c>
      <c r="W6410" s="1" t="str">
        <f>HYPERLINK("http://ictvonline.org/taxonomy/p/taxonomy-history?taxnode_id=201903161","ICTVonline=201903161")</f>
        <v>ICTVonline=201903161</v>
      </c>
    </row>
    <row r="6411" spans="1:23">
      <c r="A6411" s="3">
        <v>6410</v>
      </c>
      <c r="L6411" s="1" t="s">
        <v>2076</v>
      </c>
      <c r="N6411" s="1" t="s">
        <v>2219</v>
      </c>
      <c r="P6411" s="1" t="s">
        <v>2222</v>
      </c>
      <c r="Q6411" s="3">
        <v>0</v>
      </c>
      <c r="R6411" s="22" t="s">
        <v>2721</v>
      </c>
      <c r="S6411" s="42" t="s">
        <v>6912</v>
      </c>
      <c r="T6411" s="3" t="s">
        <v>4866</v>
      </c>
      <c r="U6411" s="45">
        <v>27</v>
      </c>
      <c r="V6411" t="s">
        <v>5337</v>
      </c>
      <c r="W6411" s="1" t="str">
        <f>HYPERLINK("http://ictvonline.org/taxonomy/p/taxonomy-history?taxnode_id=201903162","ICTVonline=201903162")</f>
        <v>ICTVonline=201903162</v>
      </c>
    </row>
    <row r="6412" spans="1:23">
      <c r="A6412" s="3">
        <v>6411</v>
      </c>
      <c r="L6412" s="1" t="s">
        <v>2076</v>
      </c>
      <c r="N6412" s="1" t="s">
        <v>2219</v>
      </c>
      <c r="P6412" s="1" t="s">
        <v>2223</v>
      </c>
      <c r="Q6412" s="3">
        <v>0</v>
      </c>
      <c r="R6412" s="22" t="s">
        <v>2721</v>
      </c>
      <c r="S6412" s="42" t="s">
        <v>6912</v>
      </c>
      <c r="T6412" s="3" t="s">
        <v>4866</v>
      </c>
      <c r="U6412" s="45">
        <v>27</v>
      </c>
      <c r="V6412" t="s">
        <v>5337</v>
      </c>
      <c r="W6412" s="1" t="str">
        <f>HYPERLINK("http://ictvonline.org/taxonomy/p/taxonomy-history?taxnode_id=201903163","ICTVonline=201903163")</f>
        <v>ICTVonline=201903163</v>
      </c>
    </row>
    <row r="6413" spans="1:23">
      <c r="A6413" s="3">
        <v>6412</v>
      </c>
      <c r="L6413" s="1" t="s">
        <v>2076</v>
      </c>
      <c r="N6413" s="1" t="s">
        <v>2219</v>
      </c>
      <c r="P6413" s="1" t="s">
        <v>2224</v>
      </c>
      <c r="Q6413" s="3">
        <v>0</v>
      </c>
      <c r="R6413" s="22" t="s">
        <v>2721</v>
      </c>
      <c r="S6413" s="42" t="s">
        <v>6912</v>
      </c>
      <c r="T6413" s="3" t="s">
        <v>4866</v>
      </c>
      <c r="U6413" s="45">
        <v>27</v>
      </c>
      <c r="V6413" t="s">
        <v>5337</v>
      </c>
      <c r="W6413" s="1" t="str">
        <f>HYPERLINK("http://ictvonline.org/taxonomy/p/taxonomy-history?taxnode_id=201903164","ICTVonline=201903164")</f>
        <v>ICTVonline=201903164</v>
      </c>
    </row>
    <row r="6414" spans="1:23">
      <c r="A6414" s="3">
        <v>6413</v>
      </c>
      <c r="L6414" s="1" t="s">
        <v>2076</v>
      </c>
      <c r="N6414" s="1" t="s">
        <v>2219</v>
      </c>
      <c r="P6414" s="1" t="s">
        <v>2225</v>
      </c>
      <c r="Q6414" s="3">
        <v>0</v>
      </c>
      <c r="R6414" s="22" t="s">
        <v>2721</v>
      </c>
      <c r="S6414" s="42" t="s">
        <v>6912</v>
      </c>
      <c r="T6414" s="3" t="s">
        <v>4866</v>
      </c>
      <c r="U6414" s="45">
        <v>27</v>
      </c>
      <c r="V6414" t="s">
        <v>5337</v>
      </c>
      <c r="W6414" s="1" t="str">
        <f>HYPERLINK("http://ictvonline.org/taxonomy/p/taxonomy-history?taxnode_id=201903165","ICTVonline=201903165")</f>
        <v>ICTVonline=201903165</v>
      </c>
    </row>
    <row r="6415" spans="1:23">
      <c r="A6415" s="3">
        <v>6414</v>
      </c>
      <c r="L6415" s="1" t="s">
        <v>2076</v>
      </c>
      <c r="N6415" s="1" t="s">
        <v>2226</v>
      </c>
      <c r="P6415" s="1" t="s">
        <v>2227</v>
      </c>
      <c r="Q6415" s="3">
        <v>0</v>
      </c>
      <c r="R6415" s="22" t="s">
        <v>2721</v>
      </c>
      <c r="S6415" s="42" t="s">
        <v>6912</v>
      </c>
      <c r="T6415" s="3" t="s">
        <v>4866</v>
      </c>
      <c r="U6415" s="45">
        <v>27</v>
      </c>
      <c r="V6415" t="s">
        <v>5337</v>
      </c>
      <c r="W6415" s="1" t="str">
        <f>HYPERLINK("http://ictvonline.org/taxonomy/p/taxonomy-history?taxnode_id=201903167","ICTVonline=201903167")</f>
        <v>ICTVonline=201903167</v>
      </c>
    </row>
    <row r="6416" spans="1:23">
      <c r="A6416" s="3">
        <v>6415</v>
      </c>
      <c r="L6416" s="1" t="s">
        <v>2076</v>
      </c>
      <c r="N6416" s="1" t="s">
        <v>2226</v>
      </c>
      <c r="P6416" s="1" t="s">
        <v>2228</v>
      </c>
      <c r="Q6416" s="3">
        <v>1</v>
      </c>
      <c r="R6416" s="22" t="s">
        <v>2721</v>
      </c>
      <c r="S6416" s="42" t="s">
        <v>6912</v>
      </c>
      <c r="T6416" s="3" t="s">
        <v>4870</v>
      </c>
      <c r="U6416" s="45">
        <v>27</v>
      </c>
      <c r="V6416" t="s">
        <v>5337</v>
      </c>
      <c r="W6416" s="1" t="str">
        <f>HYPERLINK("http://ictvonline.org/taxonomy/p/taxonomy-history?taxnode_id=201903168","ICTVonline=201903168")</f>
        <v>ICTVonline=201903168</v>
      </c>
    </row>
    <row r="6417" spans="1:23">
      <c r="A6417" s="3">
        <v>6416</v>
      </c>
      <c r="L6417" s="1" t="s">
        <v>378</v>
      </c>
      <c r="N6417" s="1" t="s">
        <v>379</v>
      </c>
      <c r="P6417" s="1" t="s">
        <v>380</v>
      </c>
      <c r="Q6417" s="3">
        <v>1</v>
      </c>
      <c r="R6417" s="22" t="s">
        <v>2721</v>
      </c>
      <c r="S6417" s="42" t="s">
        <v>6912</v>
      </c>
      <c r="T6417" s="3" t="s">
        <v>4870</v>
      </c>
      <c r="U6417" s="45">
        <v>24</v>
      </c>
      <c r="V6417" t="s">
        <v>5413</v>
      </c>
      <c r="W6417" s="1" t="str">
        <f>HYPERLINK("http://ictvonline.org/taxonomy/p/taxonomy-history?taxnode_id=201903637","ICTVonline=201903637")</f>
        <v>ICTVonline=201903637</v>
      </c>
    </row>
    <row r="6418" spans="1:23">
      <c r="A6418" s="3">
        <v>6417</v>
      </c>
      <c r="L6418" s="1" t="s">
        <v>378</v>
      </c>
      <c r="N6418" s="1" t="s">
        <v>379</v>
      </c>
      <c r="P6418" s="1" t="s">
        <v>671</v>
      </c>
      <c r="Q6418" s="3">
        <v>0</v>
      </c>
      <c r="R6418" s="22" t="s">
        <v>2721</v>
      </c>
      <c r="S6418" s="42" t="s">
        <v>6912</v>
      </c>
      <c r="T6418" s="3" t="s">
        <v>4866</v>
      </c>
      <c r="U6418" s="45">
        <v>24</v>
      </c>
      <c r="V6418" t="s">
        <v>5414</v>
      </c>
      <c r="W6418" s="1" t="str">
        <f>HYPERLINK("http://ictvonline.org/taxonomy/p/taxonomy-history?taxnode_id=201903638","ICTVonline=201903638")</f>
        <v>ICTVonline=201903638</v>
      </c>
    </row>
    <row r="6419" spans="1:23">
      <c r="A6419" s="3">
        <v>6418</v>
      </c>
      <c r="L6419" s="1" t="s">
        <v>1450</v>
      </c>
      <c r="N6419" s="1" t="s">
        <v>2251</v>
      </c>
      <c r="P6419" s="1" t="s">
        <v>244</v>
      </c>
      <c r="Q6419" s="3">
        <v>1</v>
      </c>
      <c r="R6419" s="22" t="s">
        <v>2721</v>
      </c>
      <c r="S6419" s="42" t="s">
        <v>6912</v>
      </c>
      <c r="T6419" s="3" t="s">
        <v>4868</v>
      </c>
      <c r="U6419" s="45">
        <v>27</v>
      </c>
      <c r="V6419" t="s">
        <v>5415</v>
      </c>
      <c r="W6419" s="1" t="str">
        <f>HYPERLINK("http://ictvonline.org/taxonomy/p/taxonomy-history?taxnode_id=201903642","ICTVonline=201903642")</f>
        <v>ICTVonline=201903642</v>
      </c>
    </row>
    <row r="6420" spans="1:23">
      <c r="A6420" s="3">
        <v>6419</v>
      </c>
      <c r="L6420" s="1" t="s">
        <v>1450</v>
      </c>
      <c r="N6420" s="1" t="s">
        <v>2252</v>
      </c>
      <c r="P6420" s="1" t="s">
        <v>2253</v>
      </c>
      <c r="Q6420" s="3">
        <v>1</v>
      </c>
      <c r="R6420" s="22" t="s">
        <v>2721</v>
      </c>
      <c r="S6420" s="42" t="s">
        <v>6912</v>
      </c>
      <c r="T6420" s="3" t="s">
        <v>4870</v>
      </c>
      <c r="U6420" s="45">
        <v>27</v>
      </c>
      <c r="V6420" t="s">
        <v>5415</v>
      </c>
      <c r="W6420" s="1" t="str">
        <f>HYPERLINK("http://ictvonline.org/taxonomy/p/taxonomy-history?taxnode_id=201903644","ICTVonline=201903644")</f>
        <v>ICTVonline=201903644</v>
      </c>
    </row>
    <row r="6421" spans="1:23">
      <c r="A6421" s="3">
        <v>6420</v>
      </c>
      <c r="L6421" s="1" t="s">
        <v>8788</v>
      </c>
      <c r="N6421" s="1" t="s">
        <v>1001</v>
      </c>
      <c r="P6421" s="1" t="s">
        <v>8789</v>
      </c>
      <c r="Q6421" s="3">
        <v>1</v>
      </c>
      <c r="R6421" s="22" t="s">
        <v>2721</v>
      </c>
      <c r="S6421" s="42" t="s">
        <v>6914</v>
      </c>
      <c r="T6421" s="3" t="s">
        <v>4867</v>
      </c>
      <c r="U6421" s="45">
        <v>35</v>
      </c>
      <c r="V6421" t="s">
        <v>8790</v>
      </c>
      <c r="W6421" s="1" t="str">
        <f>HYPERLINK("http://ictvonline.org/taxonomy/p/taxonomy-history?taxnode_id=201905366","ICTVonline=201905366")</f>
        <v>ICTVonline=201905366</v>
      </c>
    </row>
    <row r="6422" spans="1:23">
      <c r="A6422" s="3">
        <v>6421</v>
      </c>
      <c r="L6422" s="1" t="s">
        <v>96</v>
      </c>
      <c r="N6422" s="1" t="s">
        <v>97</v>
      </c>
      <c r="P6422" s="1" t="s">
        <v>8791</v>
      </c>
      <c r="Q6422" s="3">
        <v>1</v>
      </c>
      <c r="R6422" s="22" t="s">
        <v>2721</v>
      </c>
      <c r="S6422" s="42" t="s">
        <v>6914</v>
      </c>
      <c r="T6422" s="3" t="s">
        <v>4869</v>
      </c>
      <c r="U6422" s="45">
        <v>35</v>
      </c>
      <c r="V6422" t="s">
        <v>8792</v>
      </c>
      <c r="W6422" s="1" t="str">
        <f>HYPERLINK("http://ictvonline.org/taxonomy/p/taxonomy-history?taxnode_id=201903681","ICTVonline=201903681")</f>
        <v>ICTVonline=201903681</v>
      </c>
    </row>
    <row r="6423" spans="1:23">
      <c r="A6423" s="3">
        <v>6422</v>
      </c>
      <c r="L6423" s="1" t="s">
        <v>96</v>
      </c>
      <c r="N6423" s="1" t="s">
        <v>98</v>
      </c>
      <c r="P6423" s="1" t="s">
        <v>8793</v>
      </c>
      <c r="Q6423" s="3">
        <v>1</v>
      </c>
      <c r="R6423" s="22" t="s">
        <v>2721</v>
      </c>
      <c r="S6423" s="42" t="s">
        <v>6914</v>
      </c>
      <c r="T6423" s="3" t="s">
        <v>4869</v>
      </c>
      <c r="U6423" s="45">
        <v>35</v>
      </c>
      <c r="V6423" t="s">
        <v>8792</v>
      </c>
      <c r="W6423" s="1" t="str">
        <f>HYPERLINK("http://ictvonline.org/taxonomy/p/taxonomy-history?taxnode_id=201903683","ICTVonline=201903683")</f>
        <v>ICTVonline=201903683</v>
      </c>
    </row>
    <row r="6424" spans="1:23">
      <c r="A6424" s="3">
        <v>6423</v>
      </c>
      <c r="L6424" s="1" t="s">
        <v>1085</v>
      </c>
      <c r="N6424" s="1" t="s">
        <v>1086</v>
      </c>
      <c r="P6424" s="1" t="s">
        <v>1087</v>
      </c>
      <c r="Q6424" s="3">
        <v>1</v>
      </c>
      <c r="R6424" s="22" t="s">
        <v>2721</v>
      </c>
      <c r="S6424" s="42" t="s">
        <v>6912</v>
      </c>
      <c r="T6424" s="3" t="s">
        <v>4869</v>
      </c>
      <c r="U6424" s="45">
        <v>24</v>
      </c>
      <c r="V6424" t="s">
        <v>5431</v>
      </c>
      <c r="W6424" s="1" t="str">
        <f>HYPERLINK("http://ictvonline.org/taxonomy/p/taxonomy-history?taxnode_id=201903922","ICTVonline=201903922")</f>
        <v>ICTVonline=201903922</v>
      </c>
    </row>
    <row r="6425" spans="1:23">
      <c r="A6425" s="3">
        <v>6424</v>
      </c>
      <c r="L6425" s="1" t="s">
        <v>2464</v>
      </c>
      <c r="N6425" s="1" t="s">
        <v>2465</v>
      </c>
      <c r="P6425" s="1" t="s">
        <v>2466</v>
      </c>
      <c r="Q6425" s="3">
        <v>0</v>
      </c>
      <c r="R6425" s="22" t="s">
        <v>2721</v>
      </c>
      <c r="S6425" s="42" t="s">
        <v>6912</v>
      </c>
      <c r="T6425" s="3" t="s">
        <v>4866</v>
      </c>
      <c r="U6425" s="45">
        <v>28</v>
      </c>
      <c r="V6425" t="s">
        <v>5432</v>
      </c>
      <c r="W6425" s="1" t="str">
        <f>HYPERLINK("http://ictvonline.org/taxonomy/p/taxonomy-history?taxnode_id=201903939","ICTVonline=201903939")</f>
        <v>ICTVonline=201903939</v>
      </c>
    </row>
    <row r="6426" spans="1:23">
      <c r="A6426" s="3">
        <v>6425</v>
      </c>
      <c r="L6426" s="1" t="s">
        <v>2464</v>
      </c>
      <c r="N6426" s="1" t="s">
        <v>2465</v>
      </c>
      <c r="P6426" s="1" t="s">
        <v>2467</v>
      </c>
      <c r="Q6426" s="3">
        <v>1</v>
      </c>
      <c r="R6426" s="22" t="s">
        <v>2721</v>
      </c>
      <c r="S6426" s="42" t="s">
        <v>6912</v>
      </c>
      <c r="T6426" s="3" t="s">
        <v>4866</v>
      </c>
      <c r="U6426" s="45">
        <v>28</v>
      </c>
      <c r="V6426" t="s">
        <v>5432</v>
      </c>
      <c r="W6426" s="1" t="str">
        <f>HYPERLINK("http://ictvonline.org/taxonomy/p/taxonomy-history?taxnode_id=201903940","ICTVonline=201903940")</f>
        <v>ICTVonline=201903940</v>
      </c>
    </row>
    <row r="6427" spans="1:23">
      <c r="A6427" s="3">
        <v>6426</v>
      </c>
      <c r="L6427" s="1" t="s">
        <v>2464</v>
      </c>
      <c r="N6427" s="1" t="s">
        <v>2468</v>
      </c>
      <c r="P6427" s="1" t="s">
        <v>2469</v>
      </c>
      <c r="Q6427" s="3">
        <v>1</v>
      </c>
      <c r="R6427" s="22" t="s">
        <v>2721</v>
      </c>
      <c r="S6427" s="42" t="s">
        <v>6912</v>
      </c>
      <c r="T6427" s="3" t="s">
        <v>4866</v>
      </c>
      <c r="U6427" s="45">
        <v>28</v>
      </c>
      <c r="V6427" t="s">
        <v>5432</v>
      </c>
      <c r="W6427" s="1" t="str">
        <f>HYPERLINK("http://ictvonline.org/taxonomy/p/taxonomy-history?taxnode_id=201903942","ICTVonline=201903942")</f>
        <v>ICTVonline=201903942</v>
      </c>
    </row>
    <row r="6428" spans="1:23">
      <c r="A6428" s="3">
        <v>6427</v>
      </c>
      <c r="L6428" s="1" t="s">
        <v>6885</v>
      </c>
      <c r="N6428" s="1" t="s">
        <v>6886</v>
      </c>
      <c r="P6428" s="1" t="s">
        <v>6887</v>
      </c>
      <c r="Q6428" s="3">
        <v>1</v>
      </c>
      <c r="R6428" s="22" t="s">
        <v>2721</v>
      </c>
      <c r="S6428" s="42" t="s">
        <v>6912</v>
      </c>
      <c r="T6428" s="3" t="s">
        <v>4866</v>
      </c>
      <c r="U6428" s="45">
        <v>34</v>
      </c>
      <c r="V6428" t="s">
        <v>6888</v>
      </c>
      <c r="W6428" s="1" t="str">
        <f>HYPERLINK("http://ictvonline.org/taxonomy/p/taxonomy-history?taxnode_id=201906901","ICTVonline=201906901")</f>
        <v>ICTVonline=201906901</v>
      </c>
    </row>
    <row r="6429" spans="1:23">
      <c r="A6429" s="3">
        <v>6428</v>
      </c>
      <c r="L6429" s="1" t="s">
        <v>942</v>
      </c>
      <c r="N6429" s="1" t="s">
        <v>943</v>
      </c>
      <c r="P6429" s="1" t="s">
        <v>3868</v>
      </c>
      <c r="Q6429" s="3">
        <v>1</v>
      </c>
      <c r="R6429" s="22" t="s">
        <v>2721</v>
      </c>
      <c r="S6429" s="42" t="s">
        <v>6912</v>
      </c>
      <c r="T6429" s="3" t="s">
        <v>4869</v>
      </c>
      <c r="U6429" s="45">
        <v>30</v>
      </c>
      <c r="V6429" t="s">
        <v>4949</v>
      </c>
      <c r="W6429" s="1" t="str">
        <f>HYPERLINK("http://ictvonline.org/taxonomy/p/taxonomy-history?taxnode_id=201904339","ICTVonline=201904339")</f>
        <v>ICTVonline=201904339</v>
      </c>
    </row>
    <row r="6430" spans="1:23">
      <c r="A6430" s="3">
        <v>6429</v>
      </c>
      <c r="L6430" s="1" t="s">
        <v>944</v>
      </c>
      <c r="N6430" s="1" t="s">
        <v>609</v>
      </c>
      <c r="P6430" s="1" t="s">
        <v>945</v>
      </c>
      <c r="Q6430" s="3">
        <v>0</v>
      </c>
      <c r="R6430" s="22" t="s">
        <v>2721</v>
      </c>
      <c r="S6430" s="42" t="s">
        <v>6912</v>
      </c>
      <c r="T6430" s="3" t="s">
        <v>4869</v>
      </c>
      <c r="U6430" s="45">
        <v>18</v>
      </c>
      <c r="V6430" t="s">
        <v>5049</v>
      </c>
      <c r="W6430" s="1" t="str">
        <f>HYPERLINK("http://ictvonline.org/taxonomy/p/taxonomy-history?taxnode_id=201904355","ICTVonline=201904355")</f>
        <v>ICTVonline=201904355</v>
      </c>
    </row>
    <row r="6431" spans="1:23">
      <c r="A6431" s="3">
        <v>6430</v>
      </c>
      <c r="L6431" s="1" t="s">
        <v>944</v>
      </c>
      <c r="N6431" s="1" t="s">
        <v>609</v>
      </c>
      <c r="P6431" s="1" t="s">
        <v>602</v>
      </c>
      <c r="Q6431" s="3">
        <v>0</v>
      </c>
      <c r="R6431" s="22" t="s">
        <v>2721</v>
      </c>
      <c r="S6431" s="42" t="s">
        <v>6912</v>
      </c>
      <c r="T6431" s="3" t="s">
        <v>4869</v>
      </c>
      <c r="U6431" s="45">
        <v>18</v>
      </c>
      <c r="V6431" t="s">
        <v>5049</v>
      </c>
      <c r="W6431" s="1" t="str">
        <f>HYPERLINK("http://ictvonline.org/taxonomy/p/taxonomy-history?taxnode_id=201904356","ICTVonline=201904356")</f>
        <v>ICTVonline=201904356</v>
      </c>
    </row>
    <row r="6432" spans="1:23">
      <c r="A6432" s="3">
        <v>6431</v>
      </c>
      <c r="L6432" s="1" t="s">
        <v>944</v>
      </c>
      <c r="N6432" s="1" t="s">
        <v>609</v>
      </c>
      <c r="P6432" s="1" t="s">
        <v>603</v>
      </c>
      <c r="Q6432" s="3">
        <v>0</v>
      </c>
      <c r="R6432" s="22" t="s">
        <v>2721</v>
      </c>
      <c r="S6432" s="42" t="s">
        <v>6912</v>
      </c>
      <c r="T6432" s="3" t="s">
        <v>4869</v>
      </c>
      <c r="U6432" s="45">
        <v>18</v>
      </c>
      <c r="V6432" t="s">
        <v>5049</v>
      </c>
      <c r="W6432" s="1" t="str">
        <f>HYPERLINK("http://ictvonline.org/taxonomy/p/taxonomy-history?taxnode_id=201904357","ICTVonline=201904357")</f>
        <v>ICTVonline=201904357</v>
      </c>
    </row>
    <row r="6433" spans="1:23">
      <c r="A6433" s="3">
        <v>6432</v>
      </c>
      <c r="L6433" s="1" t="s">
        <v>944</v>
      </c>
      <c r="N6433" s="1" t="s">
        <v>609</v>
      </c>
      <c r="P6433" s="1" t="s">
        <v>604</v>
      </c>
      <c r="Q6433" s="3">
        <v>0</v>
      </c>
      <c r="R6433" s="22" t="s">
        <v>2721</v>
      </c>
      <c r="S6433" s="42" t="s">
        <v>6912</v>
      </c>
      <c r="T6433" s="3" t="s">
        <v>4869</v>
      </c>
      <c r="U6433" s="45">
        <v>18</v>
      </c>
      <c r="V6433" t="s">
        <v>5049</v>
      </c>
      <c r="W6433" s="1" t="str">
        <f>HYPERLINK("http://ictvonline.org/taxonomy/p/taxonomy-history?taxnode_id=201904358","ICTVonline=201904358")</f>
        <v>ICTVonline=201904358</v>
      </c>
    </row>
    <row r="6434" spans="1:23">
      <c r="A6434" s="3">
        <v>6433</v>
      </c>
      <c r="L6434" s="1" t="s">
        <v>944</v>
      </c>
      <c r="N6434" s="1" t="s">
        <v>609</v>
      </c>
      <c r="P6434" s="1" t="s">
        <v>605</v>
      </c>
      <c r="Q6434" s="3">
        <v>0</v>
      </c>
      <c r="R6434" s="22" t="s">
        <v>2721</v>
      </c>
      <c r="S6434" s="42" t="s">
        <v>6912</v>
      </c>
      <c r="T6434" s="3" t="s">
        <v>4869</v>
      </c>
      <c r="U6434" s="45">
        <v>18</v>
      </c>
      <c r="V6434" t="s">
        <v>5049</v>
      </c>
      <c r="W6434" s="1" t="str">
        <f>HYPERLINK("http://ictvonline.org/taxonomy/p/taxonomy-history?taxnode_id=201904359","ICTVonline=201904359")</f>
        <v>ICTVonline=201904359</v>
      </c>
    </row>
    <row r="6435" spans="1:23">
      <c r="A6435" s="3">
        <v>6434</v>
      </c>
      <c r="L6435" s="1" t="s">
        <v>944</v>
      </c>
      <c r="N6435" s="1" t="s">
        <v>609</v>
      </c>
      <c r="P6435" s="1" t="s">
        <v>938</v>
      </c>
      <c r="Q6435" s="3">
        <v>0</v>
      </c>
      <c r="R6435" s="22" t="s">
        <v>2721</v>
      </c>
      <c r="S6435" s="42" t="s">
        <v>6912</v>
      </c>
      <c r="T6435" s="3" t="s">
        <v>4869</v>
      </c>
      <c r="U6435" s="45">
        <v>18</v>
      </c>
      <c r="V6435" t="s">
        <v>5049</v>
      </c>
      <c r="W6435" s="1" t="str">
        <f>HYPERLINK("http://ictvonline.org/taxonomy/p/taxonomy-history?taxnode_id=201904360","ICTVonline=201904360")</f>
        <v>ICTVonline=201904360</v>
      </c>
    </row>
    <row r="6436" spans="1:23">
      <c r="A6436" s="3">
        <v>6435</v>
      </c>
      <c r="L6436" s="1" t="s">
        <v>944</v>
      </c>
      <c r="N6436" s="1" t="s">
        <v>609</v>
      </c>
      <c r="P6436" s="1" t="s">
        <v>939</v>
      </c>
      <c r="Q6436" s="3">
        <v>0</v>
      </c>
      <c r="R6436" s="22" t="s">
        <v>2721</v>
      </c>
      <c r="S6436" s="42" t="s">
        <v>6912</v>
      </c>
      <c r="T6436" s="3" t="s">
        <v>4869</v>
      </c>
      <c r="U6436" s="45">
        <v>18</v>
      </c>
      <c r="V6436" t="s">
        <v>5049</v>
      </c>
      <c r="W6436" s="1" t="str">
        <f>HYPERLINK("http://ictvonline.org/taxonomy/p/taxonomy-history?taxnode_id=201904361","ICTVonline=201904361")</f>
        <v>ICTVonline=201904361</v>
      </c>
    </row>
    <row r="6437" spans="1:23">
      <c r="A6437" s="3">
        <v>6436</v>
      </c>
      <c r="L6437" s="1" t="s">
        <v>944</v>
      </c>
      <c r="N6437" s="1" t="s">
        <v>609</v>
      </c>
      <c r="P6437" s="1" t="s">
        <v>940</v>
      </c>
      <c r="Q6437" s="3">
        <v>0</v>
      </c>
      <c r="R6437" s="22" t="s">
        <v>2721</v>
      </c>
      <c r="S6437" s="42" t="s">
        <v>6912</v>
      </c>
      <c r="T6437" s="3" t="s">
        <v>4866</v>
      </c>
      <c r="U6437" s="45">
        <v>18</v>
      </c>
      <c r="V6437" t="s">
        <v>5049</v>
      </c>
      <c r="W6437" s="1" t="str">
        <f>HYPERLINK("http://ictvonline.org/taxonomy/p/taxonomy-history?taxnode_id=201904362","ICTVonline=201904362")</f>
        <v>ICTVonline=201904362</v>
      </c>
    </row>
    <row r="6438" spans="1:23">
      <c r="A6438" s="3">
        <v>6437</v>
      </c>
      <c r="L6438" s="1" t="s">
        <v>944</v>
      </c>
      <c r="N6438" s="1" t="s">
        <v>609</v>
      </c>
      <c r="P6438" s="1" t="s">
        <v>941</v>
      </c>
      <c r="Q6438" s="3">
        <v>0</v>
      </c>
      <c r="R6438" s="22" t="s">
        <v>2721</v>
      </c>
      <c r="S6438" s="42" t="s">
        <v>6912</v>
      </c>
      <c r="T6438" s="3" t="s">
        <v>4869</v>
      </c>
      <c r="U6438" s="45">
        <v>18</v>
      </c>
      <c r="V6438" t="s">
        <v>5049</v>
      </c>
      <c r="W6438" s="1" t="str">
        <f>HYPERLINK("http://ictvonline.org/taxonomy/p/taxonomy-history?taxnode_id=201904363","ICTVonline=201904363")</f>
        <v>ICTVonline=201904363</v>
      </c>
    </row>
    <row r="6439" spans="1:23">
      <c r="A6439" s="3">
        <v>6438</v>
      </c>
      <c r="L6439" s="1" t="s">
        <v>944</v>
      </c>
      <c r="N6439" s="1" t="s">
        <v>609</v>
      </c>
      <c r="P6439" s="1" t="s">
        <v>5484</v>
      </c>
      <c r="Q6439" s="3">
        <v>0</v>
      </c>
      <c r="R6439" s="22" t="s">
        <v>2721</v>
      </c>
      <c r="S6439" s="42" t="s">
        <v>6912</v>
      </c>
      <c r="T6439" s="3" t="s">
        <v>4869</v>
      </c>
      <c r="U6439" s="45">
        <v>32</v>
      </c>
      <c r="V6439" t="s">
        <v>5047</v>
      </c>
      <c r="W6439" s="1" t="str">
        <f>HYPERLINK("http://ictvonline.org/taxonomy/p/taxonomy-history?taxnode_id=201904364","ICTVonline=201904364")</f>
        <v>ICTVonline=201904364</v>
      </c>
    </row>
    <row r="6440" spans="1:23">
      <c r="A6440" s="3">
        <v>6439</v>
      </c>
      <c r="L6440" s="1" t="s">
        <v>944</v>
      </c>
      <c r="N6440" s="1" t="s">
        <v>609</v>
      </c>
      <c r="P6440" s="1" t="s">
        <v>1735</v>
      </c>
      <c r="Q6440" s="3">
        <v>0</v>
      </c>
      <c r="R6440" s="22" t="s">
        <v>2721</v>
      </c>
      <c r="S6440" s="42" t="s">
        <v>6912</v>
      </c>
      <c r="T6440" s="3" t="s">
        <v>4869</v>
      </c>
      <c r="U6440" s="45">
        <v>18</v>
      </c>
      <c r="V6440" t="s">
        <v>5049</v>
      </c>
      <c r="W6440" s="1" t="str">
        <f>HYPERLINK("http://ictvonline.org/taxonomy/p/taxonomy-history?taxnode_id=201904365","ICTVonline=201904365")</f>
        <v>ICTVonline=201904365</v>
      </c>
    </row>
    <row r="6441" spans="1:23">
      <c r="A6441" s="3">
        <v>6440</v>
      </c>
      <c r="L6441" s="1" t="s">
        <v>944</v>
      </c>
      <c r="N6441" s="1" t="s">
        <v>609</v>
      </c>
      <c r="P6441" s="1" t="s">
        <v>610</v>
      </c>
      <c r="Q6441" s="3">
        <v>0</v>
      </c>
      <c r="R6441" s="22" t="s">
        <v>2721</v>
      </c>
      <c r="S6441" s="42" t="s">
        <v>6912</v>
      </c>
      <c r="T6441" s="3" t="s">
        <v>4869</v>
      </c>
      <c r="U6441" s="45">
        <v>18</v>
      </c>
      <c r="V6441" t="s">
        <v>5049</v>
      </c>
      <c r="W6441" s="1" t="str">
        <f>HYPERLINK("http://ictvonline.org/taxonomy/p/taxonomy-history?taxnode_id=201904366","ICTVonline=201904366")</f>
        <v>ICTVonline=201904366</v>
      </c>
    </row>
    <row r="6442" spans="1:23">
      <c r="A6442" s="3">
        <v>6441</v>
      </c>
      <c r="L6442" s="1" t="s">
        <v>944</v>
      </c>
      <c r="N6442" s="1" t="s">
        <v>609</v>
      </c>
      <c r="P6442" s="1" t="s">
        <v>611</v>
      </c>
      <c r="Q6442" s="3">
        <v>0</v>
      </c>
      <c r="R6442" s="22" t="s">
        <v>2721</v>
      </c>
      <c r="S6442" s="42" t="s">
        <v>6912</v>
      </c>
      <c r="T6442" s="3" t="s">
        <v>4869</v>
      </c>
      <c r="U6442" s="45">
        <v>18</v>
      </c>
      <c r="V6442" t="s">
        <v>5049</v>
      </c>
      <c r="W6442" s="1" t="str">
        <f>HYPERLINK("http://ictvonline.org/taxonomy/p/taxonomy-history?taxnode_id=201904367","ICTVonline=201904367")</f>
        <v>ICTVonline=201904367</v>
      </c>
    </row>
    <row r="6443" spans="1:23">
      <c r="A6443" s="3">
        <v>6442</v>
      </c>
      <c r="L6443" s="1" t="s">
        <v>944</v>
      </c>
      <c r="N6443" s="1" t="s">
        <v>609</v>
      </c>
      <c r="P6443" s="1" t="s">
        <v>1731</v>
      </c>
      <c r="Q6443" s="3">
        <v>0</v>
      </c>
      <c r="R6443" s="22" t="s">
        <v>2721</v>
      </c>
      <c r="S6443" s="42" t="s">
        <v>6912</v>
      </c>
      <c r="T6443" s="3" t="s">
        <v>4869</v>
      </c>
      <c r="U6443" s="45">
        <v>18</v>
      </c>
      <c r="V6443" t="s">
        <v>5049</v>
      </c>
      <c r="W6443" s="1" t="str">
        <f>HYPERLINK("http://ictvonline.org/taxonomy/p/taxonomy-history?taxnode_id=201904368","ICTVonline=201904368")</f>
        <v>ICTVonline=201904368</v>
      </c>
    </row>
    <row r="6444" spans="1:23">
      <c r="A6444" s="3">
        <v>6443</v>
      </c>
      <c r="L6444" s="1" t="s">
        <v>944</v>
      </c>
      <c r="N6444" s="1" t="s">
        <v>609</v>
      </c>
      <c r="P6444" s="1" t="s">
        <v>1732</v>
      </c>
      <c r="Q6444" s="3">
        <v>0</v>
      </c>
      <c r="R6444" s="22" t="s">
        <v>2721</v>
      </c>
      <c r="S6444" s="42" t="s">
        <v>6912</v>
      </c>
      <c r="T6444" s="3" t="s">
        <v>4869</v>
      </c>
      <c r="U6444" s="45">
        <v>18</v>
      </c>
      <c r="V6444" t="s">
        <v>5049</v>
      </c>
      <c r="W6444" s="1" t="str">
        <f>HYPERLINK("http://ictvonline.org/taxonomy/p/taxonomy-history?taxnode_id=201904369","ICTVonline=201904369")</f>
        <v>ICTVonline=201904369</v>
      </c>
    </row>
    <row r="6445" spans="1:23">
      <c r="A6445" s="3">
        <v>6444</v>
      </c>
      <c r="L6445" s="1" t="s">
        <v>944</v>
      </c>
      <c r="N6445" s="1" t="s">
        <v>609</v>
      </c>
      <c r="P6445" s="1" t="s">
        <v>1733</v>
      </c>
      <c r="Q6445" s="3">
        <v>0</v>
      </c>
      <c r="R6445" s="22" t="s">
        <v>2721</v>
      </c>
      <c r="S6445" s="42" t="s">
        <v>6912</v>
      </c>
      <c r="T6445" s="3" t="s">
        <v>4869</v>
      </c>
      <c r="U6445" s="45">
        <v>18</v>
      </c>
      <c r="V6445" t="s">
        <v>5049</v>
      </c>
      <c r="W6445" s="1" t="str">
        <f>HYPERLINK("http://ictvonline.org/taxonomy/p/taxonomy-history?taxnode_id=201904370","ICTVonline=201904370")</f>
        <v>ICTVonline=201904370</v>
      </c>
    </row>
    <row r="6446" spans="1:23">
      <c r="A6446" s="3">
        <v>6445</v>
      </c>
      <c r="L6446" s="1" t="s">
        <v>944</v>
      </c>
      <c r="N6446" s="1" t="s">
        <v>609</v>
      </c>
      <c r="P6446" s="1" t="s">
        <v>606</v>
      </c>
      <c r="Q6446" s="3">
        <v>0</v>
      </c>
      <c r="R6446" s="22" t="s">
        <v>2721</v>
      </c>
      <c r="S6446" s="42" t="s">
        <v>6912</v>
      </c>
      <c r="T6446" s="3" t="s">
        <v>4869</v>
      </c>
      <c r="U6446" s="45">
        <v>18</v>
      </c>
      <c r="V6446" t="s">
        <v>5049</v>
      </c>
      <c r="W6446" s="1" t="str">
        <f>HYPERLINK("http://ictvonline.org/taxonomy/p/taxonomy-history?taxnode_id=201904371","ICTVonline=201904371")</f>
        <v>ICTVonline=201904371</v>
      </c>
    </row>
    <row r="6447" spans="1:23">
      <c r="A6447" s="3">
        <v>6446</v>
      </c>
      <c r="L6447" s="1" t="s">
        <v>944</v>
      </c>
      <c r="N6447" s="1" t="s">
        <v>609</v>
      </c>
      <c r="P6447" s="1" t="s">
        <v>607</v>
      </c>
      <c r="Q6447" s="3">
        <v>1</v>
      </c>
      <c r="R6447" s="22" t="s">
        <v>2721</v>
      </c>
      <c r="S6447" s="42" t="s">
        <v>6912</v>
      </c>
      <c r="T6447" s="3" t="s">
        <v>4869</v>
      </c>
      <c r="U6447" s="45">
        <v>18</v>
      </c>
      <c r="V6447" t="s">
        <v>5049</v>
      </c>
      <c r="W6447" s="1" t="str">
        <f>HYPERLINK("http://ictvonline.org/taxonomy/p/taxonomy-history?taxnode_id=201904372","ICTVonline=201904372")</f>
        <v>ICTVonline=201904372</v>
      </c>
    </row>
    <row r="6448" spans="1:23">
      <c r="A6448" s="3">
        <v>6447</v>
      </c>
      <c r="L6448" s="1" t="s">
        <v>944</v>
      </c>
      <c r="N6448" s="1" t="s">
        <v>609</v>
      </c>
      <c r="P6448" s="1" t="s">
        <v>608</v>
      </c>
      <c r="Q6448" s="3">
        <v>0</v>
      </c>
      <c r="R6448" s="22" t="s">
        <v>2721</v>
      </c>
      <c r="S6448" s="42" t="s">
        <v>6912</v>
      </c>
      <c r="T6448" s="3" t="s">
        <v>4869</v>
      </c>
      <c r="U6448" s="45">
        <v>18</v>
      </c>
      <c r="V6448" t="s">
        <v>5049</v>
      </c>
      <c r="W6448" s="1" t="str">
        <f>HYPERLINK("http://ictvonline.org/taxonomy/p/taxonomy-history?taxnode_id=201904373","ICTVonline=201904373")</f>
        <v>ICTVonline=201904373</v>
      </c>
    </row>
    <row r="6449" spans="1:23">
      <c r="A6449" s="3">
        <v>6448</v>
      </c>
      <c r="L6449" s="1" t="s">
        <v>944</v>
      </c>
      <c r="N6449" s="1" t="s">
        <v>609</v>
      </c>
      <c r="P6449" s="1" t="s">
        <v>618</v>
      </c>
      <c r="Q6449" s="3">
        <v>0</v>
      </c>
      <c r="R6449" s="22" t="s">
        <v>2721</v>
      </c>
      <c r="S6449" s="42" t="s">
        <v>6912</v>
      </c>
      <c r="T6449" s="3" t="s">
        <v>4869</v>
      </c>
      <c r="U6449" s="45">
        <v>18</v>
      </c>
      <c r="V6449" t="s">
        <v>5049</v>
      </c>
      <c r="W6449" s="1" t="str">
        <f>HYPERLINK("http://ictvonline.org/taxonomy/p/taxonomy-history?taxnode_id=201904374","ICTVonline=201904374")</f>
        <v>ICTVonline=201904374</v>
      </c>
    </row>
    <row r="6450" spans="1:23">
      <c r="A6450" s="3">
        <v>6449</v>
      </c>
      <c r="L6450" s="1" t="s">
        <v>944</v>
      </c>
      <c r="N6450" s="1" t="s">
        <v>609</v>
      </c>
      <c r="P6450" s="1" t="s">
        <v>619</v>
      </c>
      <c r="Q6450" s="3">
        <v>0</v>
      </c>
      <c r="R6450" s="22" t="s">
        <v>2721</v>
      </c>
      <c r="S6450" s="42" t="s">
        <v>6912</v>
      </c>
      <c r="T6450" s="3" t="s">
        <v>4869</v>
      </c>
      <c r="U6450" s="45">
        <v>18</v>
      </c>
      <c r="V6450" t="s">
        <v>5049</v>
      </c>
      <c r="W6450" s="1" t="str">
        <f>HYPERLINK("http://ictvonline.org/taxonomy/p/taxonomy-history?taxnode_id=201904375","ICTVonline=201904375")</f>
        <v>ICTVonline=201904375</v>
      </c>
    </row>
    <row r="6451" spans="1:23">
      <c r="A6451" s="3">
        <v>6450</v>
      </c>
      <c r="L6451" s="1" t="s">
        <v>944</v>
      </c>
      <c r="N6451" s="1" t="s">
        <v>609</v>
      </c>
      <c r="P6451" s="1" t="s">
        <v>880</v>
      </c>
      <c r="Q6451" s="3">
        <v>0</v>
      </c>
      <c r="R6451" s="22" t="s">
        <v>2721</v>
      </c>
      <c r="S6451" s="42" t="s">
        <v>6912</v>
      </c>
      <c r="T6451" s="3" t="s">
        <v>4869</v>
      </c>
      <c r="U6451" s="45">
        <v>18</v>
      </c>
      <c r="V6451" t="s">
        <v>5049</v>
      </c>
      <c r="W6451" s="1" t="str">
        <f>HYPERLINK("http://ictvonline.org/taxonomy/p/taxonomy-history?taxnode_id=201904376","ICTVonline=201904376")</f>
        <v>ICTVonline=201904376</v>
      </c>
    </row>
    <row r="6452" spans="1:23">
      <c r="A6452" s="3">
        <v>6451</v>
      </c>
      <c r="L6452" s="1" t="s">
        <v>944</v>
      </c>
      <c r="N6452" s="1" t="s">
        <v>609</v>
      </c>
      <c r="P6452" s="1" t="s">
        <v>956</v>
      </c>
      <c r="Q6452" s="3">
        <v>0</v>
      </c>
      <c r="R6452" s="22" t="s">
        <v>2721</v>
      </c>
      <c r="S6452" s="42" t="s">
        <v>6912</v>
      </c>
      <c r="T6452" s="3" t="s">
        <v>4869</v>
      </c>
      <c r="U6452" s="45">
        <v>18</v>
      </c>
      <c r="V6452" t="s">
        <v>5049</v>
      </c>
      <c r="W6452" s="1" t="str">
        <f>HYPERLINK("http://ictvonline.org/taxonomy/p/taxonomy-history?taxnode_id=201904377","ICTVonline=201904377")</f>
        <v>ICTVonline=201904377</v>
      </c>
    </row>
    <row r="6453" spans="1:23">
      <c r="A6453" s="3">
        <v>6452</v>
      </c>
      <c r="L6453" s="1" t="s">
        <v>944</v>
      </c>
      <c r="N6453" s="1" t="s">
        <v>609</v>
      </c>
      <c r="P6453" s="1" t="s">
        <v>957</v>
      </c>
      <c r="Q6453" s="3">
        <v>0</v>
      </c>
      <c r="R6453" s="22" t="s">
        <v>2721</v>
      </c>
      <c r="S6453" s="42" t="s">
        <v>6912</v>
      </c>
      <c r="T6453" s="3" t="s">
        <v>4869</v>
      </c>
      <c r="U6453" s="45">
        <v>18</v>
      </c>
      <c r="V6453" t="s">
        <v>5049</v>
      </c>
      <c r="W6453" s="1" t="str">
        <f>HYPERLINK("http://ictvonline.org/taxonomy/p/taxonomy-history?taxnode_id=201904378","ICTVonline=201904378")</f>
        <v>ICTVonline=201904378</v>
      </c>
    </row>
    <row r="6454" spans="1:23">
      <c r="A6454" s="3">
        <v>6453</v>
      </c>
      <c r="L6454" s="1" t="s">
        <v>944</v>
      </c>
      <c r="N6454" s="1" t="s">
        <v>609</v>
      </c>
      <c r="P6454" s="1" t="s">
        <v>1900</v>
      </c>
      <c r="Q6454" s="3">
        <v>0</v>
      </c>
      <c r="R6454" s="22" t="s">
        <v>2721</v>
      </c>
      <c r="S6454" s="42" t="s">
        <v>6912</v>
      </c>
      <c r="T6454" s="3" t="s">
        <v>4869</v>
      </c>
      <c r="U6454" s="45">
        <v>18</v>
      </c>
      <c r="V6454" t="s">
        <v>5049</v>
      </c>
      <c r="W6454" s="1" t="str">
        <f>HYPERLINK("http://ictvonline.org/taxonomy/p/taxonomy-history?taxnode_id=201904379","ICTVonline=201904379")</f>
        <v>ICTVonline=201904379</v>
      </c>
    </row>
    <row r="6455" spans="1:23">
      <c r="A6455" s="3">
        <v>6454</v>
      </c>
      <c r="L6455" s="1" t="s">
        <v>944</v>
      </c>
      <c r="N6455" s="1" t="s">
        <v>609</v>
      </c>
      <c r="P6455" s="1" t="s">
        <v>1901</v>
      </c>
      <c r="Q6455" s="3">
        <v>0</v>
      </c>
      <c r="R6455" s="22" t="s">
        <v>2721</v>
      </c>
      <c r="S6455" s="42" t="s">
        <v>6912</v>
      </c>
      <c r="T6455" s="3" t="s">
        <v>4869</v>
      </c>
      <c r="U6455" s="45">
        <v>18</v>
      </c>
      <c r="V6455" t="s">
        <v>5049</v>
      </c>
      <c r="W6455" s="1" t="str">
        <f>HYPERLINK("http://ictvonline.org/taxonomy/p/taxonomy-history?taxnode_id=201904380","ICTVonline=201904380")</f>
        <v>ICTVonline=201904380</v>
      </c>
    </row>
    <row r="6456" spans="1:23">
      <c r="A6456" s="3">
        <v>6455</v>
      </c>
      <c r="L6456" s="1" t="s">
        <v>944</v>
      </c>
      <c r="N6456" s="1" t="s">
        <v>609</v>
      </c>
      <c r="P6456" s="1" t="s">
        <v>1902</v>
      </c>
      <c r="Q6456" s="3">
        <v>0</v>
      </c>
      <c r="R6456" s="22" t="s">
        <v>2721</v>
      </c>
      <c r="S6456" s="42" t="s">
        <v>6912</v>
      </c>
      <c r="T6456" s="3" t="s">
        <v>4869</v>
      </c>
      <c r="U6456" s="45">
        <v>18</v>
      </c>
      <c r="V6456" t="s">
        <v>5049</v>
      </c>
      <c r="W6456" s="1" t="str">
        <f>HYPERLINK("http://ictvonline.org/taxonomy/p/taxonomy-history?taxnode_id=201904381","ICTVonline=201904381")</f>
        <v>ICTVonline=201904381</v>
      </c>
    </row>
    <row r="6457" spans="1:23">
      <c r="A6457" s="3">
        <v>6456</v>
      </c>
      <c r="L6457" s="1" t="s">
        <v>944</v>
      </c>
      <c r="N6457" s="1" t="s">
        <v>609</v>
      </c>
      <c r="P6457" s="1" t="s">
        <v>884</v>
      </c>
      <c r="Q6457" s="3">
        <v>0</v>
      </c>
      <c r="R6457" s="22" t="s">
        <v>2721</v>
      </c>
      <c r="S6457" s="42" t="s">
        <v>6912</v>
      </c>
      <c r="T6457" s="3" t="s">
        <v>4869</v>
      </c>
      <c r="U6457" s="45">
        <v>18</v>
      </c>
      <c r="V6457" t="s">
        <v>5049</v>
      </c>
      <c r="W6457" s="1" t="str">
        <f>HYPERLINK("http://ictvonline.org/taxonomy/p/taxonomy-history?taxnode_id=201904382","ICTVonline=201904382")</f>
        <v>ICTVonline=201904382</v>
      </c>
    </row>
    <row r="6458" spans="1:23">
      <c r="A6458" s="3">
        <v>6457</v>
      </c>
      <c r="L6458" s="1" t="s">
        <v>944</v>
      </c>
      <c r="N6458" s="1" t="s">
        <v>609</v>
      </c>
      <c r="P6458" s="1" t="s">
        <v>954</v>
      </c>
      <c r="Q6458" s="3">
        <v>0</v>
      </c>
      <c r="R6458" s="22" t="s">
        <v>2721</v>
      </c>
      <c r="S6458" s="42" t="s">
        <v>6912</v>
      </c>
      <c r="T6458" s="3" t="s">
        <v>4869</v>
      </c>
      <c r="U6458" s="45">
        <v>18</v>
      </c>
      <c r="V6458" t="s">
        <v>5049</v>
      </c>
      <c r="W6458" s="1" t="str">
        <f>HYPERLINK("http://ictvonline.org/taxonomy/p/taxonomy-history?taxnode_id=201904383","ICTVonline=201904383")</f>
        <v>ICTVonline=201904383</v>
      </c>
    </row>
    <row r="6459" spans="1:23">
      <c r="A6459" s="3">
        <v>6458</v>
      </c>
      <c r="L6459" s="1" t="s">
        <v>944</v>
      </c>
      <c r="N6459" s="1" t="s">
        <v>609</v>
      </c>
      <c r="P6459" s="1" t="s">
        <v>955</v>
      </c>
      <c r="Q6459" s="3">
        <v>0</v>
      </c>
      <c r="R6459" s="22" t="s">
        <v>2721</v>
      </c>
      <c r="S6459" s="42" t="s">
        <v>6912</v>
      </c>
      <c r="T6459" s="3" t="s">
        <v>4869</v>
      </c>
      <c r="U6459" s="45">
        <v>18</v>
      </c>
      <c r="V6459" t="s">
        <v>5049</v>
      </c>
      <c r="W6459" s="1" t="str">
        <f>HYPERLINK("http://ictvonline.org/taxonomy/p/taxonomy-history?taxnode_id=201904384","ICTVonline=201904384")</f>
        <v>ICTVonline=201904384</v>
      </c>
    </row>
    <row r="6460" spans="1:23">
      <c r="A6460" s="3">
        <v>6459</v>
      </c>
      <c r="L6460" s="1" t="s">
        <v>944</v>
      </c>
      <c r="N6460" s="1" t="s">
        <v>609</v>
      </c>
      <c r="P6460" s="1" t="s">
        <v>1743</v>
      </c>
      <c r="Q6460" s="3">
        <v>0</v>
      </c>
      <c r="R6460" s="22" t="s">
        <v>2721</v>
      </c>
      <c r="S6460" s="42" t="s">
        <v>6912</v>
      </c>
      <c r="T6460" s="3" t="s">
        <v>4869</v>
      </c>
      <c r="U6460" s="45">
        <v>18</v>
      </c>
      <c r="V6460" t="s">
        <v>5049</v>
      </c>
      <c r="W6460" s="1" t="str">
        <f>HYPERLINK("http://ictvonline.org/taxonomy/p/taxonomy-history?taxnode_id=201904385","ICTVonline=201904385")</f>
        <v>ICTVonline=201904385</v>
      </c>
    </row>
    <row r="6461" spans="1:23">
      <c r="A6461" s="3">
        <v>6460</v>
      </c>
      <c r="L6461" s="1" t="s">
        <v>944</v>
      </c>
      <c r="N6461" s="1" t="s">
        <v>609</v>
      </c>
      <c r="P6461" s="1" t="s">
        <v>620</v>
      </c>
      <c r="Q6461" s="3">
        <v>0</v>
      </c>
      <c r="R6461" s="22" t="s">
        <v>2721</v>
      </c>
      <c r="S6461" s="42" t="s">
        <v>6912</v>
      </c>
      <c r="T6461" s="3" t="s">
        <v>4866</v>
      </c>
      <c r="U6461" s="45">
        <v>18</v>
      </c>
      <c r="V6461" t="s">
        <v>5049</v>
      </c>
      <c r="W6461" s="1" t="str">
        <f>HYPERLINK("http://ictvonline.org/taxonomy/p/taxonomy-history?taxnode_id=201904386","ICTVonline=201904386")</f>
        <v>ICTVonline=201904386</v>
      </c>
    </row>
    <row r="6462" spans="1:23">
      <c r="A6462" s="3">
        <v>6461</v>
      </c>
      <c r="L6462" s="1" t="s">
        <v>944</v>
      </c>
      <c r="N6462" s="1" t="s">
        <v>621</v>
      </c>
      <c r="P6462" s="1" t="s">
        <v>958</v>
      </c>
      <c r="Q6462" s="3">
        <v>0</v>
      </c>
      <c r="R6462" s="22" t="s">
        <v>2721</v>
      </c>
      <c r="S6462" s="42" t="s">
        <v>6912</v>
      </c>
      <c r="T6462" s="3" t="s">
        <v>4869</v>
      </c>
      <c r="U6462" s="45">
        <v>18</v>
      </c>
      <c r="V6462" t="s">
        <v>5049</v>
      </c>
      <c r="W6462" s="1" t="str">
        <f>HYPERLINK("http://ictvonline.org/taxonomy/p/taxonomy-history?taxnode_id=201904388","ICTVonline=201904388")</f>
        <v>ICTVonline=201904388</v>
      </c>
    </row>
    <row r="6463" spans="1:23">
      <c r="A6463" s="3">
        <v>6462</v>
      </c>
      <c r="L6463" s="1" t="s">
        <v>944</v>
      </c>
      <c r="N6463" s="1" t="s">
        <v>621</v>
      </c>
      <c r="P6463" s="1" t="s">
        <v>890</v>
      </c>
      <c r="Q6463" s="3">
        <v>0</v>
      </c>
      <c r="R6463" s="22" t="s">
        <v>2721</v>
      </c>
      <c r="S6463" s="42" t="s">
        <v>6912</v>
      </c>
      <c r="T6463" s="3" t="s">
        <v>4869</v>
      </c>
      <c r="U6463" s="45">
        <v>18</v>
      </c>
      <c r="V6463" t="s">
        <v>5049</v>
      </c>
      <c r="W6463" s="1" t="str">
        <f>HYPERLINK("http://ictvonline.org/taxonomy/p/taxonomy-history?taxnode_id=201904389","ICTVonline=201904389")</f>
        <v>ICTVonline=201904389</v>
      </c>
    </row>
    <row r="6464" spans="1:23">
      <c r="A6464" s="3">
        <v>6463</v>
      </c>
      <c r="L6464" s="1" t="s">
        <v>944</v>
      </c>
      <c r="N6464" s="1" t="s">
        <v>621</v>
      </c>
      <c r="P6464" s="1" t="s">
        <v>891</v>
      </c>
      <c r="Q6464" s="3">
        <v>1</v>
      </c>
      <c r="R6464" s="22" t="s">
        <v>2721</v>
      </c>
      <c r="S6464" s="42" t="s">
        <v>6912</v>
      </c>
      <c r="T6464" s="3" t="s">
        <v>4869</v>
      </c>
      <c r="U6464" s="45">
        <v>18</v>
      </c>
      <c r="V6464" t="s">
        <v>5049</v>
      </c>
      <c r="W6464" s="1" t="str">
        <f>HYPERLINK("http://ictvonline.org/taxonomy/p/taxonomy-history?taxnode_id=201904390","ICTVonline=201904390")</f>
        <v>ICTVonline=201904390</v>
      </c>
    </row>
    <row r="6465" spans="1:23">
      <c r="A6465" s="3">
        <v>6464</v>
      </c>
      <c r="L6465" s="1" t="s">
        <v>944</v>
      </c>
      <c r="N6465" s="1" t="s">
        <v>621</v>
      </c>
      <c r="P6465" s="1" t="s">
        <v>892</v>
      </c>
      <c r="Q6465" s="3">
        <v>0</v>
      </c>
      <c r="R6465" s="22" t="s">
        <v>2721</v>
      </c>
      <c r="S6465" s="42" t="s">
        <v>6912</v>
      </c>
      <c r="T6465" s="3" t="s">
        <v>4869</v>
      </c>
      <c r="U6465" s="45">
        <v>18</v>
      </c>
      <c r="V6465" t="s">
        <v>5049</v>
      </c>
      <c r="W6465" s="1" t="str">
        <f>HYPERLINK("http://ictvonline.org/taxonomy/p/taxonomy-history?taxnode_id=201904391","ICTVonline=201904391")</f>
        <v>ICTVonline=201904391</v>
      </c>
    </row>
    <row r="6466" spans="1:23">
      <c r="A6466" s="3">
        <v>6465</v>
      </c>
      <c r="L6466" s="1" t="s">
        <v>944</v>
      </c>
      <c r="N6466" s="1" t="s">
        <v>621</v>
      </c>
      <c r="P6466" s="1" t="s">
        <v>974</v>
      </c>
      <c r="Q6466" s="3">
        <v>0</v>
      </c>
      <c r="R6466" s="22" t="s">
        <v>2721</v>
      </c>
      <c r="S6466" s="42" t="s">
        <v>6912</v>
      </c>
      <c r="T6466" s="3" t="s">
        <v>4869</v>
      </c>
      <c r="U6466" s="45">
        <v>18</v>
      </c>
      <c r="V6466" t="s">
        <v>5049</v>
      </c>
      <c r="W6466" s="1" t="str">
        <f>HYPERLINK("http://ictvonline.org/taxonomy/p/taxonomy-history?taxnode_id=201904392","ICTVonline=201904392")</f>
        <v>ICTVonline=201904392</v>
      </c>
    </row>
    <row r="6467" spans="1:23">
      <c r="A6467" s="3">
        <v>6466</v>
      </c>
      <c r="L6467" s="1" t="s">
        <v>944</v>
      </c>
      <c r="N6467" s="1" t="s">
        <v>621</v>
      </c>
      <c r="P6467" s="1" t="s">
        <v>975</v>
      </c>
      <c r="Q6467" s="3">
        <v>0</v>
      </c>
      <c r="R6467" s="22" t="s">
        <v>2721</v>
      </c>
      <c r="S6467" s="42" t="s">
        <v>6912</v>
      </c>
      <c r="T6467" s="3" t="s">
        <v>4869</v>
      </c>
      <c r="U6467" s="45">
        <v>18</v>
      </c>
      <c r="V6467" t="s">
        <v>5049</v>
      </c>
      <c r="W6467" s="1" t="str">
        <f>HYPERLINK("http://ictvonline.org/taxonomy/p/taxonomy-history?taxnode_id=201904393","ICTVonline=201904393")</f>
        <v>ICTVonline=201904393</v>
      </c>
    </row>
    <row r="6468" spans="1:23">
      <c r="A6468" s="3">
        <v>6467</v>
      </c>
      <c r="L6468" s="1" t="s">
        <v>944</v>
      </c>
      <c r="N6468" s="1" t="s">
        <v>621</v>
      </c>
      <c r="P6468" s="1" t="s">
        <v>976</v>
      </c>
      <c r="Q6468" s="3">
        <v>0</v>
      </c>
      <c r="R6468" s="22" t="s">
        <v>2721</v>
      </c>
      <c r="S6468" s="42" t="s">
        <v>6912</v>
      </c>
      <c r="T6468" s="3" t="s">
        <v>4869</v>
      </c>
      <c r="U6468" s="45">
        <v>18</v>
      </c>
      <c r="V6468" t="s">
        <v>5049</v>
      </c>
      <c r="W6468" s="1" t="str">
        <f>HYPERLINK("http://ictvonline.org/taxonomy/p/taxonomy-history?taxnode_id=201904394","ICTVonline=201904394")</f>
        <v>ICTVonline=201904394</v>
      </c>
    </row>
    <row r="6469" spans="1:23">
      <c r="A6469" s="3">
        <v>6468</v>
      </c>
      <c r="L6469" s="1" t="s">
        <v>944</v>
      </c>
      <c r="N6469" s="1" t="s">
        <v>621</v>
      </c>
      <c r="P6469" s="1" t="s">
        <v>977</v>
      </c>
      <c r="Q6469" s="3">
        <v>0</v>
      </c>
      <c r="R6469" s="22" t="s">
        <v>2721</v>
      </c>
      <c r="S6469" s="42" t="s">
        <v>6912</v>
      </c>
      <c r="T6469" s="3" t="s">
        <v>4869</v>
      </c>
      <c r="U6469" s="45">
        <v>18</v>
      </c>
      <c r="V6469" t="s">
        <v>5049</v>
      </c>
      <c r="W6469" s="1" t="str">
        <f>HYPERLINK("http://ictvonline.org/taxonomy/p/taxonomy-history?taxnode_id=201904395","ICTVonline=201904395")</f>
        <v>ICTVonline=201904395</v>
      </c>
    </row>
    <row r="6470" spans="1:23">
      <c r="A6470" s="3">
        <v>6469</v>
      </c>
      <c r="L6470" s="1" t="s">
        <v>944</v>
      </c>
      <c r="N6470" s="1" t="s">
        <v>621</v>
      </c>
      <c r="P6470" s="1" t="s">
        <v>978</v>
      </c>
      <c r="Q6470" s="3">
        <v>0</v>
      </c>
      <c r="R6470" s="22" t="s">
        <v>2721</v>
      </c>
      <c r="S6470" s="42" t="s">
        <v>6912</v>
      </c>
      <c r="T6470" s="3" t="s">
        <v>4869</v>
      </c>
      <c r="U6470" s="45">
        <v>18</v>
      </c>
      <c r="V6470" t="s">
        <v>5049</v>
      </c>
      <c r="W6470" s="1" t="str">
        <f>HYPERLINK("http://ictvonline.org/taxonomy/p/taxonomy-history?taxnode_id=201904396","ICTVonline=201904396")</f>
        <v>ICTVonline=201904396</v>
      </c>
    </row>
    <row r="6471" spans="1:23">
      <c r="A6471" s="3">
        <v>6470</v>
      </c>
      <c r="L6471" s="1" t="s">
        <v>944</v>
      </c>
      <c r="N6471" s="1" t="s">
        <v>621</v>
      </c>
      <c r="P6471" s="1" t="s">
        <v>979</v>
      </c>
      <c r="Q6471" s="3">
        <v>0</v>
      </c>
      <c r="R6471" s="22" t="s">
        <v>2721</v>
      </c>
      <c r="S6471" s="42" t="s">
        <v>6912</v>
      </c>
      <c r="T6471" s="3" t="s">
        <v>4869</v>
      </c>
      <c r="U6471" s="45">
        <v>18</v>
      </c>
      <c r="V6471" t="s">
        <v>5049</v>
      </c>
      <c r="W6471" s="1" t="str">
        <f>HYPERLINK("http://ictvonline.org/taxonomy/p/taxonomy-history?taxnode_id=201904397","ICTVonline=201904397")</f>
        <v>ICTVonline=201904397</v>
      </c>
    </row>
    <row r="6472" spans="1:23">
      <c r="A6472" s="3">
        <v>6471</v>
      </c>
      <c r="L6472" s="1" t="s">
        <v>944</v>
      </c>
      <c r="N6472" s="1" t="s">
        <v>621</v>
      </c>
      <c r="P6472" s="1" t="s">
        <v>980</v>
      </c>
      <c r="Q6472" s="3">
        <v>0</v>
      </c>
      <c r="R6472" s="22" t="s">
        <v>2721</v>
      </c>
      <c r="S6472" s="42" t="s">
        <v>6912</v>
      </c>
      <c r="T6472" s="3" t="s">
        <v>4869</v>
      </c>
      <c r="U6472" s="45">
        <v>18</v>
      </c>
      <c r="V6472" t="s">
        <v>5049</v>
      </c>
      <c r="W6472" s="1" t="str">
        <f>HYPERLINK("http://ictvonline.org/taxonomy/p/taxonomy-history?taxnode_id=201904398","ICTVonline=201904398")</f>
        <v>ICTVonline=201904398</v>
      </c>
    </row>
    <row r="6473" spans="1:23">
      <c r="A6473" s="3">
        <v>6472</v>
      </c>
      <c r="L6473" s="1" t="s">
        <v>944</v>
      </c>
      <c r="N6473" s="1" t="s">
        <v>621</v>
      </c>
      <c r="P6473" s="1" t="s">
        <v>981</v>
      </c>
      <c r="Q6473" s="3">
        <v>0</v>
      </c>
      <c r="R6473" s="22" t="s">
        <v>2721</v>
      </c>
      <c r="S6473" s="42" t="s">
        <v>6912</v>
      </c>
      <c r="T6473" s="3" t="s">
        <v>4869</v>
      </c>
      <c r="U6473" s="45">
        <v>18</v>
      </c>
      <c r="V6473" t="s">
        <v>5049</v>
      </c>
      <c r="W6473" s="1" t="str">
        <f>HYPERLINK("http://ictvonline.org/taxonomy/p/taxonomy-history?taxnode_id=201904399","ICTVonline=201904399")</f>
        <v>ICTVonline=201904399</v>
      </c>
    </row>
    <row r="6474" spans="1:23">
      <c r="A6474" s="3">
        <v>6473</v>
      </c>
      <c r="L6474" s="1" t="s">
        <v>944</v>
      </c>
      <c r="N6474" s="1" t="s">
        <v>621</v>
      </c>
      <c r="P6474" s="1" t="s">
        <v>982</v>
      </c>
      <c r="Q6474" s="3">
        <v>0</v>
      </c>
      <c r="R6474" s="22" t="s">
        <v>2721</v>
      </c>
      <c r="S6474" s="42" t="s">
        <v>6912</v>
      </c>
      <c r="T6474" s="3" t="s">
        <v>4869</v>
      </c>
      <c r="U6474" s="45">
        <v>18</v>
      </c>
      <c r="V6474" t="s">
        <v>5049</v>
      </c>
      <c r="W6474" s="1" t="str">
        <f>HYPERLINK("http://ictvonline.org/taxonomy/p/taxonomy-history?taxnode_id=201904400","ICTVonline=201904400")</f>
        <v>ICTVonline=201904400</v>
      </c>
    </row>
    <row r="6475" spans="1:23">
      <c r="A6475" s="3">
        <v>6474</v>
      </c>
      <c r="L6475" s="1" t="s">
        <v>944</v>
      </c>
      <c r="N6475" s="1" t="s">
        <v>621</v>
      </c>
      <c r="P6475" s="1" t="s">
        <v>983</v>
      </c>
      <c r="Q6475" s="3">
        <v>0</v>
      </c>
      <c r="R6475" s="22" t="s">
        <v>2721</v>
      </c>
      <c r="S6475" s="42" t="s">
        <v>6912</v>
      </c>
      <c r="T6475" s="3" t="s">
        <v>4869</v>
      </c>
      <c r="U6475" s="45">
        <v>18</v>
      </c>
      <c r="V6475" t="s">
        <v>5049</v>
      </c>
      <c r="W6475" s="1" t="str">
        <f>HYPERLINK("http://ictvonline.org/taxonomy/p/taxonomy-history?taxnode_id=201904401","ICTVonline=201904401")</f>
        <v>ICTVonline=201904401</v>
      </c>
    </row>
    <row r="6476" spans="1:23">
      <c r="A6476" s="3">
        <v>6475</v>
      </c>
      <c r="L6476" s="1" t="s">
        <v>944</v>
      </c>
      <c r="N6476" s="1" t="s">
        <v>621</v>
      </c>
      <c r="P6476" s="1" t="s">
        <v>984</v>
      </c>
      <c r="Q6476" s="3">
        <v>0</v>
      </c>
      <c r="R6476" s="22" t="s">
        <v>2721</v>
      </c>
      <c r="S6476" s="42" t="s">
        <v>6912</v>
      </c>
      <c r="T6476" s="3" t="s">
        <v>4869</v>
      </c>
      <c r="U6476" s="45">
        <v>18</v>
      </c>
      <c r="V6476" t="s">
        <v>5049</v>
      </c>
      <c r="W6476" s="1" t="str">
        <f>HYPERLINK("http://ictvonline.org/taxonomy/p/taxonomy-history?taxnode_id=201904402","ICTVonline=201904402")</f>
        <v>ICTVonline=201904402</v>
      </c>
    </row>
    <row r="6477" spans="1:23">
      <c r="A6477" s="3">
        <v>6476</v>
      </c>
      <c r="L6477" s="1" t="s">
        <v>944</v>
      </c>
      <c r="N6477" s="1" t="s">
        <v>621</v>
      </c>
      <c r="P6477" s="1" t="s">
        <v>985</v>
      </c>
      <c r="Q6477" s="3">
        <v>0</v>
      </c>
      <c r="R6477" s="22" t="s">
        <v>2721</v>
      </c>
      <c r="S6477" s="42" t="s">
        <v>6912</v>
      </c>
      <c r="T6477" s="3" t="s">
        <v>4869</v>
      </c>
      <c r="U6477" s="45">
        <v>18</v>
      </c>
      <c r="V6477" t="s">
        <v>5049</v>
      </c>
      <c r="W6477" s="1" t="str">
        <f>HYPERLINK("http://ictvonline.org/taxonomy/p/taxonomy-history?taxnode_id=201904403","ICTVonline=201904403")</f>
        <v>ICTVonline=201904403</v>
      </c>
    </row>
    <row r="6478" spans="1:23">
      <c r="A6478" s="3">
        <v>6477</v>
      </c>
      <c r="L6478" s="1" t="s">
        <v>944</v>
      </c>
      <c r="N6478" s="1" t="s">
        <v>621</v>
      </c>
      <c r="P6478" s="1" t="s">
        <v>986</v>
      </c>
      <c r="Q6478" s="3">
        <v>0</v>
      </c>
      <c r="R6478" s="22" t="s">
        <v>2721</v>
      </c>
      <c r="S6478" s="42" t="s">
        <v>6912</v>
      </c>
      <c r="T6478" s="3" t="s">
        <v>4869</v>
      </c>
      <c r="U6478" s="45">
        <v>18</v>
      </c>
      <c r="V6478" t="s">
        <v>5049</v>
      </c>
      <c r="W6478" s="1" t="str">
        <f>HYPERLINK("http://ictvonline.org/taxonomy/p/taxonomy-history?taxnode_id=201904404","ICTVonline=201904404")</f>
        <v>ICTVonline=201904404</v>
      </c>
    </row>
    <row r="6479" spans="1:23">
      <c r="A6479" s="3">
        <v>6478</v>
      </c>
      <c r="L6479" s="1" t="s">
        <v>944</v>
      </c>
      <c r="N6479" s="1" t="s">
        <v>621</v>
      </c>
      <c r="P6479" s="1" t="s">
        <v>987</v>
      </c>
      <c r="Q6479" s="3">
        <v>0</v>
      </c>
      <c r="R6479" s="22" t="s">
        <v>2721</v>
      </c>
      <c r="S6479" s="42" t="s">
        <v>6912</v>
      </c>
      <c r="T6479" s="3" t="s">
        <v>4869</v>
      </c>
      <c r="U6479" s="45">
        <v>18</v>
      </c>
      <c r="V6479" t="s">
        <v>5049</v>
      </c>
      <c r="W6479" s="1" t="str">
        <f>HYPERLINK("http://ictvonline.org/taxonomy/p/taxonomy-history?taxnode_id=201904405","ICTVonline=201904405")</f>
        <v>ICTVonline=201904405</v>
      </c>
    </row>
    <row r="6480" spans="1:23">
      <c r="A6480" s="3">
        <v>6479</v>
      </c>
      <c r="L6480" s="1" t="s">
        <v>944</v>
      </c>
      <c r="N6480" s="1" t="s">
        <v>621</v>
      </c>
      <c r="P6480" s="1" t="s">
        <v>988</v>
      </c>
      <c r="Q6480" s="3">
        <v>0</v>
      </c>
      <c r="R6480" s="22" t="s">
        <v>2721</v>
      </c>
      <c r="S6480" s="42" t="s">
        <v>6912</v>
      </c>
      <c r="T6480" s="3" t="s">
        <v>4869</v>
      </c>
      <c r="U6480" s="45">
        <v>18</v>
      </c>
      <c r="V6480" t="s">
        <v>5049</v>
      </c>
      <c r="W6480" s="1" t="str">
        <f>HYPERLINK("http://ictvonline.org/taxonomy/p/taxonomy-history?taxnode_id=201904406","ICTVonline=201904406")</f>
        <v>ICTVonline=201904406</v>
      </c>
    </row>
    <row r="6481" spans="1:23">
      <c r="A6481" s="3">
        <v>6480</v>
      </c>
      <c r="L6481" s="1" t="s">
        <v>944</v>
      </c>
      <c r="N6481" s="1" t="s">
        <v>621</v>
      </c>
      <c r="P6481" s="1" t="s">
        <v>989</v>
      </c>
      <c r="Q6481" s="3">
        <v>0</v>
      </c>
      <c r="R6481" s="22" t="s">
        <v>2721</v>
      </c>
      <c r="S6481" s="42" t="s">
        <v>6912</v>
      </c>
      <c r="T6481" s="3" t="s">
        <v>4869</v>
      </c>
      <c r="U6481" s="45">
        <v>18</v>
      </c>
      <c r="V6481" t="s">
        <v>5049</v>
      </c>
      <c r="W6481" s="1" t="str">
        <f>HYPERLINK("http://ictvonline.org/taxonomy/p/taxonomy-history?taxnode_id=201904407","ICTVonline=201904407")</f>
        <v>ICTVonline=201904407</v>
      </c>
    </row>
    <row r="6482" spans="1:23">
      <c r="A6482" s="3">
        <v>6481</v>
      </c>
      <c r="L6482" s="1" t="s">
        <v>944</v>
      </c>
      <c r="N6482" s="1" t="s">
        <v>621</v>
      </c>
      <c r="P6482" s="1" t="s">
        <v>990</v>
      </c>
      <c r="Q6482" s="3">
        <v>0</v>
      </c>
      <c r="R6482" s="22" t="s">
        <v>2721</v>
      </c>
      <c r="S6482" s="42" t="s">
        <v>6912</v>
      </c>
      <c r="T6482" s="3" t="s">
        <v>4869</v>
      </c>
      <c r="U6482" s="45">
        <v>18</v>
      </c>
      <c r="V6482" t="s">
        <v>5049</v>
      </c>
      <c r="W6482" s="1" t="str">
        <f>HYPERLINK("http://ictvonline.org/taxonomy/p/taxonomy-history?taxnode_id=201904408","ICTVonline=201904408")</f>
        <v>ICTVonline=201904408</v>
      </c>
    </row>
    <row r="6483" spans="1:23">
      <c r="A6483" s="3">
        <v>6482</v>
      </c>
      <c r="L6483" s="1" t="s">
        <v>5493</v>
      </c>
      <c r="N6483" s="1" t="s">
        <v>5494</v>
      </c>
      <c r="P6483" s="1" t="s">
        <v>8794</v>
      </c>
      <c r="Q6483" s="3">
        <v>0</v>
      </c>
      <c r="R6483" s="22" t="s">
        <v>2721</v>
      </c>
      <c r="S6483" s="42" t="s">
        <v>6914</v>
      </c>
      <c r="T6483" s="3" t="s">
        <v>4866</v>
      </c>
      <c r="U6483" s="45">
        <v>35</v>
      </c>
      <c r="V6483" t="s">
        <v>8795</v>
      </c>
      <c r="W6483" s="1" t="str">
        <f>HYPERLINK("http://ictvonline.org/taxonomy/p/taxonomy-history?taxnode_id=201908646","ICTVonline=201908646")</f>
        <v>ICTVonline=201908646</v>
      </c>
    </row>
    <row r="6484" spans="1:23">
      <c r="A6484" s="3">
        <v>6483</v>
      </c>
      <c r="L6484" s="1" t="s">
        <v>5493</v>
      </c>
      <c r="N6484" s="1" t="s">
        <v>5494</v>
      </c>
      <c r="P6484" s="1" t="s">
        <v>5495</v>
      </c>
      <c r="Q6484" s="3">
        <v>1</v>
      </c>
      <c r="R6484" s="22" t="s">
        <v>2721</v>
      </c>
      <c r="S6484" s="42" t="s">
        <v>6912</v>
      </c>
      <c r="T6484" s="3" t="s">
        <v>4866</v>
      </c>
      <c r="U6484" s="45">
        <v>32</v>
      </c>
      <c r="V6484" t="s">
        <v>5496</v>
      </c>
      <c r="W6484" s="1" t="str">
        <f>HYPERLINK("http://ictvonline.org/taxonomy/p/taxonomy-history?taxnode_id=201905912","ICTVonline=201905912")</f>
        <v>ICTVonline=201905912</v>
      </c>
    </row>
    <row r="6485" spans="1:23">
      <c r="A6485" s="3">
        <v>6484</v>
      </c>
      <c r="L6485" s="1" t="s">
        <v>2028</v>
      </c>
      <c r="N6485" s="1" t="s">
        <v>2029</v>
      </c>
      <c r="P6485" s="1" t="s">
        <v>2030</v>
      </c>
      <c r="Q6485" s="3">
        <v>0</v>
      </c>
      <c r="R6485" s="22" t="s">
        <v>5889</v>
      </c>
      <c r="S6485" s="42" t="s">
        <v>6912</v>
      </c>
      <c r="T6485" s="3" t="s">
        <v>4868</v>
      </c>
      <c r="U6485" s="45">
        <v>35</v>
      </c>
      <c r="V6485" t="s">
        <v>8771</v>
      </c>
      <c r="W6485" s="1" t="str">
        <f>HYPERLINK("http://ictvonline.org/taxonomy/p/taxonomy-history?taxnode_id=201904499","ICTVonline=201904499")</f>
        <v>ICTVonline=201904499</v>
      </c>
    </row>
    <row r="6486" spans="1:23">
      <c r="A6486" s="3">
        <v>6485</v>
      </c>
      <c r="L6486" s="1" t="s">
        <v>2028</v>
      </c>
      <c r="N6486" s="1" t="s">
        <v>2029</v>
      </c>
      <c r="P6486" s="1" t="s">
        <v>2031</v>
      </c>
      <c r="Q6486" s="3">
        <v>1</v>
      </c>
      <c r="R6486" s="22" t="s">
        <v>5889</v>
      </c>
      <c r="S6486" s="42" t="s">
        <v>6912</v>
      </c>
      <c r="T6486" s="3" t="s">
        <v>4868</v>
      </c>
      <c r="U6486" s="45">
        <v>35</v>
      </c>
      <c r="V6486" t="s">
        <v>8771</v>
      </c>
      <c r="W6486" s="1" t="str">
        <f>HYPERLINK("http://ictvonline.org/taxonomy/p/taxonomy-history?taxnode_id=201904500","ICTVonline=201904500")</f>
        <v>ICTVonline=201904500</v>
      </c>
    </row>
    <row r="6487" spans="1:23">
      <c r="A6487" s="3">
        <v>6486</v>
      </c>
      <c r="L6487" s="1" t="s">
        <v>2028</v>
      </c>
      <c r="N6487" s="1" t="s">
        <v>2029</v>
      </c>
      <c r="P6487" s="1" t="s">
        <v>2032</v>
      </c>
      <c r="Q6487" s="3">
        <v>0</v>
      </c>
      <c r="R6487" s="22" t="s">
        <v>5889</v>
      </c>
      <c r="S6487" s="42" t="s">
        <v>6912</v>
      </c>
      <c r="T6487" s="3" t="s">
        <v>4868</v>
      </c>
      <c r="U6487" s="45">
        <v>35</v>
      </c>
      <c r="V6487" t="s">
        <v>8771</v>
      </c>
      <c r="W6487" s="1" t="str">
        <f>HYPERLINK("http://ictvonline.org/taxonomy/p/taxonomy-history?taxnode_id=201904501","ICTVonline=201904501")</f>
        <v>ICTVonline=201904501</v>
      </c>
    </row>
    <row r="6488" spans="1:23">
      <c r="A6488" s="3">
        <v>6487</v>
      </c>
      <c r="L6488" s="1" t="s">
        <v>2028</v>
      </c>
      <c r="N6488" s="1" t="s">
        <v>2029</v>
      </c>
      <c r="P6488" s="1" t="s">
        <v>2033</v>
      </c>
      <c r="Q6488" s="3">
        <v>0</v>
      </c>
      <c r="R6488" s="22" t="s">
        <v>5889</v>
      </c>
      <c r="S6488" s="42" t="s">
        <v>6912</v>
      </c>
      <c r="T6488" s="3" t="s">
        <v>4868</v>
      </c>
      <c r="U6488" s="45">
        <v>35</v>
      </c>
      <c r="V6488" t="s">
        <v>8771</v>
      </c>
      <c r="W6488" s="1" t="str">
        <f>HYPERLINK("http://ictvonline.org/taxonomy/p/taxonomy-history?taxnode_id=201904502","ICTVonline=201904502")</f>
        <v>ICTVonline=201904502</v>
      </c>
    </row>
    <row r="6489" spans="1:23">
      <c r="A6489" s="3">
        <v>6488</v>
      </c>
      <c r="L6489" s="1" t="s">
        <v>2028</v>
      </c>
      <c r="N6489" s="1" t="s">
        <v>2029</v>
      </c>
      <c r="P6489" s="1" t="s">
        <v>2034</v>
      </c>
      <c r="Q6489" s="3">
        <v>0</v>
      </c>
      <c r="R6489" s="22" t="s">
        <v>5889</v>
      </c>
      <c r="S6489" s="42" t="s">
        <v>6912</v>
      </c>
      <c r="T6489" s="3" t="s">
        <v>4868</v>
      </c>
      <c r="U6489" s="45">
        <v>35</v>
      </c>
      <c r="V6489" t="s">
        <v>8771</v>
      </c>
      <c r="W6489" s="1" t="str">
        <f>HYPERLINK("http://ictvonline.org/taxonomy/p/taxonomy-history?taxnode_id=201904503","ICTVonline=201904503")</f>
        <v>ICTVonline=201904503</v>
      </c>
    </row>
    <row r="6490" spans="1:23">
      <c r="A6490" s="3">
        <v>6489</v>
      </c>
      <c r="L6490" s="1" t="s">
        <v>2028</v>
      </c>
      <c r="N6490" s="1" t="s">
        <v>2029</v>
      </c>
      <c r="P6490" s="1" t="s">
        <v>2133</v>
      </c>
      <c r="Q6490" s="3">
        <v>0</v>
      </c>
      <c r="R6490" s="22" t="s">
        <v>5889</v>
      </c>
      <c r="S6490" s="42" t="s">
        <v>6912</v>
      </c>
      <c r="T6490" s="3" t="s">
        <v>4868</v>
      </c>
      <c r="U6490" s="45">
        <v>35</v>
      </c>
      <c r="V6490" t="s">
        <v>8771</v>
      </c>
      <c r="W6490" s="1" t="str">
        <f>HYPERLINK("http://ictvonline.org/taxonomy/p/taxonomy-history?taxnode_id=201904504","ICTVonline=201904504")</f>
        <v>ICTVonline=201904504</v>
      </c>
    </row>
    <row r="6491" spans="1:23">
      <c r="A6491" s="3">
        <v>6490</v>
      </c>
      <c r="L6491" s="1" t="s">
        <v>2028</v>
      </c>
      <c r="N6491" s="1" t="s">
        <v>2029</v>
      </c>
      <c r="P6491" s="1" t="s">
        <v>2134</v>
      </c>
      <c r="Q6491" s="3">
        <v>0</v>
      </c>
      <c r="R6491" s="22" t="s">
        <v>5889</v>
      </c>
      <c r="S6491" s="42" t="s">
        <v>6912</v>
      </c>
      <c r="T6491" s="3" t="s">
        <v>4868</v>
      </c>
      <c r="U6491" s="45">
        <v>35</v>
      </c>
      <c r="V6491" t="s">
        <v>8771</v>
      </c>
      <c r="W6491" s="1" t="str">
        <f>HYPERLINK("http://ictvonline.org/taxonomy/p/taxonomy-history?taxnode_id=201904505","ICTVonline=201904505")</f>
        <v>ICTVonline=201904505</v>
      </c>
    </row>
    <row r="6492" spans="1:23">
      <c r="A6492" s="3">
        <v>6491</v>
      </c>
      <c r="L6492" s="1" t="s">
        <v>2028</v>
      </c>
      <c r="N6492" s="1" t="s">
        <v>2029</v>
      </c>
      <c r="P6492" s="1" t="s">
        <v>2035</v>
      </c>
      <c r="Q6492" s="3">
        <v>0</v>
      </c>
      <c r="R6492" s="22" t="s">
        <v>5889</v>
      </c>
      <c r="S6492" s="42" t="s">
        <v>6912</v>
      </c>
      <c r="T6492" s="3" t="s">
        <v>4868</v>
      </c>
      <c r="U6492" s="45">
        <v>35</v>
      </c>
      <c r="V6492" t="s">
        <v>8771</v>
      </c>
      <c r="W6492" s="1" t="str">
        <f>HYPERLINK("http://ictvonline.org/taxonomy/p/taxonomy-history?taxnode_id=201904506","ICTVonline=201904506")</f>
        <v>ICTVonline=201904506</v>
      </c>
    </row>
    <row r="6493" spans="1:23">
      <c r="A6493" s="3">
        <v>6492</v>
      </c>
      <c r="L6493" s="1" t="s">
        <v>2028</v>
      </c>
      <c r="N6493" s="1" t="s">
        <v>2029</v>
      </c>
      <c r="P6493" s="1" t="s">
        <v>2036</v>
      </c>
      <c r="Q6493" s="3">
        <v>0</v>
      </c>
      <c r="R6493" s="22" t="s">
        <v>5889</v>
      </c>
      <c r="S6493" s="42" t="s">
        <v>6912</v>
      </c>
      <c r="T6493" s="3" t="s">
        <v>4868</v>
      </c>
      <c r="U6493" s="45">
        <v>35</v>
      </c>
      <c r="V6493" t="s">
        <v>8771</v>
      </c>
      <c r="W6493" s="1" t="str">
        <f>HYPERLINK("http://ictvonline.org/taxonomy/p/taxonomy-history?taxnode_id=201904507","ICTVonline=201904507")</f>
        <v>ICTVonline=201904507</v>
      </c>
    </row>
    <row r="6494" spans="1:23">
      <c r="A6494" s="3">
        <v>6493</v>
      </c>
      <c r="L6494" s="1" t="s">
        <v>2028</v>
      </c>
      <c r="N6494" s="1" t="s">
        <v>2029</v>
      </c>
      <c r="P6494" s="1" t="s">
        <v>2037</v>
      </c>
      <c r="Q6494" s="3">
        <v>0</v>
      </c>
      <c r="R6494" s="22" t="s">
        <v>5889</v>
      </c>
      <c r="S6494" s="42" t="s">
        <v>6912</v>
      </c>
      <c r="T6494" s="3" t="s">
        <v>4868</v>
      </c>
      <c r="U6494" s="45">
        <v>35</v>
      </c>
      <c r="V6494" t="s">
        <v>8771</v>
      </c>
      <c r="W6494" s="1" t="str">
        <f>HYPERLINK("http://ictvonline.org/taxonomy/p/taxonomy-history?taxnode_id=201904508","ICTVonline=201904508")</f>
        <v>ICTVonline=201904508</v>
      </c>
    </row>
    <row r="6495" spans="1:23">
      <c r="A6495" s="3">
        <v>6494</v>
      </c>
      <c r="L6495" s="1" t="s">
        <v>2028</v>
      </c>
      <c r="N6495" s="1" t="s">
        <v>2038</v>
      </c>
      <c r="P6495" s="1" t="s">
        <v>2039</v>
      </c>
      <c r="Q6495" s="3">
        <v>0</v>
      </c>
      <c r="R6495" s="22" t="s">
        <v>5889</v>
      </c>
      <c r="S6495" s="42" t="s">
        <v>6912</v>
      </c>
      <c r="T6495" s="3" t="s">
        <v>4868</v>
      </c>
      <c r="U6495" s="45">
        <v>35</v>
      </c>
      <c r="V6495" t="s">
        <v>8771</v>
      </c>
      <c r="W6495" s="1" t="str">
        <f>HYPERLINK("http://ictvonline.org/taxonomy/p/taxonomy-history?taxnode_id=201904510","ICTVonline=201904510")</f>
        <v>ICTVonline=201904510</v>
      </c>
    </row>
    <row r="6496" spans="1:23">
      <c r="A6496" s="3">
        <v>6495</v>
      </c>
      <c r="L6496" s="1" t="s">
        <v>2028</v>
      </c>
      <c r="N6496" s="1" t="s">
        <v>2038</v>
      </c>
      <c r="P6496" s="1" t="s">
        <v>2040</v>
      </c>
      <c r="Q6496" s="3">
        <v>1</v>
      </c>
      <c r="R6496" s="22" t="s">
        <v>5889</v>
      </c>
      <c r="S6496" s="42" t="s">
        <v>6912</v>
      </c>
      <c r="T6496" s="3" t="s">
        <v>4868</v>
      </c>
      <c r="U6496" s="45">
        <v>35</v>
      </c>
      <c r="V6496" t="s">
        <v>8771</v>
      </c>
      <c r="W6496" s="1" t="str">
        <f>HYPERLINK("http://ictvonline.org/taxonomy/p/taxonomy-history?taxnode_id=201904511","ICTVonline=201904511")</f>
        <v>ICTVonline=201904511</v>
      </c>
    </row>
    <row r="6497" spans="1:23">
      <c r="A6497" s="3">
        <v>6496</v>
      </c>
      <c r="L6497" s="1" t="s">
        <v>2028</v>
      </c>
      <c r="N6497" s="1" t="s">
        <v>2038</v>
      </c>
      <c r="P6497" s="1" t="s">
        <v>2041</v>
      </c>
      <c r="Q6497" s="3">
        <v>0</v>
      </c>
      <c r="R6497" s="22" t="s">
        <v>5889</v>
      </c>
      <c r="S6497" s="42" t="s">
        <v>6912</v>
      </c>
      <c r="T6497" s="3" t="s">
        <v>4868</v>
      </c>
      <c r="U6497" s="45">
        <v>35</v>
      </c>
      <c r="V6497" t="s">
        <v>8771</v>
      </c>
      <c r="W6497" s="1" t="str">
        <f>HYPERLINK("http://ictvonline.org/taxonomy/p/taxonomy-history?taxnode_id=201904512","ICTVonline=201904512")</f>
        <v>ICTVonline=201904512</v>
      </c>
    </row>
    <row r="6498" spans="1:23">
      <c r="A6498" s="3">
        <v>6497</v>
      </c>
      <c r="L6498" s="1" t="s">
        <v>2028</v>
      </c>
      <c r="N6498" s="1" t="s">
        <v>2038</v>
      </c>
      <c r="P6498" s="1" t="s">
        <v>2042</v>
      </c>
      <c r="Q6498" s="3">
        <v>0</v>
      </c>
      <c r="R6498" s="22" t="s">
        <v>5889</v>
      </c>
      <c r="S6498" s="42" t="s">
        <v>6912</v>
      </c>
      <c r="T6498" s="3" t="s">
        <v>4868</v>
      </c>
      <c r="U6498" s="45">
        <v>35</v>
      </c>
      <c r="V6498" t="s">
        <v>8771</v>
      </c>
      <c r="W6498" s="1" t="str">
        <f>HYPERLINK("http://ictvonline.org/taxonomy/p/taxonomy-history?taxnode_id=201904513","ICTVonline=201904513")</f>
        <v>ICTVonline=201904513</v>
      </c>
    </row>
    <row r="6499" spans="1:23">
      <c r="A6499" s="3">
        <v>6498</v>
      </c>
      <c r="L6499" s="1" t="s">
        <v>2028</v>
      </c>
      <c r="N6499" s="1" t="s">
        <v>464</v>
      </c>
      <c r="P6499" s="1" t="s">
        <v>465</v>
      </c>
      <c r="Q6499" s="3">
        <v>1</v>
      </c>
      <c r="R6499" s="22" t="s">
        <v>5889</v>
      </c>
      <c r="S6499" s="42" t="s">
        <v>6912</v>
      </c>
      <c r="T6499" s="3" t="s">
        <v>4868</v>
      </c>
      <c r="U6499" s="45">
        <v>35</v>
      </c>
      <c r="V6499" t="s">
        <v>8771</v>
      </c>
      <c r="W6499" s="1" t="str">
        <f>HYPERLINK("http://ictvonline.org/taxonomy/p/taxonomy-history?taxnode_id=201904515","ICTVonline=201904515")</f>
        <v>ICTVonline=201904515</v>
      </c>
    </row>
    <row r="6500" spans="1:23">
      <c r="A6500" s="3">
        <v>6499</v>
      </c>
      <c r="L6500" s="1" t="s">
        <v>2028</v>
      </c>
      <c r="N6500" s="1" t="s">
        <v>464</v>
      </c>
      <c r="P6500" s="1" t="s">
        <v>466</v>
      </c>
      <c r="Q6500" s="3">
        <v>0</v>
      </c>
      <c r="R6500" s="22" t="s">
        <v>5889</v>
      </c>
      <c r="S6500" s="42" t="s">
        <v>6912</v>
      </c>
      <c r="T6500" s="3" t="s">
        <v>4868</v>
      </c>
      <c r="U6500" s="45">
        <v>35</v>
      </c>
      <c r="V6500" t="s">
        <v>8771</v>
      </c>
      <c r="W6500" s="1" t="str">
        <f>HYPERLINK("http://ictvonline.org/taxonomy/p/taxonomy-history?taxnode_id=201904516","ICTVonline=201904516")</f>
        <v>ICTVonline=201904516</v>
      </c>
    </row>
    <row r="6501" spans="1:23">
      <c r="A6501" s="3">
        <v>6500</v>
      </c>
      <c r="L6501" s="1" t="s">
        <v>2028</v>
      </c>
      <c r="N6501" s="1" t="s">
        <v>464</v>
      </c>
      <c r="P6501" s="1" t="s">
        <v>467</v>
      </c>
      <c r="Q6501" s="3">
        <v>0</v>
      </c>
      <c r="R6501" s="22" t="s">
        <v>5889</v>
      </c>
      <c r="S6501" s="42" t="s">
        <v>6912</v>
      </c>
      <c r="T6501" s="3" t="s">
        <v>4868</v>
      </c>
      <c r="U6501" s="45">
        <v>35</v>
      </c>
      <c r="V6501" t="s">
        <v>8771</v>
      </c>
      <c r="W6501" s="1" t="str">
        <f>HYPERLINK("http://ictvonline.org/taxonomy/p/taxonomy-history?taxnode_id=201904517","ICTVonline=201904517")</f>
        <v>ICTVonline=201904517</v>
      </c>
    </row>
    <row r="6502" spans="1:23">
      <c r="A6502" s="3">
        <v>6501</v>
      </c>
      <c r="L6502" s="1" t="s">
        <v>2028</v>
      </c>
      <c r="N6502" s="1" t="s">
        <v>468</v>
      </c>
      <c r="P6502" s="1" t="s">
        <v>2669</v>
      </c>
      <c r="Q6502" s="3">
        <v>0</v>
      </c>
      <c r="R6502" s="22" t="s">
        <v>5889</v>
      </c>
      <c r="S6502" s="42" t="s">
        <v>6912</v>
      </c>
      <c r="T6502" s="3" t="s">
        <v>4868</v>
      </c>
      <c r="U6502" s="45">
        <v>35</v>
      </c>
      <c r="V6502" t="s">
        <v>8771</v>
      </c>
      <c r="W6502" s="1" t="str">
        <f>HYPERLINK("http://ictvonline.org/taxonomy/p/taxonomy-history?taxnode_id=201904519","ICTVonline=201904519")</f>
        <v>ICTVonline=201904519</v>
      </c>
    </row>
    <row r="6503" spans="1:23">
      <c r="A6503" s="3">
        <v>6502</v>
      </c>
      <c r="L6503" s="1" t="s">
        <v>2028</v>
      </c>
      <c r="N6503" s="1" t="s">
        <v>468</v>
      </c>
      <c r="P6503" s="1" t="s">
        <v>469</v>
      </c>
      <c r="Q6503" s="3">
        <v>1</v>
      </c>
      <c r="R6503" s="22" t="s">
        <v>5889</v>
      </c>
      <c r="S6503" s="42" t="s">
        <v>6912</v>
      </c>
      <c r="T6503" s="3" t="s">
        <v>4868</v>
      </c>
      <c r="U6503" s="45">
        <v>35</v>
      </c>
      <c r="V6503" t="s">
        <v>8771</v>
      </c>
      <c r="W6503" s="1" t="str">
        <f>HYPERLINK("http://ictvonline.org/taxonomy/p/taxonomy-history?taxnode_id=201904520","ICTVonline=201904520")</f>
        <v>ICTVonline=201904520</v>
      </c>
    </row>
    <row r="6504" spans="1:23">
      <c r="A6504" s="3">
        <v>6503</v>
      </c>
      <c r="L6504" s="1" t="s">
        <v>2028</v>
      </c>
      <c r="N6504" s="1" t="s">
        <v>470</v>
      </c>
      <c r="P6504" s="1" t="s">
        <v>471</v>
      </c>
      <c r="Q6504" s="3">
        <v>0</v>
      </c>
      <c r="R6504" s="22" t="s">
        <v>5889</v>
      </c>
      <c r="S6504" s="42" t="s">
        <v>6912</v>
      </c>
      <c r="T6504" s="3" t="s">
        <v>4868</v>
      </c>
      <c r="U6504" s="45">
        <v>35</v>
      </c>
      <c r="V6504" t="s">
        <v>8771</v>
      </c>
      <c r="W6504" s="1" t="str">
        <f>HYPERLINK("http://ictvonline.org/taxonomy/p/taxonomy-history?taxnode_id=201904522","ICTVonline=201904522")</f>
        <v>ICTVonline=201904522</v>
      </c>
    </row>
    <row r="6505" spans="1:23">
      <c r="A6505" s="3">
        <v>6504</v>
      </c>
      <c r="L6505" s="1" t="s">
        <v>2028</v>
      </c>
      <c r="N6505" s="1" t="s">
        <v>470</v>
      </c>
      <c r="P6505" s="1" t="s">
        <v>472</v>
      </c>
      <c r="Q6505" s="3">
        <v>0</v>
      </c>
      <c r="R6505" s="22" t="s">
        <v>5889</v>
      </c>
      <c r="S6505" s="42" t="s">
        <v>6912</v>
      </c>
      <c r="T6505" s="3" t="s">
        <v>4868</v>
      </c>
      <c r="U6505" s="45">
        <v>35</v>
      </c>
      <c r="V6505" t="s">
        <v>8771</v>
      </c>
      <c r="W6505" s="1" t="str">
        <f>HYPERLINK("http://ictvonline.org/taxonomy/p/taxonomy-history?taxnode_id=201904523","ICTVonline=201904523")</f>
        <v>ICTVonline=201904523</v>
      </c>
    </row>
    <row r="6506" spans="1:23">
      <c r="A6506" s="3">
        <v>6505</v>
      </c>
      <c r="L6506" s="1" t="s">
        <v>2028</v>
      </c>
      <c r="N6506" s="1" t="s">
        <v>470</v>
      </c>
      <c r="P6506" s="1" t="s">
        <v>473</v>
      </c>
      <c r="Q6506" s="3">
        <v>0</v>
      </c>
      <c r="R6506" s="22" t="s">
        <v>5889</v>
      </c>
      <c r="S6506" s="42" t="s">
        <v>6912</v>
      </c>
      <c r="T6506" s="3" t="s">
        <v>4868</v>
      </c>
      <c r="U6506" s="45">
        <v>35</v>
      </c>
      <c r="V6506" t="s">
        <v>8771</v>
      </c>
      <c r="W6506" s="1" t="str">
        <f>HYPERLINK("http://ictvonline.org/taxonomy/p/taxonomy-history?taxnode_id=201904524","ICTVonline=201904524")</f>
        <v>ICTVonline=201904524</v>
      </c>
    </row>
    <row r="6507" spans="1:23">
      <c r="A6507" s="3">
        <v>6506</v>
      </c>
      <c r="L6507" s="1" t="s">
        <v>2028</v>
      </c>
      <c r="N6507" s="1" t="s">
        <v>470</v>
      </c>
      <c r="P6507" s="1" t="s">
        <v>474</v>
      </c>
      <c r="Q6507" s="3">
        <v>0</v>
      </c>
      <c r="R6507" s="22" t="s">
        <v>5889</v>
      </c>
      <c r="S6507" s="42" t="s">
        <v>6912</v>
      </c>
      <c r="T6507" s="3" t="s">
        <v>4868</v>
      </c>
      <c r="U6507" s="45">
        <v>35</v>
      </c>
      <c r="V6507" t="s">
        <v>8771</v>
      </c>
      <c r="W6507" s="1" t="str">
        <f>HYPERLINK("http://ictvonline.org/taxonomy/p/taxonomy-history?taxnode_id=201904525","ICTVonline=201904525")</f>
        <v>ICTVonline=201904525</v>
      </c>
    </row>
    <row r="6508" spans="1:23">
      <c r="A6508" s="3">
        <v>6507</v>
      </c>
      <c r="L6508" s="1" t="s">
        <v>2028</v>
      </c>
      <c r="N6508" s="1" t="s">
        <v>470</v>
      </c>
      <c r="P6508" s="1" t="s">
        <v>191</v>
      </c>
      <c r="Q6508" s="3">
        <v>0</v>
      </c>
      <c r="R6508" s="22" t="s">
        <v>5889</v>
      </c>
      <c r="S6508" s="42" t="s">
        <v>6912</v>
      </c>
      <c r="T6508" s="3" t="s">
        <v>4868</v>
      </c>
      <c r="U6508" s="45">
        <v>35</v>
      </c>
      <c r="V6508" t="s">
        <v>8771</v>
      </c>
      <c r="W6508" s="1" t="str">
        <f>HYPERLINK("http://ictvonline.org/taxonomy/p/taxonomy-history?taxnode_id=201904526","ICTVonline=201904526")</f>
        <v>ICTVonline=201904526</v>
      </c>
    </row>
    <row r="6509" spans="1:23">
      <c r="A6509" s="3">
        <v>6508</v>
      </c>
      <c r="L6509" s="1" t="s">
        <v>2028</v>
      </c>
      <c r="N6509" s="1" t="s">
        <v>470</v>
      </c>
      <c r="P6509" s="1" t="s">
        <v>475</v>
      </c>
      <c r="Q6509" s="3">
        <v>1</v>
      </c>
      <c r="R6509" s="22" t="s">
        <v>5889</v>
      </c>
      <c r="S6509" s="42" t="s">
        <v>6912</v>
      </c>
      <c r="T6509" s="3" t="s">
        <v>4868</v>
      </c>
      <c r="U6509" s="45">
        <v>35</v>
      </c>
      <c r="V6509" t="s">
        <v>8771</v>
      </c>
      <c r="W6509" s="1" t="str">
        <f>HYPERLINK("http://ictvonline.org/taxonomy/p/taxonomy-history?taxnode_id=201904527","ICTVonline=201904527")</f>
        <v>ICTVonline=201904527</v>
      </c>
    </row>
    <row r="6510" spans="1:23">
      <c r="A6510" s="3">
        <v>6509</v>
      </c>
      <c r="L6510" s="1" t="s">
        <v>2028</v>
      </c>
      <c r="N6510" s="1" t="s">
        <v>470</v>
      </c>
      <c r="P6510" s="1" t="s">
        <v>476</v>
      </c>
      <c r="Q6510" s="3">
        <v>0</v>
      </c>
      <c r="R6510" s="22" t="s">
        <v>5889</v>
      </c>
      <c r="S6510" s="42" t="s">
        <v>6912</v>
      </c>
      <c r="T6510" s="3" t="s">
        <v>4868</v>
      </c>
      <c r="U6510" s="45">
        <v>35</v>
      </c>
      <c r="V6510" t="s">
        <v>8771</v>
      </c>
      <c r="W6510" s="1" t="str">
        <f>HYPERLINK("http://ictvonline.org/taxonomy/p/taxonomy-history?taxnode_id=201904528","ICTVonline=201904528")</f>
        <v>ICTVonline=201904528</v>
      </c>
    </row>
    <row r="6511" spans="1:23">
      <c r="A6511" s="3">
        <v>6510</v>
      </c>
      <c r="L6511" s="1" t="s">
        <v>2028</v>
      </c>
      <c r="N6511" s="1" t="s">
        <v>470</v>
      </c>
      <c r="P6511" s="1" t="s">
        <v>477</v>
      </c>
      <c r="Q6511" s="3">
        <v>0</v>
      </c>
      <c r="R6511" s="22" t="s">
        <v>5889</v>
      </c>
      <c r="S6511" s="42" t="s">
        <v>6912</v>
      </c>
      <c r="T6511" s="3" t="s">
        <v>4868</v>
      </c>
      <c r="U6511" s="45">
        <v>35</v>
      </c>
      <c r="V6511" t="s">
        <v>8771</v>
      </c>
      <c r="W6511" s="1" t="str">
        <f>HYPERLINK("http://ictvonline.org/taxonomy/p/taxonomy-history?taxnode_id=201904529","ICTVonline=201904529")</f>
        <v>ICTVonline=201904529</v>
      </c>
    </row>
    <row r="6512" spans="1:23">
      <c r="A6512" s="3">
        <v>6511</v>
      </c>
      <c r="L6512" s="1" t="s">
        <v>2028</v>
      </c>
      <c r="N6512" s="1" t="s">
        <v>470</v>
      </c>
      <c r="P6512" s="1" t="s">
        <v>478</v>
      </c>
      <c r="Q6512" s="3">
        <v>0</v>
      </c>
      <c r="R6512" s="22" t="s">
        <v>5889</v>
      </c>
      <c r="S6512" s="42" t="s">
        <v>6912</v>
      </c>
      <c r="T6512" s="3" t="s">
        <v>4868</v>
      </c>
      <c r="U6512" s="45">
        <v>35</v>
      </c>
      <c r="V6512" t="s">
        <v>8771</v>
      </c>
      <c r="W6512" s="1" t="str">
        <f>HYPERLINK("http://ictvonline.org/taxonomy/p/taxonomy-history?taxnode_id=201904530","ICTVonline=201904530")</f>
        <v>ICTVonline=201904530</v>
      </c>
    </row>
    <row r="6513" spans="1:23">
      <c r="A6513" s="3">
        <v>6512</v>
      </c>
      <c r="L6513" s="1" t="s">
        <v>2577</v>
      </c>
      <c r="N6513" s="1" t="s">
        <v>2578</v>
      </c>
      <c r="P6513" s="1" t="s">
        <v>2579</v>
      </c>
      <c r="Q6513" s="3">
        <v>1</v>
      </c>
      <c r="R6513" s="22" t="s">
        <v>3786</v>
      </c>
      <c r="S6513" s="42" t="s">
        <v>6912</v>
      </c>
      <c r="T6513" s="3" t="s">
        <v>4866</v>
      </c>
      <c r="U6513" s="45">
        <v>28</v>
      </c>
      <c r="V6513" t="s">
        <v>5563</v>
      </c>
      <c r="W6513" s="1" t="str">
        <f>HYPERLINK("http://ictvonline.org/taxonomy/p/taxonomy-history?taxnode_id=201905069","ICTVonline=201905069")</f>
        <v>ICTVonline=201905069</v>
      </c>
    </row>
    <row r="6514" spans="1:23">
      <c r="A6514" s="3">
        <v>6513</v>
      </c>
      <c r="L6514" s="1" t="s">
        <v>8796</v>
      </c>
      <c r="N6514" s="1" t="s">
        <v>8797</v>
      </c>
      <c r="P6514" s="1" t="s">
        <v>8798</v>
      </c>
      <c r="Q6514" s="3">
        <v>1</v>
      </c>
      <c r="R6514" s="22" t="s">
        <v>2721</v>
      </c>
      <c r="S6514" s="42" t="s">
        <v>6914</v>
      </c>
      <c r="T6514" s="3" t="s">
        <v>4866</v>
      </c>
      <c r="U6514" s="45">
        <v>35</v>
      </c>
      <c r="V6514" t="s">
        <v>8799</v>
      </c>
      <c r="W6514" s="1" t="str">
        <f>HYPERLINK("http://ictvonline.org/taxonomy/p/taxonomy-history?taxnode_id=201908059","ICTVonline=201908059")</f>
        <v>ICTVonline=201908059</v>
      </c>
    </row>
    <row r="6515" spans="1:23">
      <c r="A6515" s="3">
        <v>6514</v>
      </c>
      <c r="L6515" s="1" t="s">
        <v>4780</v>
      </c>
      <c r="N6515" s="1" t="s">
        <v>4781</v>
      </c>
      <c r="P6515" s="1" t="s">
        <v>4782</v>
      </c>
      <c r="Q6515" s="3">
        <v>0</v>
      </c>
      <c r="R6515" s="22" t="s">
        <v>2724</v>
      </c>
      <c r="S6515" s="42" t="s">
        <v>6912</v>
      </c>
      <c r="T6515" s="3" t="s">
        <v>4866</v>
      </c>
      <c r="U6515" s="45">
        <v>31</v>
      </c>
      <c r="V6515" t="s">
        <v>5571</v>
      </c>
      <c r="W6515" s="1" t="str">
        <f>HYPERLINK("http://ictvonline.org/taxonomy/p/taxonomy-history?taxnode_id=201905119","ICTVonline=201905119")</f>
        <v>ICTVonline=201905119</v>
      </c>
    </row>
    <row r="6516" spans="1:23">
      <c r="A6516" s="3">
        <v>6515</v>
      </c>
      <c r="L6516" s="1" t="s">
        <v>4780</v>
      </c>
      <c r="N6516" s="1" t="s">
        <v>4781</v>
      </c>
      <c r="P6516" s="1" t="s">
        <v>4783</v>
      </c>
      <c r="Q6516" s="3">
        <v>0</v>
      </c>
      <c r="R6516" s="22" t="s">
        <v>2724</v>
      </c>
      <c r="S6516" s="42" t="s">
        <v>6912</v>
      </c>
      <c r="T6516" s="3" t="s">
        <v>4866</v>
      </c>
      <c r="U6516" s="45">
        <v>31</v>
      </c>
      <c r="V6516" t="s">
        <v>5571</v>
      </c>
      <c r="W6516" s="1" t="str">
        <f>HYPERLINK("http://ictvonline.org/taxonomy/p/taxonomy-history?taxnode_id=201905120","ICTVonline=201905120")</f>
        <v>ICTVonline=201905120</v>
      </c>
    </row>
    <row r="6517" spans="1:23">
      <c r="A6517" s="3">
        <v>6516</v>
      </c>
      <c r="L6517" s="1" t="s">
        <v>4780</v>
      </c>
      <c r="N6517" s="1" t="s">
        <v>4781</v>
      </c>
      <c r="P6517" s="1" t="s">
        <v>4784</v>
      </c>
      <c r="Q6517" s="3">
        <v>0</v>
      </c>
      <c r="R6517" s="22" t="s">
        <v>2724</v>
      </c>
      <c r="S6517" s="42" t="s">
        <v>6912</v>
      </c>
      <c r="T6517" s="3" t="s">
        <v>4866</v>
      </c>
      <c r="U6517" s="45">
        <v>31</v>
      </c>
      <c r="V6517" t="s">
        <v>5571</v>
      </c>
      <c r="W6517" s="1" t="str">
        <f>HYPERLINK("http://ictvonline.org/taxonomy/p/taxonomy-history?taxnode_id=201905121","ICTVonline=201905121")</f>
        <v>ICTVonline=201905121</v>
      </c>
    </row>
    <row r="6518" spans="1:23">
      <c r="A6518" s="3">
        <v>6517</v>
      </c>
      <c r="L6518" s="1" t="s">
        <v>4780</v>
      </c>
      <c r="N6518" s="1" t="s">
        <v>4781</v>
      </c>
      <c r="P6518" s="1" t="s">
        <v>4785</v>
      </c>
      <c r="Q6518" s="3">
        <v>1</v>
      </c>
      <c r="R6518" s="22" t="s">
        <v>2724</v>
      </c>
      <c r="S6518" s="42" t="s">
        <v>6912</v>
      </c>
      <c r="T6518" s="3" t="s">
        <v>4866</v>
      </c>
      <c r="U6518" s="45">
        <v>31</v>
      </c>
      <c r="V6518" t="s">
        <v>5571</v>
      </c>
      <c r="W6518" s="1" t="str">
        <f>HYPERLINK("http://ictvonline.org/taxonomy/p/taxonomy-history?taxnode_id=201905122","ICTVonline=201905122")</f>
        <v>ICTVonline=201905122</v>
      </c>
    </row>
    <row r="6519" spans="1:23">
      <c r="A6519" s="3">
        <v>6518</v>
      </c>
      <c r="L6519" s="1" t="s">
        <v>4780</v>
      </c>
      <c r="N6519" s="1" t="s">
        <v>4781</v>
      </c>
      <c r="P6519" s="1" t="s">
        <v>4786</v>
      </c>
      <c r="Q6519" s="3">
        <v>0</v>
      </c>
      <c r="R6519" s="22" t="s">
        <v>2724</v>
      </c>
      <c r="S6519" s="42" t="s">
        <v>6912</v>
      </c>
      <c r="T6519" s="3" t="s">
        <v>4866</v>
      </c>
      <c r="U6519" s="45">
        <v>31</v>
      </c>
      <c r="V6519" t="s">
        <v>5571</v>
      </c>
      <c r="W6519" s="1" t="str">
        <f>HYPERLINK("http://ictvonline.org/taxonomy/p/taxonomy-history?taxnode_id=201905123","ICTVonline=201905123")</f>
        <v>ICTVonline=201905123</v>
      </c>
    </row>
    <row r="6520" spans="1:23">
      <c r="A6520" s="3">
        <v>6519</v>
      </c>
      <c r="L6520" s="1" t="s">
        <v>4780</v>
      </c>
      <c r="N6520" s="1" t="s">
        <v>4781</v>
      </c>
      <c r="P6520" s="1" t="s">
        <v>4787</v>
      </c>
      <c r="Q6520" s="3">
        <v>0</v>
      </c>
      <c r="R6520" s="22" t="s">
        <v>2724</v>
      </c>
      <c r="S6520" s="42" t="s">
        <v>6912</v>
      </c>
      <c r="T6520" s="3" t="s">
        <v>4866</v>
      </c>
      <c r="U6520" s="45">
        <v>31</v>
      </c>
      <c r="V6520" t="s">
        <v>5571</v>
      </c>
      <c r="W6520" s="1" t="str">
        <f>HYPERLINK("http://ictvonline.org/taxonomy/p/taxonomy-history?taxnode_id=201905124","ICTVonline=201905124")</f>
        <v>ICTVonline=201905124</v>
      </c>
    </row>
    <row r="6521" spans="1:23">
      <c r="A6521" s="3">
        <v>6520</v>
      </c>
      <c r="L6521" s="1" t="s">
        <v>4780</v>
      </c>
      <c r="N6521" s="1" t="s">
        <v>4781</v>
      </c>
      <c r="P6521" s="1" t="s">
        <v>4788</v>
      </c>
      <c r="Q6521" s="3">
        <v>0</v>
      </c>
      <c r="R6521" s="22" t="s">
        <v>2724</v>
      </c>
      <c r="S6521" s="42" t="s">
        <v>6912</v>
      </c>
      <c r="T6521" s="3" t="s">
        <v>4866</v>
      </c>
      <c r="U6521" s="45">
        <v>31</v>
      </c>
      <c r="V6521" t="s">
        <v>5571</v>
      </c>
      <c r="W6521" s="1" t="str">
        <f>HYPERLINK("http://ictvonline.org/taxonomy/p/taxonomy-history?taxnode_id=201905125","ICTVonline=201905125")</f>
        <v>ICTVonline=201905125</v>
      </c>
    </row>
    <row r="6522" spans="1:23">
      <c r="A6522" s="3">
        <v>6521</v>
      </c>
      <c r="L6522" s="1" t="s">
        <v>4780</v>
      </c>
      <c r="N6522" s="1" t="s">
        <v>4781</v>
      </c>
      <c r="P6522" s="1" t="s">
        <v>4789</v>
      </c>
      <c r="Q6522" s="3">
        <v>0</v>
      </c>
      <c r="R6522" s="22" t="s">
        <v>2724</v>
      </c>
      <c r="S6522" s="42" t="s">
        <v>6912</v>
      </c>
      <c r="T6522" s="3" t="s">
        <v>4866</v>
      </c>
      <c r="U6522" s="45">
        <v>31</v>
      </c>
      <c r="V6522" t="s">
        <v>5571</v>
      </c>
      <c r="W6522" s="1" t="str">
        <f>HYPERLINK("http://ictvonline.org/taxonomy/p/taxonomy-history?taxnode_id=201905126","ICTVonline=201905126")</f>
        <v>ICTVonline=201905126</v>
      </c>
    </row>
    <row r="6523" spans="1:23">
      <c r="A6523" s="3">
        <v>6522</v>
      </c>
      <c r="L6523" s="1" t="s">
        <v>4780</v>
      </c>
      <c r="N6523" s="1" t="s">
        <v>4781</v>
      </c>
      <c r="P6523" s="1" t="s">
        <v>4790</v>
      </c>
      <c r="Q6523" s="3">
        <v>0</v>
      </c>
      <c r="R6523" s="22" t="s">
        <v>2724</v>
      </c>
      <c r="S6523" s="42" t="s">
        <v>6912</v>
      </c>
      <c r="T6523" s="3" t="s">
        <v>4866</v>
      </c>
      <c r="U6523" s="45">
        <v>31</v>
      </c>
      <c r="V6523" t="s">
        <v>5571</v>
      </c>
      <c r="W6523" s="1" t="str">
        <f>HYPERLINK("http://ictvonline.org/taxonomy/p/taxonomy-history?taxnode_id=201905127","ICTVonline=201905127")</f>
        <v>ICTVonline=201905127</v>
      </c>
    </row>
    <row r="6524" spans="1:23">
      <c r="A6524" s="3">
        <v>6523</v>
      </c>
      <c r="L6524" s="1" t="s">
        <v>4780</v>
      </c>
      <c r="N6524" s="1" t="s">
        <v>4781</v>
      </c>
      <c r="P6524" s="1" t="s">
        <v>4791</v>
      </c>
      <c r="Q6524" s="3">
        <v>0</v>
      </c>
      <c r="R6524" s="22" t="s">
        <v>2724</v>
      </c>
      <c r="S6524" s="42" t="s">
        <v>6912</v>
      </c>
      <c r="T6524" s="3" t="s">
        <v>4866</v>
      </c>
      <c r="U6524" s="45">
        <v>31</v>
      </c>
      <c r="V6524" t="s">
        <v>5571</v>
      </c>
      <c r="W6524" s="1" t="str">
        <f>HYPERLINK("http://ictvonline.org/taxonomy/p/taxonomy-history?taxnode_id=201905128","ICTVonline=201905128")</f>
        <v>ICTVonline=201905128</v>
      </c>
    </row>
    <row r="6525" spans="1:23">
      <c r="A6525" s="3">
        <v>6524</v>
      </c>
      <c r="L6525" s="1" t="s">
        <v>4780</v>
      </c>
      <c r="N6525" s="1" t="s">
        <v>4781</v>
      </c>
      <c r="P6525" s="1" t="s">
        <v>4792</v>
      </c>
      <c r="Q6525" s="3">
        <v>0</v>
      </c>
      <c r="R6525" s="22" t="s">
        <v>2724</v>
      </c>
      <c r="S6525" s="42" t="s">
        <v>6912</v>
      </c>
      <c r="T6525" s="3" t="s">
        <v>4866</v>
      </c>
      <c r="U6525" s="45">
        <v>31</v>
      </c>
      <c r="V6525" t="s">
        <v>5571</v>
      </c>
      <c r="W6525" s="1" t="str">
        <f>HYPERLINK("http://ictvonline.org/taxonomy/p/taxonomy-history?taxnode_id=201905129","ICTVonline=201905129")</f>
        <v>ICTVonline=201905129</v>
      </c>
    </row>
    <row r="6526" spans="1:23">
      <c r="A6526" s="3">
        <v>6525</v>
      </c>
      <c r="L6526" s="1" t="s">
        <v>4780</v>
      </c>
      <c r="N6526" s="1" t="s">
        <v>4781</v>
      </c>
      <c r="P6526" s="1" t="s">
        <v>4793</v>
      </c>
      <c r="Q6526" s="3">
        <v>0</v>
      </c>
      <c r="R6526" s="22" t="s">
        <v>2724</v>
      </c>
      <c r="S6526" s="42" t="s">
        <v>6912</v>
      </c>
      <c r="T6526" s="3" t="s">
        <v>4866</v>
      </c>
      <c r="U6526" s="45">
        <v>31</v>
      </c>
      <c r="V6526" t="s">
        <v>5571</v>
      </c>
      <c r="W6526" s="1" t="str">
        <f>HYPERLINK("http://ictvonline.org/taxonomy/p/taxonomy-history?taxnode_id=201905130","ICTVonline=201905130")</f>
        <v>ICTVonline=201905130</v>
      </c>
    </row>
    <row r="6527" spans="1:23">
      <c r="A6527" s="3">
        <v>6526</v>
      </c>
      <c r="L6527" s="1" t="s">
        <v>4780</v>
      </c>
      <c r="N6527" s="1" t="s">
        <v>4781</v>
      </c>
      <c r="P6527" s="1" t="s">
        <v>4794</v>
      </c>
      <c r="Q6527" s="3">
        <v>0</v>
      </c>
      <c r="R6527" s="22" t="s">
        <v>2724</v>
      </c>
      <c r="S6527" s="42" t="s">
        <v>6912</v>
      </c>
      <c r="T6527" s="3" t="s">
        <v>4866</v>
      </c>
      <c r="U6527" s="45">
        <v>31</v>
      </c>
      <c r="V6527" t="s">
        <v>5571</v>
      </c>
      <c r="W6527" s="1" t="str">
        <f>HYPERLINK("http://ictvonline.org/taxonomy/p/taxonomy-history?taxnode_id=201905131","ICTVonline=201905131")</f>
        <v>ICTVonline=201905131</v>
      </c>
    </row>
    <row r="6528" spans="1:23">
      <c r="A6528" s="3">
        <v>6527</v>
      </c>
      <c r="L6528" s="1" t="s">
        <v>4780</v>
      </c>
      <c r="N6528" s="1" t="s">
        <v>4781</v>
      </c>
      <c r="P6528" s="1" t="s">
        <v>4795</v>
      </c>
      <c r="Q6528" s="3">
        <v>0</v>
      </c>
      <c r="R6528" s="22" t="s">
        <v>2724</v>
      </c>
      <c r="S6528" s="42" t="s">
        <v>6912</v>
      </c>
      <c r="T6528" s="3" t="s">
        <v>4866</v>
      </c>
      <c r="U6528" s="45">
        <v>31</v>
      </c>
      <c r="V6528" t="s">
        <v>5571</v>
      </c>
      <c r="W6528" s="1" t="str">
        <f>HYPERLINK("http://ictvonline.org/taxonomy/p/taxonomy-history?taxnode_id=201905132","ICTVonline=201905132")</f>
        <v>ICTVonline=201905132</v>
      </c>
    </row>
    <row r="6529" spans="1:23">
      <c r="A6529" s="3">
        <v>6528</v>
      </c>
      <c r="L6529" s="1" t="s">
        <v>4780</v>
      </c>
      <c r="N6529" s="1" t="s">
        <v>4781</v>
      </c>
      <c r="P6529" s="1" t="s">
        <v>4796</v>
      </c>
      <c r="Q6529" s="3">
        <v>0</v>
      </c>
      <c r="R6529" s="22" t="s">
        <v>2724</v>
      </c>
      <c r="S6529" s="42" t="s">
        <v>6912</v>
      </c>
      <c r="T6529" s="3" t="s">
        <v>4866</v>
      </c>
      <c r="U6529" s="45">
        <v>31</v>
      </c>
      <c r="V6529" t="s">
        <v>5571</v>
      </c>
      <c r="W6529" s="1" t="str">
        <f>HYPERLINK("http://ictvonline.org/taxonomy/p/taxonomy-history?taxnode_id=201905133","ICTVonline=201905133")</f>
        <v>ICTVonline=201905133</v>
      </c>
    </row>
    <row r="6530" spans="1:23">
      <c r="A6530" s="3">
        <v>6529</v>
      </c>
      <c r="L6530" s="1" t="s">
        <v>4780</v>
      </c>
      <c r="N6530" s="1" t="s">
        <v>4781</v>
      </c>
      <c r="P6530" s="1" t="s">
        <v>4797</v>
      </c>
      <c r="Q6530" s="3">
        <v>0</v>
      </c>
      <c r="R6530" s="22" t="s">
        <v>2724</v>
      </c>
      <c r="S6530" s="42" t="s">
        <v>6912</v>
      </c>
      <c r="T6530" s="3" t="s">
        <v>4866</v>
      </c>
      <c r="U6530" s="45">
        <v>31</v>
      </c>
      <c r="V6530" t="s">
        <v>5571</v>
      </c>
      <c r="W6530" s="1" t="str">
        <f>HYPERLINK("http://ictvonline.org/taxonomy/p/taxonomy-history?taxnode_id=201905134","ICTVonline=201905134")</f>
        <v>ICTVonline=201905134</v>
      </c>
    </row>
    <row r="6531" spans="1:23">
      <c r="A6531" s="3">
        <v>6530</v>
      </c>
      <c r="L6531" s="1" t="s">
        <v>4780</v>
      </c>
      <c r="N6531" s="1" t="s">
        <v>4781</v>
      </c>
      <c r="P6531" s="1" t="s">
        <v>4798</v>
      </c>
      <c r="Q6531" s="3">
        <v>0</v>
      </c>
      <c r="R6531" s="22" t="s">
        <v>2724</v>
      </c>
      <c r="S6531" s="42" t="s">
        <v>6912</v>
      </c>
      <c r="T6531" s="3" t="s">
        <v>4866</v>
      </c>
      <c r="U6531" s="45">
        <v>31</v>
      </c>
      <c r="V6531" t="s">
        <v>5571</v>
      </c>
      <c r="W6531" s="1" t="str">
        <f>HYPERLINK("http://ictvonline.org/taxonomy/p/taxonomy-history?taxnode_id=201905135","ICTVonline=201905135")</f>
        <v>ICTVonline=201905135</v>
      </c>
    </row>
    <row r="6532" spans="1:23">
      <c r="A6532" s="3">
        <v>6531</v>
      </c>
      <c r="L6532" s="1" t="s">
        <v>4780</v>
      </c>
      <c r="N6532" s="1" t="s">
        <v>4781</v>
      </c>
      <c r="P6532" s="1" t="s">
        <v>4799</v>
      </c>
      <c r="Q6532" s="3">
        <v>0</v>
      </c>
      <c r="R6532" s="22" t="s">
        <v>2724</v>
      </c>
      <c r="S6532" s="42" t="s">
        <v>6912</v>
      </c>
      <c r="T6532" s="3" t="s">
        <v>4866</v>
      </c>
      <c r="U6532" s="45">
        <v>31</v>
      </c>
      <c r="V6532" t="s">
        <v>5571</v>
      </c>
      <c r="W6532" s="1" t="str">
        <f>HYPERLINK("http://ictvonline.org/taxonomy/p/taxonomy-history?taxnode_id=201905136","ICTVonline=201905136")</f>
        <v>ICTVonline=201905136</v>
      </c>
    </row>
    <row r="6533" spans="1:23">
      <c r="A6533" s="3">
        <v>6532</v>
      </c>
      <c r="L6533" s="1" t="s">
        <v>4780</v>
      </c>
      <c r="N6533" s="1" t="s">
        <v>4781</v>
      </c>
      <c r="P6533" s="1" t="s">
        <v>4800</v>
      </c>
      <c r="Q6533" s="3">
        <v>0</v>
      </c>
      <c r="R6533" s="22" t="s">
        <v>2724</v>
      </c>
      <c r="S6533" s="42" t="s">
        <v>6912</v>
      </c>
      <c r="T6533" s="3" t="s">
        <v>4866</v>
      </c>
      <c r="U6533" s="45">
        <v>31</v>
      </c>
      <c r="V6533" t="s">
        <v>5571</v>
      </c>
      <c r="W6533" s="1" t="str">
        <f>HYPERLINK("http://ictvonline.org/taxonomy/p/taxonomy-history?taxnode_id=201905137","ICTVonline=201905137")</f>
        <v>ICTVonline=201905137</v>
      </c>
    </row>
    <row r="6534" spans="1:23">
      <c r="A6534" s="3">
        <v>6533</v>
      </c>
      <c r="L6534" s="1" t="s">
        <v>4780</v>
      </c>
      <c r="N6534" s="1" t="s">
        <v>4781</v>
      </c>
      <c r="P6534" s="1" t="s">
        <v>4801</v>
      </c>
      <c r="Q6534" s="3">
        <v>0</v>
      </c>
      <c r="R6534" s="22" t="s">
        <v>2724</v>
      </c>
      <c r="S6534" s="42" t="s">
        <v>6912</v>
      </c>
      <c r="T6534" s="3" t="s">
        <v>4866</v>
      </c>
      <c r="U6534" s="45">
        <v>31</v>
      </c>
      <c r="V6534" t="s">
        <v>5571</v>
      </c>
      <c r="W6534" s="1" t="str">
        <f>HYPERLINK("http://ictvonline.org/taxonomy/p/taxonomy-history?taxnode_id=201905138","ICTVonline=201905138")</f>
        <v>ICTVonline=201905138</v>
      </c>
    </row>
    <row r="6535" spans="1:23">
      <c r="A6535" s="3">
        <v>6534</v>
      </c>
      <c r="L6535" s="1" t="s">
        <v>4780</v>
      </c>
      <c r="N6535" s="1" t="s">
        <v>4781</v>
      </c>
      <c r="P6535" s="1" t="s">
        <v>4802</v>
      </c>
      <c r="Q6535" s="3">
        <v>0</v>
      </c>
      <c r="R6535" s="22" t="s">
        <v>2724</v>
      </c>
      <c r="S6535" s="42" t="s">
        <v>6912</v>
      </c>
      <c r="T6535" s="3" t="s">
        <v>4866</v>
      </c>
      <c r="U6535" s="45">
        <v>31</v>
      </c>
      <c r="V6535" t="s">
        <v>5571</v>
      </c>
      <c r="W6535" s="1" t="str">
        <f>HYPERLINK("http://ictvonline.org/taxonomy/p/taxonomy-history?taxnode_id=201905139","ICTVonline=201905139")</f>
        <v>ICTVonline=201905139</v>
      </c>
    </row>
    <row r="6536" spans="1:23">
      <c r="A6536" s="3">
        <v>6535</v>
      </c>
      <c r="L6536" s="1" t="s">
        <v>4780</v>
      </c>
      <c r="N6536" s="1" t="s">
        <v>4781</v>
      </c>
      <c r="P6536" s="1" t="s">
        <v>4803</v>
      </c>
      <c r="Q6536" s="3">
        <v>0</v>
      </c>
      <c r="R6536" s="22" t="s">
        <v>2724</v>
      </c>
      <c r="S6536" s="42" t="s">
        <v>6912</v>
      </c>
      <c r="T6536" s="3" t="s">
        <v>4866</v>
      </c>
      <c r="U6536" s="45">
        <v>31</v>
      </c>
      <c r="V6536" t="s">
        <v>5571</v>
      </c>
      <c r="W6536" s="1" t="str">
        <f>HYPERLINK("http://ictvonline.org/taxonomy/p/taxonomy-history?taxnode_id=201905140","ICTVonline=201905140")</f>
        <v>ICTVonline=201905140</v>
      </c>
    </row>
    <row r="6537" spans="1:23">
      <c r="A6537" s="3">
        <v>6536</v>
      </c>
      <c r="L6537" s="1" t="s">
        <v>4780</v>
      </c>
      <c r="N6537" s="1" t="s">
        <v>4781</v>
      </c>
      <c r="P6537" s="1" t="s">
        <v>4804</v>
      </c>
      <c r="Q6537" s="3">
        <v>0</v>
      </c>
      <c r="R6537" s="22" t="s">
        <v>2724</v>
      </c>
      <c r="S6537" s="42" t="s">
        <v>6912</v>
      </c>
      <c r="T6537" s="3" t="s">
        <v>4866</v>
      </c>
      <c r="U6537" s="45">
        <v>31</v>
      </c>
      <c r="V6537" t="s">
        <v>5571</v>
      </c>
      <c r="W6537" s="1" t="str">
        <f>HYPERLINK("http://ictvonline.org/taxonomy/p/taxonomy-history?taxnode_id=201905141","ICTVonline=201905141")</f>
        <v>ICTVonline=201905141</v>
      </c>
    </row>
    <row r="6538" spans="1:23">
      <c r="A6538" s="3">
        <v>6537</v>
      </c>
      <c r="L6538" s="1" t="s">
        <v>4780</v>
      </c>
      <c r="N6538" s="1" t="s">
        <v>4781</v>
      </c>
      <c r="P6538" s="1" t="s">
        <v>4805</v>
      </c>
      <c r="Q6538" s="3">
        <v>0</v>
      </c>
      <c r="R6538" s="22" t="s">
        <v>2724</v>
      </c>
      <c r="S6538" s="42" t="s">
        <v>6912</v>
      </c>
      <c r="T6538" s="3" t="s">
        <v>4866</v>
      </c>
      <c r="U6538" s="45">
        <v>31</v>
      </c>
      <c r="V6538" t="s">
        <v>5571</v>
      </c>
      <c r="W6538" s="1" t="str">
        <f>HYPERLINK("http://ictvonline.org/taxonomy/p/taxonomy-history?taxnode_id=201905142","ICTVonline=201905142")</f>
        <v>ICTVonline=201905142</v>
      </c>
    </row>
    <row r="6539" spans="1:23">
      <c r="A6539" s="3">
        <v>6538</v>
      </c>
      <c r="L6539" s="1" t="s">
        <v>4780</v>
      </c>
      <c r="N6539" s="1" t="s">
        <v>4781</v>
      </c>
      <c r="P6539" s="1" t="s">
        <v>4806</v>
      </c>
      <c r="Q6539" s="3">
        <v>0</v>
      </c>
      <c r="R6539" s="22" t="s">
        <v>2724</v>
      </c>
      <c r="S6539" s="42" t="s">
        <v>6912</v>
      </c>
      <c r="T6539" s="3" t="s">
        <v>4866</v>
      </c>
      <c r="U6539" s="45">
        <v>31</v>
      </c>
      <c r="V6539" t="s">
        <v>5571</v>
      </c>
      <c r="W6539" s="1" t="str">
        <f>HYPERLINK("http://ictvonline.org/taxonomy/p/taxonomy-history?taxnode_id=201905143","ICTVonline=201905143")</f>
        <v>ICTVonline=201905143</v>
      </c>
    </row>
    <row r="6540" spans="1:23">
      <c r="A6540" s="3">
        <v>6539</v>
      </c>
      <c r="L6540" s="1" t="s">
        <v>4780</v>
      </c>
      <c r="N6540" s="1" t="s">
        <v>4781</v>
      </c>
      <c r="P6540" s="1" t="s">
        <v>4807</v>
      </c>
      <c r="Q6540" s="3">
        <v>0</v>
      </c>
      <c r="R6540" s="22" t="s">
        <v>2724</v>
      </c>
      <c r="S6540" s="42" t="s">
        <v>6912</v>
      </c>
      <c r="T6540" s="3" t="s">
        <v>4866</v>
      </c>
      <c r="U6540" s="45">
        <v>31</v>
      </c>
      <c r="V6540" t="s">
        <v>5571</v>
      </c>
      <c r="W6540" s="1" t="str">
        <f>HYPERLINK("http://ictvonline.org/taxonomy/p/taxonomy-history?taxnode_id=201905144","ICTVonline=201905144")</f>
        <v>ICTVonline=201905144</v>
      </c>
    </row>
    <row r="6541" spans="1:23">
      <c r="A6541" s="3">
        <v>6540</v>
      </c>
      <c r="L6541" s="1" t="s">
        <v>4780</v>
      </c>
      <c r="N6541" s="1" t="s">
        <v>4781</v>
      </c>
      <c r="P6541" s="1" t="s">
        <v>4808</v>
      </c>
      <c r="Q6541" s="3">
        <v>0</v>
      </c>
      <c r="R6541" s="22" t="s">
        <v>2724</v>
      </c>
      <c r="S6541" s="42" t="s">
        <v>6912</v>
      </c>
      <c r="T6541" s="3" t="s">
        <v>4866</v>
      </c>
      <c r="U6541" s="45">
        <v>31</v>
      </c>
      <c r="V6541" t="s">
        <v>5571</v>
      </c>
      <c r="W6541" s="1" t="str">
        <f>HYPERLINK("http://ictvonline.org/taxonomy/p/taxonomy-history?taxnode_id=201905145","ICTVonline=201905145")</f>
        <v>ICTVonline=201905145</v>
      </c>
    </row>
    <row r="6542" spans="1:23">
      <c r="A6542" s="3">
        <v>6541</v>
      </c>
      <c r="L6542" s="1" t="s">
        <v>4780</v>
      </c>
      <c r="N6542" s="1" t="s">
        <v>4781</v>
      </c>
      <c r="P6542" s="1" t="s">
        <v>4809</v>
      </c>
      <c r="Q6542" s="3">
        <v>0</v>
      </c>
      <c r="R6542" s="22" t="s">
        <v>2724</v>
      </c>
      <c r="S6542" s="42" t="s">
        <v>6912</v>
      </c>
      <c r="T6542" s="3" t="s">
        <v>4866</v>
      </c>
      <c r="U6542" s="45">
        <v>31</v>
      </c>
      <c r="V6542" t="s">
        <v>5571</v>
      </c>
      <c r="W6542" s="1" t="str">
        <f>HYPERLINK("http://ictvonline.org/taxonomy/p/taxonomy-history?taxnode_id=201905146","ICTVonline=201905146")</f>
        <v>ICTVonline=201905146</v>
      </c>
    </row>
    <row r="6543" spans="1:23">
      <c r="A6543" s="3">
        <v>6542</v>
      </c>
      <c r="L6543" s="1" t="s">
        <v>4780</v>
      </c>
      <c r="N6543" s="1" t="s">
        <v>4781</v>
      </c>
      <c r="P6543" s="1" t="s">
        <v>4810</v>
      </c>
      <c r="Q6543" s="3">
        <v>0</v>
      </c>
      <c r="R6543" s="22" t="s">
        <v>2724</v>
      </c>
      <c r="S6543" s="42" t="s">
        <v>6912</v>
      </c>
      <c r="T6543" s="3" t="s">
        <v>4866</v>
      </c>
      <c r="U6543" s="45">
        <v>31</v>
      </c>
      <c r="V6543" t="s">
        <v>5571</v>
      </c>
      <c r="W6543" s="1" t="str">
        <f>HYPERLINK("http://ictvonline.org/taxonomy/p/taxonomy-history?taxnode_id=201905147","ICTVonline=201905147")</f>
        <v>ICTVonline=201905147</v>
      </c>
    </row>
    <row r="6544" spans="1:23">
      <c r="A6544" s="3">
        <v>6543</v>
      </c>
      <c r="L6544" s="1" t="s">
        <v>4780</v>
      </c>
      <c r="N6544" s="1" t="s">
        <v>4781</v>
      </c>
      <c r="P6544" s="1" t="s">
        <v>4811</v>
      </c>
      <c r="Q6544" s="3">
        <v>0</v>
      </c>
      <c r="R6544" s="22" t="s">
        <v>2724</v>
      </c>
      <c r="S6544" s="42" t="s">
        <v>6912</v>
      </c>
      <c r="T6544" s="3" t="s">
        <v>4866</v>
      </c>
      <c r="U6544" s="45">
        <v>31</v>
      </c>
      <c r="V6544" t="s">
        <v>5571</v>
      </c>
      <c r="W6544" s="1" t="str">
        <f>HYPERLINK("http://ictvonline.org/taxonomy/p/taxonomy-history?taxnode_id=201905148","ICTVonline=201905148")</f>
        <v>ICTVonline=201905148</v>
      </c>
    </row>
    <row r="6545" spans="1:23">
      <c r="A6545" s="3">
        <v>6544</v>
      </c>
      <c r="L6545" s="1" t="s">
        <v>4780</v>
      </c>
      <c r="N6545" s="1" t="s">
        <v>4781</v>
      </c>
      <c r="P6545" s="1" t="s">
        <v>4812</v>
      </c>
      <c r="Q6545" s="3">
        <v>0</v>
      </c>
      <c r="R6545" s="22" t="s">
        <v>2724</v>
      </c>
      <c r="S6545" s="42" t="s">
        <v>6912</v>
      </c>
      <c r="T6545" s="3" t="s">
        <v>4866</v>
      </c>
      <c r="U6545" s="45">
        <v>31</v>
      </c>
      <c r="V6545" t="s">
        <v>5571</v>
      </c>
      <c r="W6545" s="1" t="str">
        <f>HYPERLINK("http://ictvonline.org/taxonomy/p/taxonomy-history?taxnode_id=201905149","ICTVonline=201905149")</f>
        <v>ICTVonline=201905149</v>
      </c>
    </row>
    <row r="6546" spans="1:23">
      <c r="A6546" s="3">
        <v>6545</v>
      </c>
      <c r="L6546" s="1" t="s">
        <v>4780</v>
      </c>
      <c r="N6546" s="1" t="s">
        <v>4781</v>
      </c>
      <c r="P6546" s="1" t="s">
        <v>4813</v>
      </c>
      <c r="Q6546" s="3">
        <v>0</v>
      </c>
      <c r="R6546" s="22" t="s">
        <v>2724</v>
      </c>
      <c r="S6546" s="42" t="s">
        <v>6912</v>
      </c>
      <c r="T6546" s="3" t="s">
        <v>4866</v>
      </c>
      <c r="U6546" s="45">
        <v>31</v>
      </c>
      <c r="V6546" t="s">
        <v>5571</v>
      </c>
      <c r="W6546" s="1" t="str">
        <f>HYPERLINK("http://ictvonline.org/taxonomy/p/taxonomy-history?taxnode_id=201905150","ICTVonline=201905150")</f>
        <v>ICTVonline=201905150</v>
      </c>
    </row>
    <row r="6547" spans="1:23">
      <c r="A6547" s="3">
        <v>6546</v>
      </c>
      <c r="L6547" s="1" t="s">
        <v>4780</v>
      </c>
      <c r="N6547" s="1" t="s">
        <v>4781</v>
      </c>
      <c r="P6547" s="1" t="s">
        <v>4814</v>
      </c>
      <c r="Q6547" s="3">
        <v>0</v>
      </c>
      <c r="R6547" s="22" t="s">
        <v>2724</v>
      </c>
      <c r="S6547" s="42" t="s">
        <v>6912</v>
      </c>
      <c r="T6547" s="3" t="s">
        <v>4866</v>
      </c>
      <c r="U6547" s="45">
        <v>31</v>
      </c>
      <c r="V6547" t="s">
        <v>5571</v>
      </c>
      <c r="W6547" s="1" t="str">
        <f>HYPERLINK("http://ictvonline.org/taxonomy/p/taxonomy-history?taxnode_id=201905151","ICTVonline=201905151")</f>
        <v>ICTVonline=201905151</v>
      </c>
    </row>
    <row r="6548" spans="1:23">
      <c r="A6548" s="3">
        <v>6547</v>
      </c>
      <c r="L6548" s="1" t="s">
        <v>4780</v>
      </c>
      <c r="N6548" s="1" t="s">
        <v>4781</v>
      </c>
      <c r="P6548" s="1" t="s">
        <v>4815</v>
      </c>
      <c r="Q6548" s="3">
        <v>0</v>
      </c>
      <c r="R6548" s="22" t="s">
        <v>2724</v>
      </c>
      <c r="S6548" s="42" t="s">
        <v>6912</v>
      </c>
      <c r="T6548" s="3" t="s">
        <v>4866</v>
      </c>
      <c r="U6548" s="45">
        <v>31</v>
      </c>
      <c r="V6548" t="s">
        <v>5571</v>
      </c>
      <c r="W6548" s="1" t="str">
        <f>HYPERLINK("http://ictvonline.org/taxonomy/p/taxonomy-history?taxnode_id=201905152","ICTVonline=201905152")</f>
        <v>ICTVonline=201905152</v>
      </c>
    </row>
    <row r="6549" spans="1:23">
      <c r="A6549" s="3">
        <v>6548</v>
      </c>
      <c r="L6549" s="1" t="s">
        <v>4780</v>
      </c>
      <c r="N6549" s="1" t="s">
        <v>4781</v>
      </c>
      <c r="P6549" s="1" t="s">
        <v>4816</v>
      </c>
      <c r="Q6549" s="3">
        <v>0</v>
      </c>
      <c r="R6549" s="22" t="s">
        <v>2724</v>
      </c>
      <c r="S6549" s="42" t="s">
        <v>6912</v>
      </c>
      <c r="T6549" s="3" t="s">
        <v>4866</v>
      </c>
      <c r="U6549" s="45">
        <v>31</v>
      </c>
      <c r="V6549" t="s">
        <v>5571</v>
      </c>
      <c r="W6549" s="1" t="str">
        <f>HYPERLINK("http://ictvonline.org/taxonomy/p/taxonomy-history?taxnode_id=201905153","ICTVonline=201905153")</f>
        <v>ICTVonline=201905153</v>
      </c>
    </row>
    <row r="6550" spans="1:23">
      <c r="A6550" s="3">
        <v>6549</v>
      </c>
      <c r="L6550" s="1" t="s">
        <v>4780</v>
      </c>
      <c r="N6550" s="1" t="s">
        <v>4781</v>
      </c>
      <c r="P6550" s="1" t="s">
        <v>4817</v>
      </c>
      <c r="Q6550" s="3">
        <v>0</v>
      </c>
      <c r="R6550" s="22" t="s">
        <v>2724</v>
      </c>
      <c r="S6550" s="42" t="s">
        <v>6912</v>
      </c>
      <c r="T6550" s="3" t="s">
        <v>4866</v>
      </c>
      <c r="U6550" s="45">
        <v>31</v>
      </c>
      <c r="V6550" t="s">
        <v>5571</v>
      </c>
      <c r="W6550" s="1" t="str">
        <f>HYPERLINK("http://ictvonline.org/taxonomy/p/taxonomy-history?taxnode_id=201905154","ICTVonline=201905154")</f>
        <v>ICTVonline=201905154</v>
      </c>
    </row>
    <row r="6551" spans="1:23">
      <c r="A6551" s="3">
        <v>6550</v>
      </c>
      <c r="L6551" s="1" t="s">
        <v>4780</v>
      </c>
      <c r="N6551" s="1" t="s">
        <v>4781</v>
      </c>
      <c r="P6551" s="1" t="s">
        <v>4818</v>
      </c>
      <c r="Q6551" s="3">
        <v>0</v>
      </c>
      <c r="R6551" s="22" t="s">
        <v>2724</v>
      </c>
      <c r="S6551" s="42" t="s">
        <v>6912</v>
      </c>
      <c r="T6551" s="3" t="s">
        <v>4866</v>
      </c>
      <c r="U6551" s="45">
        <v>31</v>
      </c>
      <c r="V6551" t="s">
        <v>5571</v>
      </c>
      <c r="W6551" s="1" t="str">
        <f>HYPERLINK("http://ictvonline.org/taxonomy/p/taxonomy-history?taxnode_id=201905155","ICTVonline=201905155")</f>
        <v>ICTVonline=201905155</v>
      </c>
    </row>
    <row r="6552" spans="1:23">
      <c r="A6552" s="3">
        <v>6551</v>
      </c>
      <c r="L6552" s="1" t="s">
        <v>4780</v>
      </c>
      <c r="N6552" s="1" t="s">
        <v>4781</v>
      </c>
      <c r="P6552" s="1" t="s">
        <v>4819</v>
      </c>
      <c r="Q6552" s="3">
        <v>0</v>
      </c>
      <c r="R6552" s="22" t="s">
        <v>2724</v>
      </c>
      <c r="S6552" s="42" t="s">
        <v>6912</v>
      </c>
      <c r="T6552" s="3" t="s">
        <v>4866</v>
      </c>
      <c r="U6552" s="45">
        <v>31</v>
      </c>
      <c r="V6552" t="s">
        <v>5571</v>
      </c>
      <c r="W6552" s="1" t="str">
        <f>HYPERLINK("http://ictvonline.org/taxonomy/p/taxonomy-history?taxnode_id=201905156","ICTVonline=201905156")</f>
        <v>ICTVonline=201905156</v>
      </c>
    </row>
    <row r="6553" spans="1:23">
      <c r="A6553" s="3">
        <v>6552</v>
      </c>
      <c r="L6553" s="1" t="s">
        <v>4780</v>
      </c>
      <c r="N6553" s="1" t="s">
        <v>4781</v>
      </c>
      <c r="P6553" s="1" t="s">
        <v>4820</v>
      </c>
      <c r="Q6553" s="3">
        <v>0</v>
      </c>
      <c r="R6553" s="22" t="s">
        <v>2724</v>
      </c>
      <c r="S6553" s="42" t="s">
        <v>6912</v>
      </c>
      <c r="T6553" s="3" t="s">
        <v>4866</v>
      </c>
      <c r="U6553" s="45">
        <v>31</v>
      </c>
      <c r="V6553" t="s">
        <v>5571</v>
      </c>
      <c r="W6553" s="1" t="str">
        <f>HYPERLINK("http://ictvonline.org/taxonomy/p/taxonomy-history?taxnode_id=201905157","ICTVonline=201905157")</f>
        <v>ICTVonline=201905157</v>
      </c>
    </row>
    <row r="6554" spans="1:23">
      <c r="A6554" s="3">
        <v>6553</v>
      </c>
      <c r="L6554" s="1" t="s">
        <v>4780</v>
      </c>
      <c r="N6554" s="1" t="s">
        <v>4781</v>
      </c>
      <c r="P6554" s="1" t="s">
        <v>4821</v>
      </c>
      <c r="Q6554" s="3">
        <v>0</v>
      </c>
      <c r="R6554" s="22" t="s">
        <v>2724</v>
      </c>
      <c r="S6554" s="42" t="s">
        <v>6912</v>
      </c>
      <c r="T6554" s="3" t="s">
        <v>4866</v>
      </c>
      <c r="U6554" s="45">
        <v>31</v>
      </c>
      <c r="V6554" t="s">
        <v>5571</v>
      </c>
      <c r="W6554" s="1" t="str">
        <f>HYPERLINK("http://ictvonline.org/taxonomy/p/taxonomy-history?taxnode_id=201905158","ICTVonline=201905158")</f>
        <v>ICTVonline=201905158</v>
      </c>
    </row>
    <row r="6555" spans="1:23">
      <c r="A6555" s="3">
        <v>6554</v>
      </c>
      <c r="L6555" s="1" t="s">
        <v>4780</v>
      </c>
      <c r="N6555" s="1" t="s">
        <v>4781</v>
      </c>
      <c r="P6555" s="1" t="s">
        <v>4822</v>
      </c>
      <c r="Q6555" s="3">
        <v>0</v>
      </c>
      <c r="R6555" s="22" t="s">
        <v>2724</v>
      </c>
      <c r="S6555" s="42" t="s">
        <v>6912</v>
      </c>
      <c r="T6555" s="3" t="s">
        <v>4866</v>
      </c>
      <c r="U6555" s="45">
        <v>31</v>
      </c>
      <c r="V6555" t="s">
        <v>5571</v>
      </c>
      <c r="W6555" s="1" t="str">
        <f>HYPERLINK("http://ictvonline.org/taxonomy/p/taxonomy-history?taxnode_id=201905159","ICTVonline=201905159")</f>
        <v>ICTVonline=201905159</v>
      </c>
    </row>
    <row r="6556" spans="1:23">
      <c r="A6556" s="3">
        <v>6555</v>
      </c>
      <c r="L6556" s="1" t="s">
        <v>4780</v>
      </c>
      <c r="N6556" s="1" t="s">
        <v>4781</v>
      </c>
      <c r="P6556" s="1" t="s">
        <v>4823</v>
      </c>
      <c r="Q6556" s="3">
        <v>0</v>
      </c>
      <c r="R6556" s="22" t="s">
        <v>2724</v>
      </c>
      <c r="S6556" s="42" t="s">
        <v>6912</v>
      </c>
      <c r="T6556" s="3" t="s">
        <v>4866</v>
      </c>
      <c r="U6556" s="45">
        <v>31</v>
      </c>
      <c r="V6556" t="s">
        <v>5571</v>
      </c>
      <c r="W6556" s="1" t="str">
        <f>HYPERLINK("http://ictvonline.org/taxonomy/p/taxonomy-history?taxnode_id=201905160","ICTVonline=201905160")</f>
        <v>ICTVonline=201905160</v>
      </c>
    </row>
    <row r="6557" spans="1:23">
      <c r="A6557" s="3">
        <v>6556</v>
      </c>
      <c r="L6557" s="1" t="s">
        <v>4780</v>
      </c>
      <c r="N6557" s="1" t="s">
        <v>4781</v>
      </c>
      <c r="P6557" s="1" t="s">
        <v>4824</v>
      </c>
      <c r="Q6557" s="3">
        <v>0</v>
      </c>
      <c r="R6557" s="22" t="s">
        <v>2724</v>
      </c>
      <c r="S6557" s="42" t="s">
        <v>6912</v>
      </c>
      <c r="T6557" s="3" t="s">
        <v>4866</v>
      </c>
      <c r="U6557" s="45">
        <v>31</v>
      </c>
      <c r="V6557" t="s">
        <v>5571</v>
      </c>
      <c r="W6557" s="1" t="str">
        <f>HYPERLINK("http://ictvonline.org/taxonomy/p/taxonomy-history?taxnode_id=201905161","ICTVonline=201905161")</f>
        <v>ICTVonline=201905161</v>
      </c>
    </row>
    <row r="6558" spans="1:23">
      <c r="A6558" s="3">
        <v>6557</v>
      </c>
      <c r="L6558" s="1" t="s">
        <v>4780</v>
      </c>
      <c r="N6558" s="1" t="s">
        <v>4781</v>
      </c>
      <c r="P6558" s="1" t="s">
        <v>5572</v>
      </c>
      <c r="Q6558" s="3">
        <v>0</v>
      </c>
      <c r="R6558" s="22" t="s">
        <v>2724</v>
      </c>
      <c r="S6558" s="42" t="s">
        <v>6912</v>
      </c>
      <c r="T6558" s="3" t="s">
        <v>4869</v>
      </c>
      <c r="U6558" s="45">
        <v>32</v>
      </c>
      <c r="V6558" t="s">
        <v>6849</v>
      </c>
      <c r="W6558" s="1" t="str">
        <f>HYPERLINK("http://ictvonline.org/taxonomy/p/taxonomy-history?taxnode_id=201905162","ICTVonline=201905162")</f>
        <v>ICTVonline=201905162</v>
      </c>
    </row>
    <row r="6559" spans="1:23">
      <c r="A6559" s="3">
        <v>6558</v>
      </c>
      <c r="L6559" s="1" t="s">
        <v>4780</v>
      </c>
      <c r="N6559" s="1" t="s">
        <v>4781</v>
      </c>
      <c r="P6559" s="1" t="s">
        <v>4825</v>
      </c>
      <c r="Q6559" s="3">
        <v>0</v>
      </c>
      <c r="R6559" s="22" t="s">
        <v>2724</v>
      </c>
      <c r="S6559" s="42" t="s">
        <v>6912</v>
      </c>
      <c r="T6559" s="3" t="s">
        <v>4866</v>
      </c>
      <c r="U6559" s="45">
        <v>31</v>
      </c>
      <c r="V6559" t="s">
        <v>5571</v>
      </c>
      <c r="W6559" s="1" t="str">
        <f>HYPERLINK("http://ictvonline.org/taxonomy/p/taxonomy-history?taxnode_id=201905163","ICTVonline=201905163")</f>
        <v>ICTVonline=201905163</v>
      </c>
    </row>
    <row r="6560" spans="1:23">
      <c r="A6560" s="3">
        <v>6559</v>
      </c>
      <c r="L6560" s="1" t="s">
        <v>4780</v>
      </c>
      <c r="N6560" s="1" t="s">
        <v>4781</v>
      </c>
      <c r="P6560" s="1" t="s">
        <v>4826</v>
      </c>
      <c r="Q6560" s="3">
        <v>0</v>
      </c>
      <c r="R6560" s="22" t="s">
        <v>2724</v>
      </c>
      <c r="S6560" s="42" t="s">
        <v>6912</v>
      </c>
      <c r="T6560" s="3" t="s">
        <v>4866</v>
      </c>
      <c r="U6560" s="45">
        <v>31</v>
      </c>
      <c r="V6560" t="s">
        <v>5571</v>
      </c>
      <c r="W6560" s="1" t="str">
        <f>HYPERLINK("http://ictvonline.org/taxonomy/p/taxonomy-history?taxnode_id=201905164","ICTVonline=201905164")</f>
        <v>ICTVonline=201905164</v>
      </c>
    </row>
    <row r="6561" spans="1:23">
      <c r="A6561" s="3">
        <v>6560</v>
      </c>
      <c r="L6561" s="1" t="s">
        <v>4780</v>
      </c>
      <c r="N6561" s="1" t="s">
        <v>4781</v>
      </c>
      <c r="P6561" s="1" t="s">
        <v>4827</v>
      </c>
      <c r="Q6561" s="3">
        <v>0</v>
      </c>
      <c r="R6561" s="22" t="s">
        <v>2724</v>
      </c>
      <c r="S6561" s="42" t="s">
        <v>6912</v>
      </c>
      <c r="T6561" s="3" t="s">
        <v>4866</v>
      </c>
      <c r="U6561" s="45">
        <v>31</v>
      </c>
      <c r="V6561" t="s">
        <v>5571</v>
      </c>
      <c r="W6561" s="1" t="str">
        <f>HYPERLINK("http://ictvonline.org/taxonomy/p/taxonomy-history?taxnode_id=201905165","ICTVonline=201905165")</f>
        <v>ICTVonline=201905165</v>
      </c>
    </row>
    <row r="6562" spans="1:23">
      <c r="A6562" s="3">
        <v>6561</v>
      </c>
      <c r="L6562" s="1" t="s">
        <v>4780</v>
      </c>
      <c r="N6562" s="1" t="s">
        <v>4781</v>
      </c>
      <c r="P6562" s="1" t="s">
        <v>4828</v>
      </c>
      <c r="Q6562" s="3">
        <v>0</v>
      </c>
      <c r="R6562" s="22" t="s">
        <v>2724</v>
      </c>
      <c r="S6562" s="42" t="s">
        <v>6912</v>
      </c>
      <c r="T6562" s="3" t="s">
        <v>4866</v>
      </c>
      <c r="U6562" s="45">
        <v>31</v>
      </c>
      <c r="V6562" t="s">
        <v>5571</v>
      </c>
      <c r="W6562" s="1" t="str">
        <f>HYPERLINK("http://ictvonline.org/taxonomy/p/taxonomy-history?taxnode_id=201905166","ICTVonline=201905166")</f>
        <v>ICTVonline=201905166</v>
      </c>
    </row>
    <row r="6563" spans="1:23">
      <c r="A6563" s="3">
        <v>6562</v>
      </c>
      <c r="L6563" s="1" t="s">
        <v>4780</v>
      </c>
      <c r="N6563" s="1" t="s">
        <v>4781</v>
      </c>
      <c r="P6563" s="1" t="s">
        <v>4829</v>
      </c>
      <c r="Q6563" s="3">
        <v>0</v>
      </c>
      <c r="R6563" s="22" t="s">
        <v>2724</v>
      </c>
      <c r="S6563" s="42" t="s">
        <v>6912</v>
      </c>
      <c r="T6563" s="3" t="s">
        <v>4866</v>
      </c>
      <c r="U6563" s="45">
        <v>31</v>
      </c>
      <c r="V6563" t="s">
        <v>5571</v>
      </c>
      <c r="W6563" s="1" t="str">
        <f>HYPERLINK("http://ictvonline.org/taxonomy/p/taxonomy-history?taxnode_id=201905167","ICTVonline=201905167")</f>
        <v>ICTVonline=201905167</v>
      </c>
    </row>
    <row r="6564" spans="1:23">
      <c r="A6564" s="3">
        <v>6563</v>
      </c>
      <c r="L6564" s="1" t="s">
        <v>4780</v>
      </c>
      <c r="N6564" s="1" t="s">
        <v>4781</v>
      </c>
      <c r="P6564" s="1" t="s">
        <v>4830</v>
      </c>
      <c r="Q6564" s="3">
        <v>0</v>
      </c>
      <c r="R6564" s="22" t="s">
        <v>2724</v>
      </c>
      <c r="S6564" s="42" t="s">
        <v>6912</v>
      </c>
      <c r="T6564" s="3" t="s">
        <v>4866</v>
      </c>
      <c r="U6564" s="45">
        <v>31</v>
      </c>
      <c r="V6564" t="s">
        <v>5571</v>
      </c>
      <c r="W6564" s="1" t="str">
        <f>HYPERLINK("http://ictvonline.org/taxonomy/p/taxonomy-history?taxnode_id=201905168","ICTVonline=201905168")</f>
        <v>ICTVonline=201905168</v>
      </c>
    </row>
    <row r="6565" spans="1:23">
      <c r="A6565" s="3">
        <v>6564</v>
      </c>
      <c r="L6565" s="1" t="s">
        <v>4780</v>
      </c>
      <c r="N6565" s="1" t="s">
        <v>4781</v>
      </c>
      <c r="P6565" s="1" t="s">
        <v>4831</v>
      </c>
      <c r="Q6565" s="3">
        <v>0</v>
      </c>
      <c r="R6565" s="22" t="s">
        <v>2724</v>
      </c>
      <c r="S6565" s="42" t="s">
        <v>6912</v>
      </c>
      <c r="T6565" s="3" t="s">
        <v>4866</v>
      </c>
      <c r="U6565" s="45">
        <v>31</v>
      </c>
      <c r="V6565" t="s">
        <v>5571</v>
      </c>
      <c r="W6565" s="1" t="str">
        <f>HYPERLINK("http://ictvonline.org/taxonomy/p/taxonomy-history?taxnode_id=201905169","ICTVonline=201905169")</f>
        <v>ICTVonline=201905169</v>
      </c>
    </row>
    <row r="6566" spans="1:23">
      <c r="A6566" s="3">
        <v>6565</v>
      </c>
      <c r="L6566" s="1" t="s">
        <v>4780</v>
      </c>
      <c r="N6566" s="1" t="s">
        <v>4781</v>
      </c>
      <c r="P6566" s="1" t="s">
        <v>4832</v>
      </c>
      <c r="Q6566" s="3">
        <v>0</v>
      </c>
      <c r="R6566" s="22" t="s">
        <v>2724</v>
      </c>
      <c r="S6566" s="42" t="s">
        <v>6912</v>
      </c>
      <c r="T6566" s="3" t="s">
        <v>4866</v>
      </c>
      <c r="U6566" s="45">
        <v>31</v>
      </c>
      <c r="V6566" t="s">
        <v>5571</v>
      </c>
      <c r="W6566" s="1" t="str">
        <f>HYPERLINK("http://ictvonline.org/taxonomy/p/taxonomy-history?taxnode_id=201905170","ICTVonline=201905170")</f>
        <v>ICTVonline=201905170</v>
      </c>
    </row>
    <row r="6567" spans="1:23">
      <c r="A6567" s="3">
        <v>6566</v>
      </c>
      <c r="L6567" s="1" t="s">
        <v>4780</v>
      </c>
      <c r="N6567" s="1" t="s">
        <v>4781</v>
      </c>
      <c r="P6567" s="1" t="s">
        <v>4833</v>
      </c>
      <c r="Q6567" s="3">
        <v>0</v>
      </c>
      <c r="R6567" s="22" t="s">
        <v>2724</v>
      </c>
      <c r="S6567" s="42" t="s">
        <v>6912</v>
      </c>
      <c r="T6567" s="3" t="s">
        <v>4866</v>
      </c>
      <c r="U6567" s="45">
        <v>31</v>
      </c>
      <c r="V6567" t="s">
        <v>5571</v>
      </c>
      <c r="W6567" s="1" t="str">
        <f>HYPERLINK("http://ictvonline.org/taxonomy/p/taxonomy-history?taxnode_id=201905171","ICTVonline=201905171")</f>
        <v>ICTVonline=201905171</v>
      </c>
    </row>
    <row r="6568" spans="1:23">
      <c r="A6568" s="3">
        <v>6567</v>
      </c>
      <c r="L6568" s="1" t="s">
        <v>4780</v>
      </c>
      <c r="N6568" s="1" t="s">
        <v>4781</v>
      </c>
      <c r="P6568" s="1" t="s">
        <v>4834</v>
      </c>
      <c r="Q6568" s="3">
        <v>0</v>
      </c>
      <c r="R6568" s="22" t="s">
        <v>2724</v>
      </c>
      <c r="S6568" s="42" t="s">
        <v>6912</v>
      </c>
      <c r="T6568" s="3" t="s">
        <v>4866</v>
      </c>
      <c r="U6568" s="45">
        <v>31</v>
      </c>
      <c r="V6568" t="s">
        <v>5571</v>
      </c>
      <c r="W6568" s="1" t="str">
        <f>HYPERLINK("http://ictvonline.org/taxonomy/p/taxonomy-history?taxnode_id=201905172","ICTVonline=201905172")</f>
        <v>ICTVonline=201905172</v>
      </c>
    </row>
    <row r="6569" spans="1:23">
      <c r="A6569" s="3">
        <v>6568</v>
      </c>
      <c r="L6569" s="1" t="s">
        <v>4780</v>
      </c>
      <c r="N6569" s="1" t="s">
        <v>4781</v>
      </c>
      <c r="P6569" s="1" t="s">
        <v>4835</v>
      </c>
      <c r="Q6569" s="3">
        <v>0</v>
      </c>
      <c r="R6569" s="22" t="s">
        <v>2724</v>
      </c>
      <c r="S6569" s="42" t="s">
        <v>6912</v>
      </c>
      <c r="T6569" s="3" t="s">
        <v>4866</v>
      </c>
      <c r="U6569" s="45">
        <v>31</v>
      </c>
      <c r="V6569" t="s">
        <v>5571</v>
      </c>
      <c r="W6569" s="1" t="str">
        <f>HYPERLINK("http://ictvonline.org/taxonomy/p/taxonomy-history?taxnode_id=201905173","ICTVonline=201905173")</f>
        <v>ICTVonline=201905173</v>
      </c>
    </row>
    <row r="6570" spans="1:23">
      <c r="A6570" s="3">
        <v>6569</v>
      </c>
      <c r="L6570" s="1" t="s">
        <v>4780</v>
      </c>
      <c r="N6570" s="1" t="s">
        <v>4781</v>
      </c>
      <c r="P6570" s="1" t="s">
        <v>4836</v>
      </c>
      <c r="Q6570" s="3">
        <v>0</v>
      </c>
      <c r="R6570" s="22" t="s">
        <v>2724</v>
      </c>
      <c r="S6570" s="42" t="s">
        <v>6912</v>
      </c>
      <c r="T6570" s="3" t="s">
        <v>4866</v>
      </c>
      <c r="U6570" s="45">
        <v>31</v>
      </c>
      <c r="V6570" t="s">
        <v>5571</v>
      </c>
      <c r="W6570" s="1" t="str">
        <f>HYPERLINK("http://ictvonline.org/taxonomy/p/taxonomy-history?taxnode_id=201905174","ICTVonline=201905174")</f>
        <v>ICTVonline=201905174</v>
      </c>
    </row>
    <row r="6571" spans="1:23">
      <c r="A6571" s="3">
        <v>6570</v>
      </c>
      <c r="L6571" s="1" t="s">
        <v>4780</v>
      </c>
      <c r="N6571" s="1" t="s">
        <v>4781</v>
      </c>
      <c r="P6571" s="1" t="s">
        <v>4837</v>
      </c>
      <c r="Q6571" s="3">
        <v>0</v>
      </c>
      <c r="R6571" s="22" t="s">
        <v>2724</v>
      </c>
      <c r="S6571" s="42" t="s">
        <v>6912</v>
      </c>
      <c r="T6571" s="3" t="s">
        <v>4866</v>
      </c>
      <c r="U6571" s="45">
        <v>31</v>
      </c>
      <c r="V6571" t="s">
        <v>5571</v>
      </c>
      <c r="W6571" s="1" t="str">
        <f>HYPERLINK("http://ictvonline.org/taxonomy/p/taxonomy-history?taxnode_id=201905175","ICTVonline=201905175")</f>
        <v>ICTVonline=201905175</v>
      </c>
    </row>
    <row r="6572" spans="1:23">
      <c r="A6572" s="3">
        <v>6571</v>
      </c>
      <c r="L6572" s="1" t="s">
        <v>4780</v>
      </c>
      <c r="N6572" s="1" t="s">
        <v>4781</v>
      </c>
      <c r="P6572" s="1" t="s">
        <v>4838</v>
      </c>
      <c r="Q6572" s="3">
        <v>0</v>
      </c>
      <c r="R6572" s="22" t="s">
        <v>2724</v>
      </c>
      <c r="S6572" s="42" t="s">
        <v>6912</v>
      </c>
      <c r="T6572" s="3" t="s">
        <v>4866</v>
      </c>
      <c r="U6572" s="45">
        <v>31</v>
      </c>
      <c r="V6572" t="s">
        <v>5571</v>
      </c>
      <c r="W6572" s="1" t="str">
        <f>HYPERLINK("http://ictvonline.org/taxonomy/p/taxonomy-history?taxnode_id=201905176","ICTVonline=201905176")</f>
        <v>ICTVonline=201905176</v>
      </c>
    </row>
    <row r="6573" spans="1:23">
      <c r="A6573" s="3">
        <v>6572</v>
      </c>
      <c r="L6573" s="1" t="s">
        <v>4780</v>
      </c>
      <c r="N6573" s="1" t="s">
        <v>4781</v>
      </c>
      <c r="P6573" s="1" t="s">
        <v>4839</v>
      </c>
      <c r="Q6573" s="3">
        <v>0</v>
      </c>
      <c r="R6573" s="22" t="s">
        <v>2724</v>
      </c>
      <c r="S6573" s="42" t="s">
        <v>6912</v>
      </c>
      <c r="T6573" s="3" t="s">
        <v>4866</v>
      </c>
      <c r="U6573" s="45">
        <v>31</v>
      </c>
      <c r="V6573" t="s">
        <v>5571</v>
      </c>
      <c r="W6573" s="1" t="str">
        <f>HYPERLINK("http://ictvonline.org/taxonomy/p/taxonomy-history?taxnode_id=201905177","ICTVonline=201905177")</f>
        <v>ICTVonline=201905177</v>
      </c>
    </row>
    <row r="6574" spans="1:23">
      <c r="A6574" s="3">
        <v>6573</v>
      </c>
      <c r="L6574" s="1" t="s">
        <v>4780</v>
      </c>
      <c r="N6574" s="1" t="s">
        <v>4781</v>
      </c>
      <c r="P6574" s="1" t="s">
        <v>4840</v>
      </c>
      <c r="Q6574" s="3">
        <v>0</v>
      </c>
      <c r="R6574" s="22" t="s">
        <v>2724</v>
      </c>
      <c r="S6574" s="42" t="s">
        <v>6912</v>
      </c>
      <c r="T6574" s="3" t="s">
        <v>4866</v>
      </c>
      <c r="U6574" s="45">
        <v>31</v>
      </c>
      <c r="V6574" t="s">
        <v>5571</v>
      </c>
      <c r="W6574" s="1" t="str">
        <f>HYPERLINK("http://ictvonline.org/taxonomy/p/taxonomy-history?taxnode_id=201905178","ICTVonline=201905178")</f>
        <v>ICTVonline=201905178</v>
      </c>
    </row>
    <row r="6575" spans="1:23">
      <c r="A6575" s="3">
        <v>6574</v>
      </c>
      <c r="L6575" s="1" t="s">
        <v>4780</v>
      </c>
      <c r="N6575" s="1" t="s">
        <v>4781</v>
      </c>
      <c r="P6575" s="1" t="s">
        <v>4841</v>
      </c>
      <c r="Q6575" s="3">
        <v>0</v>
      </c>
      <c r="R6575" s="22" t="s">
        <v>2724</v>
      </c>
      <c r="S6575" s="42" t="s">
        <v>6912</v>
      </c>
      <c r="T6575" s="3" t="s">
        <v>4866</v>
      </c>
      <c r="U6575" s="45">
        <v>31</v>
      </c>
      <c r="V6575" t="s">
        <v>5571</v>
      </c>
      <c r="W6575" s="1" t="str">
        <f>HYPERLINK("http://ictvonline.org/taxonomy/p/taxonomy-history?taxnode_id=201905179","ICTVonline=201905179")</f>
        <v>ICTVonline=201905179</v>
      </c>
    </row>
    <row r="6576" spans="1:23">
      <c r="A6576" s="3">
        <v>6575</v>
      </c>
      <c r="L6576" s="1" t="s">
        <v>4780</v>
      </c>
      <c r="N6576" s="1" t="s">
        <v>4842</v>
      </c>
      <c r="P6576" s="1" t="s">
        <v>4843</v>
      </c>
      <c r="Q6576" s="3">
        <v>0</v>
      </c>
      <c r="R6576" s="22" t="s">
        <v>2724</v>
      </c>
      <c r="S6576" s="42" t="s">
        <v>6912</v>
      </c>
      <c r="T6576" s="3" t="s">
        <v>4866</v>
      </c>
      <c r="U6576" s="45">
        <v>31</v>
      </c>
      <c r="V6576" t="s">
        <v>5571</v>
      </c>
      <c r="W6576" s="1" t="str">
        <f>HYPERLINK("http://ictvonline.org/taxonomy/p/taxonomy-history?taxnode_id=201905181","ICTVonline=201905181")</f>
        <v>ICTVonline=201905181</v>
      </c>
    </row>
    <row r="6577" spans="1:23">
      <c r="A6577" s="3">
        <v>6576</v>
      </c>
      <c r="L6577" s="1" t="s">
        <v>4780</v>
      </c>
      <c r="N6577" s="1" t="s">
        <v>4842</v>
      </c>
      <c r="P6577" s="1" t="s">
        <v>4844</v>
      </c>
      <c r="Q6577" s="3">
        <v>0</v>
      </c>
      <c r="R6577" s="22" t="s">
        <v>2724</v>
      </c>
      <c r="S6577" s="42" t="s">
        <v>6912</v>
      </c>
      <c r="T6577" s="3" t="s">
        <v>4866</v>
      </c>
      <c r="U6577" s="45">
        <v>31</v>
      </c>
      <c r="V6577" t="s">
        <v>5571</v>
      </c>
      <c r="W6577" s="1" t="str">
        <f>HYPERLINK("http://ictvonline.org/taxonomy/p/taxonomy-history?taxnode_id=201905182","ICTVonline=201905182")</f>
        <v>ICTVonline=201905182</v>
      </c>
    </row>
    <row r="6578" spans="1:23">
      <c r="A6578" s="3">
        <v>6577</v>
      </c>
      <c r="L6578" s="1" t="s">
        <v>4780</v>
      </c>
      <c r="N6578" s="1" t="s">
        <v>4842</v>
      </c>
      <c r="P6578" s="1" t="s">
        <v>4845</v>
      </c>
      <c r="Q6578" s="3">
        <v>0</v>
      </c>
      <c r="R6578" s="22" t="s">
        <v>2724</v>
      </c>
      <c r="S6578" s="42" t="s">
        <v>6912</v>
      </c>
      <c r="T6578" s="3" t="s">
        <v>4866</v>
      </c>
      <c r="U6578" s="45">
        <v>31</v>
      </c>
      <c r="V6578" t="s">
        <v>5571</v>
      </c>
      <c r="W6578" s="1" t="str">
        <f>HYPERLINK("http://ictvonline.org/taxonomy/p/taxonomy-history?taxnode_id=201905183","ICTVonline=201905183")</f>
        <v>ICTVonline=201905183</v>
      </c>
    </row>
    <row r="6579" spans="1:23">
      <c r="A6579" s="3">
        <v>6578</v>
      </c>
      <c r="L6579" s="1" t="s">
        <v>4780</v>
      </c>
      <c r="N6579" s="1" t="s">
        <v>4842</v>
      </c>
      <c r="P6579" s="1" t="s">
        <v>4846</v>
      </c>
      <c r="Q6579" s="3">
        <v>0</v>
      </c>
      <c r="R6579" s="22" t="s">
        <v>2724</v>
      </c>
      <c r="S6579" s="42" t="s">
        <v>6912</v>
      </c>
      <c r="T6579" s="3" t="s">
        <v>4866</v>
      </c>
      <c r="U6579" s="45">
        <v>31</v>
      </c>
      <c r="V6579" t="s">
        <v>5571</v>
      </c>
      <c r="W6579" s="1" t="str">
        <f>HYPERLINK("http://ictvonline.org/taxonomy/p/taxonomy-history?taxnode_id=201905184","ICTVonline=201905184")</f>
        <v>ICTVonline=201905184</v>
      </c>
    </row>
    <row r="6580" spans="1:23">
      <c r="A6580" s="3">
        <v>6579</v>
      </c>
      <c r="L6580" s="1" t="s">
        <v>4780</v>
      </c>
      <c r="N6580" s="1" t="s">
        <v>4842</v>
      </c>
      <c r="P6580" s="1" t="s">
        <v>4847</v>
      </c>
      <c r="Q6580" s="3">
        <v>0</v>
      </c>
      <c r="R6580" s="22" t="s">
        <v>2724</v>
      </c>
      <c r="S6580" s="42" t="s">
        <v>6912</v>
      </c>
      <c r="T6580" s="3" t="s">
        <v>4866</v>
      </c>
      <c r="U6580" s="45">
        <v>31</v>
      </c>
      <c r="V6580" t="s">
        <v>5571</v>
      </c>
      <c r="W6580" s="1" t="str">
        <f>HYPERLINK("http://ictvonline.org/taxonomy/p/taxonomy-history?taxnode_id=201905185","ICTVonline=201905185")</f>
        <v>ICTVonline=201905185</v>
      </c>
    </row>
    <row r="6581" spans="1:23">
      <c r="A6581" s="3">
        <v>6580</v>
      </c>
      <c r="L6581" s="1" t="s">
        <v>4780</v>
      </c>
      <c r="N6581" s="1" t="s">
        <v>4842</v>
      </c>
      <c r="P6581" s="1" t="s">
        <v>4848</v>
      </c>
      <c r="Q6581" s="3">
        <v>0</v>
      </c>
      <c r="R6581" s="22" t="s">
        <v>2724</v>
      </c>
      <c r="S6581" s="42" t="s">
        <v>6912</v>
      </c>
      <c r="T6581" s="3" t="s">
        <v>4866</v>
      </c>
      <c r="U6581" s="45">
        <v>31</v>
      </c>
      <c r="V6581" t="s">
        <v>5571</v>
      </c>
      <c r="W6581" s="1" t="str">
        <f>HYPERLINK("http://ictvonline.org/taxonomy/p/taxonomy-history?taxnode_id=201905186","ICTVonline=201905186")</f>
        <v>ICTVonline=201905186</v>
      </c>
    </row>
    <row r="6582" spans="1:23">
      <c r="A6582" s="3">
        <v>6581</v>
      </c>
      <c r="L6582" s="1" t="s">
        <v>4780</v>
      </c>
      <c r="N6582" s="1" t="s">
        <v>4842</v>
      </c>
      <c r="P6582" s="1" t="s">
        <v>4849</v>
      </c>
      <c r="Q6582" s="3">
        <v>0</v>
      </c>
      <c r="R6582" s="22" t="s">
        <v>2724</v>
      </c>
      <c r="S6582" s="42" t="s">
        <v>6912</v>
      </c>
      <c r="T6582" s="3" t="s">
        <v>4866</v>
      </c>
      <c r="U6582" s="45">
        <v>31</v>
      </c>
      <c r="V6582" t="s">
        <v>5571</v>
      </c>
      <c r="W6582" s="1" t="str">
        <f>HYPERLINK("http://ictvonline.org/taxonomy/p/taxonomy-history?taxnode_id=201905187","ICTVonline=201905187")</f>
        <v>ICTVonline=201905187</v>
      </c>
    </row>
    <row r="6583" spans="1:23">
      <c r="A6583" s="3">
        <v>6582</v>
      </c>
      <c r="L6583" s="1" t="s">
        <v>4780</v>
      </c>
      <c r="N6583" s="1" t="s">
        <v>4842</v>
      </c>
      <c r="P6583" s="1" t="s">
        <v>4850</v>
      </c>
      <c r="Q6583" s="3">
        <v>0</v>
      </c>
      <c r="R6583" s="22" t="s">
        <v>2724</v>
      </c>
      <c r="S6583" s="42" t="s">
        <v>6912</v>
      </c>
      <c r="T6583" s="3" t="s">
        <v>4866</v>
      </c>
      <c r="U6583" s="45">
        <v>31</v>
      </c>
      <c r="V6583" t="s">
        <v>5571</v>
      </c>
      <c r="W6583" s="1" t="str">
        <f>HYPERLINK("http://ictvonline.org/taxonomy/p/taxonomy-history?taxnode_id=201905188","ICTVonline=201905188")</f>
        <v>ICTVonline=201905188</v>
      </c>
    </row>
    <row r="6584" spans="1:23">
      <c r="A6584" s="3">
        <v>6583</v>
      </c>
      <c r="L6584" s="1" t="s">
        <v>4780</v>
      </c>
      <c r="N6584" s="1" t="s">
        <v>4842</v>
      </c>
      <c r="P6584" s="1" t="s">
        <v>4851</v>
      </c>
      <c r="Q6584" s="3">
        <v>1</v>
      </c>
      <c r="R6584" s="22" t="s">
        <v>2724</v>
      </c>
      <c r="S6584" s="42" t="s">
        <v>6912</v>
      </c>
      <c r="T6584" s="3" t="s">
        <v>4866</v>
      </c>
      <c r="U6584" s="45">
        <v>31</v>
      </c>
      <c r="V6584" t="s">
        <v>5571</v>
      </c>
      <c r="W6584" s="1" t="str">
        <f>HYPERLINK("http://ictvonline.org/taxonomy/p/taxonomy-history?taxnode_id=201905189","ICTVonline=201905189")</f>
        <v>ICTVonline=201905189</v>
      </c>
    </row>
    <row r="6585" spans="1:23">
      <c r="A6585" s="3">
        <v>6584</v>
      </c>
      <c r="L6585" s="1" t="s">
        <v>4780</v>
      </c>
      <c r="N6585" s="1" t="s">
        <v>4842</v>
      </c>
      <c r="P6585" s="1" t="s">
        <v>4852</v>
      </c>
      <c r="Q6585" s="3">
        <v>0</v>
      </c>
      <c r="R6585" s="22" t="s">
        <v>2724</v>
      </c>
      <c r="S6585" s="42" t="s">
        <v>6912</v>
      </c>
      <c r="T6585" s="3" t="s">
        <v>4866</v>
      </c>
      <c r="U6585" s="45">
        <v>31</v>
      </c>
      <c r="V6585" t="s">
        <v>5571</v>
      </c>
      <c r="W6585" s="1" t="str">
        <f>HYPERLINK("http://ictvonline.org/taxonomy/p/taxonomy-history?taxnode_id=201905190","ICTVonline=201905190")</f>
        <v>ICTVonline=201905190</v>
      </c>
    </row>
    <row r="6586" spans="1:23">
      <c r="A6586" s="3">
        <v>6585</v>
      </c>
      <c r="L6586" s="1" t="s">
        <v>4780</v>
      </c>
      <c r="N6586" s="1" t="s">
        <v>4842</v>
      </c>
      <c r="P6586" s="1" t="s">
        <v>4853</v>
      </c>
      <c r="Q6586" s="3">
        <v>0</v>
      </c>
      <c r="R6586" s="22" t="s">
        <v>2724</v>
      </c>
      <c r="S6586" s="42" t="s">
        <v>6912</v>
      </c>
      <c r="T6586" s="3" t="s">
        <v>4866</v>
      </c>
      <c r="U6586" s="45">
        <v>31</v>
      </c>
      <c r="V6586" t="s">
        <v>5571</v>
      </c>
      <c r="W6586" s="1" t="str">
        <f>HYPERLINK("http://ictvonline.org/taxonomy/p/taxonomy-history?taxnode_id=201905191","ICTVonline=201905191")</f>
        <v>ICTVonline=201905191</v>
      </c>
    </row>
    <row r="6587" spans="1:23">
      <c r="A6587" s="3">
        <v>6586</v>
      </c>
      <c r="L6587" s="1" t="s">
        <v>4085</v>
      </c>
      <c r="N6587" s="1" t="s">
        <v>4086</v>
      </c>
      <c r="P6587" s="1" t="s">
        <v>4856</v>
      </c>
      <c r="Q6587" s="3">
        <v>1</v>
      </c>
      <c r="R6587" s="22" t="s">
        <v>2721</v>
      </c>
      <c r="S6587" s="42" t="s">
        <v>6912</v>
      </c>
      <c r="T6587" s="3" t="s">
        <v>4866</v>
      </c>
      <c r="U6587" s="45">
        <v>31</v>
      </c>
      <c r="V6587" t="s">
        <v>5574</v>
      </c>
      <c r="W6587" s="1" t="str">
        <f>HYPERLINK("http://ictvonline.org/taxonomy/p/taxonomy-history?taxnode_id=201905323","ICTVonline=201905323")</f>
        <v>ICTVonline=201905323</v>
      </c>
    </row>
    <row r="6588" spans="1:23">
      <c r="A6588" s="3">
        <v>6587</v>
      </c>
      <c r="L6588" s="1" t="s">
        <v>4085</v>
      </c>
      <c r="N6588" s="1" t="s">
        <v>4086</v>
      </c>
      <c r="P6588" s="1" t="s">
        <v>1615</v>
      </c>
      <c r="Q6588" s="3">
        <v>0</v>
      </c>
      <c r="R6588" s="22" t="s">
        <v>2721</v>
      </c>
      <c r="S6588" s="42" t="s">
        <v>6912</v>
      </c>
      <c r="T6588" s="3" t="s">
        <v>6903</v>
      </c>
      <c r="U6588" s="45">
        <v>31</v>
      </c>
      <c r="V6588" t="s">
        <v>5574</v>
      </c>
      <c r="W6588" s="1" t="str">
        <f>HYPERLINK("http://ictvonline.org/taxonomy/p/taxonomy-history?taxnode_id=201905324","ICTVonline=201905324")</f>
        <v>ICTVonline=201905324</v>
      </c>
    </row>
    <row r="6589" spans="1:23">
      <c r="A6589" s="3">
        <v>6588</v>
      </c>
      <c r="N6589" s="1" t="s">
        <v>1250</v>
      </c>
      <c r="P6589" s="1" t="s">
        <v>1251</v>
      </c>
      <c r="Q6589" s="3">
        <v>1</v>
      </c>
      <c r="R6589" s="22" t="s">
        <v>2722</v>
      </c>
      <c r="T6589" s="3" t="s">
        <v>4868</v>
      </c>
      <c r="U6589" s="45">
        <v>35</v>
      </c>
      <c r="V6589" t="s">
        <v>8771</v>
      </c>
      <c r="W6589" s="1" t="str">
        <f>HYPERLINK("http://ictvonline.org/taxonomy/p/taxonomy-history?taxnode_id=201905348","ICTVonline=201905348")</f>
        <v>ICTVonline=201905348</v>
      </c>
    </row>
    <row r="6590" spans="1:23">
      <c r="A6590" s="3">
        <v>6589</v>
      </c>
      <c r="N6590" s="1" t="s">
        <v>211</v>
      </c>
      <c r="P6590" s="1" t="s">
        <v>212</v>
      </c>
      <c r="Q6590" s="3">
        <v>1</v>
      </c>
      <c r="R6590" s="22" t="s">
        <v>2721</v>
      </c>
      <c r="S6590" s="42" t="s">
        <v>6913</v>
      </c>
      <c r="T6590" s="3" t="s">
        <v>4870</v>
      </c>
      <c r="U6590" s="45">
        <v>26</v>
      </c>
      <c r="V6590" t="s">
        <v>5575</v>
      </c>
      <c r="W6590" s="1" t="str">
        <f>HYPERLINK("http://ictvonline.org/taxonomy/p/taxonomy-history?taxnode_id=201905350","ICTVonline=201905350")</f>
        <v>ICTVonline=201905350</v>
      </c>
    </row>
    <row r="6591" spans="1:23">
      <c r="A6591" s="3">
        <v>6590</v>
      </c>
      <c r="N6591" s="1" t="s">
        <v>402</v>
      </c>
      <c r="P6591" s="1" t="s">
        <v>403</v>
      </c>
      <c r="Q6591" s="3">
        <v>1</v>
      </c>
      <c r="R6591" s="22" t="s">
        <v>2721</v>
      </c>
      <c r="S6591" s="42" t="s">
        <v>6913</v>
      </c>
      <c r="T6591" s="3" t="s">
        <v>4870</v>
      </c>
      <c r="U6591" s="45">
        <v>10</v>
      </c>
      <c r="V6591" t="s">
        <v>5576</v>
      </c>
      <c r="W6591" s="1" t="str">
        <f>HYPERLINK("http://ictvonline.org/taxonomy/p/taxonomy-history?taxnode_id=201905364","ICTVonline=201905364")</f>
        <v>ICTVonline=201905364</v>
      </c>
    </row>
  </sheetData>
  <sortState ref="A2:V5568">
    <sortCondition ref="A2:A5568"/>
  </sortState>
  <phoneticPr fontId="1" type="noConversion"/>
  <conditionalFormatting sqref="A2:XFD1048576">
    <cfRule type="cellIs" dxfId="0" priority="10" stopIfTrue="1" operator="equal">
      <formula>"NULL"</formula>
    </cfRule>
  </conditionalFormatting>
  <printOptions gridLines="1"/>
  <pageMargins left="0.75" right="0.75" top="1" bottom="1" header="0.5" footer="0.5"/>
  <pageSetup scale="54" fitToHeight="100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zoomScale="125" workbookViewId="0"/>
  </sheetViews>
  <sheetFormatPr baseColWidth="10" defaultColWidth="11.42578125" defaultRowHeight="12.75"/>
  <cols>
    <col min="1" max="1" width="3.28515625" style="5" customWidth="1"/>
    <col min="2" max="2" width="11.85546875" style="5" customWidth="1"/>
    <col min="3" max="3" width="23.42578125" style="5" customWidth="1"/>
    <col min="4" max="4" width="4.7109375" style="5" customWidth="1"/>
    <col min="5" max="5" width="105" style="20" bestFit="1" customWidth="1"/>
    <col min="6" max="6" width="54.7109375" style="5" customWidth="1"/>
    <col min="7" max="7" width="10.85546875" style="5" customWidth="1"/>
    <col min="8" max="16384" width="11.42578125" style="5"/>
  </cols>
  <sheetData>
    <row r="1" spans="1:6" ht="13.5" thickBot="1"/>
    <row r="2" spans="1:6" s="7" customFormat="1" ht="18.75" thickBot="1">
      <c r="B2" s="18" t="s">
        <v>6906</v>
      </c>
      <c r="C2" s="19"/>
      <c r="D2" s="19"/>
      <c r="E2" s="19"/>
      <c r="F2" s="6"/>
    </row>
    <row r="3" spans="1:6" ht="15.75" thickBot="1">
      <c r="A3" s="11"/>
      <c r="B3" s="9"/>
      <c r="C3" s="9"/>
      <c r="D3" s="9"/>
      <c r="E3" s="26"/>
    </row>
    <row r="4" spans="1:6" ht="18">
      <c r="A4" s="8"/>
      <c r="B4" s="16" t="s">
        <v>415</v>
      </c>
      <c r="C4" s="17">
        <v>1</v>
      </c>
      <c r="D4" s="9"/>
      <c r="E4" s="27" t="str">
        <f>CONCATENATE("Version ",C4)</f>
        <v>Version 1</v>
      </c>
    </row>
    <row r="5" spans="1:6" ht="15" customHeight="1">
      <c r="A5" s="9"/>
      <c r="B5" s="13" t="s">
        <v>1292</v>
      </c>
      <c r="C5" s="36">
        <v>43944</v>
      </c>
      <c r="D5" s="10"/>
      <c r="E5" s="21" t="s">
        <v>6907</v>
      </c>
    </row>
    <row r="6" spans="1:6" ht="16.5" thickBot="1">
      <c r="A6" s="9"/>
      <c r="B6" s="14" t="s">
        <v>1293</v>
      </c>
      <c r="C6" s="15" t="s">
        <v>1290</v>
      </c>
      <c r="D6" s="12"/>
      <c r="E6" s="28" t="s">
        <v>6908</v>
      </c>
    </row>
    <row r="7" spans="1:6" ht="15">
      <c r="A7" s="9"/>
      <c r="B7" s="9"/>
      <c r="C7" s="9"/>
      <c r="D7" s="9"/>
      <c r="E7" s="46" t="s">
        <v>8814</v>
      </c>
    </row>
    <row r="8" spans="1:6" ht="15">
      <c r="A8" s="11"/>
      <c r="B8" s="9"/>
      <c r="C8" s="9"/>
      <c r="D8" s="9"/>
      <c r="E8" s="26"/>
    </row>
    <row r="9" spans="1:6" ht="15">
      <c r="B9" s="29"/>
      <c r="C9" s="29"/>
      <c r="D9" s="29"/>
      <c r="E9" s="30"/>
    </row>
    <row r="10" spans="1:6" ht="15">
      <c r="B10" s="29"/>
      <c r="C10" s="29"/>
      <c r="D10" s="29"/>
      <c r="E10" s="30"/>
    </row>
    <row r="11" spans="1:6" ht="15">
      <c r="B11" s="29"/>
      <c r="C11" s="29"/>
      <c r="D11" s="29"/>
      <c r="E11" s="30"/>
    </row>
    <row r="12" spans="1:6" ht="15">
      <c r="B12" s="29"/>
      <c r="C12" s="29"/>
      <c r="D12" s="29"/>
      <c r="E12" s="30"/>
    </row>
    <row r="13" spans="1:6" ht="15">
      <c r="B13" s="29"/>
      <c r="C13" s="29"/>
      <c r="D13" s="29"/>
      <c r="E13" s="30"/>
    </row>
    <row r="14" spans="1:6" ht="15">
      <c r="B14" s="29"/>
      <c r="C14" s="29"/>
      <c r="D14" s="29"/>
      <c r="E14" s="30"/>
    </row>
    <row r="15" spans="1:6" ht="15">
      <c r="B15" s="29"/>
      <c r="C15" s="29"/>
      <c r="D15" s="29"/>
      <c r="E15" s="30"/>
    </row>
    <row r="16" spans="1:6" ht="15">
      <c r="B16" s="29"/>
      <c r="C16" s="29"/>
      <c r="D16" s="29"/>
      <c r="E16" s="30"/>
    </row>
    <row r="17" spans="2:5" ht="15">
      <c r="B17" s="29"/>
      <c r="C17" s="29"/>
      <c r="D17" s="29"/>
      <c r="E17" s="30"/>
    </row>
    <row r="18" spans="2:5" ht="15">
      <c r="B18" s="29"/>
      <c r="C18" s="29"/>
      <c r="D18" s="29"/>
      <c r="E18" s="30"/>
    </row>
  </sheetData>
  <phoneticPr fontId="3"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zoomScale="140" zoomScaleNormal="140" workbookViewId="0"/>
  </sheetViews>
  <sheetFormatPr baseColWidth="10" defaultColWidth="10.85546875" defaultRowHeight="15"/>
  <cols>
    <col min="1" max="1" width="32.7109375" style="34" bestFit="1" customWidth="1"/>
    <col min="2" max="2" width="59.7109375" style="41" customWidth="1"/>
    <col min="3" max="16384" width="10.85546875" style="34"/>
  </cols>
  <sheetData>
    <row r="1" spans="1:2" s="32" customFormat="1" ht="36">
      <c r="A1" s="31" t="s">
        <v>3998</v>
      </c>
      <c r="B1" s="38" t="s">
        <v>3999</v>
      </c>
    </row>
    <row r="2" spans="1:2" s="32" customFormat="1" ht="45">
      <c r="A2" s="33" t="s">
        <v>5890</v>
      </c>
      <c r="B2" s="37" t="s">
        <v>5908</v>
      </c>
    </row>
    <row r="3" spans="1:2" s="32" customFormat="1" ht="30">
      <c r="A3" s="33" t="s">
        <v>5578</v>
      </c>
      <c r="B3" s="39" t="s">
        <v>5905</v>
      </c>
    </row>
    <row r="4" spans="1:2" s="32" customFormat="1" ht="30">
      <c r="A4" s="33" t="s">
        <v>5579</v>
      </c>
      <c r="B4" s="37" t="s">
        <v>5892</v>
      </c>
    </row>
    <row r="5" spans="1:2" s="32" customFormat="1" ht="30">
      <c r="A5" s="33" t="s">
        <v>5580</v>
      </c>
      <c r="B5" s="37" t="s">
        <v>5893</v>
      </c>
    </row>
    <row r="6" spans="1:2" s="32" customFormat="1" ht="30">
      <c r="A6" s="33" t="s">
        <v>5581</v>
      </c>
      <c r="B6" s="37" t="s">
        <v>5894</v>
      </c>
    </row>
    <row r="7" spans="1:2" s="32" customFormat="1" ht="30">
      <c r="A7" s="33" t="s">
        <v>5582</v>
      </c>
      <c r="B7" s="37" t="s">
        <v>5895</v>
      </c>
    </row>
    <row r="8" spans="1:2" s="32" customFormat="1" ht="30">
      <c r="A8" s="33" t="s">
        <v>5583</v>
      </c>
      <c r="B8" s="37" t="s">
        <v>5896</v>
      </c>
    </row>
    <row r="9" spans="1:2" s="32" customFormat="1" ht="30">
      <c r="A9" s="33" t="s">
        <v>5584</v>
      </c>
      <c r="B9" s="37" t="s">
        <v>5897</v>
      </c>
    </row>
    <row r="10" spans="1:2" s="32" customFormat="1" ht="30">
      <c r="A10" s="33" t="s">
        <v>5585</v>
      </c>
      <c r="B10" s="37" t="s">
        <v>5898</v>
      </c>
    </row>
    <row r="11" spans="1:2" ht="30">
      <c r="A11" s="33" t="s">
        <v>1038</v>
      </c>
      <c r="B11" s="37" t="s">
        <v>5899</v>
      </c>
    </row>
    <row r="12" spans="1:2" ht="30">
      <c r="A12" s="33" t="s">
        <v>5586</v>
      </c>
      <c r="B12" s="37" t="s">
        <v>5900</v>
      </c>
    </row>
    <row r="13" spans="1:2" ht="30">
      <c r="A13" s="33" t="s">
        <v>1821</v>
      </c>
      <c r="B13" s="37" t="s">
        <v>5891</v>
      </c>
    </row>
    <row r="14" spans="1:2" ht="30">
      <c r="A14" s="33" t="s">
        <v>1822</v>
      </c>
      <c r="B14" s="37" t="s">
        <v>5901</v>
      </c>
    </row>
    <row r="15" spans="1:2" ht="30">
      <c r="A15" s="33" t="s">
        <v>1823</v>
      </c>
      <c r="B15" s="37" t="s">
        <v>5902</v>
      </c>
    </row>
    <row r="16" spans="1:2" ht="30">
      <c r="A16" s="33" t="s">
        <v>5587</v>
      </c>
      <c r="B16" s="37" t="s">
        <v>5903</v>
      </c>
    </row>
    <row r="17" spans="1:2" ht="75">
      <c r="A17" s="33" t="s">
        <v>1824</v>
      </c>
      <c r="B17" s="37" t="s">
        <v>5906</v>
      </c>
    </row>
    <row r="18" spans="1:2" ht="75">
      <c r="A18" s="33" t="s">
        <v>2729</v>
      </c>
      <c r="B18" s="37" t="s">
        <v>4000</v>
      </c>
    </row>
    <row r="19" spans="1:2" ht="221.1" customHeight="1">
      <c r="A19" s="33" t="s">
        <v>2728</v>
      </c>
      <c r="B19" s="37" t="s">
        <v>5907</v>
      </c>
    </row>
    <row r="20" spans="1:2" ht="174.95" customHeight="1">
      <c r="A20" s="33" t="s">
        <v>2731</v>
      </c>
      <c r="B20" s="37" t="s">
        <v>4001</v>
      </c>
    </row>
    <row r="21" spans="1:2" ht="60">
      <c r="A21" s="33" t="s">
        <v>4003</v>
      </c>
      <c r="B21" s="37" t="s">
        <v>5904</v>
      </c>
    </row>
    <row r="22" spans="1:2" ht="90">
      <c r="A22" s="33" t="s">
        <v>5067</v>
      </c>
      <c r="B22" s="37" t="s">
        <v>5909</v>
      </c>
    </row>
    <row r="23" spans="1:2" ht="60.75" thickBot="1">
      <c r="A23" s="35" t="s">
        <v>2730</v>
      </c>
      <c r="B23" s="40" t="s">
        <v>4002</v>
      </c>
    </row>
  </sheetData>
  <pageMargins left="0.7" right="0.7" top="0.75" bottom="0.75"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ICTV2019 Master Species List#35</vt:lpstr>
      <vt:lpstr>Version</vt:lpstr>
      <vt:lpstr>Column Definitions</vt:lpstr>
      <vt:lpstr>'ICTV2019 Master Species List#35'!Títulos_a_imprimir</vt:lpstr>
    </vt:vector>
  </TitlesOfParts>
  <Company>UAB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SUPERVISION ESCOLAR</cp:lastModifiedBy>
  <cp:lastPrinted>2009-10-04T23:39:18Z</cp:lastPrinted>
  <dcterms:created xsi:type="dcterms:W3CDTF">2009-08-13T19:43:48Z</dcterms:created>
  <dcterms:modified xsi:type="dcterms:W3CDTF">2021-03-12T21:55:11Z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