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9C58C19F-2677-401C-919F-ACCF6A4474E1}" xr6:coauthVersionLast="47" xr6:coauthVersionMax="47" xr10:uidLastSave="{00000000-0000-0000-0000-000000000000}"/>
  <bookViews>
    <workbookView xWindow="-108" yWindow="-108" windowWidth="23256" windowHeight="12456" xr2:uid="{537CCE82-C79B-41EB-918A-681CE49CDE51}"/>
  </bookViews>
  <sheets>
    <sheet name="DASHBOARD" sheetId="10" r:id="rId1"/>
    <sheet name="Employees Data" sheetId="6" r:id="rId2"/>
    <sheet name="Appraisal Data" sheetId="7" r:id="rId3"/>
    <sheet name="Pivot Table Exercise" sheetId="9" r:id="rId4"/>
    <sheet name="Formulae &amp; Conditional Format" sheetId="8" r:id="rId5"/>
    <sheet name="Advance Excel" sheetId="3" r:id="rId6"/>
    <sheet name="Formula and Cond Format" sheetId="1" r:id="rId7"/>
  </sheets>
  <externalReferences>
    <externalReference r:id="rId8"/>
  </externalReferences>
  <definedNames>
    <definedName name="_xlnm._FilterDatabase" localSheetId="5" hidden="1">#REF!</definedName>
    <definedName name="_xlnm._FilterDatabase" localSheetId="2" hidden="1">'Appraisal Data'!$A$1:$E$67</definedName>
    <definedName name="_xlnm._FilterDatabase" localSheetId="1" hidden="1">'Employees Data'!$A$1:$X$67</definedName>
    <definedName name="Slicer_Gender">#N/A</definedName>
    <definedName name="Slicer_Hire_Date">#N/A</definedName>
    <definedName name="Slicer_Location_Name">#N/A</definedName>
    <definedName name="Slicer_Manager_Name">#N/A</definedName>
    <definedName name="Slicer_Tenure">#N/A</definedName>
  </definedNames>
  <calcPr calcId="191029"/>
  <pivotCaches>
    <pivotCache cacheId="0" r:id="rId9"/>
    <pivotCache cacheId="16"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0" i="3" l="1"/>
  <c r="N29" i="3"/>
  <c r="N28" i="3"/>
  <c r="N27" i="3"/>
  <c r="N26" i="3"/>
  <c r="N3" i="6" l="1"/>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2" i="6"/>
  <c r="J3"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2" i="6"/>
  <c r="I9" i="3"/>
  <c r="I10" i="3"/>
  <c r="I11" i="3"/>
  <c r="I12" i="3"/>
  <c r="I13" i="3"/>
  <c r="I14" i="3"/>
  <c r="I15" i="3"/>
  <c r="I16" i="3"/>
  <c r="I17" i="3"/>
  <c r="I18" i="3"/>
  <c r="I19" i="3"/>
  <c r="I20" i="3"/>
  <c r="I21" i="3"/>
  <c r="I22" i="3"/>
  <c r="I23" i="3"/>
  <c r="I24" i="3"/>
  <c r="I25" i="3"/>
  <c r="I8" i="3"/>
  <c r="N18" i="3"/>
  <c r="P18" i="3" s="1"/>
  <c r="P19" i="3"/>
  <c r="P20" i="3"/>
  <c r="P21" i="3"/>
  <c r="O21" i="3"/>
  <c r="O20" i="3"/>
  <c r="O19" i="3"/>
  <c r="O18" i="3"/>
  <c r="N21" i="3"/>
  <c r="N20" i="3"/>
  <c r="N19" i="3"/>
  <c r="M7" i="3"/>
  <c r="M11" i="3"/>
  <c r="M10" i="3"/>
  <c r="M9" i="3"/>
  <c r="M8" i="3"/>
  <c r="K25" i="3"/>
  <c r="K24" i="3"/>
  <c r="K23" i="3"/>
  <c r="K22" i="3"/>
  <c r="K21" i="3"/>
  <c r="K20" i="3"/>
  <c r="K19" i="3"/>
  <c r="K18" i="3"/>
  <c r="AB38" i="6" l="1"/>
  <c r="AB37" i="6"/>
  <c r="B108" i="8"/>
  <c r="B109" i="8"/>
  <c r="B110" i="8"/>
  <c r="B111" i="8"/>
  <c r="B112" i="8"/>
  <c r="B107" i="8"/>
  <c r="E75" i="8"/>
  <c r="E76" i="8"/>
  <c r="E77" i="8"/>
  <c r="E78" i="8"/>
  <c r="E79" i="8"/>
  <c r="E80" i="8"/>
  <c r="A100" i="8"/>
  <c r="A99" i="8"/>
  <c r="B64" i="8"/>
  <c r="B65" i="8"/>
  <c r="B66" i="8"/>
  <c r="B67" i="8"/>
  <c r="B68" i="8"/>
  <c r="B63" i="8"/>
  <c r="D41" i="8"/>
  <c r="D42" i="8"/>
  <c r="D43" i="8"/>
  <c r="D44" i="8"/>
  <c r="D40" i="8"/>
  <c r="C44" i="8"/>
  <c r="C43" i="8"/>
  <c r="C42" i="8"/>
  <c r="C41" i="8"/>
  <c r="C40" i="8"/>
  <c r="B44" i="8"/>
  <c r="B43" i="8"/>
  <c r="B42" i="8"/>
  <c r="B41" i="8"/>
  <c r="B40" i="8"/>
  <c r="E26" i="8"/>
  <c r="E27" i="8"/>
  <c r="E28" i="8"/>
  <c r="E29" i="8"/>
  <c r="E25" i="8"/>
  <c r="D26" i="8"/>
  <c r="D27" i="8"/>
  <c r="D28" i="8"/>
  <c r="D29" i="8"/>
  <c r="D25" i="8"/>
  <c r="G10" i="8"/>
  <c r="G8" i="8" a="1"/>
  <c r="G8" i="8" s="1"/>
  <c r="I9" i="8"/>
  <c r="I10" i="8"/>
  <c r="I8" i="8"/>
  <c r="H9" i="8"/>
  <c r="H10" i="8"/>
  <c r="H8" i="8"/>
  <c r="G9" i="8"/>
  <c r="F9" i="8" a="1"/>
  <c r="F9" i="8" s="1"/>
  <c r="F10" i="8" a="1"/>
  <c r="F10" i="8" s="1"/>
  <c r="F8" i="8" a="1"/>
  <c r="F8" i="8" s="1"/>
  <c r="E9" i="8" a="1"/>
  <c r="E9" i="8" s="1"/>
  <c r="E10" i="8" a="1"/>
  <c r="E10" i="8"/>
  <c r="E8" i="8" a="1"/>
  <c r="E8" i="8" s="1"/>
  <c r="V28" i="6"/>
  <c r="W3" i="6"/>
  <c r="V3" i="6" s="1"/>
  <c r="W4" i="6"/>
  <c r="V4" i="6" s="1"/>
  <c r="W5" i="6"/>
  <c r="V5" i="6" s="1"/>
  <c r="W6" i="6"/>
  <c r="V6" i="6" s="1"/>
  <c r="W7" i="6"/>
  <c r="V7" i="6" s="1"/>
  <c r="W8" i="6"/>
  <c r="V8" i="6" s="1"/>
  <c r="W9" i="6"/>
  <c r="V9" i="6" s="1"/>
  <c r="W10" i="6"/>
  <c r="V10" i="6" s="1"/>
  <c r="W11" i="6"/>
  <c r="V11" i="6" s="1"/>
  <c r="W12" i="6"/>
  <c r="V12" i="6" s="1"/>
  <c r="W13" i="6"/>
  <c r="V13" i="6" s="1"/>
  <c r="W14" i="6"/>
  <c r="V14" i="6" s="1"/>
  <c r="W15" i="6"/>
  <c r="V15" i="6" s="1"/>
  <c r="W16" i="6"/>
  <c r="V16" i="6" s="1"/>
  <c r="W17" i="6"/>
  <c r="V17" i="6" s="1"/>
  <c r="W18" i="6"/>
  <c r="V18" i="6" s="1"/>
  <c r="W19" i="6"/>
  <c r="V19" i="6" s="1"/>
  <c r="W20" i="6"/>
  <c r="V20" i="6" s="1"/>
  <c r="W21" i="6"/>
  <c r="V21" i="6" s="1"/>
  <c r="W22" i="6"/>
  <c r="V22" i="6" s="1"/>
  <c r="W23" i="6"/>
  <c r="V23" i="6" s="1"/>
  <c r="W24" i="6"/>
  <c r="V24" i="6" s="1"/>
  <c r="W25" i="6"/>
  <c r="V25" i="6" s="1"/>
  <c r="W26" i="6"/>
  <c r="V26" i="6" s="1"/>
  <c r="W27" i="6"/>
  <c r="V27" i="6" s="1"/>
  <c r="W28" i="6"/>
  <c r="W29" i="6"/>
  <c r="V29" i="6" s="1"/>
  <c r="W30" i="6"/>
  <c r="V30" i="6" s="1"/>
  <c r="W31" i="6"/>
  <c r="V31" i="6" s="1"/>
  <c r="W32" i="6"/>
  <c r="V32" i="6" s="1"/>
  <c r="W33" i="6"/>
  <c r="V33" i="6" s="1"/>
  <c r="W34" i="6"/>
  <c r="V34" i="6" s="1"/>
  <c r="W35" i="6"/>
  <c r="V35" i="6" s="1"/>
  <c r="W36" i="6"/>
  <c r="V36" i="6" s="1"/>
  <c r="W37" i="6"/>
  <c r="V37" i="6" s="1"/>
  <c r="W38" i="6"/>
  <c r="V38" i="6" s="1"/>
  <c r="W39" i="6"/>
  <c r="V39" i="6" s="1"/>
  <c r="W40" i="6"/>
  <c r="V40" i="6" s="1"/>
  <c r="W41" i="6"/>
  <c r="V41" i="6" s="1"/>
  <c r="W42" i="6"/>
  <c r="V42" i="6" s="1"/>
  <c r="W43" i="6"/>
  <c r="V43" i="6" s="1"/>
  <c r="W44" i="6"/>
  <c r="V44" i="6" s="1"/>
  <c r="W45" i="6"/>
  <c r="V45" i="6" s="1"/>
  <c r="W46" i="6"/>
  <c r="V46" i="6" s="1"/>
  <c r="W47" i="6"/>
  <c r="V47" i="6" s="1"/>
  <c r="W48" i="6"/>
  <c r="V48" i="6" s="1"/>
  <c r="W49" i="6"/>
  <c r="V49" i="6" s="1"/>
  <c r="W50" i="6"/>
  <c r="V50" i="6" s="1"/>
  <c r="W51" i="6"/>
  <c r="V51" i="6" s="1"/>
  <c r="W52" i="6"/>
  <c r="V52" i="6" s="1"/>
  <c r="W53" i="6"/>
  <c r="V53" i="6" s="1"/>
  <c r="W54" i="6"/>
  <c r="V54" i="6" s="1"/>
  <c r="W55" i="6"/>
  <c r="V55" i="6" s="1"/>
  <c r="W56" i="6"/>
  <c r="V56" i="6" s="1"/>
  <c r="W57" i="6"/>
  <c r="V57" i="6" s="1"/>
  <c r="W58" i="6"/>
  <c r="V58" i="6" s="1"/>
  <c r="W59" i="6"/>
  <c r="V59" i="6" s="1"/>
  <c r="W60" i="6"/>
  <c r="V60" i="6" s="1"/>
  <c r="W61" i="6"/>
  <c r="V61" i="6" s="1"/>
  <c r="W62" i="6"/>
  <c r="V62" i="6" s="1"/>
  <c r="W63" i="6"/>
  <c r="V63" i="6" s="1"/>
  <c r="W64" i="6"/>
  <c r="V64" i="6" s="1"/>
  <c r="W65" i="6"/>
  <c r="V65" i="6" s="1"/>
  <c r="W66" i="6"/>
  <c r="V66" i="6" s="1"/>
  <c r="W67" i="6"/>
  <c r="V67" i="6" s="1"/>
  <c r="W2" i="6"/>
  <c r="V2" i="6" s="1"/>
  <c r="N47" i="9"/>
  <c r="N35" i="9"/>
  <c r="N46" i="9"/>
  <c r="N45" i="9"/>
  <c r="N41" i="9"/>
  <c r="N37" i="9"/>
  <c r="N33" i="9"/>
  <c r="N39" i="9"/>
  <c r="N42" i="9"/>
  <c r="N44" i="9"/>
  <c r="N40" i="9"/>
  <c r="N36" i="9"/>
  <c r="N32" i="9"/>
  <c r="N43" i="9"/>
  <c r="N38" i="9"/>
  <c r="N34" i="9"/>
  <c r="AA7" i="6" l="1"/>
  <c r="AA3" i="6"/>
  <c r="U40" i="6"/>
  <c r="U41" i="6"/>
  <c r="U42" i="6"/>
  <c r="U43" i="6"/>
  <c r="U44" i="6"/>
  <c r="U45" i="6"/>
  <c r="U46" i="6"/>
  <c r="U47" i="6"/>
  <c r="U48" i="6"/>
  <c r="U49" i="6"/>
  <c r="U50" i="6"/>
  <c r="U51" i="6"/>
  <c r="U52" i="6"/>
  <c r="U53" i="6"/>
  <c r="U54" i="6"/>
  <c r="U55" i="6"/>
  <c r="U56" i="6"/>
  <c r="U57" i="6"/>
  <c r="U58" i="6"/>
  <c r="U59" i="6"/>
  <c r="U60" i="6"/>
  <c r="U61" i="6"/>
  <c r="U62" i="6"/>
  <c r="U63" i="6"/>
  <c r="U64" i="6"/>
  <c r="U65" i="6"/>
  <c r="U66" i="6"/>
  <c r="U67" i="6"/>
  <c r="U21" i="6"/>
  <c r="U22" i="6"/>
  <c r="U23" i="6"/>
  <c r="U24" i="6"/>
  <c r="U25" i="6"/>
  <c r="U26" i="6"/>
  <c r="U27" i="6"/>
  <c r="U28" i="6"/>
  <c r="U29" i="6"/>
  <c r="U30" i="6"/>
  <c r="U31" i="6"/>
  <c r="U32" i="6"/>
  <c r="U33" i="6"/>
  <c r="U34" i="6"/>
  <c r="U35" i="6"/>
  <c r="U36" i="6"/>
  <c r="U37" i="6"/>
  <c r="U38" i="6"/>
  <c r="U39" i="6"/>
  <c r="U3" i="6"/>
  <c r="U4" i="6"/>
  <c r="U5" i="6"/>
  <c r="U6" i="6"/>
  <c r="U7" i="6"/>
  <c r="U8" i="6"/>
  <c r="U9" i="6"/>
  <c r="U10" i="6"/>
  <c r="U11" i="6"/>
  <c r="U12" i="6"/>
  <c r="U13" i="6"/>
  <c r="U14" i="6"/>
  <c r="U15" i="6"/>
  <c r="U16" i="6"/>
  <c r="U17" i="6"/>
  <c r="U18" i="6"/>
  <c r="U19" i="6"/>
  <c r="U20" i="6"/>
  <c r="U2" i="6"/>
  <c r="X34" i="6"/>
  <c r="X42" i="6"/>
  <c r="X46" i="6"/>
  <c r="X51" i="6"/>
  <c r="X58" i="6"/>
  <c r="X66" i="6"/>
  <c r="X19" i="6"/>
  <c r="X27" i="6"/>
  <c r="X5" i="6"/>
  <c r="X7" i="6"/>
  <c r="X10" i="6"/>
  <c r="D3" i="6" l="1"/>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2" i="6"/>
  <c r="C45" i="6"/>
  <c r="C46" i="6"/>
  <c r="C47" i="6"/>
  <c r="C48" i="6"/>
  <c r="C49" i="6"/>
  <c r="C50" i="6"/>
  <c r="C51" i="6"/>
  <c r="C52" i="6"/>
  <c r="C53" i="6"/>
  <c r="C54" i="6"/>
  <c r="C55" i="6"/>
  <c r="C56" i="6"/>
  <c r="C57" i="6"/>
  <c r="C58" i="6"/>
  <c r="C59" i="6"/>
  <c r="C60" i="6"/>
  <c r="C61" i="6"/>
  <c r="C62" i="6"/>
  <c r="C63" i="6"/>
  <c r="C64" i="6"/>
  <c r="C65" i="6"/>
  <c r="C66" i="6"/>
  <c r="C67" i="6"/>
  <c r="C28" i="6"/>
  <c r="C29" i="6"/>
  <c r="C30" i="6"/>
  <c r="C31" i="6"/>
  <c r="C32" i="6"/>
  <c r="C33" i="6"/>
  <c r="C34" i="6"/>
  <c r="C35" i="6"/>
  <c r="C36" i="6"/>
  <c r="C37" i="6"/>
  <c r="C38" i="6"/>
  <c r="C39" i="6"/>
  <c r="C40" i="6"/>
  <c r="C41" i="6"/>
  <c r="C42" i="6"/>
  <c r="C43" i="6"/>
  <c r="C44" i="6"/>
  <c r="C18" i="6"/>
  <c r="C19" i="6"/>
  <c r="C20" i="6"/>
  <c r="C21" i="6"/>
  <c r="C22" i="6"/>
  <c r="C23" i="6"/>
  <c r="C24" i="6"/>
  <c r="C25" i="6"/>
  <c r="C26" i="6"/>
  <c r="C27" i="6"/>
  <c r="C3" i="6"/>
  <c r="C4" i="6"/>
  <c r="C5" i="6"/>
  <c r="C6" i="6"/>
  <c r="C7" i="6"/>
  <c r="C8" i="6"/>
  <c r="C9" i="6"/>
  <c r="C10" i="6"/>
  <c r="C11" i="6"/>
  <c r="C12" i="6"/>
  <c r="C13" i="6"/>
  <c r="C14" i="6"/>
  <c r="C15" i="6"/>
  <c r="C16" i="6"/>
  <c r="C17" i="6"/>
  <c r="C2" i="6"/>
  <c r="E149" i="8"/>
  <c r="E148" i="8"/>
  <c r="E147" i="8"/>
  <c r="E146" i="8"/>
  <c r="E145" i="8"/>
  <c r="E144" i="8"/>
  <c r="E143" i="8"/>
  <c r="E142" i="8"/>
  <c r="E141" i="8"/>
  <c r="E140" i="8"/>
  <c r="E139" i="8"/>
  <c r="K1" i="8"/>
  <c r="X25" i="6" l="1"/>
  <c r="X41" i="6"/>
  <c r="X65" i="6"/>
  <c r="X24" i="6"/>
  <c r="X28" i="6"/>
  <c r="X30" i="6"/>
  <c r="X40" i="6"/>
  <c r="X36" i="6"/>
  <c r="X47" i="6"/>
  <c r="X52" i="6"/>
  <c r="X54" i="6"/>
  <c r="X64" i="6"/>
  <c r="X60" i="6"/>
  <c r="X37" i="6"/>
  <c r="X55" i="6"/>
  <c r="X23" i="6"/>
  <c r="X33" i="6"/>
  <c r="X29" i="6"/>
  <c r="X39" i="6"/>
  <c r="X43" i="6"/>
  <c r="X50" i="6"/>
  <c r="X57" i="6"/>
  <c r="X53" i="6"/>
  <c r="X63" i="6"/>
  <c r="X67" i="6"/>
  <c r="X31" i="6"/>
  <c r="X44" i="6"/>
  <c r="X48" i="6"/>
  <c r="X61" i="6"/>
  <c r="X26" i="6"/>
  <c r="X22" i="6"/>
  <c r="X32" i="6"/>
  <c r="X35" i="6"/>
  <c r="X38" i="6"/>
  <c r="X45" i="6"/>
  <c r="X49" i="6"/>
  <c r="X56" i="6"/>
  <c r="X59" i="6"/>
  <c r="X62" i="6"/>
  <c r="X8" i="6"/>
  <c r="X17" i="6"/>
  <c r="X13" i="6"/>
  <c r="X21" i="6"/>
  <c r="X4" i="6"/>
  <c r="X16" i="6"/>
  <c r="X3" i="6"/>
  <c r="X11" i="6"/>
  <c r="X15" i="6"/>
  <c r="X20" i="6"/>
  <c r="X9" i="6"/>
  <c r="X12" i="6"/>
  <c r="X6" i="6"/>
  <c r="X18" i="6"/>
  <c r="X14" i="6"/>
  <c r="X2" i="6"/>
  <c r="E101" i="1"/>
  <c r="E100" i="1"/>
  <c r="E99" i="1"/>
  <c r="E98" i="1"/>
  <c r="E97" i="1"/>
  <c r="E96" i="1"/>
  <c r="E95" i="1"/>
  <c r="E94" i="1"/>
  <c r="E93" i="1"/>
  <c r="E92" i="1"/>
  <c r="E91" i="1"/>
  <c r="C66" i="1"/>
  <c r="B65" i="1" s="1"/>
  <c r="B53" i="1"/>
  <c r="B52" i="1"/>
  <c r="B51" i="1"/>
  <c r="B50" i="1"/>
  <c r="B49" i="1"/>
  <c r="B48" i="1"/>
  <c r="H24" i="1"/>
  <c r="I24" i="1" s="1" a="1"/>
  <c r="I24" i="1" s="1"/>
  <c r="I23" i="1" a="1"/>
  <c r="I23" i="1" s="1"/>
  <c r="H23" i="1"/>
  <c r="H22" i="1"/>
  <c r="I22" i="1" s="1" a="1"/>
  <c r="I22" i="1" s="1"/>
  <c r="AA11" i="6" l="1"/>
  <c r="B60" i="1"/>
  <c r="B61" i="1"/>
  <c r="B62" i="1"/>
  <c r="B63" i="1"/>
  <c r="B6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<sst xmlns="http://schemas.openxmlformats.org/spreadsheetml/2006/main" count="1388" uniqueCount="522">
  <si>
    <t>1. Exercise</t>
  </si>
  <si>
    <t>Consider the following table and write formula as mentioned below</t>
  </si>
  <si>
    <t>Client</t>
  </si>
  <si>
    <t>Doc Type</t>
  </si>
  <si>
    <t xml:space="preserve">Doc ID </t>
  </si>
  <si>
    <t>Age_ Closed</t>
  </si>
  <si>
    <t>Group</t>
  </si>
  <si>
    <t>Dep Ver</t>
  </si>
  <si>
    <t>Hardship</t>
  </si>
  <si>
    <t>Write a formula in the “Group” field basis the Age_Closed (For ex: 7 should come under “6 – 15 days”):</t>
  </si>
  <si>
    <t>For age between 0 to 5: “0 - 5 days”</t>
  </si>
  <si>
    <t>For age between 6 to 15: “6 - 15 days”</t>
  </si>
  <si>
    <t>For age between 16 to 25: “16 – 25 days”</t>
  </si>
  <si>
    <t>2. Exercise</t>
  </si>
  <si>
    <t>Name</t>
  </si>
  <si>
    <t>English</t>
  </si>
  <si>
    <t>Computer</t>
  </si>
  <si>
    <t>Math</t>
  </si>
  <si>
    <t>Cleared All 3</t>
  </si>
  <si>
    <t>Cleared in 1</t>
  </si>
  <si>
    <t>Cleared in 2</t>
  </si>
  <si>
    <t>Average Score</t>
  </si>
  <si>
    <t>Rank</t>
  </si>
  <si>
    <t>Student A</t>
  </si>
  <si>
    <t>Student B</t>
  </si>
  <si>
    <t>Student C</t>
  </si>
  <si>
    <t>Instructions : -</t>
  </si>
  <si>
    <t>Student is considered "cleared" if score is &gt; = 50</t>
  </si>
  <si>
    <t>a. In the column E, write a formula to diplay TRUE or FALSE. The result is TRUE if the student Clears all the 3 subjects</t>
  </si>
  <si>
    <r>
      <t>b. In the column F</t>
    </r>
    <r>
      <rPr>
        <sz val="11"/>
        <color theme="1"/>
        <rFont val="Calibri"/>
        <family val="2"/>
      </rPr>
      <t xml:space="preserve">, write a formula to display TRUE or FALSE. The result is TRUE if the student Clears at least 1 subject. </t>
    </r>
  </si>
  <si>
    <t>c. In the column G, write a formula to display TRUE or FALSE. The result is TRUE if the student Clears at least 2 subjects.</t>
  </si>
  <si>
    <t>d. In the column F, write a formula to Display the average score</t>
  </si>
  <si>
    <t>e. In the column I, write a formula to Display Rank depending upon the average score</t>
  </si>
  <si>
    <t>3. Exercise</t>
  </si>
  <si>
    <t>Using the given table below, write a formula in column B, that will return the ‘date of birth’ of students who’s ‘Ids’ are given in the range A64:A69</t>
  </si>
  <si>
    <t>Date of Birth</t>
  </si>
  <si>
    <t>Id</t>
  </si>
  <si>
    <t>A</t>
  </si>
  <si>
    <t>B</t>
  </si>
  <si>
    <t>C</t>
  </si>
  <si>
    <t>D</t>
  </si>
  <si>
    <t>E</t>
  </si>
  <si>
    <t>F</t>
  </si>
  <si>
    <t>Student ID</t>
  </si>
  <si>
    <t>Student Date of Birth</t>
  </si>
  <si>
    <t>4. Exercise</t>
  </si>
  <si>
    <t>State</t>
  </si>
  <si>
    <t>% of Pass</t>
  </si>
  <si>
    <t># of Pass</t>
  </si>
  <si>
    <t>Uttar Pradesh</t>
  </si>
  <si>
    <t>Gujrat</t>
  </si>
  <si>
    <t>Bihar</t>
  </si>
  <si>
    <t>Madhya Pradesh</t>
  </si>
  <si>
    <t>Haryana</t>
  </si>
  <si>
    <t>New Delhi</t>
  </si>
  <si>
    <r>
      <t xml:space="preserve">Based on the table given below, create a pie chart in this box showing </t>
    </r>
    <r>
      <rPr>
        <b/>
        <sz val="11"/>
        <color theme="1"/>
        <rFont val="Calibri"/>
        <family val="2"/>
        <scheme val="minor"/>
      </rPr>
      <t>the % of pass students from each state from the overall number of pass students</t>
    </r>
  </si>
  <si>
    <t>Use conditional formatting to Highlight all variances greater than +10% with Green Fill with Dark Green Text</t>
  </si>
  <si>
    <t>Use conditional formatting to Highlight all variances less than -10% with red Light Red Fill with Dark Red Text</t>
  </si>
  <si>
    <t>DeptID</t>
  </si>
  <si>
    <t>Department</t>
  </si>
  <si>
    <t>Actual</t>
  </si>
  <si>
    <t>Forecast</t>
  </si>
  <si>
    <t>Variance</t>
  </si>
  <si>
    <t>Corporate</t>
  </si>
  <si>
    <t>Accounting</t>
  </si>
  <si>
    <t>HR</t>
  </si>
  <si>
    <t>Operations</t>
  </si>
  <si>
    <t>Research</t>
  </si>
  <si>
    <t>Manufacturing</t>
  </si>
  <si>
    <t>Sales</t>
  </si>
  <si>
    <t>Marketing</t>
  </si>
  <si>
    <t>Logistics</t>
  </si>
  <si>
    <t>IT</t>
  </si>
  <si>
    <t>Warehouse</t>
  </si>
  <si>
    <t>You are the data analyst of a luxury car dealership. You were assigned with the following tasks:</t>
  </si>
  <si>
    <t>What's the most popular car manufacturer?</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</si>
  <si>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</si>
  <si>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</si>
  <si>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</si>
  <si>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</si>
  <si>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</si>
  <si>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</si>
  <si>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</si>
  <si>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</si>
  <si>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</si>
  <si>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</si>
  <si>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</si>
  <si>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</si>
  <si>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</si>
  <si>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</si>
  <si>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Audi A3</t>
  </si>
  <si>
    <t>Red</t>
  </si>
  <si>
    <t>Manual</t>
  </si>
  <si>
    <t>2nd owner</t>
  </si>
  <si>
    <t>Mercedes S-Class</t>
  </si>
  <si>
    <t>Black</t>
  </si>
  <si>
    <t>3rd owner</t>
  </si>
  <si>
    <t>BMW X3</t>
  </si>
  <si>
    <t>Lexus RX350</t>
  </si>
  <si>
    <t>Blue</t>
  </si>
  <si>
    <t xml:space="preserve">Blue </t>
  </si>
  <si>
    <t>BMW 3 Series</t>
  </si>
  <si>
    <t>Tesla Model 3</t>
  </si>
  <si>
    <t>Yellow</t>
  </si>
  <si>
    <t>Volvo XC90</t>
  </si>
  <si>
    <t xml:space="preserve"> Black</t>
  </si>
  <si>
    <t>Audi Q7</t>
  </si>
  <si>
    <t>Cadillac XT5</t>
  </si>
  <si>
    <t>Jaguar XF</t>
  </si>
  <si>
    <t>BMW 428i</t>
  </si>
  <si>
    <t>4th owner</t>
  </si>
  <si>
    <t>Company</t>
  </si>
  <si>
    <t>Country</t>
  </si>
  <si>
    <t>BMW</t>
  </si>
  <si>
    <t>Germany</t>
  </si>
  <si>
    <t>Audi</t>
  </si>
  <si>
    <t>Tesla</t>
  </si>
  <si>
    <t>USA</t>
  </si>
  <si>
    <t>Jaguar</t>
  </si>
  <si>
    <t>UK</t>
  </si>
  <si>
    <t>Mercedes</t>
  </si>
  <si>
    <t>Volvo</t>
  </si>
  <si>
    <t>Sweden</t>
  </si>
  <si>
    <t>Cadillac</t>
  </si>
  <si>
    <t>Lexus</t>
  </si>
  <si>
    <t>Japan</t>
  </si>
  <si>
    <t>Manufacturing country</t>
  </si>
  <si>
    <t>Count</t>
  </si>
  <si>
    <t>Employee ID</t>
  </si>
  <si>
    <t>Full Name</t>
  </si>
  <si>
    <t>First Name</t>
  </si>
  <si>
    <t>Last Name</t>
  </si>
  <si>
    <t>Job Profile</t>
  </si>
  <si>
    <t>Job Code</t>
  </si>
  <si>
    <t>Hire Date</t>
  </si>
  <si>
    <t>Attrition Date</t>
  </si>
  <si>
    <t>Tenure</t>
  </si>
  <si>
    <t xml:space="preserve">Age </t>
  </si>
  <si>
    <t>Location Name</t>
  </si>
  <si>
    <t>Work Country</t>
  </si>
  <si>
    <t>Manager Name</t>
  </si>
  <si>
    <t>Gender</t>
  </si>
  <si>
    <t>Salary PA</t>
  </si>
  <si>
    <t>Ranking</t>
  </si>
  <si>
    <t>Rating</t>
  </si>
  <si>
    <t>Hike %</t>
  </si>
  <si>
    <t>Gratuity Amount</t>
  </si>
  <si>
    <t>Meghan Agosta</t>
  </si>
  <si>
    <t>Manager</t>
  </si>
  <si>
    <t>WI-104</t>
  </si>
  <si>
    <t>Gurgaon</t>
  </si>
  <si>
    <t>India</t>
  </si>
  <si>
    <t>Wipro</t>
  </si>
  <si>
    <t>Raj Sharma</t>
  </si>
  <si>
    <t>Female</t>
  </si>
  <si>
    <t>Average of last 3 Hike percentages (Column U) as per instructions given</t>
  </si>
  <si>
    <t>Rebecca Johnston</t>
  </si>
  <si>
    <t>Recruiter-S</t>
  </si>
  <si>
    <t>WI-106</t>
  </si>
  <si>
    <t>Sharad Gandhi</t>
  </si>
  <si>
    <t>Male</t>
  </si>
  <si>
    <t>Laura Stacey</t>
  </si>
  <si>
    <t>Danish D'Souza</t>
  </si>
  <si>
    <t>Jennifer Wakefield</t>
  </si>
  <si>
    <t>Sr. Recruiter-S</t>
  </si>
  <si>
    <t>WI-CS5</t>
  </si>
  <si>
    <t>Pawan Patil</t>
  </si>
  <si>
    <t>Jillian Saulnier</t>
  </si>
  <si>
    <t>VP, Client Delivery</t>
  </si>
  <si>
    <t>WI-CS2</t>
  </si>
  <si>
    <t>Rijo Paul</t>
  </si>
  <si>
    <t>Sum of Salary PA (Column R) as per instructions given</t>
  </si>
  <si>
    <t>Mélodie Daoust</t>
  </si>
  <si>
    <t>Recruiting Coordinator</t>
  </si>
  <si>
    <t>WI-CS9</t>
  </si>
  <si>
    <t>Joseph P</t>
  </si>
  <si>
    <t>Bailey Bram</t>
  </si>
  <si>
    <t>Sr. Recruiting Coordinator</t>
  </si>
  <si>
    <t>WI-CS8</t>
  </si>
  <si>
    <t>Brianne Jenner</t>
  </si>
  <si>
    <t>Sarah Nurse</t>
  </si>
  <si>
    <t>Count of Blanks in Column V (Gratuity Amount)</t>
  </si>
  <si>
    <t>Haley Irwin</t>
  </si>
  <si>
    <t>Natalie Spooner</t>
  </si>
  <si>
    <t>Emily Clark</t>
  </si>
  <si>
    <t>Marie-Philip Poulin</t>
  </si>
  <si>
    <t>Aakash Patel</t>
  </si>
  <si>
    <t xml:space="preserve">Task 1:   Create a list validation in Range Y20 with two values Top and Bottom. </t>
  </si>
  <si>
    <t>Blayre Turnbull</t>
  </si>
  <si>
    <t>Ganesh Rahu</t>
  </si>
  <si>
    <t>Task 2:   Create a data validation in Range AA20 to restrict user to enter only whole numbers between 2 and 5.</t>
  </si>
  <si>
    <t>Jocelyne Larocque</t>
  </si>
  <si>
    <t>Vinudas K.S</t>
  </si>
  <si>
    <r>
      <t xml:space="preserve">Task 3:   In the below dataset; highlight the rows in </t>
    </r>
    <r>
      <rPr>
        <b/>
        <u/>
        <sz val="11"/>
        <color rgb="FFFF0000"/>
        <rFont val="Calibri"/>
        <family val="2"/>
        <scheme val="minor"/>
      </rPr>
      <t>RED</t>
    </r>
    <r>
      <rPr>
        <b/>
        <sz val="11"/>
        <color theme="1"/>
        <rFont val="Calibri"/>
        <family val="2"/>
        <scheme val="minor"/>
      </rPr>
      <t xml:space="preserve">  using conditional formatting according to the selection in the validation controls</t>
    </r>
  </si>
  <si>
    <t>Brigette Lacquette</t>
  </si>
  <si>
    <t>Lauriane Rougeau</t>
  </si>
  <si>
    <t>Laura Fortino</t>
  </si>
  <si>
    <t>Top/Bottom</t>
  </si>
  <si>
    <t>No of records</t>
  </si>
  <si>
    <t>Meaghan Mikkelson</t>
  </si>
  <si>
    <t>Renata Fast</t>
  </si>
  <si>
    <t>Manager, Operations</t>
  </si>
  <si>
    <t>WI-S10</t>
  </si>
  <si>
    <t>Shannon Szabados</t>
  </si>
  <si>
    <t>Geneviève Lacasse</t>
  </si>
  <si>
    <t>Customer Name</t>
  </si>
  <si>
    <t>Sales Amount</t>
  </si>
  <si>
    <t>Profit</t>
  </si>
  <si>
    <t>Ann-Renée Desbiens</t>
  </si>
  <si>
    <t>Lane Daniels</t>
  </si>
  <si>
    <t>Gilbert Brulé</t>
  </si>
  <si>
    <t>Alvarado Kriz</t>
  </si>
  <si>
    <t>Wojtek Wolski</t>
  </si>
  <si>
    <t>Divya Kumar</t>
  </si>
  <si>
    <t>Moon Weien</t>
  </si>
  <si>
    <t>Derek Roy</t>
  </si>
  <si>
    <t>Shilpa R</t>
  </si>
  <si>
    <t>Sanchez Bergman</t>
  </si>
  <si>
    <t>Chris Kelly</t>
  </si>
  <si>
    <t>Sr. Manager, Operations</t>
  </si>
  <si>
    <t>WI-S16</t>
  </si>
  <si>
    <t>Rowe Jackson</t>
  </si>
  <si>
    <t>Rob Klinkhammer</t>
  </si>
  <si>
    <t>Carter Barreto</t>
  </si>
  <si>
    <t>Brandon Kozun</t>
  </si>
  <si>
    <t>Mcconnell Tom</t>
  </si>
  <si>
    <t>Quinton Howden</t>
  </si>
  <si>
    <t>Dennis Holloman</t>
  </si>
  <si>
    <t>René Bourque</t>
  </si>
  <si>
    <t>Wall Olsen</t>
  </si>
  <si>
    <t>Andrew Ebbett</t>
  </si>
  <si>
    <t>Shepard Witt</t>
  </si>
  <si>
    <t>Mason Raymond</t>
  </si>
  <si>
    <t>Eric O’Dell</t>
  </si>
  <si>
    <t>Maxim Lapierre</t>
  </si>
  <si>
    <t>Middle Name (Formula should be Dynamic)</t>
  </si>
  <si>
    <t>Linden Vey</t>
  </si>
  <si>
    <t>Tom M. Brown</t>
  </si>
  <si>
    <t>Christian Thomas</t>
  </si>
  <si>
    <t>Sally Katrin Brook</t>
  </si>
  <si>
    <t>Karl Stollery</t>
  </si>
  <si>
    <t>Chris Lee</t>
  </si>
  <si>
    <t>Chay Genoway</t>
  </si>
  <si>
    <t>Marc-Andre Gragnani</t>
  </si>
  <si>
    <t>Stefan Elliott</t>
  </si>
  <si>
    <t>Cody Goloubef</t>
  </si>
  <si>
    <t>Mat Robinson</t>
  </si>
  <si>
    <t>Analyst - S</t>
  </si>
  <si>
    <t>WI-B30</t>
  </si>
  <si>
    <t>Maxim Noreau</t>
  </si>
  <si>
    <t>Ben Scrivens</t>
  </si>
  <si>
    <t>Kevin Poulin</t>
  </si>
  <si>
    <t>Justin Peters</t>
  </si>
  <si>
    <t>Cayla Barnes</t>
  </si>
  <si>
    <t>Director, Client Delivery</t>
  </si>
  <si>
    <t>WI-CS3</t>
  </si>
  <si>
    <t>Kacey Bellamy</t>
  </si>
  <si>
    <t>Hannah Brandt</t>
  </si>
  <si>
    <t>Dani Cameranesi</t>
  </si>
  <si>
    <t>Kendall Coyne</t>
  </si>
  <si>
    <t>Brianna Decker</t>
  </si>
  <si>
    <t>Meghan Duggan</t>
  </si>
  <si>
    <t>Kali Flanagan</t>
  </si>
  <si>
    <t>WI-B41</t>
  </si>
  <si>
    <t>Bangalore</t>
  </si>
  <si>
    <t>Nicole Hensley</t>
  </si>
  <si>
    <t>Developer/Engineer</t>
  </si>
  <si>
    <t>WI-B40</t>
  </si>
  <si>
    <t>Megan Keller</t>
  </si>
  <si>
    <t>Owner and Manager</t>
  </si>
  <si>
    <t>WI-B76</t>
  </si>
  <si>
    <t>Amanda Kessel</t>
  </si>
  <si>
    <t>Supervisor NonOperational- S</t>
  </si>
  <si>
    <t>WI-129</t>
  </si>
  <si>
    <t>Hilary Knight</t>
  </si>
  <si>
    <t>Jocelyne Lamoureux</t>
  </si>
  <si>
    <t>Monique Lamoureux</t>
  </si>
  <si>
    <t>Gigi Marvin</t>
  </si>
  <si>
    <t>WI-109</t>
  </si>
  <si>
    <t>Sidney Morin</t>
  </si>
  <si>
    <t>Specialist-S</t>
  </si>
  <si>
    <t>WI-113</t>
  </si>
  <si>
    <t>Kelly Pannek</t>
  </si>
  <si>
    <t>Amanda Pelkey</t>
  </si>
  <si>
    <t>Revised Salary</t>
  </si>
  <si>
    <t>Meghan</t>
  </si>
  <si>
    <t>Agosta</t>
  </si>
  <si>
    <t>Rebecca</t>
  </si>
  <si>
    <t>Johnston</t>
  </si>
  <si>
    <t>Laura</t>
  </si>
  <si>
    <t>Stacey</t>
  </si>
  <si>
    <t>Jennifer</t>
  </si>
  <si>
    <t>Wakefield</t>
  </si>
  <si>
    <t>Jillian</t>
  </si>
  <si>
    <t>Saulnier</t>
  </si>
  <si>
    <t>Mélodie</t>
  </si>
  <si>
    <t>Daoust</t>
  </si>
  <si>
    <t>Bailey</t>
  </si>
  <si>
    <t>Bram</t>
  </si>
  <si>
    <t>Brianne</t>
  </si>
  <si>
    <t>Jenner</t>
  </si>
  <si>
    <t>Sarah</t>
  </si>
  <si>
    <t>Nurse</t>
  </si>
  <si>
    <t>Haley</t>
  </si>
  <si>
    <t>Irwin</t>
  </si>
  <si>
    <t>Natalie</t>
  </si>
  <si>
    <t>Spooner</t>
  </si>
  <si>
    <t>Emily</t>
  </si>
  <si>
    <t>Clark</t>
  </si>
  <si>
    <t>Marie-Philip</t>
  </si>
  <si>
    <t>Poulin</t>
  </si>
  <si>
    <t>Blayre</t>
  </si>
  <si>
    <t>Turnbull</t>
  </si>
  <si>
    <t>Jocelyne</t>
  </si>
  <si>
    <t>Larocque</t>
  </si>
  <si>
    <t>Brigette</t>
  </si>
  <si>
    <t>Lacquette</t>
  </si>
  <si>
    <t>Lauriane</t>
  </si>
  <si>
    <t>Rougeau</t>
  </si>
  <si>
    <t>Fortino</t>
  </si>
  <si>
    <t>Meaghan</t>
  </si>
  <si>
    <t>Mikkelson</t>
  </si>
  <si>
    <t>Renata</t>
  </si>
  <si>
    <t>Fast</t>
  </si>
  <si>
    <t>Shannon</t>
  </si>
  <si>
    <t>Szabados</t>
  </si>
  <si>
    <t>Geneviève</t>
  </si>
  <si>
    <t>Lacasse</t>
  </si>
  <si>
    <t>Ann-Renée</t>
  </si>
  <si>
    <t>Desbiens</t>
  </si>
  <si>
    <t>Gilbert</t>
  </si>
  <si>
    <t>Brulé</t>
  </si>
  <si>
    <t>Wojtek</t>
  </si>
  <si>
    <t>Wolski</t>
  </si>
  <si>
    <t>Derek</t>
  </si>
  <si>
    <t>Roy</t>
  </si>
  <si>
    <t>Chris</t>
  </si>
  <si>
    <t>Kelly</t>
  </si>
  <si>
    <t>Rob</t>
  </si>
  <si>
    <t>Klinkhammer</t>
  </si>
  <si>
    <t>Brandon</t>
  </si>
  <si>
    <t>Kozun</t>
  </si>
  <si>
    <t>Quinton</t>
  </si>
  <si>
    <t>Howden</t>
  </si>
  <si>
    <t>René</t>
  </si>
  <si>
    <t>Bourque</t>
  </si>
  <si>
    <t>Andrew</t>
  </si>
  <si>
    <t>Ebbett</t>
  </si>
  <si>
    <t>Mason</t>
  </si>
  <si>
    <t>Raymond</t>
  </si>
  <si>
    <t>Eric</t>
  </si>
  <si>
    <t>O’Dell</t>
  </si>
  <si>
    <t>Maxim</t>
  </si>
  <si>
    <t>Lapierre</t>
  </si>
  <si>
    <t>Linden</t>
  </si>
  <si>
    <t>Vey</t>
  </si>
  <si>
    <t>Christian</t>
  </si>
  <si>
    <t>Thomas</t>
  </si>
  <si>
    <t>Karl</t>
  </si>
  <si>
    <t>Stollery</t>
  </si>
  <si>
    <t>Lee</t>
  </si>
  <si>
    <t>Chay</t>
  </si>
  <si>
    <t>Genoway</t>
  </si>
  <si>
    <t>Marc-Andre</t>
  </si>
  <si>
    <t>Gragnani</t>
  </si>
  <si>
    <t>Stefan</t>
  </si>
  <si>
    <t>Elliott</t>
  </si>
  <si>
    <t>Cody</t>
  </si>
  <si>
    <t>Goloubef</t>
  </si>
  <si>
    <t>Mat</t>
  </si>
  <si>
    <t>Robinson</t>
  </si>
  <si>
    <t>Noreau</t>
  </si>
  <si>
    <t>Ben</t>
  </si>
  <si>
    <t>Scrivens</t>
  </si>
  <si>
    <t>Kevin</t>
  </si>
  <si>
    <t>Justin</t>
  </si>
  <si>
    <t>Peters</t>
  </si>
  <si>
    <t>Cayla</t>
  </si>
  <si>
    <t>Barnes</t>
  </si>
  <si>
    <t>Kacey</t>
  </si>
  <si>
    <t>Bellamy</t>
  </si>
  <si>
    <t>Hannah</t>
  </si>
  <si>
    <t>Brandt</t>
  </si>
  <si>
    <t>Dani</t>
  </si>
  <si>
    <t>Cameranesi</t>
  </si>
  <si>
    <t>Kendall</t>
  </si>
  <si>
    <t>Coyne</t>
  </si>
  <si>
    <t>Brianna</t>
  </si>
  <si>
    <t>Decker</t>
  </si>
  <si>
    <t>Duggan</t>
  </si>
  <si>
    <t>Kali</t>
  </si>
  <si>
    <t>Flanagan</t>
  </si>
  <si>
    <t>Nicole</t>
  </si>
  <si>
    <t>Hensley</t>
  </si>
  <si>
    <t>Megan</t>
  </si>
  <si>
    <t>Keller</t>
  </si>
  <si>
    <t>Amanda</t>
  </si>
  <si>
    <t>Kessel</t>
  </si>
  <si>
    <t>Hilary</t>
  </si>
  <si>
    <t>Knight</t>
  </si>
  <si>
    <t>Lamoureux</t>
  </si>
  <si>
    <t>Monique</t>
  </si>
  <si>
    <t>Gigi</t>
  </si>
  <si>
    <t>Marvin</t>
  </si>
  <si>
    <t>Sidney</t>
  </si>
  <si>
    <t>Morin</t>
  </si>
  <si>
    <t>Pannek</t>
  </si>
  <si>
    <t>Pelkey</t>
  </si>
  <si>
    <t>Calculated Field - Write formula in these cells</t>
  </si>
  <si>
    <t>Static Field - Do not change</t>
  </si>
  <si>
    <t>1. Exercise 1 (5 Marks)</t>
  </si>
  <si>
    <t>2. Exercise 2 (2 Marks)</t>
  </si>
  <si>
    <t>Product ID</t>
  </si>
  <si>
    <t>Product Name</t>
  </si>
  <si>
    <t>Expire Date</t>
  </si>
  <si>
    <t>Status</t>
  </si>
  <si>
    <t>Days Left</t>
  </si>
  <si>
    <t>000001</t>
  </si>
  <si>
    <t>Butter</t>
  </si>
  <si>
    <t>000002</t>
  </si>
  <si>
    <t>Milk</t>
  </si>
  <si>
    <t>000003</t>
  </si>
  <si>
    <t>Bread</t>
  </si>
  <si>
    <t>000004</t>
  </si>
  <si>
    <t>Eggs</t>
  </si>
  <si>
    <t>000005</t>
  </si>
  <si>
    <t>Tea</t>
  </si>
  <si>
    <t>a. In the column D, write a formula to diplay "Expired" or "Can be used" basis their expire date</t>
  </si>
  <si>
    <t>a. In the column E, write a formula to diplay number of days left for the product to expire</t>
  </si>
  <si>
    <t>3. Exercise 3 (10 Marks)</t>
  </si>
  <si>
    <t>E-mail(LastName_FirstName@gmail.com)</t>
  </si>
  <si>
    <t>Donald Duck</t>
  </si>
  <si>
    <t>Mickey Mouse</t>
  </si>
  <si>
    <t>Johny Bravo</t>
  </si>
  <si>
    <t>Minnie Mouse</t>
  </si>
  <si>
    <t>King Louie</t>
  </si>
  <si>
    <t>Use - RIGHT, LEFT, LEN, SEARCH, Concatenate and other text functions:-</t>
  </si>
  <si>
    <t>a. In the column B, write a formula to diplay Last Name</t>
  </si>
  <si>
    <t>b. In the column C, write a formula to diplay First Name</t>
  </si>
  <si>
    <t>c. In the column D, write a formula to diplay email address in the specified format</t>
  </si>
  <si>
    <t>4. Exercise 4 (4 Marks)</t>
  </si>
  <si>
    <t>5. Exercise 5 (3 Marks)</t>
  </si>
  <si>
    <t>6. Exercise 6 (6 Marks)</t>
  </si>
  <si>
    <t>Product</t>
  </si>
  <si>
    <t>Stored In</t>
  </si>
  <si>
    <t>Expired</t>
  </si>
  <si>
    <t>Cost</t>
  </si>
  <si>
    <t>Black Refrigerator</t>
  </si>
  <si>
    <t>Yes</t>
  </si>
  <si>
    <t>No</t>
  </si>
  <si>
    <t>Blue Refrigerator</t>
  </si>
  <si>
    <t>Cream</t>
  </si>
  <si>
    <t>Cereals</t>
  </si>
  <si>
    <t>&lt;&lt;== Write a formula in A101 to count number of Products stored in Black Refrigerator that are Expired</t>
  </si>
  <si>
    <t>&lt;&lt;== Write a formula in A101 to calculate Total Cost of Products stored in Blue Refrigerator that are Not Expired</t>
  </si>
  <si>
    <t>7. Exercise 7 (6 Marks)</t>
  </si>
  <si>
    <t>8. Exercise 7 (2 Marks)</t>
  </si>
  <si>
    <t>Sr.No</t>
  </si>
  <si>
    <t>Sold in</t>
  </si>
  <si>
    <t>Total Cost</t>
  </si>
  <si>
    <t>Product 1</t>
  </si>
  <si>
    <t>State 1</t>
  </si>
  <si>
    <t>8. Exercise 7 (10 Marks)</t>
  </si>
  <si>
    <t>Product 2</t>
  </si>
  <si>
    <t>State 2</t>
  </si>
  <si>
    <t>Using the data from the table given on left, create a pivot that looks like the table given below -  5 Marks</t>
  </si>
  <si>
    <t>Product 3</t>
  </si>
  <si>
    <t>State 3</t>
  </si>
  <si>
    <t>In the Grey Space, insert a bar graph to show overall sales of each state (You may create a table on your own to insert a graph) - 5 Marks</t>
  </si>
  <si>
    <t>Product 4</t>
  </si>
  <si>
    <t>State 4</t>
  </si>
  <si>
    <t>Product 5</t>
  </si>
  <si>
    <t>State 5</t>
  </si>
  <si>
    <t>Product 6</t>
  </si>
  <si>
    <t>#Count</t>
  </si>
  <si>
    <t>Overall Cost</t>
  </si>
  <si>
    <t>PerUnit Price</t>
  </si>
  <si>
    <t>Use this space to insert the bar graph</t>
  </si>
  <si>
    <t>Product 7</t>
  </si>
  <si>
    <t>Product 8</t>
  </si>
  <si>
    <t>Product 9</t>
  </si>
  <si>
    <t>State 1 Total</t>
  </si>
  <si>
    <t>Product 10</t>
  </si>
  <si>
    <t>State 2 Total</t>
  </si>
  <si>
    <t>State 3 Total</t>
  </si>
  <si>
    <t>State 4 Total</t>
  </si>
  <si>
    <t>State 5 Total</t>
  </si>
  <si>
    <t>Grand Total</t>
  </si>
  <si>
    <t>Sum of Count</t>
  </si>
  <si>
    <t>Sum of Total Cost</t>
  </si>
  <si>
    <t xml:space="preserve">states </t>
  </si>
  <si>
    <t xml:space="preserve">state 1 </t>
  </si>
  <si>
    <t>state 2</t>
  </si>
  <si>
    <t>state 3</t>
  </si>
  <si>
    <t>state 4</t>
  </si>
  <si>
    <t xml:space="preserve">state 5 </t>
  </si>
  <si>
    <t>overall sales</t>
  </si>
  <si>
    <t>Sold In</t>
  </si>
  <si>
    <t>Perunit price</t>
  </si>
  <si>
    <t>yellow</t>
  </si>
  <si>
    <t xml:space="preserve">COMPANY </t>
  </si>
  <si>
    <t>POPULAR CAR MANUFACTURER</t>
  </si>
  <si>
    <t>COLOR</t>
  </si>
  <si>
    <t>MOST LEAST COLOR</t>
  </si>
  <si>
    <t xml:space="preserve">WHITE </t>
  </si>
  <si>
    <t>BLACK</t>
  </si>
  <si>
    <t xml:space="preserve">RED </t>
  </si>
  <si>
    <t>BLUE</t>
  </si>
  <si>
    <t>YELLOW</t>
  </si>
  <si>
    <t>total price</t>
  </si>
  <si>
    <t>count</t>
  </si>
  <si>
    <t>avg price</t>
  </si>
  <si>
    <t>3th owner</t>
  </si>
  <si>
    <t>Attrition (Yes/no)</t>
  </si>
  <si>
    <t>Attrition count</t>
  </si>
  <si>
    <t>Column1</t>
  </si>
  <si>
    <t>Row Labels</t>
  </si>
  <si>
    <t>Count of Employee ID</t>
  </si>
  <si>
    <t>Sum of Attrition count</t>
  </si>
  <si>
    <t>Sum of Gratuity Amount</t>
  </si>
  <si>
    <t xml:space="preserve">country </t>
  </si>
  <si>
    <t>manufacturing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</si>
</sst>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 [$₹-4009]\ * #,##0_ ;_ [$₹-4009]\ * \-#,##0_ ;_ [$₹-4009]\ * &quot;-&quot;??_ ;_ @_ "/>
    <numFmt numFmtId="166" formatCode="&quot;$&quot;#,##0.00"/>
    <numFmt numFmtId="167" formatCode="_ [$₹-4009]\ * #,##0.00_ ;_ [$₹-4009]\ * \-#,##0.00_ ;_ [$₹-4009]\ * &quot;-&quot;??_ ;_ @_ "/>
  </numFmts>
  <fonts count="21"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sz val="11"/>
      <color rgb="FF000000"/>
      <name val="Calibri"/>
      <family val="2"/>
      <scheme val="minor"/>
    </font>
    <font>
      <b/>
      <u/>
      <sz val="11"/>
      <color theme="1"/>
      <name val="Calibri"/>
      <family val="2"/>
      <scheme val="minor"/>
    </font>
    <font>
      <sz val="12"/>
      <color theme="1"/>
      <name val="Calibri"/>
      <family val="2"/>
      <scheme val="minor"/>
    </font>
    <font>
      <b/>
      <sz val="10"/>
      <color theme="0"/>
      <name val="Arial"/>
      <family val="2"/>
    </font>
    <font>
      <u/>
      <sz val="11"/>
      <color theme="10"/>
      <name val="Calibri"/>
      <family val="2"/>
      <scheme val="minor"/>
    </font>
    <font>
      <sz val="11"/>
      <color theme="0"/>
      <name val="Calibri"/>
      <family val="2"/>
      <scheme val="minor"/>
    </font>
    <font>
      <b/>
      <u/>
      <sz val="11"/>
      <color rgb="FFFF0000"/>
      <name val="Calibri"/>
      <family val="2"/>
      <scheme val="minor"/>
    </font>
    <font>
      <sz val="11"/>
      <color theme="2"/>
      <name val="Calibri"/>
      <family val="2"/>
    </font>
    <font>
      <sz val="11"/>
      <color theme="0"/>
      <name val="Calibri"/>
      <family val="2"/>
    </font>
    <font>
      <b/>
      <sz val="12"/>
      <color theme="2"/>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6"/>
        <bgColor indexed="64"/>
      </patternFill>
    </fill>
    <fill>
      <patternFill patternType="solid">
        <fgColor theme="3" tint="0.39997558519241921"/>
        <bgColor indexed="64"/>
      </patternFill>
    </fill>
    <fill>
      <patternFill patternType="solid">
        <fgColor theme="4"/>
        <bgColor theme="4"/>
      </patternFill>
    </fill>
    <fill>
      <patternFill patternType="solid">
        <fgColor theme="9"/>
        <bgColor indexed="64"/>
      </patternFill>
    </fill>
    <fill>
      <patternFill patternType="solid">
        <fgColor theme="9"/>
        <bgColor theme="4"/>
      </patternFill>
    </fill>
    <fill>
      <patternFill patternType="solid">
        <fgColor theme="9" tint="0.79998168889431442"/>
        <bgColor indexed="64"/>
      </patternFill>
    </fill>
    <fill>
      <patternFill patternType="solid">
        <fgColor theme="1"/>
        <bgColor theme="1"/>
      </patternFill>
    </fill>
    <fill>
      <patternFill patternType="solid">
        <fgColor theme="4" tint="0.79998168889431442"/>
        <bgColor theme="4" tint="0.79998168889431442"/>
      </patternFill>
    </fill>
    <fill>
      <patternFill patternType="solid">
        <fgColor theme="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7"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bottom style="thin">
        <color theme="4" tint="0.5999938962981048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s>
  <cellStyleXfs count="7">
    <xf numFmtId="0" fontId="0" fillId="0" borderId="0"/>
    <xf numFmtId="9" fontId="10" fillId="0" borderId="0" applyFont="0" applyFill="0" applyBorder="0" applyAlignment="0" applyProtection="0"/>
    <xf numFmtId="0" fontId="7" fillId="0" borderId="0"/>
    <xf numFmtId="0" fontId="15" fillId="0" borderId="0" applyNumberForma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cellStyleXfs>
  <cellXfs count="141">
    <xf numFmtId="0" fontId="0" fillId="0" borderId="0" xfId="0"/>
    <xf numFmtId="0" fontId="9" fillId="2" borderId="0" xfId="0" applyFont="1" applyFill="1"/>
    <xf numFmtId="0" fontId="8"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vertical="center"/>
    </xf>
    <xf numFmtId="0" fontId="0" fillId="0" borderId="0" xfId="0" applyAlignment="1">
      <alignment vertical="center"/>
    </xf>
    <xf numFmtId="0" fontId="9" fillId="0" borderId="0" xfId="0" applyFont="1"/>
    <xf numFmtId="0" fontId="0" fillId="0" borderId="1" xfId="0" applyBorder="1" applyAlignment="1">
      <alignment horizontal="center" vertical="center"/>
    </xf>
    <xf numFmtId="1" fontId="0" fillId="0" borderId="1" xfId="0" applyNumberFormat="1" applyBorder="1" applyAlignment="1">
      <alignment horizontal="center" vertical="center"/>
    </xf>
    <xf numFmtId="0" fontId="12" fillId="0" borderId="0" xfId="0" applyFont="1"/>
    <xf numFmtId="0" fontId="13" fillId="0" borderId="0" xfId="0" applyFont="1"/>
    <xf numFmtId="14" fontId="11" fillId="0" borderId="1" xfId="0" applyNumberFormat="1" applyFont="1" applyBorder="1" applyAlignment="1">
      <alignment horizontal="center" vertical="center"/>
    </xf>
    <xf numFmtId="14" fontId="0" fillId="0" borderId="1" xfId="0" applyNumberFormat="1" applyBorder="1" applyAlignment="1">
      <alignment horizontal="center" vertical="center"/>
    </xf>
    <xf numFmtId="0" fontId="0" fillId="4" borderId="1" xfId="0" applyFill="1" applyBorder="1" applyAlignment="1">
      <alignment horizontal="center" vertical="center"/>
    </xf>
    <xf numFmtId="9" fontId="0" fillId="0" borderId="1" xfId="1" applyFont="1" applyBorder="1" applyAlignment="1">
      <alignment horizontal="center" vertical="center"/>
    </xf>
    <xf numFmtId="0" fontId="14" fillId="5" borderId="1" xfId="0" applyFont="1" applyFill="1" applyBorder="1" applyAlignment="1">
      <alignment horizontal="center" vertical="center"/>
    </xf>
    <xf numFmtId="14" fontId="14" fillId="5" borderId="1" xfId="0" applyNumberFormat="1" applyFont="1" applyFill="1" applyBorder="1" applyAlignment="1">
      <alignment horizontal="center" vertical="center"/>
    </xf>
    <xf numFmtId="164" fontId="0" fillId="0" borderId="1" xfId="0" applyNumberFormat="1" applyBorder="1" applyAlignment="1">
      <alignment horizontal="center" vertical="center"/>
    </xf>
    <xf numFmtId="10" fontId="0" fillId="0" borderId="1" xfId="0" applyNumberFormat="1" applyBorder="1" applyAlignment="1">
      <alignment horizontal="center" vertical="center"/>
    </xf>
    <xf numFmtId="0" fontId="7" fillId="0" borderId="0" xfId="2"/>
    <xf numFmtId="0" fontId="9" fillId="0" borderId="0" xfId="2" applyFont="1"/>
    <xf numFmtId="0" fontId="7" fillId="0" borderId="0" xfId="3" applyFont="1"/>
    <xf numFmtId="0" fontId="6" fillId="0" borderId="0" xfId="4"/>
    <xf numFmtId="0" fontId="8" fillId="6" borderId="2" xfId="4" applyFont="1" applyFill="1" applyBorder="1"/>
    <xf numFmtId="0" fontId="8" fillId="7" borderId="2" xfId="4" applyFont="1" applyFill="1" applyBorder="1"/>
    <xf numFmtId="14" fontId="8" fillId="6" borderId="2" xfId="4" applyNumberFormat="1" applyFont="1" applyFill="1" applyBorder="1"/>
    <xf numFmtId="2" fontId="8" fillId="7" borderId="2" xfId="4" applyNumberFormat="1" applyFont="1" applyFill="1" applyBorder="1"/>
    <xf numFmtId="165" fontId="8" fillId="6" borderId="2" xfId="4" applyNumberFormat="1" applyFont="1" applyFill="1" applyBorder="1"/>
    <xf numFmtId="0" fontId="8" fillId="8" borderId="2" xfId="4" applyFont="1" applyFill="1" applyBorder="1"/>
    <xf numFmtId="0" fontId="8" fillId="7" borderId="3" xfId="4" applyFont="1" applyFill="1" applyBorder="1"/>
    <xf numFmtId="0" fontId="8" fillId="8" borderId="0" xfId="4" applyFont="1" applyFill="1"/>
    <xf numFmtId="0" fontId="6" fillId="0" borderId="2" xfId="4" applyBorder="1"/>
    <xf numFmtId="14" fontId="6" fillId="0" borderId="2" xfId="4" applyNumberFormat="1" applyBorder="1"/>
    <xf numFmtId="1" fontId="6" fillId="0" borderId="2" xfId="4" applyNumberFormat="1" applyBorder="1"/>
    <xf numFmtId="165" fontId="6" fillId="0" borderId="2" xfId="4" applyNumberFormat="1" applyBorder="1"/>
    <xf numFmtId="0" fontId="6" fillId="0" borderId="3" xfId="4" applyBorder="1"/>
    <xf numFmtId="0" fontId="8" fillId="7" borderId="1" xfId="4" applyFont="1" applyFill="1" applyBorder="1"/>
    <xf numFmtId="0" fontId="6" fillId="0" borderId="1" xfId="4" applyBorder="1"/>
    <xf numFmtId="0" fontId="9" fillId="9" borderId="0" xfId="4" applyFont="1" applyFill="1"/>
    <xf numFmtId="0" fontId="9" fillId="9" borderId="0" xfId="4" applyFont="1" applyFill="1" applyAlignment="1">
      <alignment horizontal="left"/>
    </xf>
    <xf numFmtId="0" fontId="9" fillId="0" borderId="0" xfId="4" applyFont="1"/>
    <xf numFmtId="0" fontId="16" fillId="3" borderId="1" xfId="4" applyFont="1" applyFill="1" applyBorder="1"/>
    <xf numFmtId="44" fontId="0" fillId="0" borderId="1" xfId="5" applyFont="1" applyBorder="1"/>
    <xf numFmtId="0" fontId="6" fillId="0" borderId="4" xfId="4" applyBorder="1"/>
    <xf numFmtId="14" fontId="6" fillId="0" borderId="4" xfId="4" applyNumberFormat="1" applyBorder="1"/>
    <xf numFmtId="165" fontId="6" fillId="0" borderId="4" xfId="4" applyNumberFormat="1" applyBorder="1"/>
    <xf numFmtId="14" fontId="6" fillId="0" borderId="0" xfId="4" applyNumberFormat="1"/>
    <xf numFmtId="2" fontId="6" fillId="0" borderId="0" xfId="4" applyNumberFormat="1"/>
    <xf numFmtId="1" fontId="6" fillId="0" borderId="0" xfId="4" applyNumberFormat="1"/>
    <xf numFmtId="165" fontId="6" fillId="0" borderId="0" xfId="4" applyNumberFormat="1"/>
    <xf numFmtId="0" fontId="8" fillId="6" borderId="1" xfId="4" applyFont="1" applyFill="1" applyBorder="1"/>
    <xf numFmtId="0" fontId="8" fillId="4" borderId="1" xfId="4" applyFont="1" applyFill="1" applyBorder="1" applyAlignment="1">
      <alignment horizontal="center" vertical="center"/>
    </xf>
    <xf numFmtId="0" fontId="8" fillId="3" borderId="1" xfId="4" applyFont="1" applyFill="1" applyBorder="1" applyAlignment="1">
      <alignment horizontal="center" vertical="center"/>
    </xf>
    <xf numFmtId="0" fontId="6" fillId="0" borderId="1" xfId="4" applyBorder="1" applyAlignment="1">
      <alignment horizontal="center" vertical="center"/>
    </xf>
    <xf numFmtId="1" fontId="6" fillId="0" borderId="1" xfId="4" applyNumberFormat="1" applyBorder="1" applyAlignment="1">
      <alignment horizontal="center" vertical="center"/>
    </xf>
    <xf numFmtId="0" fontId="12" fillId="0" borderId="0" xfId="4" applyFont="1"/>
    <xf numFmtId="0" fontId="6" fillId="0" borderId="1" xfId="4" quotePrefix="1" applyBorder="1" applyAlignment="1">
      <alignment horizontal="center" vertical="center"/>
    </xf>
    <xf numFmtId="16" fontId="6" fillId="0" borderId="1" xfId="4" applyNumberFormat="1" applyBorder="1" applyAlignment="1">
      <alignment horizontal="center" vertical="center"/>
    </xf>
    <xf numFmtId="2" fontId="6" fillId="0" borderId="1" xfId="4" applyNumberFormat="1" applyBorder="1" applyAlignment="1">
      <alignment horizontal="center" vertical="center"/>
    </xf>
    <xf numFmtId="0" fontId="13" fillId="0" borderId="0" xfId="4" applyFont="1"/>
    <xf numFmtId="0" fontId="11" fillId="0" borderId="1" xfId="4" applyFont="1" applyBorder="1" applyAlignment="1">
      <alignment horizontal="center" vertical="center"/>
    </xf>
    <xf numFmtId="14" fontId="11" fillId="0" borderId="1" xfId="4" applyNumberFormat="1" applyFont="1" applyBorder="1" applyAlignment="1">
      <alignment horizontal="center" vertical="center"/>
    </xf>
    <xf numFmtId="14" fontId="6" fillId="0" borderId="1" xfId="4" applyNumberFormat="1" applyBorder="1" applyAlignment="1">
      <alignment horizontal="center" vertical="center"/>
    </xf>
    <xf numFmtId="0" fontId="11" fillId="0" borderId="1" xfId="4" applyFont="1" applyBorder="1" applyAlignment="1">
      <alignment vertical="center"/>
    </xf>
    <xf numFmtId="0" fontId="6" fillId="0" borderId="0" xfId="4" applyAlignment="1">
      <alignment vertical="center"/>
    </xf>
    <xf numFmtId="0" fontId="8" fillId="3" borderId="1" xfId="4" applyFont="1" applyFill="1" applyBorder="1" applyAlignment="1">
      <alignment horizontal="center"/>
    </xf>
    <xf numFmtId="0" fontId="6" fillId="0" borderId="1" xfId="4" applyBorder="1" applyAlignment="1">
      <alignment horizontal="center"/>
    </xf>
    <xf numFmtId="44" fontId="0" fillId="0" borderId="1" xfId="5" applyFont="1" applyBorder="1" applyAlignment="1">
      <alignment horizontal="center"/>
    </xf>
    <xf numFmtId="44" fontId="0" fillId="0" borderId="1" xfId="5" applyFont="1" applyFill="1" applyBorder="1" applyAlignment="1">
      <alignment horizontal="center"/>
    </xf>
    <xf numFmtId="0" fontId="6" fillId="0" borderId="0" xfId="4" applyAlignment="1">
      <alignment horizontal="left"/>
    </xf>
    <xf numFmtId="0" fontId="6" fillId="4" borderId="1" xfId="4" applyFill="1" applyBorder="1" applyAlignment="1">
      <alignment horizontal="center" vertical="center"/>
    </xf>
    <xf numFmtId="9" fontId="0" fillId="0" borderId="1" xfId="6" applyFont="1" applyBorder="1" applyAlignment="1">
      <alignment horizontal="center" vertical="center"/>
    </xf>
    <xf numFmtId="0" fontId="14" fillId="5" borderId="1" xfId="4" applyFont="1" applyFill="1" applyBorder="1" applyAlignment="1">
      <alignment horizontal="center" vertical="center"/>
    </xf>
    <xf numFmtId="14" fontId="14" fillId="5" borderId="1" xfId="4" applyNumberFormat="1" applyFont="1" applyFill="1" applyBorder="1" applyAlignment="1">
      <alignment horizontal="center" vertical="center"/>
    </xf>
    <xf numFmtId="164" fontId="6" fillId="0" borderId="1" xfId="4" applyNumberFormat="1" applyBorder="1" applyAlignment="1">
      <alignment horizontal="center" vertical="center"/>
    </xf>
    <xf numFmtId="10" fontId="6" fillId="0" borderId="1" xfId="4" applyNumberFormat="1" applyBorder="1" applyAlignment="1">
      <alignment horizontal="center" vertical="center"/>
    </xf>
    <xf numFmtId="0" fontId="8" fillId="5" borderId="1" xfId="4" applyFont="1" applyFill="1" applyBorder="1" applyAlignment="1">
      <alignment horizontal="center" vertical="center"/>
    </xf>
    <xf numFmtId="0" fontId="16" fillId="10" borderId="0" xfId="4" applyFont="1" applyFill="1" applyAlignment="1">
      <alignment horizontal="center" vertical="center"/>
    </xf>
    <xf numFmtId="0" fontId="9" fillId="11" borderId="5" xfId="4" applyFont="1" applyFill="1" applyBorder="1" applyAlignment="1">
      <alignment horizontal="center" vertical="center"/>
    </xf>
    <xf numFmtId="0" fontId="6" fillId="11" borderId="5" xfId="4" applyFill="1" applyBorder="1" applyAlignment="1">
      <alignment horizontal="center" vertical="center"/>
    </xf>
    <xf numFmtId="166" fontId="6" fillId="11" borderId="5" xfId="4" applyNumberFormat="1" applyFill="1" applyBorder="1" applyAlignment="1">
      <alignment horizontal="center" vertical="center"/>
    </xf>
    <xf numFmtId="0" fontId="9" fillId="11" borderId="6" xfId="4" applyFont="1" applyFill="1" applyBorder="1" applyAlignment="1">
      <alignment horizontal="center" vertical="center"/>
    </xf>
    <xf numFmtId="166" fontId="9" fillId="11" borderId="6" xfId="4" applyNumberFormat="1" applyFont="1" applyFill="1" applyBorder="1" applyAlignment="1">
      <alignment horizontal="center" vertical="center"/>
    </xf>
    <xf numFmtId="166" fontId="16" fillId="10" borderId="0" xfId="4" applyNumberFormat="1" applyFont="1" applyFill="1" applyAlignment="1">
      <alignment horizontal="center" vertical="center"/>
    </xf>
    <xf numFmtId="1" fontId="6" fillId="0" borderId="2" xfId="4" applyNumberFormat="1" applyBorder="1" applyAlignment="1">
      <alignment horizontal="right"/>
    </xf>
    <xf numFmtId="1" fontId="5" fillId="0" borderId="2" xfId="4" applyNumberFormat="1" applyFont="1" applyBorder="1" applyAlignment="1">
      <alignment horizontal="center"/>
    </xf>
    <xf numFmtId="2" fontId="6" fillId="0" borderId="1" xfId="4" applyNumberFormat="1" applyBorder="1" applyAlignment="1">
      <alignment horizontal="left"/>
    </xf>
    <xf numFmtId="165" fontId="6" fillId="0" borderId="1" xfId="4" applyNumberFormat="1" applyBorder="1" applyAlignment="1">
      <alignment horizontal="left"/>
    </xf>
    <xf numFmtId="0" fontId="6" fillId="0" borderId="1" xfId="4" applyBorder="1" applyAlignment="1">
      <alignment horizontal="left"/>
    </xf>
    <xf numFmtId="0" fontId="4" fillId="0" borderId="2" xfId="4" applyFont="1" applyBorder="1"/>
    <xf numFmtId="2" fontId="6" fillId="0" borderId="2" xfId="4" applyNumberFormat="1" applyBorder="1"/>
    <xf numFmtId="0" fontId="16" fillId="12" borderId="0" xfId="4" applyFont="1" applyFill="1"/>
    <xf numFmtId="0" fontId="3" fillId="5" borderId="0" xfId="4" applyFont="1" applyFill="1"/>
    <xf numFmtId="0" fontId="18" fillId="12" borderId="0" xfId="0" applyFont="1" applyFill="1"/>
    <xf numFmtId="0" fontId="18" fillId="12" borderId="0" xfId="0" applyFont="1" applyFill="1" applyAlignment="1">
      <alignment horizontal="center"/>
    </xf>
    <xf numFmtId="0" fontId="19" fillId="12" borderId="0" xfId="0" applyFont="1" applyFill="1" applyAlignment="1">
      <alignment horizontal="left"/>
    </xf>
    <xf numFmtId="167" fontId="19" fillId="12" borderId="0" xfId="0" applyNumberFormat="1" applyFont="1" applyFill="1"/>
    <xf numFmtId="44" fontId="19" fillId="12" borderId="0" xfId="0" applyNumberFormat="1" applyFont="1" applyFill="1"/>
    <xf numFmtId="166" fontId="16" fillId="12" borderId="0" xfId="4" applyNumberFormat="1" applyFont="1" applyFill="1"/>
    <xf numFmtId="0" fontId="20" fillId="12" borderId="0" xfId="4" applyFont="1" applyFill="1" applyAlignment="1">
      <alignment horizontal="center"/>
    </xf>
    <xf numFmtId="0" fontId="0" fillId="14" borderId="0" xfId="0" applyFill="1" applyAlignment="1">
      <alignment horizontal="left"/>
    </xf>
    <xf numFmtId="167" fontId="0" fillId="14" borderId="0" xfId="0" applyNumberFormat="1" applyFill="1"/>
    <xf numFmtId="44" fontId="0" fillId="14" borderId="0" xfId="0" applyNumberFormat="1" applyFill="1"/>
    <xf numFmtId="0" fontId="0" fillId="14" borderId="0" xfId="0" applyFill="1" applyAlignment="1">
      <alignment horizontal="left" indent="1"/>
    </xf>
    <xf numFmtId="166" fontId="6" fillId="14" borderId="7" xfId="4" applyNumberFormat="1" applyFill="1" applyBorder="1"/>
    <xf numFmtId="166" fontId="6" fillId="14" borderId="8" xfId="4" applyNumberFormat="1" applyFill="1" applyBorder="1"/>
    <xf numFmtId="166" fontId="6" fillId="14" borderId="9" xfId="4" applyNumberFormat="1" applyFill="1" applyBorder="1"/>
    <xf numFmtId="0" fontId="6" fillId="0" borderId="10" xfId="4" applyBorder="1"/>
    <xf numFmtId="0" fontId="6" fillId="0" borderId="11" xfId="4" applyBorder="1"/>
    <xf numFmtId="0" fontId="9" fillId="4" borderId="0" xfId="4" applyFont="1" applyFill="1"/>
    <xf numFmtId="2" fontId="9" fillId="4" borderId="0" xfId="5" applyNumberFormat="1" applyFont="1" applyFill="1"/>
    <xf numFmtId="0" fontId="2" fillId="0" borderId="0" xfId="2" applyFont="1"/>
    <xf numFmtId="0" fontId="7" fillId="13" borderId="0" xfId="2" applyFill="1"/>
    <xf numFmtId="0" fontId="0" fillId="15" borderId="0" xfId="0" applyFill="1"/>
    <xf numFmtId="0" fontId="9" fillId="16" borderId="0" xfId="0" applyFont="1" applyFill="1"/>
    <xf numFmtId="0" fontId="7" fillId="16" borderId="0" xfId="2" applyFill="1"/>
    <xf numFmtId="0" fontId="0" fillId="16" borderId="0" xfId="0" applyFill="1"/>
    <xf numFmtId="0" fontId="2" fillId="15" borderId="0" xfId="2" applyFont="1" applyFill="1" applyAlignment="1">
      <alignment horizontal="center" vertical="center"/>
    </xf>
    <xf numFmtId="0" fontId="2" fillId="15" borderId="0" xfId="2" applyFont="1" applyFill="1" applyAlignment="1">
      <alignment horizontal="left"/>
    </xf>
    <xf numFmtId="0" fontId="0" fillId="17" borderId="0" xfId="0" applyFill="1" applyAlignment="1">
      <alignment horizontal="center"/>
    </xf>
    <xf numFmtId="0" fontId="2" fillId="17" borderId="0" xfId="2" applyFont="1" applyFill="1" applyAlignment="1">
      <alignment horizontal="center"/>
    </xf>
    <xf numFmtId="0" fontId="0" fillId="18" borderId="0" xfId="0" applyFill="1"/>
    <xf numFmtId="0" fontId="7" fillId="18" borderId="0" xfId="2" applyFill="1"/>
    <xf numFmtId="0" fontId="9" fillId="0" borderId="0" xfId="2" applyFont="1" applyAlignment="1">
      <alignment horizontal="center"/>
    </xf>
    <xf numFmtId="0" fontId="7" fillId="0" borderId="0" xfId="2" applyAlignment="1">
      <alignment horizontal="center"/>
    </xf>
    <xf numFmtId="0" fontId="2" fillId="0" borderId="0" xfId="2" applyFont="1" applyAlignment="1">
      <alignment horizontal="center"/>
    </xf>
    <xf numFmtId="0" fontId="9" fillId="0" borderId="1" xfId="0" applyFont="1" applyBorder="1" applyAlignment="1">
      <alignment horizontal="center"/>
    </xf>
    <xf numFmtId="0" fontId="0" fillId="0" borderId="0" xfId="0" applyAlignment="1">
      <alignment horizontal="center"/>
    </xf>
    <xf numFmtId="0" fontId="6" fillId="4" borderId="1" xfId="4" applyFill="1" applyBorder="1" applyAlignment="1">
      <alignment horizontal="center" vertical="center"/>
    </xf>
    <xf numFmtId="0" fontId="6" fillId="4" borderId="0" xfId="4" applyFill="1" applyAlignment="1">
      <alignment horizontal="center" vertical="center" wrapText="1"/>
    </xf>
    <xf numFmtId="0" fontId="0" fillId="4" borderId="0" xfId="0" applyFill="1" applyAlignment="1">
      <alignment horizontal="center" vertical="center" wrapText="1"/>
    </xf>
    <xf numFmtId="14" fontId="6" fillId="0" borderId="2" xfId="4" applyNumberFormat="1" applyBorder="1" applyAlignment="1">
      <alignment horizontal="right"/>
    </xf>
    <xf numFmtId="0" fontId="6" fillId="0" borderId="2" xfId="4" applyNumberFormat="1" applyBorder="1" applyAlignment="1">
      <alignment horizontal="right"/>
    </xf>
    <xf numFmtId="1" fontId="8" fillId="7" borderId="2" xfId="4" applyNumberFormat="1" applyFont="1" applyFill="1" applyBorder="1" applyAlignment="1">
      <alignment horizontal="center"/>
    </xf>
    <xf numFmtId="0" fontId="0" fillId="0" borderId="0" xfId="0" applyNumberFormat="1"/>
    <xf numFmtId="0" fontId="0" fillId="0" borderId="0" xfId="0" pivotButton="1"/>
    <xf numFmtId="0" fontId="0" fillId="0" borderId="0" xfId="0" applyAlignment="1">
      <alignment horizontal="left"/>
    </xf>
    <xf numFmtId="0" fontId="1" fillId="13" borderId="0" xfId="2" applyFont="1" applyFill="1"/>
    <xf numFmtId="0" fontId="0" fillId="2" borderId="0" xfId="0" applyFont="1" applyFill="1"/>
    <xf numFmtId="0" fontId="0" fillId="15" borderId="1" xfId="0" applyFill="1" applyBorder="1"/>
  </cellXfs>
  <cellStyles count="7">
    <cellStyle name="Currency 2" xfId="5" xr:uid="{40A68141-1502-4CAC-8561-6F4D5214A548}"/>
    <cellStyle name="Hyperlink 2" xfId="3" xr:uid="{15DA2CC7-941E-47F0-ACD6-921AADF7B644}"/>
    <cellStyle name="Normal" xfId="0" builtinId="0"/>
    <cellStyle name="Normal 2" xfId="2" xr:uid="{8D4813D5-6F1F-49F4-ACA9-2E95069E6DEB}"/>
    <cellStyle name="Normal 3" xfId="4" xr:uid="{4F12D4B2-874D-420A-BAB6-C6E359597416}"/>
    <cellStyle name="Percent" xfId="1" builtinId="5"/>
    <cellStyle name="Percent 2" xfId="6" xr:uid="{382D0B1A-1822-4B9D-98C8-4C6386961201}"/>
  </cellStyles>
  <dxfs count="59">
    <dxf>
      <font>
        <b/>
        <i val="0"/>
        <strike val="0"/>
        <condense val="0"/>
        <extend val="0"/>
        <outline val="0"/>
        <shadow val="0"/>
        <u val="none"/>
        <vertAlign val="baseline"/>
        <sz val="11"/>
        <color theme="0"/>
        <name val="Calibri"/>
        <family val="2"/>
        <scheme val="minor"/>
      </font>
      <fill>
        <patternFill patternType="solid">
          <fgColor theme="4"/>
          <bgColor theme="9"/>
        </patternFill>
      </fill>
    </dxf>
    <dxf>
      <border diagonalUp="0" diagonalDown="0">
        <left/>
        <right style="thin">
          <color theme="4"/>
        </right>
        <top style="thin">
          <color theme="4"/>
        </top>
        <bottom/>
        <vertical/>
        <horizontal/>
      </border>
    </dxf>
    <dxf>
      <numFmt numFmtId="2" formatCode="0.0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border diagonalUp="0" diagonalDown="0">
        <left/>
        <right/>
        <top style="thin">
          <color theme="4"/>
        </top>
        <bottom/>
        <vertical/>
        <horizontal/>
      </border>
    </dxf>
    <dxf>
      <numFmt numFmtId="165" formatCode="_ [$₹-4009]\ * #,##0_ ;_ [$₹-4009]\ * \-#,##0_ ;_ [$₹-4009]\ * &quot;-&quot;??_ ;_ @_ "/>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 formatCode="0"/>
      <alignment horizontal="center" vertical="bottom" textRotation="0" wrapText="0" indent="0" justifyLastLine="0" shrinkToFit="0" readingOrder="0"/>
      <border diagonalUp="0" diagonalDown="0">
        <left/>
        <right/>
        <top style="thin">
          <color theme="4"/>
        </top>
        <bottom/>
        <vertical/>
        <horizontal/>
      </border>
    </dxf>
    <dxf>
      <numFmt numFmtId="19" formatCode="m/d/yyyy"/>
      <border diagonalUp="0" diagonalDown="0">
        <left/>
        <right/>
        <top style="thin">
          <color theme="4"/>
        </top>
        <bottom/>
        <vertical/>
        <horizontal/>
      </border>
    </dxf>
    <dxf>
      <numFmt numFmtId="1" formatCode="0"/>
      <border diagonalUp="0" diagonalDown="0">
        <left/>
        <right/>
        <top style="thin">
          <color theme="4"/>
        </top>
        <bottom/>
        <vertical/>
        <horizontal/>
      </border>
    </dxf>
    <dxf>
      <numFmt numFmtId="1" formatCode="0"/>
      <alignment horizontal="right" vertical="bottom" textRotation="0" wrapText="0" indent="0" justifyLastLine="0" shrinkToFit="0" readingOrder="0"/>
      <border diagonalUp="0" diagonalDown="0">
        <left/>
        <right/>
        <top style="thin">
          <color theme="4"/>
        </top>
        <bottom/>
        <vertical/>
        <horizontal/>
      </border>
    </dxf>
    <dxf>
      <numFmt numFmtId="0" formatCode="General"/>
      <alignment horizontal="right" vertical="bottom" textRotation="0" wrapText="0" indent="0" justifyLastLine="0" shrinkToFit="0" readingOrder="0"/>
      <border diagonalUp="0" diagonalDown="0">
        <left/>
        <right/>
        <top style="thin">
          <color theme="4"/>
        </top>
        <bottom/>
        <vertical/>
        <horizontal/>
      </border>
    </dxf>
    <dxf>
      <numFmt numFmtId="19" formatCode="m/d/yyyy"/>
      <alignment horizontal="right" vertical="bottom" textRotation="0" wrapText="0" indent="0" justifyLastLine="0" shrinkToFit="0" readingOrder="0"/>
      <border diagonalUp="0" diagonalDown="0">
        <left/>
        <right/>
        <top style="thin">
          <color theme="4"/>
        </top>
        <bottom/>
        <vertical/>
        <horizontal/>
      </border>
    </dxf>
    <dxf>
      <numFmt numFmtId="19" formatCode="m/d/yyyy"/>
      <border diagonalUp="0" diagonalDown="0">
        <left/>
        <right/>
        <top style="thin">
          <color theme="4"/>
        </top>
        <bottom/>
        <vertical/>
        <horizontal/>
      </border>
    </dxf>
    <dxf>
      <numFmt numFmtId="19" formatCode="m/d/yyyy"/>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diagonalUp="0" diagonalDown="0">
        <left/>
        <right/>
        <top style="thin">
          <color theme="4"/>
        </top>
        <bottom/>
        <vertical/>
        <horizontal/>
      </border>
    </dxf>
    <dxf>
      <border outline="0">
        <left style="thin">
          <color theme="4"/>
        </left>
      </border>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FF0000"/>
      </font>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theme="0"/>
      </font>
    </dxf>
    <dxf>
      <font>
        <color theme="0"/>
      </font>
    </dxf>
    <dxf>
      <fill>
        <patternFill>
          <bgColor theme="1"/>
        </patternFill>
      </fill>
    </dxf>
    <dxf>
      <fill>
        <patternFill>
          <bgColor theme="1"/>
        </patternFill>
      </fill>
    </dxf>
    <dxf>
      <alignment horizontal="center"/>
    </dxf>
    <dxf>
      <font>
        <color theme="2"/>
      </font>
    </dxf>
    <dxf>
      <font>
        <color theme="2"/>
      </font>
    </dxf>
    <dxf>
      <fill>
        <patternFill>
          <bgColor theme="1"/>
        </patternFill>
      </fill>
    </dxf>
    <dxf>
      <fill>
        <patternFill>
          <bgColor theme="1"/>
        </patternFill>
      </fill>
    </dxf>
    <dxf>
      <fill>
        <patternFill>
          <bgColor theme="4" tint="0.59999389629810485"/>
        </patternFill>
      </fill>
    </dxf>
    <dxf>
      <fill>
        <patternFill>
          <bgColor theme="4" tint="0.59999389629810485"/>
        </patternFill>
      </fill>
    </dxf>
    <dxf>
      <numFmt numFmtId="167" formatCode="_ [$₹-4009]\ * #,##0.00_ ;_ [$₹-4009]\ * \-#,##0.00_ ;_ [$₹-4009]\ * &quot;-&quot;??_ ;_ @_ "/>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Test-2023 (1).xlsx]DASHBOARD!PivotTable1</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200" b="0" i="0" u="sng" strike="noStrike" kern="1200" spc="0" baseline="0">
                <a:solidFill>
                  <a:schemeClr val="bg2">
                    <a:lumMod val="50000"/>
                  </a:schemeClr>
                </a:solidFill>
              </a:rPr>
              <a:t>Manager-wise Employees Count Vs Attrition Count</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layout>
        <c:manualLayout>
          <c:xMode val="edge"/>
          <c:yMode val="edge"/>
          <c:x val="0.13785319007437508"/>
          <c:y val="0.11963051199228285"/>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DASHBOARD!$AB$7</c:f>
              <c:strCache>
                <c:ptCount val="1"/>
                <c:pt idx="0">
                  <c:v>Sum of Attrition 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DASHBOARD!$AA$8:$AA$19</c:f>
              <c:strCache>
                <c:ptCount val="11"/>
                <c:pt idx="0">
                  <c:v>Aakash Patel</c:v>
                </c:pt>
                <c:pt idx="1">
                  <c:v>Danish D'Souza</c:v>
                </c:pt>
                <c:pt idx="2">
                  <c:v>Divya Kumar</c:v>
                </c:pt>
                <c:pt idx="3">
                  <c:v>Ganesh Rahu</c:v>
                </c:pt>
                <c:pt idx="4">
                  <c:v>Joseph P</c:v>
                </c:pt>
                <c:pt idx="5">
                  <c:v>Pawan Patil</c:v>
                </c:pt>
                <c:pt idx="6">
                  <c:v>Raj Sharma</c:v>
                </c:pt>
                <c:pt idx="7">
                  <c:v>Rijo Paul</c:v>
                </c:pt>
                <c:pt idx="8">
                  <c:v>Sharad Gandhi</c:v>
                </c:pt>
                <c:pt idx="9">
                  <c:v>Shilpa R</c:v>
                </c:pt>
                <c:pt idx="10">
                  <c:v>Vinudas K.S</c:v>
                </c:pt>
              </c:strCache>
            </c:strRef>
          </c:cat>
          <c:val>
            <c:numRef>
              <c:f>DASHBOARD!$AB$8:$AB$19</c:f>
              <c:numCache>
                <c:formatCode>General</c:formatCode>
                <c:ptCount val="11"/>
                <c:pt idx="0">
                  <c:v>1</c:v>
                </c:pt>
                <c:pt idx="1">
                  <c:v>3</c:v>
                </c:pt>
                <c:pt idx="2">
                  <c:v>0</c:v>
                </c:pt>
                <c:pt idx="3">
                  <c:v>2</c:v>
                </c:pt>
                <c:pt idx="4">
                  <c:v>1</c:v>
                </c:pt>
                <c:pt idx="5">
                  <c:v>1</c:v>
                </c:pt>
                <c:pt idx="6">
                  <c:v>0</c:v>
                </c:pt>
                <c:pt idx="7">
                  <c:v>0</c:v>
                </c:pt>
                <c:pt idx="8">
                  <c:v>2</c:v>
                </c:pt>
                <c:pt idx="9">
                  <c:v>1</c:v>
                </c:pt>
                <c:pt idx="10">
                  <c:v>0</c:v>
                </c:pt>
              </c:numCache>
            </c:numRef>
          </c:val>
          <c:extLst>
            <c:ext xmlns:c16="http://schemas.microsoft.com/office/drawing/2014/chart" uri="{C3380CC4-5D6E-409C-BE32-E72D297353CC}">
              <c16:uniqueId val="{00000000-ECCF-443B-B4EE-F5B28D5E9A90}"/>
            </c:ext>
          </c:extLst>
        </c:ser>
        <c:ser>
          <c:idx val="1"/>
          <c:order val="1"/>
          <c:tx>
            <c:strRef>
              <c:f>DASHBOARD!$AC$7</c:f>
              <c:strCache>
                <c:ptCount val="1"/>
                <c:pt idx="0">
                  <c:v>Count of Employee ID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DASHBOARD!$AA$8:$AA$19</c:f>
              <c:strCache>
                <c:ptCount val="11"/>
                <c:pt idx="0">
                  <c:v>Aakash Patel</c:v>
                </c:pt>
                <c:pt idx="1">
                  <c:v>Danish D'Souza</c:v>
                </c:pt>
                <c:pt idx="2">
                  <c:v>Divya Kumar</c:v>
                </c:pt>
                <c:pt idx="3">
                  <c:v>Ganesh Rahu</c:v>
                </c:pt>
                <c:pt idx="4">
                  <c:v>Joseph P</c:v>
                </c:pt>
                <c:pt idx="5">
                  <c:v>Pawan Patil</c:v>
                </c:pt>
                <c:pt idx="6">
                  <c:v>Raj Sharma</c:v>
                </c:pt>
                <c:pt idx="7">
                  <c:v>Rijo Paul</c:v>
                </c:pt>
                <c:pt idx="8">
                  <c:v>Sharad Gandhi</c:v>
                </c:pt>
                <c:pt idx="9">
                  <c:v>Shilpa R</c:v>
                </c:pt>
                <c:pt idx="10">
                  <c:v>Vinudas K.S</c:v>
                </c:pt>
              </c:strCache>
            </c:strRef>
          </c:cat>
          <c:val>
            <c:numRef>
              <c:f>DASHBOARD!$AC$8:$AC$19</c:f>
              <c:numCache>
                <c:formatCode>General</c:formatCode>
                <c:ptCount val="11"/>
                <c:pt idx="0">
                  <c:v>6</c:v>
                </c:pt>
                <c:pt idx="1">
                  <c:v>8</c:v>
                </c:pt>
                <c:pt idx="2">
                  <c:v>3</c:v>
                </c:pt>
                <c:pt idx="3">
                  <c:v>6</c:v>
                </c:pt>
                <c:pt idx="4">
                  <c:v>7</c:v>
                </c:pt>
                <c:pt idx="5">
                  <c:v>8</c:v>
                </c:pt>
                <c:pt idx="6">
                  <c:v>6</c:v>
                </c:pt>
                <c:pt idx="7">
                  <c:v>6</c:v>
                </c:pt>
                <c:pt idx="8">
                  <c:v>7</c:v>
                </c:pt>
                <c:pt idx="9">
                  <c:v>3</c:v>
                </c:pt>
                <c:pt idx="10">
                  <c:v>6</c:v>
                </c:pt>
              </c:numCache>
            </c:numRef>
          </c:val>
          <c:extLst>
            <c:ext xmlns:c16="http://schemas.microsoft.com/office/drawing/2014/chart" uri="{C3380CC4-5D6E-409C-BE32-E72D297353CC}">
              <c16:uniqueId val="{00000003-ECCF-443B-B4EE-F5B28D5E9A90}"/>
            </c:ext>
          </c:extLst>
        </c:ser>
        <c:dLbls>
          <c:dLblPos val="outEnd"/>
          <c:showLegendKey val="0"/>
          <c:showVal val="1"/>
          <c:showCatName val="0"/>
          <c:showSerName val="0"/>
          <c:showPercent val="0"/>
          <c:showBubbleSize val="0"/>
        </c:dLbls>
        <c:gapWidth val="219"/>
        <c:overlap val="-27"/>
        <c:axId val="426322856"/>
        <c:axId val="426323576"/>
      </c:barChart>
      <c:catAx>
        <c:axId val="426322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323576"/>
        <c:crosses val="autoZero"/>
        <c:auto val="1"/>
        <c:lblAlgn val="ctr"/>
        <c:lblOffset val="100"/>
        <c:noMultiLvlLbl val="0"/>
      </c:catAx>
      <c:valAx>
        <c:axId val="426323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322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Test-2023 (1).xlsx]DASHBOARD!PivotTable2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wise Emp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DASHBOARD!$AC$26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DASHBOARD!$AB$27:$AB$32</c:f>
              <c:strCache>
                <c:ptCount val="5"/>
                <c:pt idx="0">
                  <c:v>1</c:v>
                </c:pt>
                <c:pt idx="1">
                  <c:v>2</c:v>
                </c:pt>
                <c:pt idx="2">
                  <c:v>3</c:v>
                </c:pt>
                <c:pt idx="3">
                  <c:v>4</c:v>
                </c:pt>
                <c:pt idx="4">
                  <c:v>5</c:v>
                </c:pt>
              </c:strCache>
            </c:strRef>
          </c:cat>
          <c:val>
            <c:numRef>
              <c:f>DASHBOARD!$AC$27:$AC$32</c:f>
              <c:numCache>
                <c:formatCode>General</c:formatCode>
                <c:ptCount val="5"/>
                <c:pt idx="0">
                  <c:v>1</c:v>
                </c:pt>
                <c:pt idx="1">
                  <c:v>36</c:v>
                </c:pt>
                <c:pt idx="2">
                  <c:v>18</c:v>
                </c:pt>
                <c:pt idx="3">
                  <c:v>3</c:v>
                </c:pt>
                <c:pt idx="4">
                  <c:v>8</c:v>
                </c:pt>
              </c:numCache>
            </c:numRef>
          </c:val>
          <c:extLst>
            <c:ext xmlns:c16="http://schemas.microsoft.com/office/drawing/2014/chart" uri="{C3380CC4-5D6E-409C-BE32-E72D297353CC}">
              <c16:uniqueId val="{00000000-E570-4CBC-8835-57857B08FF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Test-2023 (1).xlsx]DASHBOARD!PivotTable3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Wise Gratuity amount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DASHBOARD!$AB$36</c:f>
              <c:strCache>
                <c:ptCount val="1"/>
                <c:pt idx="0">
                  <c:v>Total</c:v>
                </c:pt>
              </c:strCache>
            </c:strRef>
          </c:tx>
          <c:spPr>
            <a:solidFill>
              <a:schemeClr val="accent1"/>
            </a:solidFill>
            <a:ln>
              <a:noFill/>
            </a:ln>
            <a:effectLst/>
          </c:spPr>
          <c:invertIfNegative val="0"/>
          <c:cat>
            <c:strRef>
              <c:f>DASHBOARD!$AA$37:$AA$103</c:f>
              <c:strCache>
                <c:ptCount val="66"/>
                <c:pt idx="0">
                  <c:v>Amanda Kessel</c:v>
                </c:pt>
                <c:pt idx="1">
                  <c:v>Amanda Pelkey</c:v>
                </c:pt>
                <c:pt idx="2">
                  <c:v>Andrew Ebbett</c:v>
                </c:pt>
                <c:pt idx="3">
                  <c:v>Ann-Renée Desbiens</c:v>
                </c:pt>
                <c:pt idx="4">
                  <c:v>Bailey Bram</c:v>
                </c:pt>
                <c:pt idx="5">
                  <c:v>Ben Scrivens</c:v>
                </c:pt>
                <c:pt idx="6">
                  <c:v>Blayre Turnbull</c:v>
                </c:pt>
                <c:pt idx="7">
                  <c:v>Brandon Kozun</c:v>
                </c:pt>
                <c:pt idx="8">
                  <c:v>Brianna Decker</c:v>
                </c:pt>
                <c:pt idx="9">
                  <c:v>Brianne Jenner</c:v>
                </c:pt>
                <c:pt idx="10">
                  <c:v>Brigette Lacquette</c:v>
                </c:pt>
                <c:pt idx="11">
                  <c:v>Cayla Barnes</c:v>
                </c:pt>
                <c:pt idx="12">
                  <c:v>Chay Genoway</c:v>
                </c:pt>
                <c:pt idx="13">
                  <c:v>Chris Kelly</c:v>
                </c:pt>
                <c:pt idx="14">
                  <c:v>Chris Lee</c:v>
                </c:pt>
                <c:pt idx="15">
                  <c:v>Christian Thomas</c:v>
                </c:pt>
                <c:pt idx="16">
                  <c:v>Cody Goloubef</c:v>
                </c:pt>
                <c:pt idx="17">
                  <c:v>Dani Cameranesi</c:v>
                </c:pt>
                <c:pt idx="18">
                  <c:v>Derek Roy</c:v>
                </c:pt>
                <c:pt idx="19">
                  <c:v>Emily Clark</c:v>
                </c:pt>
                <c:pt idx="20">
                  <c:v>Eric O’Dell</c:v>
                </c:pt>
                <c:pt idx="21">
                  <c:v>Geneviève Lacasse</c:v>
                </c:pt>
                <c:pt idx="22">
                  <c:v>Gigi Marvin</c:v>
                </c:pt>
                <c:pt idx="23">
                  <c:v>Gilbert Brulé</c:v>
                </c:pt>
                <c:pt idx="24">
                  <c:v>Haley Irwin</c:v>
                </c:pt>
                <c:pt idx="25">
                  <c:v>Hannah Brandt</c:v>
                </c:pt>
                <c:pt idx="26">
                  <c:v>Hilary Knight</c:v>
                </c:pt>
                <c:pt idx="27">
                  <c:v>Jennifer Wakefield</c:v>
                </c:pt>
                <c:pt idx="28">
                  <c:v>Jillian Saulnier</c:v>
                </c:pt>
                <c:pt idx="29">
                  <c:v>Jocelyne Lamoureux</c:v>
                </c:pt>
                <c:pt idx="30">
                  <c:v>Jocelyne Larocque</c:v>
                </c:pt>
                <c:pt idx="31">
                  <c:v>Justin Peters</c:v>
                </c:pt>
                <c:pt idx="32">
                  <c:v>Kacey Bellamy</c:v>
                </c:pt>
                <c:pt idx="33">
                  <c:v>Kali Flanagan</c:v>
                </c:pt>
                <c:pt idx="34">
                  <c:v>Karl Stollery</c:v>
                </c:pt>
                <c:pt idx="35">
                  <c:v>Kelly Pannek</c:v>
                </c:pt>
                <c:pt idx="36">
                  <c:v>Kendall Coyne</c:v>
                </c:pt>
                <c:pt idx="37">
                  <c:v>Kevin Poulin</c:v>
                </c:pt>
                <c:pt idx="38">
                  <c:v>Laura Fortino</c:v>
                </c:pt>
                <c:pt idx="39">
                  <c:v>Laura Stacey</c:v>
                </c:pt>
                <c:pt idx="40">
                  <c:v>Lauriane Rougeau</c:v>
                </c:pt>
                <c:pt idx="41">
                  <c:v>Linden Vey</c:v>
                </c:pt>
                <c:pt idx="42">
                  <c:v>Marc-Andre Gragnani</c:v>
                </c:pt>
                <c:pt idx="43">
                  <c:v>Marie-Philip Poulin</c:v>
                </c:pt>
                <c:pt idx="44">
                  <c:v>Mason Raymond</c:v>
                </c:pt>
                <c:pt idx="45">
                  <c:v>Mat Robinson</c:v>
                </c:pt>
                <c:pt idx="46">
                  <c:v>Maxim Lapierre</c:v>
                </c:pt>
                <c:pt idx="47">
                  <c:v>Maxim Noreau</c:v>
                </c:pt>
                <c:pt idx="48">
                  <c:v>Meaghan Mikkelson</c:v>
                </c:pt>
                <c:pt idx="49">
                  <c:v>Megan Keller</c:v>
                </c:pt>
                <c:pt idx="50">
                  <c:v>Meghan Agosta</c:v>
                </c:pt>
                <c:pt idx="51">
                  <c:v>Meghan Duggan</c:v>
                </c:pt>
                <c:pt idx="52">
                  <c:v>Mélodie Daoust</c:v>
                </c:pt>
                <c:pt idx="53">
                  <c:v>Monique Lamoureux</c:v>
                </c:pt>
                <c:pt idx="54">
                  <c:v>Natalie Spooner</c:v>
                </c:pt>
                <c:pt idx="55">
                  <c:v>Nicole Hensley</c:v>
                </c:pt>
                <c:pt idx="56">
                  <c:v>Quinton Howden</c:v>
                </c:pt>
                <c:pt idx="57">
                  <c:v>Rebecca Johnston</c:v>
                </c:pt>
                <c:pt idx="58">
                  <c:v>Renata Fast</c:v>
                </c:pt>
                <c:pt idx="59">
                  <c:v>René Bourque</c:v>
                </c:pt>
                <c:pt idx="60">
                  <c:v>Rob Klinkhammer</c:v>
                </c:pt>
                <c:pt idx="61">
                  <c:v>Sarah Nurse</c:v>
                </c:pt>
                <c:pt idx="62">
                  <c:v>Shannon Szabados</c:v>
                </c:pt>
                <c:pt idx="63">
                  <c:v>Sidney Morin</c:v>
                </c:pt>
                <c:pt idx="64">
                  <c:v>Stefan Elliott</c:v>
                </c:pt>
                <c:pt idx="65">
                  <c:v>Wojtek Wolski</c:v>
                </c:pt>
              </c:strCache>
            </c:strRef>
          </c:cat>
          <c:val>
            <c:numRef>
              <c:f>DASHBOARD!$AB$37:$AB$103</c:f>
              <c:numCache>
                <c:formatCode>General</c:formatCode>
                <c:ptCount val="66"/>
                <c:pt idx="0">
                  <c:v>15000</c:v>
                </c:pt>
                <c:pt idx="1">
                  <c:v>4488</c:v>
                </c:pt>
                <c:pt idx="2">
                  <c:v>8352</c:v>
                </c:pt>
                <c:pt idx="3">
                  <c:v>77260</c:v>
                </c:pt>
                <c:pt idx="4">
                  <c:v>18000</c:v>
                </c:pt>
                <c:pt idx="5">
                  <c:v>7944</c:v>
                </c:pt>
                <c:pt idx="6">
                  <c:v>15600</c:v>
                </c:pt>
                <c:pt idx="7">
                  <c:v>15360</c:v>
                </c:pt>
                <c:pt idx="8">
                  <c:v>12336</c:v>
                </c:pt>
                <c:pt idx="9">
                  <c:v>16800</c:v>
                </c:pt>
                <c:pt idx="10">
                  <c:v>26400</c:v>
                </c:pt>
                <c:pt idx="11">
                  <c:v>38340</c:v>
                </c:pt>
                <c:pt idx="12">
                  <c:v>19500</c:v>
                </c:pt>
                <c:pt idx="13">
                  <c:v>180600</c:v>
                </c:pt>
                <c:pt idx="14">
                  <c:v>31116</c:v>
                </c:pt>
                <c:pt idx="15">
                  <c:v>24900</c:v>
                </c:pt>
                <c:pt idx="16">
                  <c:v>15888</c:v>
                </c:pt>
                <c:pt idx="17">
                  <c:v>29220</c:v>
                </c:pt>
                <c:pt idx="18">
                  <c:v>27660</c:v>
                </c:pt>
                <c:pt idx="19">
                  <c:v>9600</c:v>
                </c:pt>
                <c:pt idx="20">
                  <c:v>8700</c:v>
                </c:pt>
                <c:pt idx="21">
                  <c:v>86220</c:v>
                </c:pt>
                <c:pt idx="22">
                  <c:v>84000</c:v>
                </c:pt>
                <c:pt idx="23">
                  <c:v>56500</c:v>
                </c:pt>
                <c:pt idx="24">
                  <c:v>9600</c:v>
                </c:pt>
                <c:pt idx="25">
                  <c:v>131280</c:v>
                </c:pt>
                <c:pt idx="26">
                  <c:v>13200</c:v>
                </c:pt>
                <c:pt idx="27">
                  <c:v>30000</c:v>
                </c:pt>
                <c:pt idx="28">
                  <c:v>564000</c:v>
                </c:pt>
                <c:pt idx="29">
                  <c:v>8400</c:v>
                </c:pt>
                <c:pt idx="30">
                  <c:v>42000</c:v>
                </c:pt>
                <c:pt idx="31">
                  <c:v>15672</c:v>
                </c:pt>
                <c:pt idx="32">
                  <c:v>23004</c:v>
                </c:pt>
                <c:pt idx="33">
                  <c:v>36000</c:v>
                </c:pt>
                <c:pt idx="34">
                  <c:v>141600</c:v>
                </c:pt>
                <c:pt idx="35">
                  <c:v>4800</c:v>
                </c:pt>
                <c:pt idx="36">
                  <c:v>181200</c:v>
                </c:pt>
                <c:pt idx="37">
                  <c:v>8004</c:v>
                </c:pt>
                <c:pt idx="38">
                  <c:v>26400</c:v>
                </c:pt>
                <c:pt idx="39">
                  <c:v>24000</c:v>
                </c:pt>
                <c:pt idx="40">
                  <c:v>14400</c:v>
                </c:pt>
                <c:pt idx="41">
                  <c:v>129000</c:v>
                </c:pt>
                <c:pt idx="42">
                  <c:v>13200</c:v>
                </c:pt>
                <c:pt idx="43">
                  <c:v>9600</c:v>
                </c:pt>
                <c:pt idx="44">
                  <c:v>86400</c:v>
                </c:pt>
                <c:pt idx="45">
                  <c:v>7944</c:v>
                </c:pt>
                <c:pt idx="46">
                  <c:v>66800</c:v>
                </c:pt>
                <c:pt idx="47">
                  <c:v>7704</c:v>
                </c:pt>
                <c:pt idx="48">
                  <c:v>19200</c:v>
                </c:pt>
                <c:pt idx="49">
                  <c:v>320000</c:v>
                </c:pt>
                <c:pt idx="50">
                  <c:v>72000</c:v>
                </c:pt>
                <c:pt idx="51">
                  <c:v>14088</c:v>
                </c:pt>
                <c:pt idx="52">
                  <c:v>26800</c:v>
                </c:pt>
                <c:pt idx="53">
                  <c:v>9000</c:v>
                </c:pt>
                <c:pt idx="54">
                  <c:v>9276</c:v>
                </c:pt>
                <c:pt idx="55">
                  <c:v>18000</c:v>
                </c:pt>
                <c:pt idx="56">
                  <c:v>17100</c:v>
                </c:pt>
                <c:pt idx="57">
                  <c:v>36000</c:v>
                </c:pt>
                <c:pt idx="58">
                  <c:v>120000</c:v>
                </c:pt>
                <c:pt idx="59">
                  <c:v>28640</c:v>
                </c:pt>
                <c:pt idx="60">
                  <c:v>16560</c:v>
                </c:pt>
                <c:pt idx="61">
                  <c:v>16800</c:v>
                </c:pt>
                <c:pt idx="62">
                  <c:v>168000</c:v>
                </c:pt>
                <c:pt idx="63">
                  <c:v>8400</c:v>
                </c:pt>
                <c:pt idx="64">
                  <c:v>15300</c:v>
                </c:pt>
                <c:pt idx="65">
                  <c:v>98500</c:v>
                </c:pt>
              </c:numCache>
            </c:numRef>
          </c:val>
          <c:extLst>
            <c:ext xmlns:c16="http://schemas.microsoft.com/office/drawing/2014/chart" uri="{C3380CC4-5D6E-409C-BE32-E72D297353CC}">
              <c16:uniqueId val="{00000000-F8FA-47A8-A15E-E671BFD0C9EE}"/>
            </c:ext>
          </c:extLst>
        </c:ser>
        <c:dLbls>
          <c:showLegendKey val="0"/>
          <c:showVal val="0"/>
          <c:showCatName val="0"/>
          <c:showSerName val="0"/>
          <c:showPercent val="0"/>
          <c:showBubbleSize val="0"/>
        </c:dLbls>
        <c:gapWidth val="150"/>
        <c:axId val="655930904"/>
        <c:axId val="655926584"/>
      </c:barChart>
      <c:catAx>
        <c:axId val="655930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26584"/>
        <c:crosses val="autoZero"/>
        <c:auto val="1"/>
        <c:lblAlgn val="ctr"/>
        <c:lblOffset val="100"/>
        <c:noMultiLvlLbl val="0"/>
      </c:catAx>
      <c:valAx>
        <c:axId val="655926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30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overall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'Pivot Table Exercise'!$P$27</c:f>
              <c:strCache>
                <c:ptCount val="1"/>
                <c:pt idx="0">
                  <c:v>states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'Pivot Table Exercise'!$P$28:$P$32</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071-40EE-B736-3A9D4AA20ED1}"/>
            </c:ext>
          </c:extLst>
        </c:ser>
        <c:ser>
          <c:idx val="1"/>
          <c:order val="1"/>
          <c:tx>
            <c:strRef>
              <c:f>'Pivot Table Exercise'!$Q$27</c:f>
              <c:strCache>
                <c:ptCount val="1"/>
                <c:pt idx="0">
                  <c:v>overall sales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'Pivot Table Exercise'!$Q$28:$Q$32</c:f>
              <c:numCache>
                <c:formatCode>"$"#,##0.00</c:formatCode>
                <c:ptCount val="5"/>
                <c:pt idx="0">
                  <c:v>22217</c:v>
                </c:pt>
                <c:pt idx="1">
                  <c:v>20460</c:v>
                </c:pt>
                <c:pt idx="2">
                  <c:v>21260</c:v>
                </c:pt>
                <c:pt idx="3">
                  <c:v>20926</c:v>
                </c:pt>
                <c:pt idx="4">
                  <c:v>19503</c:v>
                </c:pt>
              </c:numCache>
            </c:numRef>
          </c:val>
          <c:extLst>
            <c:ext xmlns:c16="http://schemas.microsoft.com/office/drawing/2014/chart" uri="{C3380CC4-5D6E-409C-BE32-E72D297353CC}">
              <c16:uniqueId val="{0000000A-7071-40EE-B736-3A9D4AA20ED1}"/>
            </c:ext>
          </c:extLst>
        </c:ser>
        <c:dLbls>
          <c:showLegendKey val="0"/>
          <c:showVal val="0"/>
          <c:showCatName val="0"/>
          <c:showSerName val="0"/>
          <c:showPercent val="0"/>
          <c:showBubbleSize val="0"/>
        </c:dLbls>
        <c:gapWidth val="100"/>
        <c:overlap val="-24"/>
        <c:axId val="592383064"/>
        <c:axId val="592385224"/>
      </c:barChart>
      <c:catAx>
        <c:axId val="592383064"/>
        <c:scaling>
          <c:orientation val="minMax"/>
        </c:scaling>
        <c:delete val="0"/>
        <c:axPos val="b"/>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385224"/>
        <c:crosses val="autoZero"/>
        <c:auto val="1"/>
        <c:lblAlgn val="ctr"/>
        <c:lblOffset val="100"/>
        <c:noMultiLvlLbl val="0"/>
      </c:catAx>
      <c:valAx>
        <c:axId val="592385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383064"/>
        <c:crosses val="autoZero"/>
        <c:crossBetween val="between"/>
      </c:val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'Formulae &amp; Conditional Format'!$B$106</c:f>
              <c:strCache>
                <c:ptCount val="1"/>
                <c:pt idx="0">
                  <c:v>% of Pass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931-4A6A-BB2C-FACE5B3B3AB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931-4A6A-BB2C-FACE5B3B3AB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931-4A6A-BB2C-FACE5B3B3AB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931-4A6A-BB2C-FACE5B3B3AB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931-4A6A-BB2C-FACE5B3B3AB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931-4A6A-BB2C-FACE5B3B3A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'Formulae &amp; Conditional Format'!$A$107:$A$112</c:f>
              <c:strCache>
                <c:ptCount val="6"/>
                <c:pt idx="0">
                  <c:v>Uttar Pradesh</c:v>
                </c:pt>
                <c:pt idx="1">
                  <c:v>Gujrat</c:v>
                </c:pt>
                <c:pt idx="2">
                  <c:v>Bihar</c:v>
                </c:pt>
                <c:pt idx="3">
                  <c:v>Madhya Pradesh</c:v>
                </c:pt>
                <c:pt idx="4">
                  <c:v>Haryana</c:v>
                </c:pt>
                <c:pt idx="5">
                  <c:v>New Delhi</c:v>
                </c:pt>
              </c:strCache>
            </c:strRef>
          </c:cat>
          <c:val>
            <c:numRef>
              <c:f>'Formulae &amp; Conditional Format'!$B$107:$B$112</c:f>
              <c:numCache>
                <c:formatCode>0%</c:formatCode>
                <c:ptCount val="6"/>
                <c:pt idx="0">
                  <c:v>0.22282070331847451</c:v>
                </c:pt>
                <c:pt idx="1">
                  <c:v>0.14654531946508173</c:v>
                </c:pt>
                <c:pt idx="2">
                  <c:v>0.15205547300643882</c:v>
                </c:pt>
                <c:pt idx="3">
                  <c:v>0.24684249628528976</c:v>
                </c:pt>
                <c:pt idx="4">
                  <c:v>0.11546557701832591</c:v>
                </c:pt>
                <c:pt idx="5">
                  <c:v>0.1162704309063893</c:v>
                </c:pt>
              </c:numCache>
            </c:numRef>
          </c:val>
          <c:extLst>
            <c:ext xmlns:c16="http://schemas.microsoft.com/office/drawing/2014/chart" uri="{C3380CC4-5D6E-409C-BE32-E72D297353CC}">
              <c16:uniqueId val="{00000000-AE7E-4C5D-9D9C-D50EF9166A05}"/>
            </c:ext>
          </c:extLst>
        </c:ser>
        <c:ser>
          <c:idx val="1"/>
          <c:order val="1"/>
          <c:tx>
            <c:strRef>
              <c:f>'Formulae &amp; Conditional Format'!$C$106</c:f>
              <c:strCache>
                <c:ptCount val="1"/>
                <c:pt idx="0">
                  <c:v># of Pass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931-4A6A-BB2C-FACE5B3B3AB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931-4A6A-BB2C-FACE5B3B3AB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931-4A6A-BB2C-FACE5B3B3AB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931-4A6A-BB2C-FACE5B3B3AB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9931-4A6A-BB2C-FACE5B3B3AB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9931-4A6A-BB2C-FACE5B3B3A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'Formulae &amp; Conditional Format'!$A$107:$A$112</c:f>
              <c:strCache>
                <c:ptCount val="6"/>
                <c:pt idx="0">
                  <c:v>Uttar Pradesh</c:v>
                </c:pt>
                <c:pt idx="1">
                  <c:v>Gujrat</c:v>
                </c:pt>
                <c:pt idx="2">
                  <c:v>Bihar</c:v>
                </c:pt>
                <c:pt idx="3">
                  <c:v>Madhya Pradesh</c:v>
                </c:pt>
                <c:pt idx="4">
                  <c:v>Haryana</c:v>
                </c:pt>
                <c:pt idx="5">
                  <c:v>New Delhi</c:v>
                </c:pt>
              </c:strCache>
            </c:strRef>
          </c:cat>
          <c:val>
            <c:numRef>
              <c:f>'Formulae &amp; Conditional Format'!$C$107:$C$112</c:f>
              <c:numCache>
                <c:formatCode>General</c:formatCode>
                <c:ptCount val="6"/>
                <c:pt idx="0">
                  <c:v>3599</c:v>
                </c:pt>
                <c:pt idx="1">
                  <c:v>2367</c:v>
                </c:pt>
                <c:pt idx="2">
                  <c:v>2456</c:v>
                </c:pt>
                <c:pt idx="3">
                  <c:v>3987</c:v>
                </c:pt>
                <c:pt idx="4">
                  <c:v>1865</c:v>
                </c:pt>
                <c:pt idx="5">
                  <c:v>1878</c:v>
                </c:pt>
              </c:numCache>
            </c:numRef>
          </c:val>
          <c:extLst>
            <c:ext xmlns:c16="http://schemas.microsoft.com/office/drawing/2014/chart" uri="{C3380CC4-5D6E-409C-BE32-E72D297353CC}">
              <c16:uniqueId val="{00000001-AE7E-4C5D-9D9C-D50EF9166A0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030-4C6D-84F2-FFA744E331E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030-4C6D-84F2-FFA744E331E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030-4C6D-84F2-FFA744E331E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030-4C6D-84F2-FFA744E331E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030-4C6D-84F2-FFA744E331E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030-4C6D-84F2-FFA744E331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val>
            <c:numRef>
              <c:f>'Formula and Cond Format'!$B$60:$B$65</c:f>
              <c:numCache>
                <c:formatCode>0%</c:formatCode>
                <c:ptCount val="6"/>
                <c:pt idx="0">
                  <c:v>0.22282070331847451</c:v>
                </c:pt>
                <c:pt idx="1">
                  <c:v>0.14654531946508173</c:v>
                </c:pt>
                <c:pt idx="2">
                  <c:v>0.15205547300643882</c:v>
                </c:pt>
                <c:pt idx="3">
                  <c:v>0.24684249628528976</c:v>
                </c:pt>
                <c:pt idx="4">
                  <c:v>0.11546557701832591</c:v>
                </c:pt>
                <c:pt idx="5">
                  <c:v>0.1162704309063893</c:v>
                </c:pt>
              </c:numCache>
            </c:numRef>
          </c:val>
          <c:extLst>
            <c:ext xmlns:c16="http://schemas.microsoft.com/office/drawing/2014/chart" uri="{C3380CC4-5D6E-409C-BE32-E72D297353CC}">
              <c16:uniqueId val="{0000000C-8030-4C6D-84F2-FFA744E331E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64394</xdr:rowOff>
        </xdr:from>
        <xdr:to>
          <xdr:col>17</xdr:col>
          <xdr:colOff>358140</xdr:colOff>
          <xdr:row>7</xdr:row>
          <xdr:rowOff>72014</xdr:rowOff>
        </xdr:to>
        <xdr:pic>
          <xdr:nvPicPr>
            <xdr:cNvPr id="6" name="Picture 5">
              <a:extLst>
                <a:ext uri="{FF2B5EF4-FFF2-40B4-BE49-F238E27FC236}">
                  <a16:creationId xmlns:a16="http://schemas.microsoft.com/office/drawing/2014/main" id="{FD6FC15F-7BED-CE54-4840-F7F6B416FA69}"/>
                </a:ext>
              </a:extLst>
            </xdr:cNvPr>
            <xdr:cNvPicPr>
              <a:picLocks noChangeAspect="1" noChangeArrowheads="1"/>
              <a:extLst>
                <a:ext uri="{84589F7E-364E-4C9E-8A38-B11213B215E9}">
                  <a14:cameraTool cellRange="[1]Dashboard!$A$4" spid="_x0000_s8206"/>
                </a:ext>
              </a:extLst>
            </xdr:cNvPicPr>
          </xdr:nvPicPr>
          <xdr:blipFill>
            <a:blip xmlns:r="http://schemas.openxmlformats.org/officeDocument/2006/relationships" r:embed="rId1"/>
            <a:srcRect/>
            <a:stretch>
              <a:fillRect/>
            </a:stretch>
          </xdr:blipFill>
          <xdr:spPr bwMode="auto">
            <a:xfrm>
              <a:off x="0" y="64394"/>
              <a:ext cx="10757830" cy="128477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3</xdr:col>
      <xdr:colOff>570914</xdr:colOff>
      <xdr:row>9</xdr:row>
      <xdr:rowOff>19636</xdr:rowOff>
    </xdr:from>
    <xdr:to>
      <xdr:col>11</xdr:col>
      <xdr:colOff>266114</xdr:colOff>
      <xdr:row>24</xdr:row>
      <xdr:rowOff>19635</xdr:rowOff>
    </xdr:to>
    <xdr:graphicFrame macro="">
      <xdr:nvGraphicFramePr>
        <xdr:cNvPr id="2" name="Chart 1">
          <a:extLst>
            <a:ext uri="{FF2B5EF4-FFF2-40B4-BE49-F238E27FC236}">
              <a16:creationId xmlns:a16="http://schemas.microsoft.com/office/drawing/2014/main" id="{5B3E35F2-4526-35B1-E9C2-E17BFD083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268311</xdr:colOff>
      <xdr:row>9</xdr:row>
      <xdr:rowOff>23611</xdr:rowOff>
    </xdr:from>
    <xdr:to>
      <xdr:col>18</xdr:col>
      <xdr:colOff>558085</xdr:colOff>
      <xdr:row>24</xdr:row>
      <xdr:rowOff>30050</xdr:rowOff>
    </xdr:to>
    <xdr:graphicFrame macro="">
      <xdr:nvGraphicFramePr>
        <xdr:cNvPr id="3" name="Chart 2">
          <a:extLst>
            <a:ext uri="{FF2B5EF4-FFF2-40B4-BE49-F238E27FC236}">
              <a16:creationId xmlns:a16="http://schemas.microsoft.com/office/drawing/2014/main" id="{F25A88FE-D71C-B104-87CD-F424D35E8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558083</xdr:colOff>
      <xdr:row>24</xdr:row>
      <xdr:rowOff>12879</xdr:rowOff>
    </xdr:from>
    <xdr:to>
      <xdr:col>18</xdr:col>
      <xdr:colOff>568816</xdr:colOff>
      <xdr:row>39</xdr:row>
      <xdr:rowOff>19319</xdr:rowOff>
    </xdr:to>
    <xdr:graphicFrame macro="">
      <xdr:nvGraphicFramePr>
        <xdr:cNvPr id="4" name="Chart 3">
          <a:extLst>
            <a:ext uri="{FF2B5EF4-FFF2-40B4-BE49-F238E27FC236}">
              <a16:creationId xmlns:a16="http://schemas.microsoft.com/office/drawing/2014/main" id="{66BCDD3D-E085-CB79-C53C-654092C1DB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569782</xdr:colOff>
      <xdr:row>22</xdr:row>
      <xdr:rowOff>120418</xdr:rowOff>
    </xdr:from>
    <xdr:to>
      <xdr:col>21</xdr:col>
      <xdr:colOff>563343</xdr:colOff>
      <xdr:row>38</xdr:row>
      <xdr:rowOff>160986</xdr:rowOff>
    </xdr:to>
    <mc:AlternateContent xmlns:mc="http://schemas.openxmlformats.org/markup-compatibility/2006">
      <mc:Choice xmlns:a14="http://schemas.microsoft.com/office/drawing/2010/main" Requires="a14">
        <xdr:graphicFrame macro="">
          <xdr:nvGraphicFramePr>
            <xdr:cNvPr id="5" name="Tenure">
              <a:extLst>
                <a:ext uri="{FF2B5EF4-FFF2-40B4-BE49-F238E27FC236}">
                  <a16:creationId xmlns:a16="http://schemas.microsoft.com/office/drawing/2014/main" id="{6747BBD1-74B2-35A2-AB35-B43346DF53FB}"/>
                </a:ext>
              </a:extLst>
            </xdr:cNvPr>
            <xdr:cNvGraphicFramePr/>
          </xdr:nvGraphicFramePr>
          <xdr:xfrm>
            <a:off x="0" y="0"/>
            <a:ext cx="0" cy="0"/>
          </xdr:xfrm>
          <a:graphic>
            <a:graphicData uri="http://schemas.microsoft.com/office/drawing/2010/slicer">
              <sle:slicer xmlns:sle="http://schemas.microsoft.com/office/drawing/2010/slicer" name="Tenure"/>
            </a:graphicData>
          </a:graphic>
        </xdr:graphicFrame>
      </mc:Choice>
      <mc:Fallback>
        <xdr:sp macro="" textlink="">
          <xdr:nvSpPr>
            <xdr:cNvPr id="0" name=""/>
            <xdr:cNvSpPr>
              <a:spLocks noTextEdit="1"/>
            </xdr:cNvSpPr>
          </xdr:nvSpPr>
          <xdr:spPr>
            <a:xfrm>
              <a:off x="11486598" y="4225887"/>
              <a:ext cx="1813031" cy="30263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553254</xdr:colOff>
      <xdr:row>27</xdr:row>
      <xdr:rowOff>50228</xdr:rowOff>
    </xdr:from>
    <xdr:to>
      <xdr:col>3</xdr:col>
      <xdr:colOff>546815</xdr:colOff>
      <xdr:row>39</xdr:row>
      <xdr:rowOff>0</xdr:rowOff>
    </xdr:to>
    <mc:AlternateContent xmlns:mc="http://schemas.openxmlformats.org/markup-compatibility/2006">
      <mc:Choice xmlns:a14="http://schemas.microsoft.com/office/drawing/2010/main" Requires="a14">
        <xdr:graphicFrame macro="">
          <xdr:nvGraphicFramePr>
            <xdr:cNvPr id="8" name="Location Name">
              <a:extLst>
                <a:ext uri="{FF2B5EF4-FFF2-40B4-BE49-F238E27FC236}">
                  <a16:creationId xmlns:a16="http://schemas.microsoft.com/office/drawing/2014/main" id="{894AC277-B8F0-A24F-7B1B-E5FDDE5891FF}"/>
                </a:ext>
              </a:extLst>
            </xdr:cNvPr>
            <xdr:cNvGraphicFramePr/>
          </xdr:nvGraphicFramePr>
          <xdr:xfrm>
            <a:off x="0" y="0"/>
            <a:ext cx="0" cy="0"/>
          </xdr:xfrm>
          <a:graphic>
            <a:graphicData uri="http://schemas.microsoft.com/office/drawing/2010/slicer">
              <sle:slicer xmlns:sle="http://schemas.microsoft.com/office/drawing/2010/slicer" name="Location Name"/>
            </a:graphicData>
          </a:graphic>
        </xdr:graphicFrame>
      </mc:Choice>
      <mc:Fallback>
        <xdr:sp macro="" textlink="">
          <xdr:nvSpPr>
            <xdr:cNvPr id="0" name=""/>
            <xdr:cNvSpPr>
              <a:spLocks noTextEdit="1"/>
            </xdr:cNvSpPr>
          </xdr:nvSpPr>
          <xdr:spPr>
            <a:xfrm>
              <a:off x="553254" y="5088759"/>
              <a:ext cx="1813030" cy="2189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561089</xdr:colOff>
      <xdr:row>9</xdr:row>
      <xdr:rowOff>15133</xdr:rowOff>
    </xdr:from>
    <xdr:to>
      <xdr:col>3</xdr:col>
      <xdr:colOff>554650</xdr:colOff>
      <xdr:row>22</xdr:row>
      <xdr:rowOff>110249</xdr:rowOff>
    </xdr:to>
    <mc:AlternateContent xmlns:mc="http://schemas.openxmlformats.org/markup-compatibility/2006">
      <mc:Choice xmlns:a14="http://schemas.microsoft.com/office/drawing/2010/main" Requires="a14">
        <xdr:graphicFrame macro="">
          <xdr:nvGraphicFramePr>
            <xdr:cNvPr id="9" name="Manager Name">
              <a:extLst>
                <a:ext uri="{FF2B5EF4-FFF2-40B4-BE49-F238E27FC236}">
                  <a16:creationId xmlns:a16="http://schemas.microsoft.com/office/drawing/2014/main" id="{350C91A6-7F8B-734A-AA5A-4F31F0409DEF}"/>
                </a:ext>
              </a:extLst>
            </xdr:cNvPr>
            <xdr:cNvGraphicFramePr/>
          </xdr:nvGraphicFramePr>
          <xdr:xfrm>
            <a:off x="0" y="0"/>
            <a:ext cx="0" cy="0"/>
          </xdr:xfrm>
          <a:graphic>
            <a:graphicData uri="http://schemas.microsoft.com/office/drawing/2010/slicer">
              <sle:slicer xmlns:sle="http://schemas.microsoft.com/office/drawing/2010/slicer" name="Manager Name"/>
            </a:graphicData>
          </a:graphic>
        </xdr:graphicFrame>
      </mc:Choice>
      <mc:Fallback>
        <xdr:sp macro="" textlink="">
          <xdr:nvSpPr>
            <xdr:cNvPr id="0" name=""/>
            <xdr:cNvSpPr>
              <a:spLocks noTextEdit="1"/>
            </xdr:cNvSpPr>
          </xdr:nvSpPr>
          <xdr:spPr>
            <a:xfrm>
              <a:off x="561089" y="1694643"/>
              <a:ext cx="1813030" cy="252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558192</xdr:colOff>
      <xdr:row>22</xdr:row>
      <xdr:rowOff>130293</xdr:rowOff>
    </xdr:from>
    <xdr:to>
      <xdr:col>3</xdr:col>
      <xdr:colOff>551753</xdr:colOff>
      <xdr:row>27</xdr:row>
      <xdr:rowOff>42931</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DD349F43-2CE7-6626-7441-FC5298323FB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58192" y="4235762"/>
              <a:ext cx="1813030" cy="845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553255</xdr:colOff>
      <xdr:row>9</xdr:row>
      <xdr:rowOff>28764</xdr:rowOff>
    </xdr:from>
    <xdr:to>
      <xdr:col>21</xdr:col>
      <xdr:colOff>546816</xdr:colOff>
      <xdr:row>22</xdr:row>
      <xdr:rowOff>123880</xdr:rowOff>
    </xdr:to>
    <mc:AlternateContent xmlns:mc="http://schemas.openxmlformats.org/markup-compatibility/2006">
      <mc:Choice xmlns:a14="http://schemas.microsoft.com/office/drawing/2010/main" Requires="a14">
        <xdr:graphicFrame macro="">
          <xdr:nvGraphicFramePr>
            <xdr:cNvPr id="11" name="Hire Date">
              <a:extLst>
                <a:ext uri="{FF2B5EF4-FFF2-40B4-BE49-F238E27FC236}">
                  <a16:creationId xmlns:a16="http://schemas.microsoft.com/office/drawing/2014/main" id="{7987E5F3-7B2D-23EF-DFF2-67F776F5E0CA}"/>
                </a:ext>
              </a:extLst>
            </xdr:cNvPr>
            <xdr:cNvGraphicFramePr/>
          </xdr:nvGraphicFramePr>
          <xdr:xfrm>
            <a:off x="0" y="0"/>
            <a:ext cx="0" cy="0"/>
          </xdr:xfrm>
          <a:graphic>
            <a:graphicData uri="http://schemas.microsoft.com/office/drawing/2010/slicer">
              <sle:slicer xmlns:sle="http://schemas.microsoft.com/office/drawing/2010/slicer" name="Hire Date"/>
            </a:graphicData>
          </a:graphic>
        </xdr:graphicFrame>
      </mc:Choice>
      <mc:Fallback>
        <xdr:sp macro="" textlink="">
          <xdr:nvSpPr>
            <xdr:cNvPr id="0" name=""/>
            <xdr:cNvSpPr>
              <a:spLocks noTextEdit="1"/>
            </xdr:cNvSpPr>
          </xdr:nvSpPr>
          <xdr:spPr>
            <a:xfrm>
              <a:off x="11470071" y="1708274"/>
              <a:ext cx="1813031" cy="252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342900</xdr:colOff>
      <xdr:row>7</xdr:row>
      <xdr:rowOff>19050</xdr:rowOff>
    </xdr:from>
    <xdr:to>
      <xdr:col>21</xdr:col>
      <xdr:colOff>571500</xdr:colOff>
      <xdr:row>22</xdr:row>
      <xdr:rowOff>19050</xdr:rowOff>
    </xdr:to>
    <xdr:graphicFrame macro="">
      <xdr:nvGraphicFramePr>
        <xdr:cNvPr id="2" name="Chart 1">
          <a:extLst>
            <a:ext uri="{FF2B5EF4-FFF2-40B4-BE49-F238E27FC236}">
              <a16:creationId xmlns:a16="http://schemas.microsoft.com/office/drawing/2014/main" id="{A6A232EF-FC63-7EDD-2B8D-021AB2272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113</xdr:row>
      <xdr:rowOff>167640</xdr:rowOff>
    </xdr:from>
    <xdr:to>
      <xdr:col>2</xdr:col>
      <xdr:colOff>693420</xdr:colOff>
      <xdr:row>130</xdr:row>
      <xdr:rowOff>7620</xdr:rowOff>
    </xdr:to>
    <xdr:graphicFrame macro="">
      <xdr:nvGraphicFramePr>
        <xdr:cNvPr id="3" name="Chart 2">
          <a:extLst>
            <a:ext uri="{FF2B5EF4-FFF2-40B4-BE49-F238E27FC236}">
              <a16:creationId xmlns:a16="http://schemas.microsoft.com/office/drawing/2014/main" id="{9619D7E1-4D4C-B0B8-40DB-490FA8C6E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1828800</xdr:colOff>
      <xdr:row>67</xdr:row>
      <xdr:rowOff>2541</xdr:rowOff>
    </xdr:from>
    <xdr:to>
      <xdr:col>0</xdr:col>
      <xdr:colOff>9429749</xdr:colOff>
      <xdr:row>81</xdr:row>
      <xdr:rowOff>94615</xdr:rowOff>
    </xdr:to>
    <xdr:graphicFrame macro="">
      <xdr:nvGraphicFramePr>
        <xdr:cNvPr id="2" name="Chart 1">
          <a:extLst>
            <a:ext uri="{FF2B5EF4-FFF2-40B4-BE49-F238E27FC236}">
              <a16:creationId xmlns:a16="http://schemas.microsoft.com/office/drawing/2014/main" id="{0C207000-BDD1-469A-ABED-EC15A7A85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enovo\Downloads\Excel%20Test_solution.xlsx" TargetMode="External"/><Relationship Id="rId1" Type="http://schemas.openxmlformats.org/officeDocument/2006/relationships/externalLinkPath" Target="Excel%20Test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Data"/>
      <sheetName val="Employees Data"/>
      <sheetName val="Appraisal Data"/>
      <sheetName val="Pivot Table Exercise"/>
      <sheetName val="Formulae &amp; Conditional Format"/>
      <sheetName val="Advance Excel"/>
      <sheetName val="Formula and Cond Format"/>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jodh Singh" refreshedDate="45773.797153703701" createdVersion="8" refreshedVersion="8" minRefreshableVersion="3" recordCount="50" xr:uid="{28A1F27D-DAB0-464D-B265-E25E9A8A56E8}">
  <cacheSource type="worksheet">
    <worksheetSource ref="A1:E51" sheet="Pivot Table Exercise"/>
  </cacheSource>
  <cacheFields count="5">
    <cacheField name="Sr.No" numFmtId="0">
      <sharedItems containsSemiMixedTypes="0" containsString="0" containsNumber="1" containsInteger="1" minValue="1" maxValue="50"/>
    </cacheField>
    <cacheField name="Product" numFmtId="0">
      <sharedItems count="10">
        <s v="Product 1"/>
        <s v="Product 2"/>
        <s v="Product 3"/>
        <s v="Product 4"/>
        <s v="Product 5"/>
        <s v="Product 6"/>
        <s v="Product 7"/>
        <s v="Product 8"/>
        <s v="Product 9"/>
        <s v="Product 10"/>
      </sharedItems>
    </cacheField>
    <cacheField name="Sold in" numFmtId="0">
      <sharedItems count="5">
        <s v="State 1"/>
        <s v="State 2"/>
        <s v="State 3"/>
        <s v="State 4"/>
        <s v="State 5"/>
      </sharedItems>
    </cacheField>
    <cacheField name="Count" numFmtId="0">
      <sharedItems containsSemiMixedTypes="0" containsString="0" containsNumber="1" containsInteger="1" minValue="40" maxValue="73"/>
    </cacheField>
    <cacheField name="Total Cost" numFmtId="0">
      <sharedItems containsSemiMixedTypes="0" containsString="0" containsNumber="1" containsInteger="1" minValue="1257" maxValue="274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jodh Singh" refreshedDate="45782.548081134257" createdVersion="8" refreshedVersion="8" minRefreshableVersion="3" recordCount="66" xr:uid="{A0C16DC2-6AAC-4E00-9714-B295252FDA51}">
  <cacheSource type="worksheet">
    <worksheetSource name="Table1"/>
  </cacheSource>
  <cacheFields count="24">
    <cacheField name="Employee ID" numFmtId="0">
      <sharedItems containsSemiMixedTypes="0" containsString="0" containsNumber="1" containsInteger="1" minValue="3064" maxValue="3129"/>
    </cacheField>
    <cacheField name="Full Name" numFmtId="0">
      <sharedItems count="66">
        <s v="Meghan Agosta"/>
        <s v="Rebecca Johnston"/>
        <s v="Laura Stacey"/>
        <s v="Jennifer Wakefield"/>
        <s v="Jillian Saulnier"/>
        <s v="Mélodie Daoust"/>
        <s v="Bailey Bram"/>
        <s v="Brianne Jenner"/>
        <s v="Sarah Nurse"/>
        <s v="Haley Irwin"/>
        <s v="Natalie Spooner"/>
        <s v="Emily Clark"/>
        <s v="Marie-Philip Poulin"/>
        <s v="Blayre Turnbull"/>
        <s v="Jocelyne Larocque"/>
        <s v="Brigette Lacquette"/>
        <s v="Lauriane Rougeau"/>
        <s v="Laura Fortino"/>
        <s v="Meaghan Mikkelson"/>
        <s v="Renata Fast"/>
        <s v="Shannon Szabados"/>
        <s v="Geneviève Lacasse"/>
        <s v="Ann-Renée Desbiens"/>
        <s v="Gilbert Brulé"/>
        <s v="Wojtek Wolski"/>
        <s v="Derek Roy"/>
        <s v="Chris Kelly"/>
        <s v="Rob Klinkhammer"/>
        <s v="Brandon Kozun"/>
        <s v="Quinton Howden"/>
        <s v="René Bourque"/>
        <s v="Andrew Ebbett"/>
        <s v="Mason Raymond"/>
        <s v="Eric O’Dell"/>
        <s v="Maxim Lapierre"/>
        <s v="Linden Vey"/>
        <s v="Christian Thomas"/>
        <s v="Karl Stollery"/>
        <s v="Chris Lee"/>
        <s v="Chay Genoway"/>
        <s v="Marc-Andre Gragnani"/>
        <s v="Stefan Elliott"/>
        <s v="Cody Goloubef"/>
        <s v="Mat Robinson"/>
        <s v="Maxim Noreau"/>
        <s v="Ben Scrivens"/>
        <s v="Kevin Poulin"/>
        <s v="Justin Peters"/>
        <s v="Cayla Barnes"/>
        <s v="Kacey Bellamy"/>
        <s v="Hannah Brandt"/>
        <s v="Dani Cameranesi"/>
        <s v="Kendall Coyne"/>
        <s v="Brianna Decker"/>
        <s v="Meghan Duggan"/>
        <s v="Kali Flanagan"/>
        <s v="Nicole Hensley"/>
        <s v="Megan Keller"/>
        <s v="Amanda Kessel"/>
        <s v="Hilary Knight"/>
        <s v="Jocelyne Lamoureux"/>
        <s v="Monique Lamoureux"/>
        <s v="Gigi Marvin"/>
        <s v="Sidney Morin"/>
        <s v="Kelly Pannek"/>
        <s v="Amanda Pelkey"/>
      </sharedItems>
    </cacheField>
    <cacheField name="First Name" numFmtId="0">
      <sharedItems/>
    </cacheField>
    <cacheField name="Last Name" numFmtId="0">
      <sharedItems/>
    </cacheField>
    <cacheField name="Job Profile" numFmtId="0">
      <sharedItems/>
    </cacheField>
    <cacheField name="Job Code" numFmtId="0">
      <sharedItems/>
    </cacheField>
    <cacheField name="Hire Date" numFmtId="14">
      <sharedItems containsSemiMixedTypes="0" containsNonDate="0" containsDate="1" containsString="0" minDate="2014-07-01T00:00:00" maxDate="2020-12-16T00:00:00" count="11">
        <d v="2019-10-20T00:00:00"/>
        <d v="2020-12-15T00:00:00"/>
        <d v="2016-12-31T00:00:00"/>
        <d v="2016-12-01T00:00:00"/>
        <d v="2018-09-03T00:00:00"/>
        <d v="2016-12-15T00:00:00"/>
        <d v="2019-12-31T00:00:00"/>
        <d v="2017-12-15T00:00:00"/>
        <d v="2016-09-24T00:00:00"/>
        <d v="2017-12-31T00:00:00"/>
        <d v="2014-07-01T00:00:00"/>
      </sharedItems>
    </cacheField>
    <cacheField name="Attrition Date" numFmtId="14">
      <sharedItems containsNonDate="0" containsDate="1" containsString="0" containsBlank="1" minDate="2021-04-04T00:00:00" maxDate="2021-10-16T00:00:00"/>
    </cacheField>
    <cacheField name="Attrition (Yes/no)" numFmtId="14">
      <sharedItems/>
    </cacheField>
    <cacheField name="Attrition count" numFmtId="0">
      <sharedItems containsSemiMixedTypes="0" containsString="0" containsNumber="1" containsInteger="1" minValue="0" maxValue="1"/>
    </cacheField>
    <cacheField name="Tenure" numFmtId="1">
      <sharedItems count="9">
        <s v="5.6"/>
        <s v="4.4"/>
        <s v="8.4"/>
        <s v="8.5"/>
        <s v="6.8"/>
        <s v="5.4"/>
        <s v="7.4"/>
        <s v="8.7"/>
        <s v="10.10"/>
      </sharedItems>
    </cacheField>
    <cacheField name="Column1" numFmtId="1">
      <sharedItems containsNonDate="0" containsString="0" containsBlank="1"/>
    </cacheField>
    <cacheField name="Date of Birth" numFmtId="14">
      <sharedItems containsSemiMixedTypes="0" containsNonDate="0" containsDate="1" containsString="0" minDate="1980-10-03T00:00:00" maxDate="1999-01-08T00:00:00" count="63">
        <d v="1987-02-12T00:00:00"/>
        <d v="1989-09-24T00:00:00"/>
        <d v="1994-05-05T00:00:00"/>
        <d v="1989-06-15T00:00:00"/>
        <d v="1992-03-07T00:00:00"/>
        <d v="1992-01-07T00:00:00"/>
        <d v="1990-09-05T00:00:00"/>
        <d v="1991-05-04T00:00:00"/>
        <d v="1995-01-04T00:00:00"/>
        <d v="1988-06-06T00:00:00"/>
        <d v="1990-10-17T00:00:00"/>
        <d v="1995-11-28T00:00:00"/>
        <d v="1991-03-28T00:00:00"/>
        <d v="1993-07-15T00:00:00"/>
        <d v="1988-05-19T00:00:00"/>
        <d v="1992-10-11T00:00:00"/>
        <d v="1990-04-12T00:00:00"/>
        <d v="1991-01-30T00:00:00"/>
        <d v="1985-01-04T00:00:00"/>
        <d v="1994-10-06T00:00:00"/>
        <d v="1986-08-06T00:00:00"/>
        <d v="1989-05-05T00:00:00"/>
        <d v="1994-04-10T00:00:00"/>
        <d v="1987-01-01T00:00:00"/>
        <d v="1986-02-24T00:00:00"/>
        <d v="1983-05-04T00:00:00"/>
        <d v="1980-11-11T00:00:00"/>
        <d v="1986-08-12T00:00:00"/>
        <d v="1990-03-08T00:00:00"/>
        <d v="1992-01-21T00:00:00"/>
        <d v="1981-12-10T00:00:00"/>
        <d v="1983-01-02T00:00:00"/>
        <d v="1985-09-17T00:00:00"/>
        <d v="1990-06-21T00:00:00"/>
        <d v="1985-03-29T00:00:00"/>
        <d v="1991-07-17T00:00:00"/>
        <d v="1992-05-26T00:00:00"/>
        <d v="1987-11-21T00:00:00"/>
        <d v="1980-10-03T00:00:00"/>
        <d v="1986-12-20T00:00:00"/>
        <d v="1987-03-11T00:00:00"/>
        <d v="1989-11-30T00:00:00"/>
        <d v="1986-06-20T00:00:00"/>
        <d v="1987-05-24T00:00:00"/>
        <d v="1986-09-11T00:00:00"/>
        <d v="1986-08-30T00:00:00"/>
        <d v="1999-01-07T00:00:00"/>
        <d v="1987-04-22T00:00:00"/>
        <d v="1993-11-27T00:00:00"/>
        <d v="1995-06-30T00:00:00"/>
        <d v="1992-05-25T00:00:00"/>
        <d v="1991-05-13T00:00:00"/>
        <d v="1987-09-03T00:00:00"/>
        <d v="1995-09-19T00:00:00"/>
        <d v="1994-06-23T00:00:00"/>
        <d v="1996-05-01T00:00:00"/>
        <d v="1991-08-28T00:00:00"/>
        <d v="1989-07-12T00:00:00"/>
        <d v="1989-07-03T00:00:00"/>
        <d v="1987-03-07T00:00:00"/>
        <d v="1995-06-06T00:00:00"/>
        <d v="1995-12-29T00:00:00"/>
        <d v="1993-05-29T00:00:00"/>
      </sharedItems>
    </cacheField>
    <cacheField name="Age " numFmtId="1">
      <sharedItems/>
    </cacheField>
    <cacheField name="Location Name" numFmtId="0">
      <sharedItems count="2">
        <s v="Gurgaon"/>
        <s v="Bangalore"/>
      </sharedItems>
    </cacheField>
    <cacheField name="Work Country" numFmtId="0">
      <sharedItems/>
    </cacheField>
    <cacheField name="Company" numFmtId="0">
      <sharedItems/>
    </cacheField>
    <cacheField name="Manager Name" numFmtId="0">
      <sharedItems count="11">
        <s v="Raj Sharma"/>
        <s v="Sharad Gandhi"/>
        <s v="Danish D'Souza"/>
        <s v="Pawan Patil"/>
        <s v="Rijo Paul"/>
        <s v="Joseph P"/>
        <s v="Aakash Patel"/>
        <s v="Ganesh Rahu"/>
        <s v="Vinudas K.S"/>
        <s v="Divya Kumar"/>
        <s v="Shilpa R"/>
      </sharedItems>
    </cacheField>
    <cacheField name="Gender" numFmtId="0">
      <sharedItems count="2">
        <s v="Female"/>
        <s v="Male"/>
      </sharedItems>
    </cacheField>
    <cacheField name="Salary PA" numFmtId="165">
      <sharedItems containsSemiMixedTypes="0" containsString="0" containsNumber="1" containsInteger="1" minValue="44880" maxValue="5640000"/>
    </cacheField>
    <cacheField name="Ranking" numFmtId="0">
      <sharedItems containsSemiMixedTypes="0" containsString="0" containsNumber="1" containsInteger="1" minValue="1" maxValue="66"/>
    </cacheField>
    <cacheField name="Rating" numFmtId="0">
      <sharedItems containsSemiMixedTypes="0" containsString="0" containsNumber="1" containsInteger="1" minValue="1" maxValue="5" count="5">
        <n v="2"/>
        <n v="3"/>
        <n v="4"/>
        <n v="5"/>
        <n v="1"/>
      </sharedItems>
    </cacheField>
    <cacheField name="Hike %" numFmtId="2">
      <sharedItems containsSemiMixedTypes="0" containsString="0" containsNumber="1" minValue="4" maxValue="20.999999999999993"/>
    </cacheField>
    <cacheField name="Gratuity Amount" numFmtId="0">
      <sharedItems containsSemiMixedTypes="0" containsString="0" containsNumber="1" containsInteger="1" minValue="4488" maxValue="564000"/>
    </cacheField>
  </cacheFields>
  <extLst>
    <ext xmlns:x14="http://schemas.microsoft.com/office/spreadsheetml/2009/9/main" uri="{725AE2AE-9491-48be-B2B4-4EB974FC3084}">
      <x14:pivotCacheDefinition pivotCacheId="16537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x v="0"/>
    <x v="0"/>
    <n v="73"/>
    <n v="1622"/>
  </r>
  <r>
    <n v="2"/>
    <x v="1"/>
    <x v="1"/>
    <n v="47"/>
    <n v="2075"/>
  </r>
  <r>
    <n v="3"/>
    <x v="2"/>
    <x v="2"/>
    <n v="68"/>
    <n v="2136"/>
  </r>
  <r>
    <n v="4"/>
    <x v="3"/>
    <x v="3"/>
    <n v="45"/>
    <n v="2121"/>
  </r>
  <r>
    <n v="5"/>
    <x v="4"/>
    <x v="4"/>
    <n v="49"/>
    <n v="1701"/>
  </r>
  <r>
    <n v="6"/>
    <x v="5"/>
    <x v="0"/>
    <n v="58"/>
    <n v="2491"/>
  </r>
  <r>
    <n v="7"/>
    <x v="6"/>
    <x v="1"/>
    <n v="62"/>
    <n v="2122"/>
  </r>
  <r>
    <n v="8"/>
    <x v="7"/>
    <x v="2"/>
    <n v="69"/>
    <n v="1435"/>
  </r>
  <r>
    <n v="9"/>
    <x v="8"/>
    <x v="3"/>
    <n v="50"/>
    <n v="2342"/>
  </r>
  <r>
    <n v="10"/>
    <x v="9"/>
    <x v="4"/>
    <n v="56"/>
    <n v="2121"/>
  </r>
  <r>
    <n v="11"/>
    <x v="0"/>
    <x v="0"/>
    <n v="67"/>
    <n v="2531"/>
  </r>
  <r>
    <n v="12"/>
    <x v="1"/>
    <x v="1"/>
    <n v="51"/>
    <n v="1315"/>
  </r>
  <r>
    <n v="13"/>
    <x v="2"/>
    <x v="2"/>
    <n v="67"/>
    <n v="2053"/>
  </r>
  <r>
    <n v="14"/>
    <x v="3"/>
    <x v="3"/>
    <n v="72"/>
    <n v="2451"/>
  </r>
  <r>
    <n v="15"/>
    <x v="4"/>
    <x v="4"/>
    <n v="58"/>
    <n v="1257"/>
  </r>
  <r>
    <n v="16"/>
    <x v="5"/>
    <x v="0"/>
    <n v="68"/>
    <n v="2652"/>
  </r>
  <r>
    <n v="17"/>
    <x v="6"/>
    <x v="1"/>
    <n v="43"/>
    <n v="2210"/>
  </r>
  <r>
    <n v="18"/>
    <x v="7"/>
    <x v="2"/>
    <n v="69"/>
    <n v="2726"/>
  </r>
  <r>
    <n v="19"/>
    <x v="8"/>
    <x v="3"/>
    <n v="55"/>
    <n v="1721"/>
  </r>
  <r>
    <n v="20"/>
    <x v="9"/>
    <x v="4"/>
    <n v="42"/>
    <n v="1939"/>
  </r>
  <r>
    <n v="21"/>
    <x v="0"/>
    <x v="0"/>
    <n v="46"/>
    <n v="2437"/>
  </r>
  <r>
    <n v="22"/>
    <x v="1"/>
    <x v="1"/>
    <n v="61"/>
    <n v="1873"/>
  </r>
  <r>
    <n v="23"/>
    <x v="2"/>
    <x v="2"/>
    <n v="60"/>
    <n v="2612"/>
  </r>
  <r>
    <n v="24"/>
    <x v="3"/>
    <x v="3"/>
    <n v="67"/>
    <n v="1961"/>
  </r>
  <r>
    <n v="25"/>
    <x v="4"/>
    <x v="4"/>
    <n v="49"/>
    <n v="2243"/>
  </r>
  <r>
    <n v="26"/>
    <x v="5"/>
    <x v="0"/>
    <n v="52"/>
    <n v="2080"/>
  </r>
  <r>
    <n v="27"/>
    <x v="6"/>
    <x v="1"/>
    <n v="67"/>
    <n v="2745"/>
  </r>
  <r>
    <n v="28"/>
    <x v="7"/>
    <x v="2"/>
    <n v="43"/>
    <n v="1355"/>
  </r>
  <r>
    <n v="29"/>
    <x v="8"/>
    <x v="3"/>
    <n v="60"/>
    <n v="2000"/>
  </r>
  <r>
    <n v="30"/>
    <x v="9"/>
    <x v="4"/>
    <n v="54"/>
    <n v="2041"/>
  </r>
  <r>
    <n v="31"/>
    <x v="0"/>
    <x v="0"/>
    <n v="47"/>
    <n v="2204"/>
  </r>
  <r>
    <n v="32"/>
    <x v="1"/>
    <x v="1"/>
    <n v="72"/>
    <n v="2588"/>
  </r>
  <r>
    <n v="33"/>
    <x v="2"/>
    <x v="2"/>
    <n v="57"/>
    <n v="2526"/>
  </r>
  <r>
    <n v="34"/>
    <x v="3"/>
    <x v="3"/>
    <n v="71"/>
    <n v="1693"/>
  </r>
  <r>
    <n v="35"/>
    <x v="4"/>
    <x v="4"/>
    <n v="43"/>
    <n v="2154"/>
  </r>
  <r>
    <n v="36"/>
    <x v="5"/>
    <x v="0"/>
    <n v="58"/>
    <n v="1413"/>
  </r>
  <r>
    <n v="37"/>
    <x v="6"/>
    <x v="1"/>
    <n v="55"/>
    <n v="1300"/>
  </r>
  <r>
    <n v="38"/>
    <x v="7"/>
    <x v="2"/>
    <n v="63"/>
    <n v="1394"/>
  </r>
  <r>
    <n v="39"/>
    <x v="8"/>
    <x v="3"/>
    <n v="58"/>
    <n v="2160"/>
  </r>
  <r>
    <n v="40"/>
    <x v="9"/>
    <x v="4"/>
    <n v="47"/>
    <n v="2123"/>
  </r>
  <r>
    <n v="41"/>
    <x v="0"/>
    <x v="0"/>
    <n v="69"/>
    <n v="2617"/>
  </r>
  <r>
    <n v="42"/>
    <x v="1"/>
    <x v="1"/>
    <n v="73"/>
    <n v="1691"/>
  </r>
  <r>
    <n v="43"/>
    <x v="2"/>
    <x v="2"/>
    <n v="51"/>
    <n v="2625"/>
  </r>
  <r>
    <n v="44"/>
    <x v="3"/>
    <x v="3"/>
    <n v="45"/>
    <n v="2007"/>
  </r>
  <r>
    <n v="45"/>
    <x v="4"/>
    <x v="4"/>
    <n v="55"/>
    <n v="1872"/>
  </r>
  <r>
    <n v="46"/>
    <x v="5"/>
    <x v="0"/>
    <n v="45"/>
    <n v="2170"/>
  </r>
  <r>
    <n v="47"/>
    <x v="6"/>
    <x v="1"/>
    <n v="40"/>
    <n v="2541"/>
  </r>
  <r>
    <n v="48"/>
    <x v="7"/>
    <x v="2"/>
    <n v="64"/>
    <n v="2398"/>
  </r>
  <r>
    <n v="49"/>
    <x v="8"/>
    <x v="3"/>
    <n v="43"/>
    <n v="2470"/>
  </r>
  <r>
    <n v="50"/>
    <x v="9"/>
    <x v="4"/>
    <n v="56"/>
    <n v="205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n v="3064"/>
    <x v="0"/>
    <s v="Meghan"/>
    <s v="Agosta"/>
    <s v="Manager"/>
    <s v="WI-104"/>
    <x v="0"/>
    <m/>
    <s v="no"/>
    <n v="0"/>
    <x v="0"/>
    <m/>
    <x v="0"/>
    <s v="38years2months13962days"/>
    <x v="0"/>
    <s v="India"/>
    <s v="Wipro"/>
    <x v="0"/>
    <x v="0"/>
    <n v="720000"/>
    <n v="15"/>
    <x v="0"/>
    <n v="5"/>
    <n v="72000"/>
  </r>
  <r>
    <n v="3065"/>
    <x v="1"/>
    <s v="Rebecca"/>
    <s v="Johnston"/>
    <s v="Recruiter-S"/>
    <s v="WI-106"/>
    <x v="1"/>
    <m/>
    <s v="no"/>
    <n v="0"/>
    <x v="1"/>
    <m/>
    <x v="1"/>
    <s v="35years7months13007days"/>
    <x v="0"/>
    <s v="India"/>
    <s v="Wipro"/>
    <x v="1"/>
    <x v="1"/>
    <n v="360000"/>
    <n v="20"/>
    <x v="0"/>
    <n v="5"/>
    <n v="36000"/>
  </r>
  <r>
    <n v="3066"/>
    <x v="2"/>
    <s v="Laura"/>
    <s v="Stacey"/>
    <s v="Recruiter-S"/>
    <s v="WI-106"/>
    <x v="2"/>
    <m/>
    <s v="no"/>
    <n v="0"/>
    <x v="2"/>
    <m/>
    <x v="2"/>
    <s v="31years0months11323days"/>
    <x v="0"/>
    <s v="India"/>
    <s v="Wipro"/>
    <x v="2"/>
    <x v="1"/>
    <n v="240000"/>
    <n v="31"/>
    <x v="0"/>
    <n v="5"/>
    <n v="24000"/>
  </r>
  <r>
    <n v="3067"/>
    <x v="3"/>
    <s v="Jennifer"/>
    <s v="Wakefield"/>
    <s v="Sr. Recruiter-S"/>
    <s v="WI-CS5"/>
    <x v="2"/>
    <d v="2021-04-21T00:00:00"/>
    <s v="yes"/>
    <n v="1"/>
    <x v="2"/>
    <m/>
    <x v="3"/>
    <s v="35years10months13108days"/>
    <x v="0"/>
    <s v="India"/>
    <s v="Wipro"/>
    <x v="3"/>
    <x v="1"/>
    <n v="300000"/>
    <n v="23"/>
    <x v="0"/>
    <n v="5"/>
    <n v="30000"/>
  </r>
  <r>
    <n v="3068"/>
    <x v="4"/>
    <s v="Jillian"/>
    <s v="Saulnier"/>
    <s v="VP, Client Delivery"/>
    <s v="WI-CS2"/>
    <x v="3"/>
    <m/>
    <s v="no"/>
    <n v="0"/>
    <x v="3"/>
    <m/>
    <x v="4"/>
    <s v="33years1months12112days"/>
    <x v="0"/>
    <s v="India"/>
    <s v="Wipro"/>
    <x v="4"/>
    <x v="1"/>
    <n v="5640000"/>
    <n v="1"/>
    <x v="0"/>
    <n v="5"/>
    <n v="564000"/>
  </r>
  <r>
    <n v="3069"/>
    <x v="5"/>
    <s v="Mélodie"/>
    <s v="Daoust"/>
    <s v="Recruiting Coordinator"/>
    <s v="WI-CS9"/>
    <x v="4"/>
    <d v="2021-04-04T00:00:00"/>
    <s v="yes"/>
    <n v="1"/>
    <x v="4"/>
    <m/>
    <x v="5"/>
    <s v="33years3months12172days"/>
    <x v="0"/>
    <s v="India"/>
    <s v="Wipro"/>
    <x v="5"/>
    <x v="1"/>
    <n v="268000"/>
    <n v="27"/>
    <x v="0"/>
    <n v="5"/>
    <n v="26800"/>
  </r>
  <r>
    <n v="3070"/>
    <x v="6"/>
    <s v="Bailey"/>
    <s v="Bram"/>
    <s v="Sr. Recruiting Coordinator"/>
    <s v="WI-CS8"/>
    <x v="5"/>
    <m/>
    <s v="no"/>
    <n v="0"/>
    <x v="2"/>
    <m/>
    <x v="6"/>
    <s v="34years8months12661days"/>
    <x v="0"/>
    <s v="India"/>
    <s v="Wipro"/>
    <x v="0"/>
    <x v="1"/>
    <n v="180000"/>
    <n v="35"/>
    <x v="0"/>
    <n v="5"/>
    <n v="18000"/>
  </r>
  <r>
    <n v="3071"/>
    <x v="7"/>
    <s v="Brianne"/>
    <s v="Jenner"/>
    <s v="Recruiter-S"/>
    <s v="WI-106"/>
    <x v="2"/>
    <m/>
    <s v="no"/>
    <n v="0"/>
    <x v="2"/>
    <m/>
    <x v="7"/>
    <s v="34years0months12420days"/>
    <x v="0"/>
    <s v="India"/>
    <s v="Wipro"/>
    <x v="1"/>
    <x v="1"/>
    <n v="168000"/>
    <n v="38"/>
    <x v="1"/>
    <n v="10"/>
    <n v="16800"/>
  </r>
  <r>
    <n v="3072"/>
    <x v="8"/>
    <s v="Sarah"/>
    <s v="Nurse"/>
    <s v="Recruiter-S"/>
    <s v="WI-106"/>
    <x v="5"/>
    <d v="2021-06-02T00:00:00"/>
    <s v="yes"/>
    <n v="1"/>
    <x v="2"/>
    <m/>
    <x v="8"/>
    <s v="30years4months11079days"/>
    <x v="0"/>
    <s v="India"/>
    <s v="Wipro"/>
    <x v="2"/>
    <x v="1"/>
    <n v="168000"/>
    <n v="38"/>
    <x v="1"/>
    <n v="10"/>
    <n v="16800"/>
  </r>
  <r>
    <n v="3073"/>
    <x v="9"/>
    <s v="Haley"/>
    <s v="Irwin"/>
    <s v="Sr. Recruiter-S"/>
    <s v="WI-CS5"/>
    <x v="6"/>
    <m/>
    <s v="no"/>
    <n v="0"/>
    <x v="5"/>
    <m/>
    <x v="9"/>
    <s v="36years10months13482days"/>
    <x v="0"/>
    <s v="India"/>
    <s v="Wipro"/>
    <x v="3"/>
    <x v="1"/>
    <n v="96000"/>
    <n v="52"/>
    <x v="1"/>
    <n v="10"/>
    <n v="9600"/>
  </r>
  <r>
    <n v="3074"/>
    <x v="10"/>
    <s v="Natalie"/>
    <s v="Spooner"/>
    <s v="Sr. Recruiter-S"/>
    <s v="WI-CS5"/>
    <x v="6"/>
    <m/>
    <s v="no"/>
    <n v="0"/>
    <x v="5"/>
    <m/>
    <x v="10"/>
    <s v="34years6months12619days"/>
    <x v="0"/>
    <s v="India"/>
    <s v="Wipro"/>
    <x v="4"/>
    <x v="1"/>
    <n v="92760"/>
    <n v="55"/>
    <x v="1"/>
    <n v="10"/>
    <n v="9276"/>
  </r>
  <r>
    <n v="3075"/>
    <x v="11"/>
    <s v="Emily"/>
    <s v="Clark"/>
    <s v="Sr. Recruiter-S"/>
    <s v="WI-CS5"/>
    <x v="6"/>
    <m/>
    <s v="no"/>
    <n v="0"/>
    <x v="5"/>
    <m/>
    <x v="11"/>
    <s v="29years5months10751days"/>
    <x v="0"/>
    <s v="India"/>
    <s v="Wipro"/>
    <x v="5"/>
    <x v="1"/>
    <n v="96000"/>
    <n v="52"/>
    <x v="1"/>
    <n v="10"/>
    <n v="9600"/>
  </r>
  <r>
    <n v="3076"/>
    <x v="12"/>
    <s v="Marie-Philip"/>
    <s v="Poulin"/>
    <s v="Sr. Recruiter-S"/>
    <s v="WI-CS5"/>
    <x v="6"/>
    <m/>
    <s v="no"/>
    <n v="0"/>
    <x v="5"/>
    <m/>
    <x v="12"/>
    <s v="34years1months12457days"/>
    <x v="0"/>
    <s v="India"/>
    <s v="Wipro"/>
    <x v="6"/>
    <x v="1"/>
    <n v="96000"/>
    <n v="52"/>
    <x v="1"/>
    <n v="10"/>
    <n v="9600"/>
  </r>
  <r>
    <n v="3077"/>
    <x v="13"/>
    <s v="Blayre"/>
    <s v="Turnbull"/>
    <s v="Sr. Recruiter-S"/>
    <s v="WI-CS5"/>
    <x v="6"/>
    <m/>
    <s v="no"/>
    <n v="0"/>
    <x v="5"/>
    <m/>
    <x v="13"/>
    <s v="31years9months11617days"/>
    <x v="0"/>
    <s v="India"/>
    <s v="Wipro"/>
    <x v="7"/>
    <x v="1"/>
    <n v="156000"/>
    <n v="43"/>
    <x v="1"/>
    <n v="12"/>
    <n v="15600"/>
  </r>
  <r>
    <n v="3078"/>
    <x v="14"/>
    <s v="Jocelyne"/>
    <s v="Larocque"/>
    <s v="Recruiter-S"/>
    <s v="WI-106"/>
    <x v="6"/>
    <m/>
    <s v="no"/>
    <n v="0"/>
    <x v="5"/>
    <m/>
    <x v="14"/>
    <s v="36years11months13500days"/>
    <x v="0"/>
    <s v="India"/>
    <s v="Wipro"/>
    <x v="8"/>
    <x v="1"/>
    <n v="420000"/>
    <n v="18"/>
    <x v="1"/>
    <n v="12"/>
    <n v="42000"/>
  </r>
  <r>
    <n v="3079"/>
    <x v="15"/>
    <s v="Brigette"/>
    <s v="Lacquette"/>
    <s v="Recruiter-S"/>
    <s v="WI-106"/>
    <x v="6"/>
    <m/>
    <s v="no"/>
    <n v="0"/>
    <x v="5"/>
    <m/>
    <x v="15"/>
    <s v="32years6months11894days"/>
    <x v="0"/>
    <s v="India"/>
    <s v="Wipro"/>
    <x v="0"/>
    <x v="1"/>
    <n v="264000"/>
    <n v="28"/>
    <x v="1"/>
    <n v="12"/>
    <n v="26400"/>
  </r>
  <r>
    <n v="3080"/>
    <x v="16"/>
    <s v="Lauriane"/>
    <s v="Rougeau"/>
    <s v="Sr. Recruiter-S"/>
    <s v="WI-CS5"/>
    <x v="7"/>
    <m/>
    <s v="no"/>
    <n v="0"/>
    <x v="6"/>
    <m/>
    <x v="16"/>
    <s v="35years0months12807days"/>
    <x v="0"/>
    <s v="India"/>
    <s v="Wipro"/>
    <x v="1"/>
    <x v="1"/>
    <n v="144000"/>
    <n v="47"/>
    <x v="1"/>
    <n v="12"/>
    <n v="14400"/>
  </r>
  <r>
    <n v="3081"/>
    <x v="17"/>
    <s v="Laura"/>
    <s v="Fortino"/>
    <s v="Recruiter-S"/>
    <s v="WI-106"/>
    <x v="8"/>
    <d v="2021-09-24T00:00:00"/>
    <s v="yes"/>
    <n v="1"/>
    <x v="7"/>
    <m/>
    <x v="17"/>
    <s v="34years3months12514days"/>
    <x v="0"/>
    <s v="India"/>
    <s v="Wipro"/>
    <x v="2"/>
    <x v="0"/>
    <n v="264000"/>
    <n v="28"/>
    <x v="2"/>
    <n v="15"/>
    <n v="26400"/>
  </r>
  <r>
    <n v="3082"/>
    <x v="18"/>
    <s v="Meaghan"/>
    <s v="Mikkelson"/>
    <s v="Sr. Recruiter-S"/>
    <s v="WI-CS5"/>
    <x v="9"/>
    <m/>
    <s v="no"/>
    <n v="0"/>
    <x v="6"/>
    <m/>
    <x v="18"/>
    <s v="40years4months14731days"/>
    <x v="0"/>
    <s v="India"/>
    <s v="Wipro"/>
    <x v="3"/>
    <x v="1"/>
    <n v="192000"/>
    <n v="34"/>
    <x v="2"/>
    <n v="15"/>
    <n v="19200"/>
  </r>
  <r>
    <n v="3083"/>
    <x v="19"/>
    <s v="Renata"/>
    <s v="Fast"/>
    <s v="Manager, Operations"/>
    <s v="WI-S10"/>
    <x v="2"/>
    <m/>
    <s v="no"/>
    <n v="0"/>
    <x v="2"/>
    <m/>
    <x v="19"/>
    <s v="30years6months11169days"/>
    <x v="0"/>
    <s v="India"/>
    <s v="Wipro"/>
    <x v="4"/>
    <x v="1"/>
    <n v="1200000"/>
    <n v="9"/>
    <x v="2"/>
    <n v="15"/>
    <n v="120000"/>
  </r>
  <r>
    <n v="3084"/>
    <x v="20"/>
    <s v="Shannon"/>
    <s v="Szabados"/>
    <s v="Manager, Operations"/>
    <s v="WI-S10"/>
    <x v="5"/>
    <m/>
    <s v="no"/>
    <n v="0"/>
    <x v="2"/>
    <m/>
    <x v="20"/>
    <s v="38years8months14152days"/>
    <x v="0"/>
    <s v="India"/>
    <s v="Wipro"/>
    <x v="5"/>
    <x v="1"/>
    <n v="1680000"/>
    <n v="5"/>
    <x v="3"/>
    <n v="20"/>
    <n v="168000"/>
  </r>
  <r>
    <n v="3085"/>
    <x v="21"/>
    <s v="Geneviève"/>
    <s v="Lacasse"/>
    <s v="Recruiter-S"/>
    <s v="WI-106"/>
    <x v="5"/>
    <m/>
    <s v="no"/>
    <n v="0"/>
    <x v="2"/>
    <m/>
    <x v="21"/>
    <s v="36years0months13149days"/>
    <x v="0"/>
    <s v="India"/>
    <s v="Wipro"/>
    <x v="6"/>
    <x v="0"/>
    <n v="862200"/>
    <n v="12"/>
    <x v="3"/>
    <n v="20"/>
    <n v="86220"/>
  </r>
  <r>
    <n v="3086"/>
    <x v="22"/>
    <s v="Ann-Renée"/>
    <s v="Desbiens"/>
    <s v="Manager, Operations"/>
    <s v="WI-S10"/>
    <x v="5"/>
    <m/>
    <s v="no"/>
    <n v="0"/>
    <x v="2"/>
    <m/>
    <x v="22"/>
    <s v="31years0months11348days"/>
    <x v="0"/>
    <s v="India"/>
    <s v="Wipro"/>
    <x v="7"/>
    <x v="1"/>
    <n v="772600"/>
    <n v="14"/>
    <x v="3"/>
    <n v="20"/>
    <n v="77260"/>
  </r>
  <r>
    <n v="3087"/>
    <x v="23"/>
    <s v="Gilbert"/>
    <s v="Brulé"/>
    <s v="Manager, Operations"/>
    <s v="WI-S10"/>
    <x v="2"/>
    <m/>
    <s v="no"/>
    <n v="0"/>
    <x v="2"/>
    <m/>
    <x v="23"/>
    <s v="38years4months14004days"/>
    <x v="0"/>
    <s v="India"/>
    <s v="Wipro"/>
    <x v="8"/>
    <x v="1"/>
    <n v="565000"/>
    <n v="17"/>
    <x v="4"/>
    <n v="4"/>
    <n v="56500"/>
  </r>
  <r>
    <n v="3088"/>
    <x v="24"/>
    <s v="Wojtek"/>
    <s v="Wolski"/>
    <s v="Manager, Operations"/>
    <s v="WI-S10"/>
    <x v="5"/>
    <m/>
    <s v="no"/>
    <n v="0"/>
    <x v="2"/>
    <m/>
    <x v="24"/>
    <s v="39years2months14315days"/>
    <x v="0"/>
    <s v="India"/>
    <s v="Wipro"/>
    <x v="9"/>
    <x v="1"/>
    <n v="985000"/>
    <n v="10"/>
    <x v="0"/>
    <n v="7.0000000000000009"/>
    <n v="98500"/>
  </r>
  <r>
    <n v="3089"/>
    <x v="25"/>
    <s v="Derek"/>
    <s v="Roy"/>
    <s v="Recruiter-S"/>
    <s v="WI-106"/>
    <x v="2"/>
    <d v="2021-10-15T00:00:00"/>
    <s v="yes"/>
    <n v="1"/>
    <x v="2"/>
    <m/>
    <x v="25"/>
    <s v="42years0months15342days"/>
    <x v="0"/>
    <s v="India"/>
    <s v="Wipro"/>
    <x v="10"/>
    <x v="1"/>
    <n v="276600"/>
    <n v="26"/>
    <x v="0"/>
    <n v="7.0000000000000009"/>
    <n v="27660"/>
  </r>
  <r>
    <n v="3090"/>
    <x v="26"/>
    <s v="Chris"/>
    <s v="Kelly"/>
    <s v="Sr. Manager, Operations"/>
    <s v="WI-S16"/>
    <x v="5"/>
    <m/>
    <s v="no"/>
    <n v="0"/>
    <x v="2"/>
    <m/>
    <x v="26"/>
    <s v="44years5months16246days"/>
    <x v="0"/>
    <s v="India"/>
    <s v="Wipro"/>
    <x v="0"/>
    <x v="1"/>
    <n v="1806000"/>
    <n v="4"/>
    <x v="0"/>
    <n v="7.0000000000000009"/>
    <n v="180600"/>
  </r>
  <r>
    <n v="3091"/>
    <x v="27"/>
    <s v="Rob"/>
    <s v="Klinkhammer"/>
    <s v="Sr. Recruiter-S"/>
    <s v="WI-CS5"/>
    <x v="2"/>
    <m/>
    <s v="no"/>
    <n v="0"/>
    <x v="2"/>
    <m/>
    <x v="27"/>
    <s v="38years8months14146days"/>
    <x v="0"/>
    <s v="India"/>
    <s v="Wipro"/>
    <x v="1"/>
    <x v="1"/>
    <n v="165600"/>
    <n v="40"/>
    <x v="0"/>
    <n v="7.0000000000000009"/>
    <n v="16560"/>
  </r>
  <r>
    <n v="3092"/>
    <x v="28"/>
    <s v="Brandon"/>
    <s v="Kozun"/>
    <s v="Sr. Recruiter-S"/>
    <s v="WI-CS5"/>
    <x v="5"/>
    <m/>
    <s v="no"/>
    <n v="0"/>
    <x v="2"/>
    <m/>
    <x v="28"/>
    <s v="35years1months12842days"/>
    <x v="0"/>
    <s v="India"/>
    <s v="Wipro"/>
    <x v="2"/>
    <x v="1"/>
    <n v="153600"/>
    <n v="44"/>
    <x v="0"/>
    <n v="7.0000000000000009"/>
    <n v="15360"/>
  </r>
  <r>
    <n v="3093"/>
    <x v="29"/>
    <s v="Quinton"/>
    <s v="Howden"/>
    <s v="Sr. Recruiter-S"/>
    <s v="WI-CS5"/>
    <x v="2"/>
    <m/>
    <s v="no"/>
    <n v="0"/>
    <x v="2"/>
    <m/>
    <x v="29"/>
    <s v="33years3months12158days"/>
    <x v="0"/>
    <s v="India"/>
    <s v="Wipro"/>
    <x v="3"/>
    <x v="0"/>
    <n v="171000"/>
    <n v="37"/>
    <x v="0"/>
    <n v="7.0000000000000009"/>
    <n v="17100"/>
  </r>
  <r>
    <n v="3094"/>
    <x v="30"/>
    <s v="René"/>
    <s v="Bourque"/>
    <s v="Recruiter-S"/>
    <s v="WI-106"/>
    <x v="5"/>
    <m/>
    <s v="no"/>
    <n v="0"/>
    <x v="2"/>
    <m/>
    <x v="30"/>
    <s v="43years4months15852days"/>
    <x v="0"/>
    <s v="India"/>
    <s v="Wipro"/>
    <x v="4"/>
    <x v="1"/>
    <n v="286400"/>
    <n v="25"/>
    <x v="0"/>
    <n v="9"/>
    <n v="28640"/>
  </r>
  <r>
    <n v="3095"/>
    <x v="31"/>
    <s v="Andrew"/>
    <s v="Ebbett"/>
    <s v="Sr. Recruiter-S"/>
    <s v="WI-CS5"/>
    <x v="5"/>
    <m/>
    <s v="no"/>
    <n v="0"/>
    <x v="2"/>
    <m/>
    <x v="31"/>
    <s v="42years4months15464days"/>
    <x v="0"/>
    <s v="India"/>
    <s v="Wipro"/>
    <x v="5"/>
    <x v="0"/>
    <n v="83520"/>
    <n v="60"/>
    <x v="0"/>
    <n v="9.0000000000000036"/>
    <n v="8352"/>
  </r>
  <r>
    <n v="3096"/>
    <x v="32"/>
    <s v="Mason"/>
    <s v="Raymond"/>
    <s v="Manager, Operations"/>
    <s v="WI-S10"/>
    <x v="2"/>
    <d v="2021-09-21T00:00:00"/>
    <s v="yes"/>
    <n v="1"/>
    <x v="2"/>
    <m/>
    <x v="32"/>
    <s v="39years7months14475days"/>
    <x v="0"/>
    <s v="India"/>
    <s v="Wipro"/>
    <x v="6"/>
    <x v="0"/>
    <n v="864000"/>
    <n v="11"/>
    <x v="0"/>
    <n v="9"/>
    <n v="86400"/>
  </r>
  <r>
    <n v="3097"/>
    <x v="33"/>
    <s v="Eric"/>
    <s v="O’Dell"/>
    <s v="Sr. Recruiter-S"/>
    <s v="WI-CS5"/>
    <x v="2"/>
    <m/>
    <s v="no"/>
    <n v="0"/>
    <x v="2"/>
    <m/>
    <x v="33"/>
    <s v="34years10months12737days"/>
    <x v="0"/>
    <s v="India"/>
    <s v="Wipro"/>
    <x v="7"/>
    <x v="1"/>
    <n v="87000"/>
    <n v="57"/>
    <x v="0"/>
    <n v="9"/>
    <n v="8700"/>
  </r>
  <r>
    <n v="3098"/>
    <x v="34"/>
    <s v="Maxim"/>
    <s v="Lapierre"/>
    <s v="Manager, Operations"/>
    <s v="WI-S10"/>
    <x v="2"/>
    <m/>
    <s v="no"/>
    <n v="0"/>
    <x v="2"/>
    <m/>
    <x v="34"/>
    <s v="40years1months14647days"/>
    <x v="0"/>
    <s v="India"/>
    <s v="Wipro"/>
    <x v="8"/>
    <x v="0"/>
    <n v="668000"/>
    <n v="16"/>
    <x v="1"/>
    <n v="11"/>
    <n v="66800"/>
  </r>
  <r>
    <n v="3099"/>
    <x v="35"/>
    <s v="Linden"/>
    <s v="Vey"/>
    <s v="Sr. Manager, Operations"/>
    <s v="WI-S16"/>
    <x v="2"/>
    <m/>
    <s v="no"/>
    <n v="0"/>
    <x v="2"/>
    <m/>
    <x v="35"/>
    <s v="33years9months12346days"/>
    <x v="0"/>
    <s v="India"/>
    <s v="Wipro"/>
    <x v="9"/>
    <x v="1"/>
    <n v="1290000"/>
    <n v="8"/>
    <x v="1"/>
    <n v="11"/>
    <n v="129000"/>
  </r>
  <r>
    <n v="3100"/>
    <x v="36"/>
    <s v="Christian"/>
    <s v="Thomas"/>
    <s v="Sr. Recruiter-S"/>
    <s v="WI-CS5"/>
    <x v="5"/>
    <m/>
    <s v="no"/>
    <n v="0"/>
    <x v="2"/>
    <m/>
    <x v="36"/>
    <s v="32years11months12032days"/>
    <x v="0"/>
    <s v="India"/>
    <s v="Wipro"/>
    <x v="10"/>
    <x v="0"/>
    <n v="249000"/>
    <n v="30"/>
    <x v="1"/>
    <n v="11"/>
    <n v="24900"/>
  </r>
  <r>
    <n v="3101"/>
    <x v="37"/>
    <s v="Karl"/>
    <s v="Stollery"/>
    <s v="Manager, Operations"/>
    <s v="WI-S10"/>
    <x v="5"/>
    <m/>
    <s v="no"/>
    <n v="0"/>
    <x v="2"/>
    <m/>
    <x v="37"/>
    <s v="37years5months13680days"/>
    <x v="0"/>
    <s v="India"/>
    <s v="Wipro"/>
    <x v="4"/>
    <x v="1"/>
    <n v="1416000"/>
    <n v="6"/>
    <x v="1"/>
    <n v="11"/>
    <n v="141600"/>
  </r>
  <r>
    <n v="3102"/>
    <x v="38"/>
    <s v="Chris"/>
    <s v="Lee"/>
    <s v="Sr. Recruiting Coordinator"/>
    <s v="WI-CS8"/>
    <x v="2"/>
    <m/>
    <s v="no"/>
    <n v="0"/>
    <x v="2"/>
    <m/>
    <x v="38"/>
    <s v="44years7months16285days"/>
    <x v="0"/>
    <s v="India"/>
    <s v="Wipro"/>
    <x v="5"/>
    <x v="0"/>
    <n v="311160"/>
    <n v="22"/>
    <x v="1"/>
    <n v="10.999999999999993"/>
    <n v="31116"/>
  </r>
  <r>
    <n v="3103"/>
    <x v="39"/>
    <s v="Chay"/>
    <s v="Genoway"/>
    <s v="Recruiter-S"/>
    <s v="WI-106"/>
    <x v="2"/>
    <m/>
    <s v="no"/>
    <n v="0"/>
    <x v="2"/>
    <m/>
    <x v="39"/>
    <s v="38years4months14016days"/>
    <x v="0"/>
    <s v="India"/>
    <s v="Wipro"/>
    <x v="6"/>
    <x v="1"/>
    <n v="195000"/>
    <n v="33"/>
    <x v="1"/>
    <n v="11"/>
    <n v="19500"/>
  </r>
  <r>
    <n v="3104"/>
    <x v="40"/>
    <s v="Marc-Andre"/>
    <s v="Gragnani"/>
    <s v="Sr. Recruiter-S"/>
    <s v="WI-CS5"/>
    <x v="5"/>
    <d v="2021-09-24T00:00:00"/>
    <s v="yes"/>
    <n v="1"/>
    <x v="2"/>
    <m/>
    <x v="40"/>
    <s v="38years1months13935days"/>
    <x v="0"/>
    <s v="India"/>
    <s v="Wipro"/>
    <x v="7"/>
    <x v="1"/>
    <n v="132000"/>
    <n v="49"/>
    <x v="1"/>
    <n v="11"/>
    <n v="13200"/>
  </r>
  <r>
    <n v="3105"/>
    <x v="41"/>
    <s v="Stefan"/>
    <s v="Elliott"/>
    <s v="Sr. Recruiting Coordinator"/>
    <s v="WI-CS8"/>
    <x v="2"/>
    <m/>
    <s v="no"/>
    <n v="0"/>
    <x v="2"/>
    <m/>
    <x v="17"/>
    <s v="34years3months12514days"/>
    <x v="0"/>
    <s v="India"/>
    <s v="Wipro"/>
    <x v="8"/>
    <x v="1"/>
    <n v="153000"/>
    <n v="45"/>
    <x v="1"/>
    <n v="11"/>
    <n v="15300"/>
  </r>
  <r>
    <n v="3106"/>
    <x v="42"/>
    <s v="Cody"/>
    <s v="Goloubef"/>
    <s v="Sr. Recruiter-S"/>
    <s v="WI-CS5"/>
    <x v="2"/>
    <m/>
    <s v="no"/>
    <n v="0"/>
    <x v="2"/>
    <m/>
    <x v="41"/>
    <s v="35years5months12940days"/>
    <x v="0"/>
    <s v="India"/>
    <s v="Wipro"/>
    <x v="9"/>
    <x v="0"/>
    <n v="158880"/>
    <n v="41"/>
    <x v="3"/>
    <n v="20.999999999999993"/>
    <n v="15888"/>
  </r>
  <r>
    <n v="3107"/>
    <x v="43"/>
    <s v="Mat"/>
    <s v="Robinson"/>
    <s v="Analyst - S"/>
    <s v="WI-B30"/>
    <x v="2"/>
    <m/>
    <s v="no"/>
    <n v="0"/>
    <x v="2"/>
    <m/>
    <x v="42"/>
    <s v="38years10months14199days"/>
    <x v="0"/>
    <s v="India"/>
    <s v="Wipro"/>
    <x v="10"/>
    <x v="1"/>
    <n v="79440"/>
    <n v="62"/>
    <x v="3"/>
    <n v="20.999999999999993"/>
    <n v="7944"/>
  </r>
  <r>
    <n v="3108"/>
    <x v="44"/>
    <s v="Maxim"/>
    <s v="Noreau"/>
    <s v="Sr. Recruiting Coordinator"/>
    <s v="WI-CS8"/>
    <x v="2"/>
    <d v="2021-09-30T00:00:00"/>
    <s v="yes"/>
    <n v="1"/>
    <x v="2"/>
    <m/>
    <x v="43"/>
    <s v="37years11months13861days"/>
    <x v="0"/>
    <s v="India"/>
    <s v="Wipro"/>
    <x v="1"/>
    <x v="1"/>
    <n v="77040"/>
    <n v="64"/>
    <x v="3"/>
    <n v="20.999999999999993"/>
    <n v="7704"/>
  </r>
  <r>
    <n v="3109"/>
    <x v="45"/>
    <s v="Ben"/>
    <s v="Scrivens"/>
    <s v="Recruiter-S"/>
    <s v="WI-106"/>
    <x v="2"/>
    <m/>
    <s v="no"/>
    <n v="0"/>
    <x v="2"/>
    <m/>
    <x v="44"/>
    <s v="38years7months14116days"/>
    <x v="0"/>
    <s v="India"/>
    <s v="Wipro"/>
    <x v="2"/>
    <x v="1"/>
    <n v="79440"/>
    <n v="62"/>
    <x v="3"/>
    <n v="20.999999999999993"/>
    <n v="7944"/>
  </r>
  <r>
    <n v="3110"/>
    <x v="46"/>
    <s v="Kevin"/>
    <s v="Poulin"/>
    <s v="Recruiter-S"/>
    <s v="WI-106"/>
    <x v="2"/>
    <m/>
    <s v="no"/>
    <n v="0"/>
    <x v="2"/>
    <m/>
    <x v="16"/>
    <s v="35years0months12807days"/>
    <x v="0"/>
    <s v="India"/>
    <s v="Wipro"/>
    <x v="3"/>
    <x v="1"/>
    <n v="80040"/>
    <n v="61"/>
    <x v="3"/>
    <n v="20.999999999999993"/>
    <n v="8004"/>
  </r>
  <r>
    <n v="3111"/>
    <x v="47"/>
    <s v="Justin"/>
    <s v="Peters"/>
    <s v="Sr. Recruiting Coordinator"/>
    <s v="WI-CS8"/>
    <x v="2"/>
    <m/>
    <s v="no"/>
    <n v="0"/>
    <x v="2"/>
    <m/>
    <x v="45"/>
    <s v="38years8months14128days"/>
    <x v="0"/>
    <s v="India"/>
    <s v="Wipro"/>
    <x v="5"/>
    <x v="1"/>
    <n v="156720"/>
    <n v="42"/>
    <x v="0"/>
    <n v="6.0000000000000071"/>
    <n v="15672"/>
  </r>
  <r>
    <n v="3112"/>
    <x v="48"/>
    <s v="Cayla"/>
    <s v="Barnes"/>
    <s v="Director, Client Delivery"/>
    <s v="WI-CS3"/>
    <x v="3"/>
    <m/>
    <s v="no"/>
    <n v="0"/>
    <x v="3"/>
    <m/>
    <x v="46"/>
    <s v="26years3months9615days"/>
    <x v="0"/>
    <s v="India"/>
    <s v="Wipro"/>
    <x v="6"/>
    <x v="0"/>
    <n v="383400"/>
    <n v="19"/>
    <x v="0"/>
    <n v="6"/>
    <n v="38340"/>
  </r>
  <r>
    <n v="3113"/>
    <x v="49"/>
    <s v="Kacey"/>
    <s v="Bellamy"/>
    <s v="Sr. Recruiter-S"/>
    <s v="WI-CS5"/>
    <x v="5"/>
    <d v="2021-09-24T00:00:00"/>
    <s v="yes"/>
    <n v="1"/>
    <x v="2"/>
    <m/>
    <x v="47"/>
    <s v="38years0months13893days"/>
    <x v="0"/>
    <s v="India"/>
    <s v="Wipro"/>
    <x v="7"/>
    <x v="1"/>
    <n v="230040"/>
    <n v="32"/>
    <x v="0"/>
    <n v="5.9999999999999973"/>
    <n v="23004"/>
  </r>
  <r>
    <n v="3114"/>
    <x v="50"/>
    <s v="Hannah"/>
    <s v="Brandt"/>
    <s v="Sr. Manager, Operations"/>
    <s v="WI-S16"/>
    <x v="5"/>
    <m/>
    <s v="no"/>
    <n v="0"/>
    <x v="2"/>
    <m/>
    <x v="48"/>
    <s v="31years5months11482days"/>
    <x v="0"/>
    <s v="India"/>
    <s v="Wipro"/>
    <x v="8"/>
    <x v="0"/>
    <n v="1312800"/>
    <n v="7"/>
    <x v="0"/>
    <n v="6"/>
    <n v="131280"/>
  </r>
  <r>
    <n v="3115"/>
    <x v="51"/>
    <s v="Dani"/>
    <s v="Cameranesi"/>
    <s v="Sr. Recruiter-S"/>
    <s v="WI-CS5"/>
    <x v="5"/>
    <m/>
    <s v="no"/>
    <n v="0"/>
    <x v="2"/>
    <m/>
    <x v="49"/>
    <s v="29years10months10902days"/>
    <x v="0"/>
    <s v="India"/>
    <s v="Wipro"/>
    <x v="0"/>
    <x v="1"/>
    <n v="292200"/>
    <n v="24"/>
    <x v="0"/>
    <n v="6"/>
    <n v="29220"/>
  </r>
  <r>
    <n v="3116"/>
    <x v="52"/>
    <s v="Kendall"/>
    <s v="Coyne"/>
    <s v="Sr. Manager, Operations"/>
    <s v="WI-S16"/>
    <x v="2"/>
    <m/>
    <s v="no"/>
    <n v="0"/>
    <x v="2"/>
    <m/>
    <x v="50"/>
    <s v="32years11months12033days"/>
    <x v="0"/>
    <s v="India"/>
    <s v="Wipro"/>
    <x v="1"/>
    <x v="0"/>
    <n v="1812000"/>
    <n v="3"/>
    <x v="0"/>
    <n v="6"/>
    <n v="181200"/>
  </r>
  <r>
    <n v="3117"/>
    <x v="53"/>
    <s v="Brianna"/>
    <s v="Decker"/>
    <s v="Sr. Recruiting Coordinator"/>
    <s v="WI-CS8"/>
    <x v="2"/>
    <m/>
    <s v="no"/>
    <n v="0"/>
    <x v="2"/>
    <m/>
    <x v="51"/>
    <s v="33years11months12411days"/>
    <x v="0"/>
    <s v="India"/>
    <s v="Wipro"/>
    <x v="2"/>
    <x v="1"/>
    <n v="123360"/>
    <n v="51"/>
    <x v="0"/>
    <n v="6.0000000000000044"/>
    <n v="12336"/>
  </r>
  <r>
    <n v="3118"/>
    <x v="54"/>
    <s v="Meghan"/>
    <s v="Duggan"/>
    <s v="Recruiter-S"/>
    <s v="WI-106"/>
    <x v="2"/>
    <m/>
    <s v="no"/>
    <n v="0"/>
    <x v="2"/>
    <m/>
    <x v="52"/>
    <s v="37years8months13759days"/>
    <x v="0"/>
    <s v="India"/>
    <s v="Wipro"/>
    <x v="3"/>
    <x v="0"/>
    <n v="140880"/>
    <n v="48"/>
    <x v="0"/>
    <n v="5.9999999999999911"/>
    <n v="14088"/>
  </r>
  <r>
    <n v="3119"/>
    <x v="55"/>
    <s v="Kali"/>
    <s v="Flanagan"/>
    <s v="Manager"/>
    <s v="WI-B41"/>
    <x v="10"/>
    <m/>
    <s v="no"/>
    <n v="0"/>
    <x v="8"/>
    <m/>
    <x v="53"/>
    <s v="29years7months10821days"/>
    <x v="1"/>
    <s v="India"/>
    <s v="Wipro"/>
    <x v="4"/>
    <x v="1"/>
    <n v="360000"/>
    <n v="20"/>
    <x v="0"/>
    <n v="6"/>
    <n v="36000"/>
  </r>
  <r>
    <n v="3120"/>
    <x v="56"/>
    <s v="Nicole"/>
    <s v="Hensley"/>
    <s v="Developer/Engineer"/>
    <s v="WI-B40"/>
    <x v="10"/>
    <d v="2021-05-24T00:00:00"/>
    <s v="yes"/>
    <n v="1"/>
    <x v="8"/>
    <m/>
    <x v="54"/>
    <s v="30years10months11274days"/>
    <x v="1"/>
    <s v="India"/>
    <s v="Wipro"/>
    <x v="1"/>
    <x v="0"/>
    <n v="180000"/>
    <n v="35"/>
    <x v="0"/>
    <n v="6"/>
    <n v="18000"/>
  </r>
  <r>
    <n v="3121"/>
    <x v="57"/>
    <s v="Megan"/>
    <s v="Keller"/>
    <s v="Owner and Manager"/>
    <s v="WI-B76"/>
    <x v="10"/>
    <m/>
    <s v="no"/>
    <n v="0"/>
    <x v="8"/>
    <m/>
    <x v="55"/>
    <s v="29years0months10596days"/>
    <x v="1"/>
    <s v="India"/>
    <s v="Wipro"/>
    <x v="2"/>
    <x v="0"/>
    <n v="3200000"/>
    <n v="2"/>
    <x v="0"/>
    <n v="6"/>
    <n v="320000"/>
  </r>
  <r>
    <n v="3122"/>
    <x v="58"/>
    <s v="Amanda"/>
    <s v="Kessel"/>
    <s v="Supervisor NonOperational- S"/>
    <s v="WI-129"/>
    <x v="10"/>
    <m/>
    <s v="no"/>
    <n v="0"/>
    <x v="8"/>
    <m/>
    <x v="56"/>
    <s v="33years8months12304days"/>
    <x v="1"/>
    <s v="India"/>
    <s v="Wipro"/>
    <x v="3"/>
    <x v="1"/>
    <n v="150000"/>
    <n v="46"/>
    <x v="0"/>
    <n v="6"/>
    <n v="15000"/>
  </r>
  <r>
    <n v="3123"/>
    <x v="59"/>
    <s v="Hilary"/>
    <s v="Knight"/>
    <s v="Developer/Engineer"/>
    <s v="WI-B40"/>
    <x v="10"/>
    <m/>
    <s v="no"/>
    <n v="0"/>
    <x v="8"/>
    <m/>
    <x v="57"/>
    <s v="35years9months13081days"/>
    <x v="1"/>
    <s v="India"/>
    <s v="Wipro"/>
    <x v="5"/>
    <x v="1"/>
    <n v="132000"/>
    <n v="49"/>
    <x v="0"/>
    <n v="6"/>
    <n v="13200"/>
  </r>
  <r>
    <n v="3124"/>
    <x v="60"/>
    <s v="Jocelyne"/>
    <s v="Lamoureux"/>
    <s v="Developer/Engineer"/>
    <s v="WI-B40"/>
    <x v="10"/>
    <m/>
    <s v="no"/>
    <n v="0"/>
    <x v="8"/>
    <m/>
    <x v="58"/>
    <s v="35years10months13090days"/>
    <x v="1"/>
    <s v="India"/>
    <s v="Wipro"/>
    <x v="6"/>
    <x v="1"/>
    <n v="84000"/>
    <n v="58"/>
    <x v="0"/>
    <n v="6"/>
    <n v="8400"/>
  </r>
  <r>
    <n v="3125"/>
    <x v="61"/>
    <s v="Monique"/>
    <s v="Lamoureux"/>
    <s v="Developer/Engineer"/>
    <s v="WI-B40"/>
    <x v="10"/>
    <m/>
    <s v="no"/>
    <n v="0"/>
    <x v="8"/>
    <m/>
    <x v="58"/>
    <s v="35years10months13090days"/>
    <x v="1"/>
    <s v="India"/>
    <s v="Wipro"/>
    <x v="7"/>
    <x v="1"/>
    <n v="90000"/>
    <n v="56"/>
    <x v="0"/>
    <n v="6"/>
    <n v="9000"/>
  </r>
  <r>
    <n v="3126"/>
    <x v="62"/>
    <s v="Gigi"/>
    <s v="Marvin"/>
    <s v="Manager"/>
    <s v="WI-109"/>
    <x v="10"/>
    <m/>
    <s v="no"/>
    <n v="0"/>
    <x v="8"/>
    <m/>
    <x v="59"/>
    <s v="38years1months13939days"/>
    <x v="1"/>
    <s v="India"/>
    <s v="Wipro"/>
    <x v="8"/>
    <x v="0"/>
    <n v="840000"/>
    <n v="13"/>
    <x v="0"/>
    <n v="6"/>
    <n v="84000"/>
  </r>
  <r>
    <n v="3127"/>
    <x v="63"/>
    <s v="Sidney"/>
    <s v="Morin"/>
    <s v="Specialist-S"/>
    <s v="WI-113"/>
    <x v="10"/>
    <m/>
    <s v="no"/>
    <n v="0"/>
    <x v="8"/>
    <m/>
    <x v="60"/>
    <s v="29years10months10926days"/>
    <x v="1"/>
    <s v="India"/>
    <s v="Wipro"/>
    <x v="0"/>
    <x v="1"/>
    <n v="84000"/>
    <n v="58"/>
    <x v="0"/>
    <n v="6"/>
    <n v="8400"/>
  </r>
  <r>
    <n v="3128"/>
    <x v="64"/>
    <s v="Kelly"/>
    <s v="Pannek"/>
    <s v="Developer/Engineer"/>
    <s v="WI-B40"/>
    <x v="10"/>
    <d v="2021-08-05T00:00:00"/>
    <s v="yes"/>
    <n v="1"/>
    <x v="8"/>
    <m/>
    <x v="61"/>
    <s v="29years4months10720days"/>
    <x v="1"/>
    <s v="India"/>
    <s v="Wipro"/>
    <x v="2"/>
    <x v="1"/>
    <n v="48000"/>
    <n v="65"/>
    <x v="0"/>
    <n v="6"/>
    <n v="4800"/>
  </r>
  <r>
    <n v="3129"/>
    <x v="65"/>
    <s v="Amanda"/>
    <s v="Pelkey"/>
    <s v="Specialist-S"/>
    <s v="WI-113"/>
    <x v="10"/>
    <m/>
    <s v="no"/>
    <n v="0"/>
    <x v="8"/>
    <m/>
    <x v="62"/>
    <s v="31years11months11664days"/>
    <x v="1"/>
    <s v="India"/>
    <s v="Wipro"/>
    <x v="3"/>
    <x v="0"/>
    <n v="44880"/>
    <n v="66"/>
    <x v="0"/>
    <n v="6.0000000000000071"/>
    <n v="44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F3868F-69CC-4DCA-ABC7-401E190CFE25}" name="PivotTable3" cacheId="16"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A36:AB103" firstHeaderRow="1" firstDataRow="1" firstDataCol="1"/>
  <pivotFields count="24">
    <pivotField showAll="0"/>
    <pivotField axis="axisRow" showAll="0">
      <items count="67">
        <item x="58"/>
        <item x="65"/>
        <item x="31"/>
        <item x="22"/>
        <item x="6"/>
        <item x="45"/>
        <item x="13"/>
        <item x="28"/>
        <item x="53"/>
        <item x="7"/>
        <item x="15"/>
        <item x="48"/>
        <item x="39"/>
        <item x="26"/>
        <item x="38"/>
        <item x="36"/>
        <item x="42"/>
        <item x="51"/>
        <item x="25"/>
        <item x="11"/>
        <item x="33"/>
        <item x="21"/>
        <item x="62"/>
        <item x="23"/>
        <item x="9"/>
        <item x="50"/>
        <item x="59"/>
        <item x="3"/>
        <item x="4"/>
        <item x="60"/>
        <item x="14"/>
        <item x="47"/>
        <item x="49"/>
        <item x="55"/>
        <item x="37"/>
        <item x="64"/>
        <item x="52"/>
        <item x="46"/>
        <item x="17"/>
        <item x="2"/>
        <item x="16"/>
        <item x="35"/>
        <item x="40"/>
        <item x="12"/>
        <item x="32"/>
        <item x="43"/>
        <item x="34"/>
        <item x="44"/>
        <item x="18"/>
        <item x="57"/>
        <item x="0"/>
        <item x="54"/>
        <item x="5"/>
        <item x="61"/>
        <item x="10"/>
        <item x="56"/>
        <item x="29"/>
        <item x="1"/>
        <item x="19"/>
        <item x="30"/>
        <item x="27"/>
        <item x="8"/>
        <item x="20"/>
        <item x="63"/>
        <item x="41"/>
        <item x="24"/>
        <item t="default"/>
      </items>
    </pivotField>
    <pivotField showAll="0"/>
    <pivotField showAll="0"/>
    <pivotField showAll="0"/>
    <pivotField showAll="0"/>
    <pivotField numFmtId="14" showAll="0">
      <items count="12">
        <item x="10"/>
        <item x="8"/>
        <item x="3"/>
        <item x="5"/>
        <item x="2"/>
        <item x="7"/>
        <item x="9"/>
        <item x="4"/>
        <item x="0"/>
        <item x="6"/>
        <item x="1"/>
        <item t="default"/>
      </items>
    </pivotField>
    <pivotField showAll="0"/>
    <pivotField showAll="0"/>
    <pivotField showAll="0"/>
    <pivotField showAll="0">
      <items count="10">
        <item x="8"/>
        <item x="1"/>
        <item x="5"/>
        <item x="0"/>
        <item x="4"/>
        <item x="6"/>
        <item x="2"/>
        <item x="3"/>
        <item x="7"/>
        <item t="default"/>
      </items>
    </pivotField>
    <pivotField showAll="0"/>
    <pivotField numFmtId="14" showAll="0"/>
    <pivotField showAll="0"/>
    <pivotField showAll="0">
      <items count="3">
        <item x="1"/>
        <item x="0"/>
        <item t="default"/>
      </items>
    </pivotField>
    <pivotField showAll="0"/>
    <pivotField showAll="0"/>
    <pivotField showAll="0">
      <items count="12">
        <item x="6"/>
        <item x="2"/>
        <item x="9"/>
        <item x="7"/>
        <item x="5"/>
        <item x="3"/>
        <item x="0"/>
        <item x="4"/>
        <item x="1"/>
        <item x="10"/>
        <item x="8"/>
        <item t="default"/>
      </items>
    </pivotField>
    <pivotField showAll="0">
      <items count="3">
        <item x="0"/>
        <item x="1"/>
        <item t="default"/>
      </items>
    </pivotField>
    <pivotField numFmtId="165" showAll="0"/>
    <pivotField showAll="0"/>
    <pivotField showAll="0"/>
    <pivotField numFmtId="2" showAll="0"/>
    <pivotField dataField="1" showAll="0"/>
  </pivotFields>
  <rowFields count="1">
    <field x="1"/>
  </rowFields>
  <rowItems count="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t="grand">
      <x/>
    </i>
  </rowItems>
  <colItems count="1">
    <i/>
  </colItems>
  <dataFields count="1">
    <dataField name="Sum of Gratuity Amount" fld="23"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32A0F4-0B8E-46DD-8F01-373DB8A90991}" name="PivotTable2" cacheId="16"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B26:AC32" firstHeaderRow="1" firstDataRow="1" firstDataCol="1"/>
  <pivotFields count="24">
    <pivotField dataField="1" showAll="0"/>
    <pivotField showAll="0"/>
    <pivotField showAll="0"/>
    <pivotField showAll="0"/>
    <pivotField showAll="0"/>
    <pivotField showAll="0"/>
    <pivotField numFmtId="14" showAll="0">
      <items count="12">
        <item x="10"/>
        <item x="8"/>
        <item x="3"/>
        <item x="5"/>
        <item x="2"/>
        <item x="7"/>
        <item x="9"/>
        <item x="4"/>
        <item x="0"/>
        <item x="6"/>
        <item x="1"/>
        <item t="default"/>
      </items>
    </pivotField>
    <pivotField showAll="0"/>
    <pivotField showAll="0"/>
    <pivotField showAll="0"/>
    <pivotField showAll="0">
      <items count="10">
        <item x="8"/>
        <item x="1"/>
        <item x="5"/>
        <item x="0"/>
        <item x="4"/>
        <item x="6"/>
        <item x="2"/>
        <item x="3"/>
        <item x="7"/>
        <item t="default"/>
      </items>
    </pivotField>
    <pivotField showAll="0"/>
    <pivotField numFmtId="14" showAll="0"/>
    <pivotField showAll="0"/>
    <pivotField showAll="0">
      <items count="3">
        <item x="1"/>
        <item x="0"/>
        <item t="default"/>
      </items>
    </pivotField>
    <pivotField showAll="0"/>
    <pivotField showAll="0"/>
    <pivotField showAll="0">
      <items count="12">
        <item x="6"/>
        <item x="2"/>
        <item x="9"/>
        <item x="7"/>
        <item x="5"/>
        <item x="3"/>
        <item x="0"/>
        <item x="4"/>
        <item x="1"/>
        <item x="10"/>
        <item x="8"/>
        <item t="default"/>
      </items>
    </pivotField>
    <pivotField showAll="0">
      <items count="3">
        <item x="0"/>
        <item x="1"/>
        <item t="default"/>
      </items>
    </pivotField>
    <pivotField numFmtId="165" showAll="0"/>
    <pivotField showAll="0"/>
    <pivotField axis="axisRow" showAll="0">
      <items count="6">
        <item x="4"/>
        <item x="0"/>
        <item x="1"/>
        <item x="2"/>
        <item x="3"/>
        <item t="default"/>
      </items>
    </pivotField>
    <pivotField numFmtId="2" showAll="0"/>
    <pivotField showAll="0"/>
  </pivotFields>
  <rowFields count="1">
    <field x="21"/>
  </rowFields>
  <rowItems count="6">
    <i>
      <x/>
    </i>
    <i>
      <x v="1"/>
    </i>
    <i>
      <x v="2"/>
    </i>
    <i>
      <x v="3"/>
    </i>
    <i>
      <x v="4"/>
    </i>
    <i t="grand">
      <x/>
    </i>
  </rowItems>
  <colItems count="1">
    <i/>
  </colItems>
  <dataFields count="1">
    <dataField name="Count of Employee ID" fld="0" subtotal="count" baseField="21"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BDB31E-952D-46C6-A0E2-5ACE81A56E9E}" name="PivotTable1" cacheId="16"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AA7:AC19" firstHeaderRow="0" firstDataRow="1" firstDataCol="1"/>
  <pivotFields count="24">
    <pivotField dataField="1" showAll="0"/>
    <pivotField showAll="0"/>
    <pivotField showAll="0"/>
    <pivotField showAll="0"/>
    <pivotField showAll="0"/>
    <pivotField showAll="0"/>
    <pivotField numFmtId="14" showAll="0">
      <items count="12">
        <item x="10"/>
        <item x="8"/>
        <item x="3"/>
        <item x="5"/>
        <item x="2"/>
        <item x="7"/>
        <item x="9"/>
        <item x="4"/>
        <item x="0"/>
        <item x="6"/>
        <item x="1"/>
        <item t="default"/>
      </items>
    </pivotField>
    <pivotField showAll="0"/>
    <pivotField showAll="0"/>
    <pivotField dataField="1" showAll="0"/>
    <pivotField showAll="0">
      <items count="10">
        <item x="8"/>
        <item x="1"/>
        <item x="5"/>
        <item x="0"/>
        <item x="4"/>
        <item x="6"/>
        <item x="2"/>
        <item x="3"/>
        <item x="7"/>
        <item t="default"/>
      </items>
    </pivotField>
    <pivotField showAll="0"/>
    <pivotField numFmtId="14" showAll="0">
      <items count="64">
        <item x="38"/>
        <item x="26"/>
        <item x="30"/>
        <item x="31"/>
        <item x="25"/>
        <item x="18"/>
        <item x="34"/>
        <item x="32"/>
        <item x="24"/>
        <item x="42"/>
        <item x="20"/>
        <item x="27"/>
        <item x="45"/>
        <item x="44"/>
        <item x="39"/>
        <item x="23"/>
        <item x="0"/>
        <item x="59"/>
        <item x="40"/>
        <item x="47"/>
        <item x="43"/>
        <item x="52"/>
        <item x="37"/>
        <item x="14"/>
        <item x="9"/>
        <item x="21"/>
        <item x="3"/>
        <item x="58"/>
        <item x="57"/>
        <item x="1"/>
        <item x="41"/>
        <item x="28"/>
        <item x="16"/>
        <item x="33"/>
        <item x="6"/>
        <item x="10"/>
        <item x="17"/>
        <item x="12"/>
        <item x="7"/>
        <item x="51"/>
        <item x="35"/>
        <item x="56"/>
        <item x="5"/>
        <item x="29"/>
        <item x="4"/>
        <item x="50"/>
        <item x="36"/>
        <item x="15"/>
        <item x="62"/>
        <item x="13"/>
        <item x="48"/>
        <item x="22"/>
        <item x="2"/>
        <item x="54"/>
        <item x="19"/>
        <item x="8"/>
        <item x="60"/>
        <item x="49"/>
        <item x="53"/>
        <item x="11"/>
        <item x="61"/>
        <item x="55"/>
        <item x="46"/>
        <item t="default"/>
      </items>
    </pivotField>
    <pivotField showAll="0"/>
    <pivotField showAll="0">
      <items count="3">
        <item x="1"/>
        <item x="0"/>
        <item t="default"/>
      </items>
    </pivotField>
    <pivotField showAll="0"/>
    <pivotField showAll="0"/>
    <pivotField axis="axisRow" showAll="0">
      <items count="12">
        <item x="6"/>
        <item x="2"/>
        <item x="9"/>
        <item x="7"/>
        <item x="5"/>
        <item x="3"/>
        <item x="0"/>
        <item x="4"/>
        <item x="1"/>
        <item x="10"/>
        <item x="8"/>
        <item t="default"/>
      </items>
    </pivotField>
    <pivotField showAll="0">
      <items count="3">
        <item x="0"/>
        <item x="1"/>
        <item t="default"/>
      </items>
    </pivotField>
    <pivotField numFmtId="165" showAll="0"/>
    <pivotField showAll="0"/>
    <pivotField showAll="0"/>
    <pivotField numFmtId="2" showAll="0"/>
    <pivotField showAll="0"/>
  </pivotFields>
  <rowFields count="1">
    <field x="17"/>
  </rowFields>
  <rowItems count="12">
    <i>
      <x/>
    </i>
    <i>
      <x v="1"/>
    </i>
    <i>
      <x v="2"/>
    </i>
    <i>
      <x v="3"/>
    </i>
    <i>
      <x v="4"/>
    </i>
    <i>
      <x v="5"/>
    </i>
    <i>
      <x v="6"/>
    </i>
    <i>
      <x v="7"/>
    </i>
    <i>
      <x v="8"/>
    </i>
    <i>
      <x v="9"/>
    </i>
    <i>
      <x v="10"/>
    </i>
    <i t="grand">
      <x/>
    </i>
  </rowItems>
  <colFields count="1">
    <field x="-2"/>
  </colFields>
  <colItems count="2">
    <i>
      <x/>
    </i>
    <i i="1">
      <x v="1"/>
    </i>
  </colItems>
  <dataFields count="2">
    <dataField name="Sum of Attrition count" fld="9" baseField="0" baseItem="0"/>
    <dataField name="Count of Employee ID" fld="0" subtotal="count" baseField="17" baseItem="9"/>
  </dataFields>
  <chartFormats count="2">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E7DB1A-302B-4433-AC03-8147493C2869}"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Sold In">
  <location ref="K31:M47" firstHeaderRow="0" firstDataRow="1" firstDataCol="1"/>
  <pivotFields count="5">
    <pivotField showAll="0"/>
    <pivotField axis="axisRow" showAll="0">
      <items count="11">
        <item x="0"/>
        <item x="9"/>
        <item x="1"/>
        <item x="2"/>
        <item x="3"/>
        <item x="4"/>
        <item x="5"/>
        <item x="6"/>
        <item x="7"/>
        <item x="8"/>
        <item t="default"/>
      </items>
    </pivotField>
    <pivotField axis="axisRow" showAll="0">
      <items count="6">
        <item x="0"/>
        <item x="1"/>
        <item x="2"/>
        <item x="3"/>
        <item x="4"/>
        <item t="default"/>
      </items>
    </pivotField>
    <pivotField dataField="1" showAll="0"/>
    <pivotField dataField="1" showAll="0"/>
  </pivotFields>
  <rowFields count="2">
    <field x="2"/>
    <field x="1"/>
  </rowFields>
  <rowItems count="16">
    <i>
      <x/>
    </i>
    <i r="1">
      <x/>
    </i>
    <i r="1">
      <x v="6"/>
    </i>
    <i>
      <x v="1"/>
    </i>
    <i r="1">
      <x v="2"/>
    </i>
    <i r="1">
      <x v="7"/>
    </i>
    <i>
      <x v="2"/>
    </i>
    <i r="1">
      <x v="3"/>
    </i>
    <i r="1">
      <x v="8"/>
    </i>
    <i>
      <x v="3"/>
    </i>
    <i r="1">
      <x v="4"/>
    </i>
    <i r="1">
      <x v="9"/>
    </i>
    <i>
      <x v="4"/>
    </i>
    <i r="1">
      <x v="1"/>
    </i>
    <i r="1">
      <x v="5"/>
    </i>
    <i t="grand">
      <x/>
    </i>
  </rowItems>
  <colFields count="1">
    <field x="-2"/>
  </colFields>
  <colItems count="2">
    <i>
      <x/>
    </i>
    <i i="1">
      <x v="1"/>
    </i>
  </colItems>
  <dataFields count="2">
    <dataField name="Sum of Count" fld="3" baseField="0" baseItem="0" numFmtId="167"/>
    <dataField name="Sum of Total Cost" fld="4" baseField="0" baseItem="0"/>
  </dataFields>
  <formats count="29">
    <format dxfId="58">
      <pivotArea outline="0" collapsedLevelsAreSubtotals="1" fieldPosition="0"/>
    </format>
    <format dxfId="57">
      <pivotArea outline="0" collapsedLevelsAreSubtotals="1" fieldPosition="0">
        <references count="1">
          <reference field="4294967294" count="1" selected="0">
            <x v="0"/>
          </reference>
        </references>
      </pivotArea>
    </format>
    <format dxfId="56">
      <pivotArea type="all" dataOnly="0" outline="0" fieldPosition="0"/>
    </format>
    <format dxfId="55">
      <pivotArea outline="0" collapsedLevelsAreSubtotals="1" fieldPosition="0"/>
    </format>
    <format dxfId="54">
      <pivotArea field="2" type="button" dataOnly="0" labelOnly="1" outline="0" axis="axisRow" fieldPosition="0"/>
    </format>
    <format dxfId="53">
      <pivotArea dataOnly="0" labelOnly="1" outline="0" fieldPosition="0">
        <references count="1">
          <reference field="4294967294" count="2">
            <x v="0"/>
            <x v="1"/>
          </reference>
        </references>
      </pivotArea>
    </format>
    <format dxfId="52">
      <pivotArea field="2" type="button" dataOnly="0" labelOnly="1" outline="0" axis="axisRow" fieldPosition="0"/>
    </format>
    <format dxfId="51">
      <pivotArea dataOnly="0" labelOnly="1" outline="0" fieldPosition="0">
        <references count="1">
          <reference field="4294967294" count="2">
            <x v="0"/>
            <x v="1"/>
          </reference>
        </references>
      </pivotArea>
    </format>
    <format dxfId="50">
      <pivotArea field="2" type="button" dataOnly="0" labelOnly="1" outline="0" axis="axisRow" fieldPosition="0"/>
    </format>
    <format dxfId="49">
      <pivotArea grandRow="1" outline="0" collapsedLevelsAreSubtotals="1" fieldPosition="0"/>
    </format>
    <format dxfId="48">
      <pivotArea dataOnly="0" labelOnly="1" grandRow="1" outline="0" fieldPosition="0"/>
    </format>
    <format dxfId="47">
      <pivotArea grandRow="1" outline="0" collapsedLevelsAreSubtotals="1" fieldPosition="0"/>
    </format>
    <format dxfId="46">
      <pivotArea dataOnly="0" labelOnly="1" grandRow="1" outline="0" fieldPosition="0"/>
    </format>
    <format dxfId="45">
      <pivotArea collapsedLevelsAreSubtotals="1" fieldPosition="0">
        <references count="1">
          <reference field="2" count="1">
            <x v="0"/>
          </reference>
        </references>
      </pivotArea>
    </format>
    <format dxfId="44">
      <pivotArea collapsedLevelsAreSubtotals="1" fieldPosition="0">
        <references count="2">
          <reference field="1" count="2">
            <x v="0"/>
            <x v="6"/>
          </reference>
          <reference field="2" count="1" selected="0">
            <x v="0"/>
          </reference>
        </references>
      </pivotArea>
    </format>
    <format dxfId="43">
      <pivotArea collapsedLevelsAreSubtotals="1" fieldPosition="0">
        <references count="1">
          <reference field="2" count="1">
            <x v="1"/>
          </reference>
        </references>
      </pivotArea>
    </format>
    <format dxfId="42">
      <pivotArea collapsedLevelsAreSubtotals="1" fieldPosition="0">
        <references count="2">
          <reference field="1" count="2">
            <x v="2"/>
            <x v="7"/>
          </reference>
          <reference field="2" count="1" selected="0">
            <x v="1"/>
          </reference>
        </references>
      </pivotArea>
    </format>
    <format dxfId="41">
      <pivotArea collapsedLevelsAreSubtotals="1" fieldPosition="0">
        <references count="1">
          <reference field="2" count="1">
            <x v="2"/>
          </reference>
        </references>
      </pivotArea>
    </format>
    <format dxfId="40">
      <pivotArea collapsedLevelsAreSubtotals="1" fieldPosition="0">
        <references count="2">
          <reference field="1" count="2">
            <x v="3"/>
            <x v="8"/>
          </reference>
          <reference field="2" count="1" selected="0">
            <x v="2"/>
          </reference>
        </references>
      </pivotArea>
    </format>
    <format dxfId="39">
      <pivotArea collapsedLevelsAreSubtotals="1" fieldPosition="0">
        <references count="1">
          <reference field="2" count="1">
            <x v="3"/>
          </reference>
        </references>
      </pivotArea>
    </format>
    <format dxfId="38">
      <pivotArea collapsedLevelsAreSubtotals="1" fieldPosition="0">
        <references count="2">
          <reference field="1" count="2">
            <x v="4"/>
            <x v="9"/>
          </reference>
          <reference field="2" count="1" selected="0">
            <x v="3"/>
          </reference>
        </references>
      </pivotArea>
    </format>
    <format dxfId="37">
      <pivotArea collapsedLevelsAreSubtotals="1" fieldPosition="0">
        <references count="1">
          <reference field="2" count="1">
            <x v="4"/>
          </reference>
        </references>
      </pivotArea>
    </format>
    <format dxfId="36">
      <pivotArea collapsedLevelsAreSubtotals="1" fieldPosition="0">
        <references count="2">
          <reference field="1" count="2">
            <x v="1"/>
            <x v="5"/>
          </reference>
          <reference field="2" count="1" selected="0">
            <x v="4"/>
          </reference>
        </references>
      </pivotArea>
    </format>
    <format dxfId="35">
      <pivotArea dataOnly="0" labelOnly="1" fieldPosition="0">
        <references count="1">
          <reference field="2" count="0"/>
        </references>
      </pivotArea>
    </format>
    <format dxfId="34">
      <pivotArea dataOnly="0" labelOnly="1" fieldPosition="0">
        <references count="2">
          <reference field="1" count="2">
            <x v="0"/>
            <x v="6"/>
          </reference>
          <reference field="2" count="1" selected="0">
            <x v="0"/>
          </reference>
        </references>
      </pivotArea>
    </format>
    <format dxfId="33">
      <pivotArea dataOnly="0" labelOnly="1" fieldPosition="0">
        <references count="2">
          <reference field="1" count="2">
            <x v="2"/>
            <x v="7"/>
          </reference>
          <reference field="2" count="1" selected="0">
            <x v="1"/>
          </reference>
        </references>
      </pivotArea>
    </format>
    <format dxfId="32">
      <pivotArea dataOnly="0" labelOnly="1" fieldPosition="0">
        <references count="2">
          <reference field="1" count="2">
            <x v="3"/>
            <x v="8"/>
          </reference>
          <reference field="2" count="1" selected="0">
            <x v="2"/>
          </reference>
        </references>
      </pivotArea>
    </format>
    <format dxfId="31">
      <pivotArea dataOnly="0" labelOnly="1" fieldPosition="0">
        <references count="2">
          <reference field="1" count="2">
            <x v="4"/>
            <x v="9"/>
          </reference>
          <reference field="2" count="1" selected="0">
            <x v="3"/>
          </reference>
        </references>
      </pivotArea>
    </format>
    <format dxfId="30">
      <pivotArea dataOnly="0" labelOnly="1" fieldPosition="0">
        <references count="2">
          <reference field="1" count="2">
            <x v="1"/>
            <x v="5"/>
          </reference>
          <reference field="2"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 xr10:uid="{6DA67CEF-A0E2-41C3-AB3B-4998138A9635}" sourceName="Tenure">
  <pivotTables>
    <pivotTable tabId="10" name="PivotTable1"/>
    <pivotTable tabId="10" name="PivotTable2"/>
    <pivotTable tabId="10" name="PivotTable3"/>
  </pivotTables>
  <data>
    <tabular pivotCacheId="16537655">
      <items count="9">
        <i x="8" s="1"/>
        <i x="1" s="1"/>
        <i x="5" s="1"/>
        <i x="0" s="1"/>
        <i x="4" s="1"/>
        <i x="6" s="1"/>
        <i x="2" s="1"/>
        <i x="3"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_Name" xr10:uid="{624F3F5E-5E86-48E9-A0D0-0B655A9C40F7}" sourceName="Location Name">
  <pivotTables>
    <pivotTable tabId="10" name="PivotTable1"/>
    <pivotTable tabId="10" name="PivotTable2"/>
    <pivotTable tabId="10" name="PivotTable3"/>
  </pivotTables>
  <data>
    <tabular pivotCacheId="1653765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_Name" xr10:uid="{55583010-BEB7-4A52-9D02-074908D4AAC2}" sourceName="Manager Name">
  <pivotTables>
    <pivotTable tabId="10" name="PivotTable1"/>
    <pivotTable tabId="10" name="PivotTable2"/>
    <pivotTable tabId="10" name="PivotTable3"/>
  </pivotTables>
  <data>
    <tabular pivotCacheId="16537655">
      <items count="11">
        <i x="6" s="1"/>
        <i x="2" s="1"/>
        <i x="9" s="1"/>
        <i x="7" s="1"/>
        <i x="5" s="1"/>
        <i x="3" s="1"/>
        <i x="0" s="1"/>
        <i x="4" s="1"/>
        <i x="1" s="1"/>
        <i x="10" s="1"/>
        <i x="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3DC186B-37C1-438B-937B-CBE123F0D7FD}" sourceName="Gender">
  <pivotTables>
    <pivotTable tabId="10" name="PivotTable1"/>
    <pivotTable tabId="10" name="PivotTable2"/>
    <pivotTable tabId="10" name="PivotTable3"/>
  </pivotTables>
  <data>
    <tabular pivotCacheId="1653765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e_Date" xr10:uid="{B7183D96-9C17-4FA3-B891-5581521859EE}" sourceName="Hire Date">
  <pivotTables>
    <pivotTable tabId="10" name="PivotTable1"/>
    <pivotTable tabId="10" name="PivotTable2"/>
    <pivotTable tabId="10" name="PivotTable3"/>
  </pivotTables>
  <data>
    <tabular pivotCacheId="16537655">
      <items count="11">
        <i x="10" s="1"/>
        <i x="8" s="1"/>
        <i x="3" s="1"/>
        <i x="5" s="1"/>
        <i x="2" s="1"/>
        <i x="7" s="1"/>
        <i x="9" s="1"/>
        <i x="4" s="1"/>
        <i x="0" s="1"/>
        <i x="6"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nure" xr10:uid="{C61B24C1-ABE8-4038-84B2-7009CD2B3E93}" cache="Slicer_Tenure" caption="Tenure" rowHeight="234950"/>
  <slicer name="Location Name" xr10:uid="{E7EE2E2E-0DD2-4626-9CB0-1F7BA8BC4B16}" cache="Slicer_Location_Name" caption="Location Name" rowHeight="234950"/>
  <slicer name="Manager Name" xr10:uid="{6971F368-E95E-4728-985C-E951222BA2A0}" cache="Slicer_Manager_Name" caption="Manager Name" rowHeight="234950"/>
  <slicer name="Gender" xr10:uid="{0F7ECBA0-766B-4858-BEC1-C6C45F7C3FB3}" cache="Slicer_Gender" caption="Gender" rowHeight="234950"/>
  <slicer name="Hire Date" xr10:uid="{4D4CD20A-5396-455C-966C-146162886992}" cache="Slicer_Hire_Date" caption="Hire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5BABA6-73CF-4C10-A6E1-A24215914609}" name="Table1" displayName="Table1" ref="A1:X67" totalsRowShown="0" headerRowDxfId="0" tableBorderDxfId="25" headerRowCellStyle="Normal 3">
  <autoFilter ref="A1:X67" xr:uid="{340E33EE-A56E-409C-8E41-BCDD2E75DC16}"/>
  <tableColumns count="24">
    <tableColumn id="1" xr3:uid="{193B08C8-279D-442A-80F6-3DC2894CF649}" name="Employee ID" dataDxfId="24" dataCellStyle="Normal 3"/>
    <tableColumn id="2" xr3:uid="{DF38F137-351D-4583-9E6E-B3C603ACC973}" name="Full Name" dataDxfId="23" dataCellStyle="Normal 3"/>
    <tableColumn id="3" xr3:uid="{6484AF1B-3E27-44C2-BA87-EF4B25F0C943}" name="First Name" dataDxfId="22" dataCellStyle="Normal 3">
      <calculatedColumnFormula>_xlfn.XLOOKUP(B2,B2:B67,'Appraisal Data'!B2:B67)</calculatedColumnFormula>
    </tableColumn>
    <tableColumn id="4" xr3:uid="{315C9BFD-1346-42F3-B71F-AFAE2E2EFE80}" name="Last Name" dataDxfId="21" dataCellStyle="Normal 3">
      <calculatedColumnFormula>_xlfn.XLOOKUP(B2,B2:B67,'Appraisal Data'!C2:C67)</calculatedColumnFormula>
    </tableColumn>
    <tableColumn id="5" xr3:uid="{C5296993-7BBD-4212-82B9-92A9A113804D}" name="Job Profile" dataDxfId="20" dataCellStyle="Normal 3"/>
    <tableColumn id="6" xr3:uid="{7C63E6F1-84AF-466C-BE22-85CFD1508C78}" name="Job Code" dataDxfId="19" dataCellStyle="Normal 3"/>
    <tableColumn id="7" xr3:uid="{76B00C64-D374-4FF9-BB95-811FAC646FD1}" name="Hire Date" dataDxfId="18" dataCellStyle="Normal 3"/>
    <tableColumn id="8" xr3:uid="{02D1DAD4-C994-474D-88D1-14EF24E2B3F9}" name="Attrition Date" dataDxfId="17" dataCellStyle="Normal 3"/>
    <tableColumn id="9" xr3:uid="{369873F0-8D1B-491C-B514-330F30AF5E26}" name="Attrition (Yes/no)" dataDxfId="16" dataCellStyle="Normal 3">
      <calculatedColumnFormula>IF(H2="","no","yes")</calculatedColumnFormula>
    </tableColumn>
    <tableColumn id="10" xr3:uid="{CF443FA4-7D91-4D02-B668-8047389EBA1A}" name="Attrition count" dataDxfId="15" dataCellStyle="Normal 3">
      <calculatedColumnFormula>IF(I2="yes",1,0)</calculatedColumnFormula>
    </tableColumn>
    <tableColumn id="11" xr3:uid="{619BD78B-0CCD-4865-8075-04741A8C39B6}" name="Tenure" dataDxfId="14" dataCellStyle="Normal 3">
      <calculatedColumnFormula>DATEDIF(G2,TODAY(),"Y")&amp;"."&amp;DATEDIF(G2,TODAY(),"YM")</calculatedColumnFormula>
    </tableColumn>
    <tableColumn id="12" xr3:uid="{14CF1D92-A9D0-4378-AD1A-5AF78EF6E740}" name="Column1" dataDxfId="13" dataCellStyle="Normal 3"/>
    <tableColumn id="13" xr3:uid="{247BD710-24A5-45DC-A2B0-E3D849F8ACBC}" name="Date of Birth" dataDxfId="12" dataCellStyle="Normal 3"/>
    <tableColumn id="14" xr3:uid="{7C211A72-1A12-4DB0-9E40-C58F652B85EB}" name="Age " dataDxfId="11" dataCellStyle="Normal 3">
      <calculatedColumnFormula>DATEDIF(M2,TODAY(),"Y")&amp;"years"&amp;DATEDIF(M2,TODAY(),"YM")&amp;"months"&amp;DATEDIF(M2,TODAY(),"D")&amp;"days"</calculatedColumnFormula>
    </tableColumn>
    <tableColumn id="15" xr3:uid="{DA7B2926-D270-4F2E-9E84-79D217A4E185}" name="Location Name" dataDxfId="10" dataCellStyle="Normal 3"/>
    <tableColumn id="16" xr3:uid="{BE64B8ED-7CA8-407D-8791-7F5B47ACFBD8}" name="Work Country" dataDxfId="9" dataCellStyle="Normal 3"/>
    <tableColumn id="17" xr3:uid="{C700A769-7C8E-4036-98B7-4FFD9A1A06EB}" name="Company" dataDxfId="8" dataCellStyle="Normal 3"/>
    <tableColumn id="18" xr3:uid="{E2734069-AFB0-4FC9-B3B7-0911DA123F60}" name="Manager Name" dataDxfId="7" dataCellStyle="Normal 3"/>
    <tableColumn id="19" xr3:uid="{0D410A45-B42D-4FBC-A4BE-2ED981094568}" name="Gender" dataDxfId="6" dataCellStyle="Normal 3"/>
    <tableColumn id="20" xr3:uid="{894A1320-7405-40FD-B878-9778D9055FA6}" name="Salary PA" dataDxfId="5" dataCellStyle="Normal 3"/>
    <tableColumn id="21" xr3:uid="{6BF2BFC8-8F4B-4EFC-9306-7C273853E8F7}" name="Ranking" dataDxfId="4" dataCellStyle="Normal 3">
      <calculatedColumnFormula>RANK(T2,$T$2:$T$67,)</calculatedColumnFormula>
    </tableColumn>
    <tableColumn id="22" xr3:uid="{888742D4-9A35-4E69-AE43-F62E72D48F43}" name="Rating" dataDxfId="3" dataCellStyle="Normal 3">
      <calculatedColumnFormula>IF(W2&gt;=20,5,IF(W2&gt;=15,4,IF(W2&gt;=10,3,IF(W2&gt;=5,2,1))))</calculatedColumnFormula>
    </tableColumn>
    <tableColumn id="23" xr3:uid="{27E2B5E7-D62F-42CA-8BF9-97236FAD8CC9}" name="Hike %" dataDxfId="2" dataCellStyle="Normal 3">
      <calculatedColumnFormula>('Appraisal Data'!A2-'Employees Data'!T2)/T2*100</calculatedColumnFormula>
    </tableColumn>
    <tableColumn id="24" xr3:uid="{684BAEA5-3114-4FE1-AF85-38776AEE11D6}" name="Gratuity Amount" dataDxfId="1" dataCellStyle="Normal 3">
      <calculatedColumnFormula>IF(K2&gt;=5,T2*10%,0)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0E380-FA10-4221-9035-1ADE62511CB4}">
  <dimension ref="A1:AC103"/>
  <sheetViews>
    <sheetView showGridLines="0" tabSelected="1" topLeftCell="N1" zoomScale="98" zoomScaleNormal="98" workbookViewId="0">
      <selection activeCell="W33" sqref="W33"/>
    </sheetView>
  </sheetViews>
  <sheetFormatPr defaultRowHeight="14.4" x14ac:dyDescent="0.3"/>
  <cols>
    <col min="27" max="27" width="14.5546875" bestFit="1" customWidth="1"/>
    <col min="28" max="28" width="20.6640625" bestFit="1" customWidth="1"/>
    <col min="29" max="29" width="19.77734375" bestFit="1" customWidth="1"/>
  </cols>
  <sheetData>
    <row r="1" spans="1:29" x14ac:dyDescent="0.3">
      <c r="A1" s="128"/>
      <c r="B1" s="128"/>
      <c r="C1" s="128"/>
      <c r="D1" s="128"/>
      <c r="E1" s="128"/>
      <c r="F1" s="128"/>
      <c r="G1" s="128"/>
      <c r="H1" s="128"/>
      <c r="I1" s="128"/>
      <c r="J1" s="128"/>
      <c r="K1" s="128"/>
      <c r="L1" s="128"/>
    </row>
    <row r="2" spans="1:29" x14ac:dyDescent="0.3">
      <c r="A2" s="128"/>
      <c r="B2" s="128"/>
      <c r="C2" s="128"/>
      <c r="D2" s="128"/>
      <c r="E2" s="128"/>
      <c r="F2" s="128"/>
      <c r="G2" s="128"/>
      <c r="H2" s="128"/>
      <c r="I2" s="128"/>
      <c r="J2" s="128"/>
      <c r="K2" s="128"/>
      <c r="L2" s="128"/>
    </row>
    <row r="3" spans="1:29" x14ac:dyDescent="0.3">
      <c r="A3" s="128"/>
      <c r="B3" s="128"/>
      <c r="C3" s="128"/>
      <c r="D3" s="128"/>
      <c r="E3" s="128"/>
      <c r="F3" s="128"/>
      <c r="G3" s="128"/>
      <c r="H3" s="128"/>
      <c r="I3" s="128"/>
      <c r="J3" s="128"/>
      <c r="K3" s="128"/>
      <c r="L3" s="128"/>
    </row>
    <row r="4" spans="1:29" x14ac:dyDescent="0.3">
      <c r="A4" s="128"/>
      <c r="B4" s="128"/>
      <c r="C4" s="128"/>
      <c r="D4" s="128"/>
      <c r="E4" s="128"/>
      <c r="F4" s="128"/>
      <c r="G4" s="128"/>
      <c r="H4" s="128"/>
      <c r="I4" s="128"/>
      <c r="J4" s="128"/>
      <c r="K4" s="128"/>
      <c r="L4" s="128"/>
    </row>
    <row r="5" spans="1:29" x14ac:dyDescent="0.3">
      <c r="A5" s="128"/>
      <c r="B5" s="128"/>
      <c r="C5" s="128"/>
      <c r="D5" s="128"/>
      <c r="E5" s="128"/>
      <c r="F5" s="128"/>
      <c r="G5" s="128"/>
      <c r="H5" s="128"/>
      <c r="I5" s="128"/>
      <c r="J5" s="128"/>
      <c r="K5" s="128"/>
      <c r="L5" s="128"/>
    </row>
    <row r="7" spans="1:29" x14ac:dyDescent="0.3">
      <c r="AA7" s="136" t="s">
        <v>516</v>
      </c>
      <c r="AB7" t="s">
        <v>518</v>
      </c>
      <c r="AC7" t="s">
        <v>517</v>
      </c>
    </row>
    <row r="8" spans="1:29" x14ac:dyDescent="0.3">
      <c r="AA8" s="137" t="s">
        <v>186</v>
      </c>
      <c r="AB8" s="135">
        <v>1</v>
      </c>
      <c r="AC8" s="135">
        <v>6</v>
      </c>
    </row>
    <row r="9" spans="1:29" x14ac:dyDescent="0.3">
      <c r="AA9" s="137" t="s">
        <v>162</v>
      </c>
      <c r="AB9" s="135">
        <v>3</v>
      </c>
      <c r="AC9" s="135">
        <v>8</v>
      </c>
    </row>
    <row r="10" spans="1:29" x14ac:dyDescent="0.3">
      <c r="AA10" s="137" t="s">
        <v>213</v>
      </c>
      <c r="AB10" s="135">
        <v>0</v>
      </c>
      <c r="AC10" s="135">
        <v>3</v>
      </c>
    </row>
    <row r="11" spans="1:29" x14ac:dyDescent="0.3">
      <c r="AA11" s="137" t="s">
        <v>189</v>
      </c>
      <c r="AB11" s="135">
        <v>2</v>
      </c>
      <c r="AC11" s="135">
        <v>6</v>
      </c>
    </row>
    <row r="12" spans="1:29" x14ac:dyDescent="0.3">
      <c r="AA12" s="137" t="s">
        <v>175</v>
      </c>
      <c r="AB12" s="135">
        <v>1</v>
      </c>
      <c r="AC12" s="135">
        <v>7</v>
      </c>
    </row>
    <row r="13" spans="1:29" x14ac:dyDescent="0.3">
      <c r="AA13" s="137" t="s">
        <v>166</v>
      </c>
      <c r="AB13" s="135">
        <v>1</v>
      </c>
      <c r="AC13" s="135">
        <v>8</v>
      </c>
    </row>
    <row r="14" spans="1:29" x14ac:dyDescent="0.3">
      <c r="AA14" s="137" t="s">
        <v>153</v>
      </c>
      <c r="AB14" s="135">
        <v>0</v>
      </c>
      <c r="AC14" s="135">
        <v>6</v>
      </c>
    </row>
    <row r="15" spans="1:29" x14ac:dyDescent="0.3">
      <c r="AA15" s="137" t="s">
        <v>170</v>
      </c>
      <c r="AB15" s="135">
        <v>0</v>
      </c>
      <c r="AC15" s="135">
        <v>6</v>
      </c>
    </row>
    <row r="16" spans="1:29" x14ac:dyDescent="0.3">
      <c r="AA16" s="137" t="s">
        <v>159</v>
      </c>
      <c r="AB16" s="135">
        <v>2</v>
      </c>
      <c r="AC16" s="135">
        <v>7</v>
      </c>
    </row>
    <row r="17" spans="27:29" x14ac:dyDescent="0.3">
      <c r="AA17" s="137" t="s">
        <v>216</v>
      </c>
      <c r="AB17" s="135">
        <v>1</v>
      </c>
      <c r="AC17" s="135">
        <v>3</v>
      </c>
    </row>
    <row r="18" spans="27:29" x14ac:dyDescent="0.3">
      <c r="AA18" s="137" t="s">
        <v>192</v>
      </c>
      <c r="AB18" s="135">
        <v>0</v>
      </c>
      <c r="AC18" s="135">
        <v>6</v>
      </c>
    </row>
    <row r="19" spans="27:29" x14ac:dyDescent="0.3">
      <c r="AA19" s="137" t="s">
        <v>487</v>
      </c>
      <c r="AB19" s="135">
        <v>11</v>
      </c>
      <c r="AC19" s="135">
        <v>66</v>
      </c>
    </row>
    <row r="26" spans="27:29" x14ac:dyDescent="0.3">
      <c r="AB26" s="136" t="s">
        <v>516</v>
      </c>
      <c r="AC26" t="s">
        <v>517</v>
      </c>
    </row>
    <row r="27" spans="27:29" x14ac:dyDescent="0.3">
      <c r="AB27" s="137">
        <v>1</v>
      </c>
      <c r="AC27" s="135">
        <v>1</v>
      </c>
    </row>
    <row r="28" spans="27:29" x14ac:dyDescent="0.3">
      <c r="AB28" s="137">
        <v>2</v>
      </c>
      <c r="AC28" s="135">
        <v>36</v>
      </c>
    </row>
    <row r="29" spans="27:29" x14ac:dyDescent="0.3">
      <c r="AB29" s="137">
        <v>3</v>
      </c>
      <c r="AC29" s="135">
        <v>18</v>
      </c>
    </row>
    <row r="30" spans="27:29" x14ac:dyDescent="0.3">
      <c r="AB30" s="137">
        <v>4</v>
      </c>
      <c r="AC30" s="135">
        <v>3</v>
      </c>
    </row>
    <row r="31" spans="27:29" x14ac:dyDescent="0.3">
      <c r="AB31" s="137">
        <v>5</v>
      </c>
      <c r="AC31" s="135">
        <v>8</v>
      </c>
    </row>
    <row r="32" spans="27:29" x14ac:dyDescent="0.3">
      <c r="AB32" s="137" t="s">
        <v>487</v>
      </c>
      <c r="AC32" s="135">
        <v>66</v>
      </c>
    </row>
    <row r="36" spans="27:28" x14ac:dyDescent="0.3">
      <c r="AA36" s="136" t="s">
        <v>516</v>
      </c>
      <c r="AB36" t="s">
        <v>519</v>
      </c>
    </row>
    <row r="37" spans="27:28" x14ac:dyDescent="0.3">
      <c r="AA37" s="137" t="s">
        <v>271</v>
      </c>
      <c r="AB37" s="135">
        <v>15000</v>
      </c>
    </row>
    <row r="38" spans="27:28" x14ac:dyDescent="0.3">
      <c r="AA38" s="137" t="s">
        <v>283</v>
      </c>
      <c r="AB38" s="135">
        <v>4488</v>
      </c>
    </row>
    <row r="39" spans="27:28" x14ac:dyDescent="0.3">
      <c r="AA39" s="137" t="s">
        <v>230</v>
      </c>
      <c r="AB39" s="135">
        <v>8352</v>
      </c>
    </row>
    <row r="40" spans="27:28" x14ac:dyDescent="0.3">
      <c r="AA40" s="137" t="s">
        <v>208</v>
      </c>
      <c r="AB40" s="135">
        <v>77260</v>
      </c>
    </row>
    <row r="41" spans="27:28" x14ac:dyDescent="0.3">
      <c r="AA41" s="137" t="s">
        <v>176</v>
      </c>
      <c r="AB41" s="135">
        <v>18000</v>
      </c>
    </row>
    <row r="42" spans="27:28" x14ac:dyDescent="0.3">
      <c r="AA42" s="137" t="s">
        <v>250</v>
      </c>
      <c r="AB42" s="135">
        <v>7944</v>
      </c>
    </row>
    <row r="43" spans="27:28" x14ac:dyDescent="0.3">
      <c r="AA43" s="137" t="s">
        <v>188</v>
      </c>
      <c r="AB43" s="135">
        <v>15600</v>
      </c>
    </row>
    <row r="44" spans="27:28" x14ac:dyDescent="0.3">
      <c r="AA44" s="137" t="s">
        <v>224</v>
      </c>
      <c r="AB44" s="135">
        <v>15360</v>
      </c>
    </row>
    <row r="45" spans="27:28" x14ac:dyDescent="0.3">
      <c r="AA45" s="137" t="s">
        <v>260</v>
      </c>
      <c r="AB45" s="135">
        <v>12336</v>
      </c>
    </row>
    <row r="46" spans="27:28" x14ac:dyDescent="0.3">
      <c r="AA46" s="137" t="s">
        <v>179</v>
      </c>
      <c r="AB46" s="135">
        <v>16800</v>
      </c>
    </row>
    <row r="47" spans="27:28" x14ac:dyDescent="0.3">
      <c r="AA47" s="137" t="s">
        <v>194</v>
      </c>
      <c r="AB47" s="135">
        <v>26400</v>
      </c>
    </row>
    <row r="48" spans="27:28" x14ac:dyDescent="0.3">
      <c r="AA48" s="137" t="s">
        <v>253</v>
      </c>
      <c r="AB48" s="135">
        <v>38340</v>
      </c>
    </row>
    <row r="49" spans="27:28" x14ac:dyDescent="0.3">
      <c r="AA49" s="137" t="s">
        <v>242</v>
      </c>
      <c r="AB49" s="135">
        <v>19500</v>
      </c>
    </row>
    <row r="50" spans="27:28" x14ac:dyDescent="0.3">
      <c r="AA50" s="137" t="s">
        <v>218</v>
      </c>
      <c r="AB50" s="135">
        <v>180600</v>
      </c>
    </row>
    <row r="51" spans="27:28" x14ac:dyDescent="0.3">
      <c r="AA51" s="137" t="s">
        <v>241</v>
      </c>
      <c r="AB51" s="135">
        <v>31116</v>
      </c>
    </row>
    <row r="52" spans="27:28" x14ac:dyDescent="0.3">
      <c r="AA52" s="137" t="s">
        <v>238</v>
      </c>
      <c r="AB52" s="135">
        <v>24900</v>
      </c>
    </row>
    <row r="53" spans="27:28" x14ac:dyDescent="0.3">
      <c r="AA53" s="137" t="s">
        <v>245</v>
      </c>
      <c r="AB53" s="135">
        <v>15888</v>
      </c>
    </row>
    <row r="54" spans="27:28" x14ac:dyDescent="0.3">
      <c r="AA54" s="137" t="s">
        <v>258</v>
      </c>
      <c r="AB54" s="135">
        <v>29220</v>
      </c>
    </row>
    <row r="55" spans="27:28" x14ac:dyDescent="0.3">
      <c r="AA55" s="137" t="s">
        <v>215</v>
      </c>
      <c r="AB55" s="135">
        <v>27660</v>
      </c>
    </row>
    <row r="56" spans="27:28" x14ac:dyDescent="0.3">
      <c r="AA56" s="137" t="s">
        <v>184</v>
      </c>
      <c r="AB56" s="135">
        <v>9600</v>
      </c>
    </row>
    <row r="57" spans="27:28" x14ac:dyDescent="0.3">
      <c r="AA57" s="137" t="s">
        <v>233</v>
      </c>
      <c r="AB57" s="135">
        <v>8700</v>
      </c>
    </row>
    <row r="58" spans="27:28" x14ac:dyDescent="0.3">
      <c r="AA58" s="137" t="s">
        <v>204</v>
      </c>
      <c r="AB58" s="135">
        <v>86220</v>
      </c>
    </row>
    <row r="59" spans="27:28" x14ac:dyDescent="0.3">
      <c r="AA59" s="137" t="s">
        <v>277</v>
      </c>
      <c r="AB59" s="135">
        <v>84000</v>
      </c>
    </row>
    <row r="60" spans="27:28" x14ac:dyDescent="0.3">
      <c r="AA60" s="137" t="s">
        <v>210</v>
      </c>
      <c r="AB60" s="135">
        <v>56500</v>
      </c>
    </row>
    <row r="61" spans="27:28" x14ac:dyDescent="0.3">
      <c r="AA61" s="137" t="s">
        <v>182</v>
      </c>
      <c r="AB61" s="135">
        <v>9600</v>
      </c>
    </row>
    <row r="62" spans="27:28" x14ac:dyDescent="0.3">
      <c r="AA62" s="137" t="s">
        <v>257</v>
      </c>
      <c r="AB62" s="135">
        <v>131280</v>
      </c>
    </row>
    <row r="63" spans="27:28" x14ac:dyDescent="0.3">
      <c r="AA63" s="137" t="s">
        <v>274</v>
      </c>
      <c r="AB63" s="135">
        <v>13200</v>
      </c>
    </row>
    <row r="64" spans="27:28" x14ac:dyDescent="0.3">
      <c r="AA64" s="137" t="s">
        <v>163</v>
      </c>
      <c r="AB64" s="135">
        <v>30000</v>
      </c>
    </row>
    <row r="65" spans="27:28" x14ac:dyDescent="0.3">
      <c r="AA65" s="137" t="s">
        <v>167</v>
      </c>
      <c r="AB65" s="135">
        <v>564000</v>
      </c>
    </row>
    <row r="66" spans="27:28" x14ac:dyDescent="0.3">
      <c r="AA66" s="137" t="s">
        <v>275</v>
      </c>
      <c r="AB66" s="135">
        <v>8400</v>
      </c>
    </row>
    <row r="67" spans="27:28" x14ac:dyDescent="0.3">
      <c r="AA67" s="137" t="s">
        <v>191</v>
      </c>
      <c r="AB67" s="135">
        <v>42000</v>
      </c>
    </row>
    <row r="68" spans="27:28" x14ac:dyDescent="0.3">
      <c r="AA68" s="137" t="s">
        <v>252</v>
      </c>
      <c r="AB68" s="135">
        <v>15672</v>
      </c>
    </row>
    <row r="69" spans="27:28" x14ac:dyDescent="0.3">
      <c r="AA69" s="137" t="s">
        <v>256</v>
      </c>
      <c r="AB69" s="135">
        <v>23004</v>
      </c>
    </row>
    <row r="70" spans="27:28" x14ac:dyDescent="0.3">
      <c r="AA70" s="137" t="s">
        <v>262</v>
      </c>
      <c r="AB70" s="135">
        <v>36000</v>
      </c>
    </row>
    <row r="71" spans="27:28" x14ac:dyDescent="0.3">
      <c r="AA71" s="137" t="s">
        <v>240</v>
      </c>
      <c r="AB71" s="135">
        <v>141600</v>
      </c>
    </row>
    <row r="72" spans="27:28" x14ac:dyDescent="0.3">
      <c r="AA72" s="137" t="s">
        <v>282</v>
      </c>
      <c r="AB72" s="135">
        <v>4800</v>
      </c>
    </row>
    <row r="73" spans="27:28" x14ac:dyDescent="0.3">
      <c r="AA73" s="137" t="s">
        <v>259</v>
      </c>
      <c r="AB73" s="135">
        <v>181200</v>
      </c>
    </row>
    <row r="74" spans="27:28" x14ac:dyDescent="0.3">
      <c r="AA74" s="137" t="s">
        <v>251</v>
      </c>
      <c r="AB74" s="135">
        <v>8004</v>
      </c>
    </row>
    <row r="75" spans="27:28" x14ac:dyDescent="0.3">
      <c r="AA75" s="137" t="s">
        <v>196</v>
      </c>
      <c r="AB75" s="135">
        <v>26400</v>
      </c>
    </row>
    <row r="76" spans="27:28" x14ac:dyDescent="0.3">
      <c r="AA76" s="137" t="s">
        <v>161</v>
      </c>
      <c r="AB76" s="135">
        <v>24000</v>
      </c>
    </row>
    <row r="77" spans="27:28" x14ac:dyDescent="0.3">
      <c r="AA77" s="137" t="s">
        <v>195</v>
      </c>
      <c r="AB77" s="135">
        <v>14400</v>
      </c>
    </row>
    <row r="78" spans="27:28" x14ac:dyDescent="0.3">
      <c r="AA78" s="137" t="s">
        <v>236</v>
      </c>
      <c r="AB78" s="135">
        <v>129000</v>
      </c>
    </row>
    <row r="79" spans="27:28" x14ac:dyDescent="0.3">
      <c r="AA79" s="137" t="s">
        <v>243</v>
      </c>
      <c r="AB79" s="135">
        <v>13200</v>
      </c>
    </row>
    <row r="80" spans="27:28" x14ac:dyDescent="0.3">
      <c r="AA80" s="137" t="s">
        <v>185</v>
      </c>
      <c r="AB80" s="135">
        <v>9600</v>
      </c>
    </row>
    <row r="81" spans="27:28" x14ac:dyDescent="0.3">
      <c r="AA81" s="137" t="s">
        <v>232</v>
      </c>
      <c r="AB81" s="135">
        <v>86400</v>
      </c>
    </row>
    <row r="82" spans="27:28" x14ac:dyDescent="0.3">
      <c r="AA82" s="137" t="s">
        <v>246</v>
      </c>
      <c r="AB82" s="135">
        <v>7944</v>
      </c>
    </row>
    <row r="83" spans="27:28" x14ac:dyDescent="0.3">
      <c r="AA83" s="137" t="s">
        <v>234</v>
      </c>
      <c r="AB83" s="135">
        <v>66800</v>
      </c>
    </row>
    <row r="84" spans="27:28" x14ac:dyDescent="0.3">
      <c r="AA84" s="137" t="s">
        <v>249</v>
      </c>
      <c r="AB84" s="135">
        <v>7704</v>
      </c>
    </row>
    <row r="85" spans="27:28" x14ac:dyDescent="0.3">
      <c r="AA85" s="137" t="s">
        <v>199</v>
      </c>
      <c r="AB85" s="135">
        <v>19200</v>
      </c>
    </row>
    <row r="86" spans="27:28" x14ac:dyDescent="0.3">
      <c r="AA86" s="137" t="s">
        <v>268</v>
      </c>
      <c r="AB86" s="135">
        <v>320000</v>
      </c>
    </row>
    <row r="87" spans="27:28" x14ac:dyDescent="0.3">
      <c r="AA87" s="137" t="s">
        <v>147</v>
      </c>
      <c r="AB87" s="135">
        <v>72000</v>
      </c>
    </row>
    <row r="88" spans="27:28" x14ac:dyDescent="0.3">
      <c r="AA88" s="137" t="s">
        <v>261</v>
      </c>
      <c r="AB88" s="135">
        <v>14088</v>
      </c>
    </row>
    <row r="89" spans="27:28" x14ac:dyDescent="0.3">
      <c r="AA89" s="137" t="s">
        <v>172</v>
      </c>
      <c r="AB89" s="135">
        <v>26800</v>
      </c>
    </row>
    <row r="90" spans="27:28" x14ac:dyDescent="0.3">
      <c r="AA90" s="137" t="s">
        <v>276</v>
      </c>
      <c r="AB90" s="135">
        <v>9000</v>
      </c>
    </row>
    <row r="91" spans="27:28" x14ac:dyDescent="0.3">
      <c r="AA91" s="137" t="s">
        <v>183</v>
      </c>
      <c r="AB91" s="135">
        <v>9276</v>
      </c>
    </row>
    <row r="92" spans="27:28" x14ac:dyDescent="0.3">
      <c r="AA92" s="137" t="s">
        <v>265</v>
      </c>
      <c r="AB92" s="135">
        <v>18000</v>
      </c>
    </row>
    <row r="93" spans="27:28" x14ac:dyDescent="0.3">
      <c r="AA93" s="137" t="s">
        <v>226</v>
      </c>
      <c r="AB93" s="135">
        <v>17100</v>
      </c>
    </row>
    <row r="94" spans="27:28" x14ac:dyDescent="0.3">
      <c r="AA94" s="137" t="s">
        <v>156</v>
      </c>
      <c r="AB94" s="135">
        <v>36000</v>
      </c>
    </row>
    <row r="95" spans="27:28" x14ac:dyDescent="0.3">
      <c r="AA95" s="137" t="s">
        <v>200</v>
      </c>
      <c r="AB95" s="135">
        <v>120000</v>
      </c>
    </row>
    <row r="96" spans="27:28" x14ac:dyDescent="0.3">
      <c r="AA96" s="137" t="s">
        <v>228</v>
      </c>
      <c r="AB96" s="135">
        <v>28640</v>
      </c>
    </row>
    <row r="97" spans="27:28" x14ac:dyDescent="0.3">
      <c r="AA97" s="137" t="s">
        <v>222</v>
      </c>
      <c r="AB97" s="135">
        <v>16560</v>
      </c>
    </row>
    <row r="98" spans="27:28" x14ac:dyDescent="0.3">
      <c r="AA98" s="137" t="s">
        <v>180</v>
      </c>
      <c r="AB98" s="135">
        <v>16800</v>
      </c>
    </row>
    <row r="99" spans="27:28" x14ac:dyDescent="0.3">
      <c r="AA99" s="137" t="s">
        <v>203</v>
      </c>
      <c r="AB99" s="135">
        <v>168000</v>
      </c>
    </row>
    <row r="100" spans="27:28" x14ac:dyDescent="0.3">
      <c r="AA100" s="137" t="s">
        <v>279</v>
      </c>
      <c r="AB100" s="135">
        <v>8400</v>
      </c>
    </row>
    <row r="101" spans="27:28" x14ac:dyDescent="0.3">
      <c r="AA101" s="137" t="s">
        <v>244</v>
      </c>
      <c r="AB101" s="135">
        <v>15300</v>
      </c>
    </row>
    <row r="102" spans="27:28" x14ac:dyDescent="0.3">
      <c r="AA102" s="137" t="s">
        <v>212</v>
      </c>
      <c r="AB102" s="135">
        <v>98500</v>
      </c>
    </row>
    <row r="103" spans="27:28" x14ac:dyDescent="0.3">
      <c r="AA103" s="137" t="s">
        <v>487</v>
      </c>
      <c r="AB103" s="135">
        <v>3437656</v>
      </c>
    </row>
  </sheetData>
  <mergeCells count="1">
    <mergeCell ref="A1:L5"/>
  </mergeCells>
  <pageMargins left="0.7" right="0.7" top="0.75" bottom="0.75" header="0.3" footer="0.3"/>
  <drawing r:id="rId4"/>
  <legacy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22FB-8525-412A-A303-B9FDC50B833B}">
  <dimension ref="A1:AC67"/>
  <sheetViews>
    <sheetView topLeftCell="J41" workbookViewId="0">
      <selection sqref="A1:X67"/>
    </sheetView>
  </sheetViews>
  <sheetFormatPr defaultColWidth="8.77734375" defaultRowHeight="14.4" x14ac:dyDescent="0.3"/>
  <cols>
    <col min="1" max="1" width="15.77734375" style="23" customWidth="1"/>
    <col min="2" max="4" width="18.5546875" style="23" customWidth="1"/>
    <col min="5" max="5" width="22.5546875" style="23" customWidth="1"/>
    <col min="6" max="6" width="10.88671875" style="23" bestFit="1" customWidth="1"/>
    <col min="7" max="8" width="15.21875" style="47" customWidth="1"/>
    <col min="9" max="9" width="18" style="47" bestFit="1" customWidth="1"/>
    <col min="10" max="10" width="18" style="47" customWidth="1"/>
    <col min="11" max="11" width="15.21875" style="48" customWidth="1"/>
    <col min="12" max="12" width="15.21875" style="48" hidden="1" customWidth="1"/>
    <col min="13" max="13" width="15.21875" style="47" customWidth="1"/>
    <col min="14" max="14" width="23.44140625" style="49" bestFit="1" customWidth="1"/>
    <col min="15" max="15" width="15.5546875" style="23" customWidth="1"/>
    <col min="16" max="16" width="15" style="23" bestFit="1" customWidth="1"/>
    <col min="17" max="17" width="11" style="23" customWidth="1"/>
    <col min="18" max="18" width="16.33203125" style="23" bestFit="1" customWidth="1"/>
    <col min="19" max="19" width="9.33203125" style="23" bestFit="1" customWidth="1"/>
    <col min="20" max="21" width="13.44140625" style="50" customWidth="1"/>
    <col min="22" max="22" width="10.44140625" style="23" customWidth="1"/>
    <col min="23" max="23" width="13.109375" style="23" bestFit="1" customWidth="1"/>
    <col min="24" max="24" width="17.21875" style="23" customWidth="1"/>
    <col min="25" max="25" width="8.77734375" style="23"/>
    <col min="26" max="26" width="0" style="23" hidden="1" customWidth="1"/>
    <col min="27" max="27" width="117.21875" style="23" bestFit="1" customWidth="1"/>
    <col min="28" max="28" width="37.5546875" style="23" bestFit="1" customWidth="1"/>
    <col min="29" max="29" width="11.77734375" style="23" customWidth="1"/>
    <col min="30" max="16384" width="8.77734375" style="23"/>
  </cols>
  <sheetData>
    <row r="1" spans="1:27" x14ac:dyDescent="0.3">
      <c r="A1" s="24" t="s">
        <v>128</v>
      </c>
      <c r="B1" s="24" t="s">
        <v>129</v>
      </c>
      <c r="C1" s="25" t="s">
        <v>130</v>
      </c>
      <c r="D1" s="25" t="s">
        <v>131</v>
      </c>
      <c r="E1" s="24" t="s">
        <v>132</v>
      </c>
      <c r="F1" s="24" t="s">
        <v>133</v>
      </c>
      <c r="G1" s="26" t="s">
        <v>134</v>
      </c>
      <c r="H1" s="26" t="s">
        <v>135</v>
      </c>
      <c r="I1" s="26" t="s">
        <v>513</v>
      </c>
      <c r="J1" s="26" t="s">
        <v>514</v>
      </c>
      <c r="K1" s="27" t="s">
        <v>136</v>
      </c>
      <c r="L1" s="27" t="s">
        <v>515</v>
      </c>
      <c r="M1" s="26" t="s">
        <v>35</v>
      </c>
      <c r="N1" s="134" t="s">
        <v>137</v>
      </c>
      <c r="O1" s="24" t="s">
        <v>138</v>
      </c>
      <c r="P1" s="24" t="s">
        <v>139</v>
      </c>
      <c r="Q1" s="24" t="s">
        <v>111</v>
      </c>
      <c r="R1" s="24" t="s">
        <v>140</v>
      </c>
      <c r="S1" s="24" t="s">
        <v>141</v>
      </c>
      <c r="T1" s="28" t="s">
        <v>142</v>
      </c>
      <c r="U1" s="29" t="s">
        <v>143</v>
      </c>
      <c r="V1" s="29" t="s">
        <v>144</v>
      </c>
      <c r="W1" s="30" t="s">
        <v>145</v>
      </c>
      <c r="X1" s="31" t="s">
        <v>146</v>
      </c>
    </row>
    <row r="2" spans="1:27" x14ac:dyDescent="0.3">
      <c r="A2" s="32">
        <v>3064</v>
      </c>
      <c r="B2" s="32" t="s">
        <v>147</v>
      </c>
      <c r="C2" s="32" t="str">
        <f>_xlfn.XLOOKUP(B2,B2:B67,'Appraisal Data'!B2:B67)</f>
        <v>Meghan</v>
      </c>
      <c r="D2" s="32" t="str">
        <f>_xlfn.XLOOKUP(B2,B2:B67,'Appraisal Data'!C2:C67)</f>
        <v>Agosta</v>
      </c>
      <c r="E2" s="32" t="s">
        <v>148</v>
      </c>
      <c r="F2" s="32" t="s">
        <v>149</v>
      </c>
      <c r="G2" s="33">
        <v>43758</v>
      </c>
      <c r="H2" s="33"/>
      <c r="I2" s="132" t="str">
        <f>IF(H2="","no","yes")</f>
        <v>no</v>
      </c>
      <c r="J2" s="133">
        <f>IF(I2="yes",1,0)</f>
        <v>0</v>
      </c>
      <c r="K2" s="85" t="str">
        <f ca="1">DATEDIF(G2,TODAY(),"Y")&amp;"."&amp;DATEDIF(G2,TODAY(),"YM")</f>
        <v>5.6</v>
      </c>
      <c r="L2" s="34"/>
      <c r="M2" s="33">
        <v>31820</v>
      </c>
      <c r="N2" s="86" t="str">
        <f ca="1">DATEDIF(M2,TODAY(),"Y")&amp;"years"&amp;DATEDIF(M2,TODAY(),"YM")&amp;"months"&amp;DATEDIF(M2,TODAY(),"D")&amp;"days"</f>
        <v>38years2months13962days</v>
      </c>
      <c r="O2" s="32" t="s">
        <v>150</v>
      </c>
      <c r="P2" s="32" t="s">
        <v>151</v>
      </c>
      <c r="Q2" s="32" t="s">
        <v>152</v>
      </c>
      <c r="R2" s="32" t="s">
        <v>153</v>
      </c>
      <c r="S2" s="32" t="s">
        <v>154</v>
      </c>
      <c r="T2" s="35">
        <v>720000</v>
      </c>
      <c r="U2" s="32">
        <f>RANK(T2,$T$2:$T$67,)</f>
        <v>15</v>
      </c>
      <c r="V2" s="90">
        <f>IF(W2&gt;=20,5,IF(W2&gt;=15,4,IF(W2&gt;=10,3,IF(W2&gt;=5,2,1))))</f>
        <v>2</v>
      </c>
      <c r="W2" s="91">
        <f>('Appraisal Data'!A2-'Employees Data'!T2)/T2*100</f>
        <v>5</v>
      </c>
      <c r="X2" s="36">
        <f ca="1">IF(K2&gt;=5,T2*10%,0)</f>
        <v>72000</v>
      </c>
      <c r="Y2" s="23">
        <v>1</v>
      </c>
      <c r="AA2" s="37" t="s">
        <v>155</v>
      </c>
    </row>
    <row r="3" spans="1:27" x14ac:dyDescent="0.3">
      <c r="A3" s="32">
        <v>3065</v>
      </c>
      <c r="B3" s="32" t="s">
        <v>156</v>
      </c>
      <c r="C3" s="32" t="str">
        <f>_xlfn.XLOOKUP(B3,B3:B68,'Appraisal Data'!B3:B68)</f>
        <v>Rebecca</v>
      </c>
      <c r="D3" s="32" t="str">
        <f>_xlfn.XLOOKUP(B3,B3:B68,'Appraisal Data'!C3:C68)</f>
        <v>Johnston</v>
      </c>
      <c r="E3" s="32" t="s">
        <v>157</v>
      </c>
      <c r="F3" s="32" t="s">
        <v>158</v>
      </c>
      <c r="G3" s="33">
        <v>44180</v>
      </c>
      <c r="H3" s="33"/>
      <c r="I3" s="132" t="str">
        <f t="shared" ref="I3:I66" si="0">IF(H3="","no","yes")</f>
        <v>no</v>
      </c>
      <c r="J3" s="133">
        <f t="shared" ref="J3:J66" si="1">IF(I3="yes",1,0)</f>
        <v>0</v>
      </c>
      <c r="K3" s="85" t="str">
        <f t="shared" ref="K3:K66" ca="1" si="2">DATEDIF(G3,TODAY(),"Y")&amp;"."&amp;DATEDIF(G3,TODAY(),"YM")</f>
        <v>4.4</v>
      </c>
      <c r="L3" s="34"/>
      <c r="M3" s="33">
        <v>32775</v>
      </c>
      <c r="N3" s="86" t="str">
        <f t="shared" ref="N3:N66" ca="1" si="3">DATEDIF(M3,TODAY(),"Y")&amp;"years"&amp;DATEDIF(M3,TODAY(),"YM")&amp;"months"&amp;DATEDIF(M3,TODAY(),"D")&amp;"days"</f>
        <v>35years7months13007days</v>
      </c>
      <c r="O3" s="32" t="s">
        <v>150</v>
      </c>
      <c r="P3" s="32" t="s">
        <v>151</v>
      </c>
      <c r="Q3" s="32" t="s">
        <v>152</v>
      </c>
      <c r="R3" s="32" t="s">
        <v>159</v>
      </c>
      <c r="S3" s="32" t="s">
        <v>160</v>
      </c>
      <c r="T3" s="35">
        <v>360000</v>
      </c>
      <c r="U3" s="32">
        <f t="shared" ref="U3:U66" si="4">RANK(T3,$T$2:$T$67,)</f>
        <v>20</v>
      </c>
      <c r="V3" s="90">
        <f t="shared" ref="V3:V66" si="5">IF(W3&gt;=20,5,IF(W3&gt;=15,4,IF(W3&gt;=10,3,IF(W3&gt;=5,2,1))))</f>
        <v>2</v>
      </c>
      <c r="W3" s="91">
        <f>('Appraisal Data'!A3-'Employees Data'!T3)/T3*100</f>
        <v>5</v>
      </c>
      <c r="X3" s="36">
        <f t="shared" ref="X3:X66" ca="1" si="6">IF(K3&gt;=5,T3*10%,0)</f>
        <v>36000</v>
      </c>
      <c r="AA3" s="87">
        <f>AVERAGE(W65:W67)</f>
        <v>6.0000000000000027</v>
      </c>
    </row>
    <row r="4" spans="1:27" x14ac:dyDescent="0.3">
      <c r="A4" s="32">
        <v>3066</v>
      </c>
      <c r="B4" s="32" t="s">
        <v>161</v>
      </c>
      <c r="C4" s="32" t="str">
        <f>_xlfn.XLOOKUP(B4,B4:B69,'Appraisal Data'!B4:B69)</f>
        <v>Laura</v>
      </c>
      <c r="D4" s="32" t="str">
        <f>_xlfn.XLOOKUP(B4,B4:B69,'Appraisal Data'!C4:C69)</f>
        <v>Stacey</v>
      </c>
      <c r="E4" s="32" t="s">
        <v>157</v>
      </c>
      <c r="F4" s="32" t="s">
        <v>158</v>
      </c>
      <c r="G4" s="33">
        <v>42735</v>
      </c>
      <c r="H4" s="33"/>
      <c r="I4" s="132" t="str">
        <f t="shared" si="0"/>
        <v>no</v>
      </c>
      <c r="J4" s="133">
        <f t="shared" si="1"/>
        <v>0</v>
      </c>
      <c r="K4" s="85" t="str">
        <f t="shared" ca="1" si="2"/>
        <v>8.4</v>
      </c>
      <c r="L4" s="34"/>
      <c r="M4" s="33">
        <v>34459</v>
      </c>
      <c r="N4" s="86" t="str">
        <f t="shared" ca="1" si="3"/>
        <v>31years0months11323days</v>
      </c>
      <c r="O4" s="32" t="s">
        <v>150</v>
      </c>
      <c r="P4" s="32" t="s">
        <v>151</v>
      </c>
      <c r="Q4" s="32" t="s">
        <v>152</v>
      </c>
      <c r="R4" s="32" t="s">
        <v>162</v>
      </c>
      <c r="S4" s="32" t="s">
        <v>160</v>
      </c>
      <c r="T4" s="35">
        <v>240000</v>
      </c>
      <c r="U4" s="32">
        <f t="shared" si="4"/>
        <v>31</v>
      </c>
      <c r="V4" s="90">
        <f t="shared" si="5"/>
        <v>2</v>
      </c>
      <c r="W4" s="91">
        <f>('Appraisal Data'!A4-'Employees Data'!T4)/T4*100</f>
        <v>5</v>
      </c>
      <c r="X4" s="36">
        <f t="shared" ca="1" si="6"/>
        <v>24000</v>
      </c>
    </row>
    <row r="5" spans="1:27" x14ac:dyDescent="0.3">
      <c r="A5" s="32">
        <v>3067</v>
      </c>
      <c r="B5" s="32" t="s">
        <v>163</v>
      </c>
      <c r="C5" s="32" t="str">
        <f>_xlfn.XLOOKUP(B5,B5:B70,'Appraisal Data'!B5:B70)</f>
        <v>Jennifer</v>
      </c>
      <c r="D5" s="32" t="str">
        <f>_xlfn.XLOOKUP(B5,B5:B70,'Appraisal Data'!C5:C70)</f>
        <v>Wakefield</v>
      </c>
      <c r="E5" s="32" t="s">
        <v>164</v>
      </c>
      <c r="F5" s="32" t="s">
        <v>165</v>
      </c>
      <c r="G5" s="33">
        <v>42735</v>
      </c>
      <c r="H5" s="33">
        <v>44307</v>
      </c>
      <c r="I5" s="132" t="str">
        <f t="shared" si="0"/>
        <v>yes</v>
      </c>
      <c r="J5" s="133">
        <f t="shared" si="1"/>
        <v>1</v>
      </c>
      <c r="K5" s="85" t="str">
        <f t="shared" ca="1" si="2"/>
        <v>8.4</v>
      </c>
      <c r="L5" s="34"/>
      <c r="M5" s="33">
        <v>32674</v>
      </c>
      <c r="N5" s="86" t="str">
        <f t="shared" ca="1" si="3"/>
        <v>35years10months13108days</v>
      </c>
      <c r="O5" s="32" t="s">
        <v>150</v>
      </c>
      <c r="P5" s="32" t="s">
        <v>151</v>
      </c>
      <c r="Q5" s="32" t="s">
        <v>152</v>
      </c>
      <c r="R5" s="32" t="s">
        <v>166</v>
      </c>
      <c r="S5" s="32" t="s">
        <v>160</v>
      </c>
      <c r="T5" s="35">
        <v>300000</v>
      </c>
      <c r="U5" s="32">
        <f t="shared" si="4"/>
        <v>23</v>
      </c>
      <c r="V5" s="90">
        <f t="shared" si="5"/>
        <v>2</v>
      </c>
      <c r="W5" s="91">
        <f>('Appraisal Data'!A5-'Employees Data'!T5)/T5*100</f>
        <v>5</v>
      </c>
      <c r="X5" s="36">
        <f t="shared" ca="1" si="6"/>
        <v>30000</v>
      </c>
    </row>
    <row r="6" spans="1:27" x14ac:dyDescent="0.3">
      <c r="A6" s="32">
        <v>3068</v>
      </c>
      <c r="B6" s="32" t="s">
        <v>167</v>
      </c>
      <c r="C6" s="32" t="str">
        <f>_xlfn.XLOOKUP(B6,B6:B71,'Appraisal Data'!B6:B71)</f>
        <v>Jillian</v>
      </c>
      <c r="D6" s="32" t="str">
        <f>_xlfn.XLOOKUP(B6,B6:B71,'Appraisal Data'!C6:C71)</f>
        <v>Saulnier</v>
      </c>
      <c r="E6" s="32" t="s">
        <v>168</v>
      </c>
      <c r="F6" s="32" t="s">
        <v>169</v>
      </c>
      <c r="G6" s="33">
        <v>42705</v>
      </c>
      <c r="H6" s="33"/>
      <c r="I6" s="132" t="str">
        <f t="shared" si="0"/>
        <v>no</v>
      </c>
      <c r="J6" s="133">
        <f t="shared" si="1"/>
        <v>0</v>
      </c>
      <c r="K6" s="85" t="str">
        <f t="shared" ca="1" si="2"/>
        <v>8.5</v>
      </c>
      <c r="L6" s="34"/>
      <c r="M6" s="33">
        <v>33670</v>
      </c>
      <c r="N6" s="86" t="str">
        <f t="shared" ca="1" si="3"/>
        <v>33years1months12112days</v>
      </c>
      <c r="O6" s="32" t="s">
        <v>150</v>
      </c>
      <c r="P6" s="32" t="s">
        <v>151</v>
      </c>
      <c r="Q6" s="32" t="s">
        <v>152</v>
      </c>
      <c r="R6" s="32" t="s">
        <v>170</v>
      </c>
      <c r="S6" s="32" t="s">
        <v>160</v>
      </c>
      <c r="T6" s="35">
        <v>5640000</v>
      </c>
      <c r="U6" s="32">
        <f t="shared" si="4"/>
        <v>1</v>
      </c>
      <c r="V6" s="90">
        <f t="shared" si="5"/>
        <v>2</v>
      </c>
      <c r="W6" s="91">
        <f>('Appraisal Data'!A6-'Employees Data'!T6)/T6*100</f>
        <v>5</v>
      </c>
      <c r="X6" s="36">
        <f t="shared" ca="1" si="6"/>
        <v>564000</v>
      </c>
      <c r="Y6" s="23">
        <v>2</v>
      </c>
      <c r="AA6" s="37" t="s">
        <v>171</v>
      </c>
    </row>
    <row r="7" spans="1:27" x14ac:dyDescent="0.3">
      <c r="A7" s="32">
        <v>3069</v>
      </c>
      <c r="B7" s="32" t="s">
        <v>172</v>
      </c>
      <c r="C7" s="32" t="str">
        <f>_xlfn.XLOOKUP(B7,B7:B72,'Appraisal Data'!B7:B72)</f>
        <v>Mélodie</v>
      </c>
      <c r="D7" s="32" t="str">
        <f>_xlfn.XLOOKUP(B7,B7:B72,'Appraisal Data'!C7:C72)</f>
        <v>Daoust</v>
      </c>
      <c r="E7" s="32" t="s">
        <v>173</v>
      </c>
      <c r="F7" s="32" t="s">
        <v>174</v>
      </c>
      <c r="G7" s="33">
        <v>43346</v>
      </c>
      <c r="H7" s="33">
        <v>44290</v>
      </c>
      <c r="I7" s="132" t="str">
        <f t="shared" si="0"/>
        <v>yes</v>
      </c>
      <c r="J7" s="133">
        <f t="shared" si="1"/>
        <v>1</v>
      </c>
      <c r="K7" s="85" t="str">
        <f t="shared" ca="1" si="2"/>
        <v>6.8</v>
      </c>
      <c r="L7" s="34"/>
      <c r="M7" s="33">
        <v>33610</v>
      </c>
      <c r="N7" s="86" t="str">
        <f t="shared" ca="1" si="3"/>
        <v>33years3months12172days</v>
      </c>
      <c r="O7" s="32" t="s">
        <v>150</v>
      </c>
      <c r="P7" s="32" t="s">
        <v>151</v>
      </c>
      <c r="Q7" s="32" t="s">
        <v>152</v>
      </c>
      <c r="R7" s="32" t="s">
        <v>175</v>
      </c>
      <c r="S7" s="32" t="s">
        <v>160</v>
      </c>
      <c r="T7" s="35">
        <v>268000</v>
      </c>
      <c r="U7" s="32">
        <f t="shared" si="4"/>
        <v>27</v>
      </c>
      <c r="V7" s="90">
        <f t="shared" si="5"/>
        <v>2</v>
      </c>
      <c r="W7" s="91">
        <f>('Appraisal Data'!A7-'Employees Data'!T7)/T7*100</f>
        <v>5</v>
      </c>
      <c r="X7" s="36">
        <f t="shared" ca="1" si="6"/>
        <v>26800</v>
      </c>
      <c r="AA7" s="88">
        <f>SUMIFS(T2:T67,S2:S67, "male", V2:V67, "&gt;=3")</f>
        <v>9047320</v>
      </c>
    </row>
    <row r="8" spans="1:27" x14ac:dyDescent="0.3">
      <c r="A8" s="32">
        <v>3070</v>
      </c>
      <c r="B8" s="32" t="s">
        <v>176</v>
      </c>
      <c r="C8" s="32" t="str">
        <f>_xlfn.XLOOKUP(B8,B8:B73,'Appraisal Data'!B8:B73)</f>
        <v>Bailey</v>
      </c>
      <c r="D8" s="32" t="str">
        <f>_xlfn.XLOOKUP(B8,B8:B73,'Appraisal Data'!C8:C73)</f>
        <v>Bram</v>
      </c>
      <c r="E8" s="32" t="s">
        <v>177</v>
      </c>
      <c r="F8" s="32" t="s">
        <v>178</v>
      </c>
      <c r="G8" s="33">
        <v>42719</v>
      </c>
      <c r="H8" s="33"/>
      <c r="I8" s="132" t="str">
        <f t="shared" si="0"/>
        <v>no</v>
      </c>
      <c r="J8" s="133">
        <f t="shared" si="1"/>
        <v>0</v>
      </c>
      <c r="K8" s="85" t="str">
        <f t="shared" ca="1" si="2"/>
        <v>8.4</v>
      </c>
      <c r="L8" s="34"/>
      <c r="M8" s="33">
        <v>33121</v>
      </c>
      <c r="N8" s="86" t="str">
        <f t="shared" ca="1" si="3"/>
        <v>34years8months12661days</v>
      </c>
      <c r="O8" s="32" t="s">
        <v>150</v>
      </c>
      <c r="P8" s="32" t="s">
        <v>151</v>
      </c>
      <c r="Q8" s="32" t="s">
        <v>152</v>
      </c>
      <c r="R8" s="32" t="s">
        <v>153</v>
      </c>
      <c r="S8" s="32" t="s">
        <v>160</v>
      </c>
      <c r="T8" s="35">
        <v>180000</v>
      </c>
      <c r="U8" s="32">
        <f t="shared" si="4"/>
        <v>35</v>
      </c>
      <c r="V8" s="90">
        <f t="shared" si="5"/>
        <v>2</v>
      </c>
      <c r="W8" s="91">
        <f>('Appraisal Data'!A8-'Employees Data'!T8)/T8*100</f>
        <v>5</v>
      </c>
      <c r="X8" s="36">
        <f t="shared" ca="1" si="6"/>
        <v>18000</v>
      </c>
    </row>
    <row r="9" spans="1:27" x14ac:dyDescent="0.3">
      <c r="A9" s="32">
        <v>3071</v>
      </c>
      <c r="B9" s="32" t="s">
        <v>179</v>
      </c>
      <c r="C9" s="32" t="str">
        <f>_xlfn.XLOOKUP(B9,B9:B74,'Appraisal Data'!B9:B74)</f>
        <v>Brianne</v>
      </c>
      <c r="D9" s="32" t="str">
        <f>_xlfn.XLOOKUP(B9,B9:B74,'Appraisal Data'!C9:C74)</f>
        <v>Jenner</v>
      </c>
      <c r="E9" s="32" t="s">
        <v>157</v>
      </c>
      <c r="F9" s="32" t="s">
        <v>158</v>
      </c>
      <c r="G9" s="33">
        <v>42735</v>
      </c>
      <c r="H9" s="33"/>
      <c r="I9" s="132" t="str">
        <f t="shared" si="0"/>
        <v>no</v>
      </c>
      <c r="J9" s="133">
        <f t="shared" si="1"/>
        <v>0</v>
      </c>
      <c r="K9" s="85" t="str">
        <f t="shared" ca="1" si="2"/>
        <v>8.4</v>
      </c>
      <c r="L9" s="34"/>
      <c r="M9" s="33">
        <v>33362</v>
      </c>
      <c r="N9" s="86" t="str">
        <f t="shared" ca="1" si="3"/>
        <v>34years0months12420days</v>
      </c>
      <c r="O9" s="32" t="s">
        <v>150</v>
      </c>
      <c r="P9" s="32" t="s">
        <v>151</v>
      </c>
      <c r="Q9" s="32" t="s">
        <v>152</v>
      </c>
      <c r="R9" s="32" t="s">
        <v>159</v>
      </c>
      <c r="S9" s="32" t="s">
        <v>160</v>
      </c>
      <c r="T9" s="35">
        <v>168000</v>
      </c>
      <c r="U9" s="32">
        <f t="shared" si="4"/>
        <v>38</v>
      </c>
      <c r="V9" s="90">
        <f t="shared" si="5"/>
        <v>3</v>
      </c>
      <c r="W9" s="91">
        <f>('Appraisal Data'!A9-'Employees Data'!T9)/T9*100</f>
        <v>10</v>
      </c>
      <c r="X9" s="36">
        <f t="shared" ca="1" si="6"/>
        <v>16800</v>
      </c>
    </row>
    <row r="10" spans="1:27" x14ac:dyDescent="0.3">
      <c r="A10" s="32">
        <v>3072</v>
      </c>
      <c r="B10" s="32" t="s">
        <v>180</v>
      </c>
      <c r="C10" s="32" t="str">
        <f>_xlfn.XLOOKUP(B10,B10:B75,'Appraisal Data'!B10:B75)</f>
        <v>Sarah</v>
      </c>
      <c r="D10" s="32" t="str">
        <f>_xlfn.XLOOKUP(B10,B10:B75,'Appraisal Data'!C10:C75)</f>
        <v>Nurse</v>
      </c>
      <c r="E10" s="32" t="s">
        <v>157</v>
      </c>
      <c r="F10" s="32" t="s">
        <v>158</v>
      </c>
      <c r="G10" s="33">
        <v>42719</v>
      </c>
      <c r="H10" s="33">
        <v>44349</v>
      </c>
      <c r="I10" s="132" t="str">
        <f t="shared" si="0"/>
        <v>yes</v>
      </c>
      <c r="J10" s="133">
        <f t="shared" si="1"/>
        <v>1</v>
      </c>
      <c r="K10" s="85" t="str">
        <f t="shared" ca="1" si="2"/>
        <v>8.4</v>
      </c>
      <c r="L10" s="34"/>
      <c r="M10" s="33">
        <v>34703</v>
      </c>
      <c r="N10" s="86" t="str">
        <f t="shared" ca="1" si="3"/>
        <v>30years4months11079days</v>
      </c>
      <c r="O10" s="32" t="s">
        <v>150</v>
      </c>
      <c r="P10" s="32" t="s">
        <v>151</v>
      </c>
      <c r="Q10" s="32" t="s">
        <v>152</v>
      </c>
      <c r="R10" s="32" t="s">
        <v>162</v>
      </c>
      <c r="S10" s="32" t="s">
        <v>160</v>
      </c>
      <c r="T10" s="35">
        <v>168000</v>
      </c>
      <c r="U10" s="32">
        <f t="shared" si="4"/>
        <v>38</v>
      </c>
      <c r="V10" s="90">
        <f t="shared" si="5"/>
        <v>3</v>
      </c>
      <c r="W10" s="91">
        <f>('Appraisal Data'!A10-'Employees Data'!T10)/T10*100</f>
        <v>10</v>
      </c>
      <c r="X10" s="36">
        <f t="shared" ca="1" si="6"/>
        <v>16800</v>
      </c>
      <c r="Y10" s="23">
        <v>3</v>
      </c>
      <c r="AA10" s="37" t="s">
        <v>181</v>
      </c>
    </row>
    <row r="11" spans="1:27" x14ac:dyDescent="0.3">
      <c r="A11" s="32">
        <v>3073</v>
      </c>
      <c r="B11" s="32" t="s">
        <v>182</v>
      </c>
      <c r="C11" s="32" t="str">
        <f>_xlfn.XLOOKUP(B11,B11:B76,'Appraisal Data'!B11:B76)</f>
        <v>Haley</v>
      </c>
      <c r="D11" s="32" t="str">
        <f>_xlfn.XLOOKUP(B11,B11:B76,'Appraisal Data'!C11:C76)</f>
        <v>Irwin</v>
      </c>
      <c r="E11" s="32" t="s">
        <v>164</v>
      </c>
      <c r="F11" s="32" t="s">
        <v>165</v>
      </c>
      <c r="G11" s="33">
        <v>43830</v>
      </c>
      <c r="H11" s="33"/>
      <c r="I11" s="132" t="str">
        <f t="shared" si="0"/>
        <v>no</v>
      </c>
      <c r="J11" s="133">
        <f t="shared" si="1"/>
        <v>0</v>
      </c>
      <c r="K11" s="85" t="str">
        <f t="shared" ca="1" si="2"/>
        <v>5.4</v>
      </c>
      <c r="L11" s="34"/>
      <c r="M11" s="33">
        <v>32300</v>
      </c>
      <c r="N11" s="86" t="str">
        <f t="shared" ca="1" si="3"/>
        <v>36years10months13482days</v>
      </c>
      <c r="O11" s="32" t="s">
        <v>150</v>
      </c>
      <c r="P11" s="32" t="s">
        <v>151</v>
      </c>
      <c r="Q11" s="32" t="s">
        <v>152</v>
      </c>
      <c r="R11" s="32" t="s">
        <v>166</v>
      </c>
      <c r="S11" s="32" t="s">
        <v>160</v>
      </c>
      <c r="T11" s="35">
        <v>96000</v>
      </c>
      <c r="U11" s="32">
        <f t="shared" si="4"/>
        <v>52</v>
      </c>
      <c r="V11" s="90">
        <f t="shared" si="5"/>
        <v>3</v>
      </c>
      <c r="W11" s="91">
        <f>('Appraisal Data'!A11-'Employees Data'!T11)/T11*100</f>
        <v>10</v>
      </c>
      <c r="X11" s="36">
        <f t="shared" ca="1" si="6"/>
        <v>9600</v>
      </c>
      <c r="AA11" s="89">
        <f ca="1">COUNTBLANK(X2:X67)</f>
        <v>0</v>
      </c>
    </row>
    <row r="12" spans="1:27" x14ac:dyDescent="0.3">
      <c r="A12" s="32">
        <v>3074</v>
      </c>
      <c r="B12" s="32" t="s">
        <v>183</v>
      </c>
      <c r="C12" s="32" t="str">
        <f>_xlfn.XLOOKUP(B12,B12:B77,'Appraisal Data'!B12:B77)</f>
        <v>Natalie</v>
      </c>
      <c r="D12" s="32" t="str">
        <f>_xlfn.XLOOKUP(B12,B12:B77,'Appraisal Data'!C12:C77)</f>
        <v>Spooner</v>
      </c>
      <c r="E12" s="32" t="s">
        <v>164</v>
      </c>
      <c r="F12" s="32" t="s">
        <v>165</v>
      </c>
      <c r="G12" s="33">
        <v>43830</v>
      </c>
      <c r="H12" s="33"/>
      <c r="I12" s="132" t="str">
        <f t="shared" si="0"/>
        <v>no</v>
      </c>
      <c r="J12" s="133">
        <f t="shared" si="1"/>
        <v>0</v>
      </c>
      <c r="K12" s="85" t="str">
        <f t="shared" ca="1" si="2"/>
        <v>5.4</v>
      </c>
      <c r="L12" s="34"/>
      <c r="M12" s="33">
        <v>33163</v>
      </c>
      <c r="N12" s="86" t="str">
        <f t="shared" ca="1" si="3"/>
        <v>34years6months12619days</v>
      </c>
      <c r="O12" s="32" t="s">
        <v>150</v>
      </c>
      <c r="P12" s="32" t="s">
        <v>151</v>
      </c>
      <c r="Q12" s="32" t="s">
        <v>152</v>
      </c>
      <c r="R12" s="32" t="s">
        <v>170</v>
      </c>
      <c r="S12" s="32" t="s">
        <v>160</v>
      </c>
      <c r="T12" s="35">
        <v>92760</v>
      </c>
      <c r="U12" s="32">
        <f t="shared" si="4"/>
        <v>55</v>
      </c>
      <c r="V12" s="90">
        <f t="shared" si="5"/>
        <v>3</v>
      </c>
      <c r="W12" s="91">
        <f>('Appraisal Data'!A12-'Employees Data'!T12)/T12*100</f>
        <v>10</v>
      </c>
      <c r="X12" s="36">
        <f t="shared" ca="1" si="6"/>
        <v>9276</v>
      </c>
    </row>
    <row r="13" spans="1:27" x14ac:dyDescent="0.3">
      <c r="A13" s="32">
        <v>3075</v>
      </c>
      <c r="B13" s="32" t="s">
        <v>184</v>
      </c>
      <c r="C13" s="32" t="str">
        <f>_xlfn.XLOOKUP(B13,B13:B78,'Appraisal Data'!B13:B78)</f>
        <v>Emily</v>
      </c>
      <c r="D13" s="32" t="str">
        <f>_xlfn.XLOOKUP(B13,B13:B78,'Appraisal Data'!C13:C78)</f>
        <v>Clark</v>
      </c>
      <c r="E13" s="32" t="s">
        <v>164</v>
      </c>
      <c r="F13" s="32" t="s">
        <v>165</v>
      </c>
      <c r="G13" s="33">
        <v>43830</v>
      </c>
      <c r="H13" s="33"/>
      <c r="I13" s="132" t="str">
        <f t="shared" si="0"/>
        <v>no</v>
      </c>
      <c r="J13" s="133">
        <f t="shared" si="1"/>
        <v>0</v>
      </c>
      <c r="K13" s="85" t="str">
        <f t="shared" ca="1" si="2"/>
        <v>5.4</v>
      </c>
      <c r="L13" s="34"/>
      <c r="M13" s="33">
        <v>35031</v>
      </c>
      <c r="N13" s="86" t="str">
        <f t="shared" ca="1" si="3"/>
        <v>29years5months10751days</v>
      </c>
      <c r="O13" s="32" t="s">
        <v>150</v>
      </c>
      <c r="P13" s="32" t="s">
        <v>151</v>
      </c>
      <c r="Q13" s="32" t="s">
        <v>152</v>
      </c>
      <c r="R13" s="32" t="s">
        <v>175</v>
      </c>
      <c r="S13" s="32" t="s">
        <v>160</v>
      </c>
      <c r="T13" s="35">
        <v>96000</v>
      </c>
      <c r="U13" s="32">
        <f t="shared" si="4"/>
        <v>52</v>
      </c>
      <c r="V13" s="90">
        <f t="shared" si="5"/>
        <v>3</v>
      </c>
      <c r="W13" s="91">
        <f>('Appraisal Data'!A13-'Employees Data'!T13)/T13*100</f>
        <v>10</v>
      </c>
      <c r="X13" s="36">
        <f t="shared" ca="1" si="6"/>
        <v>9600</v>
      </c>
    </row>
    <row r="14" spans="1:27" x14ac:dyDescent="0.3">
      <c r="A14" s="32">
        <v>3076</v>
      </c>
      <c r="B14" s="32" t="s">
        <v>185</v>
      </c>
      <c r="C14" s="32" t="str">
        <f>_xlfn.XLOOKUP(B14,B14:B79,'Appraisal Data'!B14:B79)</f>
        <v>Marie-Philip</v>
      </c>
      <c r="D14" s="32" t="str">
        <f>_xlfn.XLOOKUP(B14,B14:B79,'Appraisal Data'!C14:C79)</f>
        <v>Poulin</v>
      </c>
      <c r="E14" s="32" t="s">
        <v>164</v>
      </c>
      <c r="F14" s="32" t="s">
        <v>165</v>
      </c>
      <c r="G14" s="33">
        <v>43830</v>
      </c>
      <c r="H14" s="33"/>
      <c r="I14" s="132" t="str">
        <f t="shared" si="0"/>
        <v>no</v>
      </c>
      <c r="J14" s="133">
        <f t="shared" si="1"/>
        <v>0</v>
      </c>
      <c r="K14" s="85" t="str">
        <f t="shared" ca="1" si="2"/>
        <v>5.4</v>
      </c>
      <c r="L14" s="34"/>
      <c r="M14" s="33">
        <v>33325</v>
      </c>
      <c r="N14" s="86" t="str">
        <f t="shared" ca="1" si="3"/>
        <v>34years1months12457days</v>
      </c>
      <c r="O14" s="32" t="s">
        <v>150</v>
      </c>
      <c r="P14" s="32" t="s">
        <v>151</v>
      </c>
      <c r="Q14" s="32" t="s">
        <v>152</v>
      </c>
      <c r="R14" s="32" t="s">
        <v>186</v>
      </c>
      <c r="S14" s="32" t="s">
        <v>160</v>
      </c>
      <c r="T14" s="35">
        <v>96000</v>
      </c>
      <c r="U14" s="32">
        <f t="shared" si="4"/>
        <v>52</v>
      </c>
      <c r="V14" s="90">
        <f t="shared" si="5"/>
        <v>3</v>
      </c>
      <c r="W14" s="91">
        <f>('Appraisal Data'!A14-'Employees Data'!T14)/T14*100</f>
        <v>10</v>
      </c>
      <c r="X14" s="36">
        <f t="shared" ca="1" si="6"/>
        <v>9600</v>
      </c>
      <c r="Y14" s="23">
        <v>4</v>
      </c>
      <c r="AA14" s="39" t="s">
        <v>187</v>
      </c>
    </row>
    <row r="15" spans="1:27" x14ac:dyDescent="0.3">
      <c r="A15" s="32">
        <v>3077</v>
      </c>
      <c r="B15" s="32" t="s">
        <v>188</v>
      </c>
      <c r="C15" s="32" t="str">
        <f>_xlfn.XLOOKUP(B15,B15:B80,'Appraisal Data'!B15:B80)</f>
        <v>Blayre</v>
      </c>
      <c r="D15" s="32" t="str">
        <f>_xlfn.XLOOKUP(B15,B15:B80,'Appraisal Data'!C15:C80)</f>
        <v>Turnbull</v>
      </c>
      <c r="E15" s="32" t="s">
        <v>164</v>
      </c>
      <c r="F15" s="32" t="s">
        <v>165</v>
      </c>
      <c r="G15" s="33">
        <v>43830</v>
      </c>
      <c r="H15" s="33"/>
      <c r="I15" s="132" t="str">
        <f t="shared" si="0"/>
        <v>no</v>
      </c>
      <c r="J15" s="133">
        <f t="shared" si="1"/>
        <v>0</v>
      </c>
      <c r="K15" s="85" t="str">
        <f t="shared" ca="1" si="2"/>
        <v>5.4</v>
      </c>
      <c r="L15" s="34"/>
      <c r="M15" s="33">
        <v>34165</v>
      </c>
      <c r="N15" s="86" t="str">
        <f t="shared" ca="1" si="3"/>
        <v>31years9months11617days</v>
      </c>
      <c r="O15" s="32" t="s">
        <v>150</v>
      </c>
      <c r="P15" s="32" t="s">
        <v>151</v>
      </c>
      <c r="Q15" s="32" t="s">
        <v>152</v>
      </c>
      <c r="R15" s="32" t="s">
        <v>189</v>
      </c>
      <c r="S15" s="32" t="s">
        <v>160</v>
      </c>
      <c r="T15" s="35">
        <v>156000</v>
      </c>
      <c r="U15" s="32">
        <f t="shared" si="4"/>
        <v>43</v>
      </c>
      <c r="V15" s="90">
        <f t="shared" si="5"/>
        <v>3</v>
      </c>
      <c r="W15" s="91">
        <f>('Appraisal Data'!A15-'Employees Data'!T15)/T15*100</f>
        <v>12</v>
      </c>
      <c r="X15" s="36">
        <f t="shared" ca="1" si="6"/>
        <v>15600</v>
      </c>
      <c r="AA15" s="40" t="s">
        <v>190</v>
      </c>
    </row>
    <row r="16" spans="1:27" x14ac:dyDescent="0.3">
      <c r="A16" s="32">
        <v>3078</v>
      </c>
      <c r="B16" s="32" t="s">
        <v>191</v>
      </c>
      <c r="C16" s="32" t="str">
        <f>_xlfn.XLOOKUP(B16,B16:B81,'Appraisal Data'!B16:B81)</f>
        <v>Jocelyne</v>
      </c>
      <c r="D16" s="32" t="str">
        <f>_xlfn.XLOOKUP(B16,B16:B81,'Appraisal Data'!C16:C81)</f>
        <v>Larocque</v>
      </c>
      <c r="E16" s="32" t="s">
        <v>157</v>
      </c>
      <c r="F16" s="32" t="s">
        <v>158</v>
      </c>
      <c r="G16" s="33">
        <v>43830</v>
      </c>
      <c r="H16" s="33"/>
      <c r="I16" s="132" t="str">
        <f t="shared" si="0"/>
        <v>no</v>
      </c>
      <c r="J16" s="133">
        <f t="shared" si="1"/>
        <v>0</v>
      </c>
      <c r="K16" s="85" t="str">
        <f t="shared" ca="1" si="2"/>
        <v>5.4</v>
      </c>
      <c r="L16" s="34"/>
      <c r="M16" s="33">
        <v>32282</v>
      </c>
      <c r="N16" s="86" t="str">
        <f t="shared" ca="1" si="3"/>
        <v>36years11months13500days</v>
      </c>
      <c r="O16" s="32" t="s">
        <v>150</v>
      </c>
      <c r="P16" s="32" t="s">
        <v>151</v>
      </c>
      <c r="Q16" s="32" t="s">
        <v>152</v>
      </c>
      <c r="R16" s="32" t="s">
        <v>192</v>
      </c>
      <c r="S16" s="32" t="s">
        <v>160</v>
      </c>
      <c r="T16" s="35">
        <v>420000</v>
      </c>
      <c r="U16" s="32">
        <f t="shared" si="4"/>
        <v>18</v>
      </c>
      <c r="V16" s="90">
        <f t="shared" si="5"/>
        <v>3</v>
      </c>
      <c r="W16" s="91">
        <f>('Appraisal Data'!A16-'Employees Data'!T16)/T16*100</f>
        <v>12</v>
      </c>
      <c r="X16" s="36">
        <f t="shared" ca="1" si="6"/>
        <v>42000</v>
      </c>
      <c r="AA16" s="40" t="s">
        <v>193</v>
      </c>
    </row>
    <row r="17" spans="1:29" x14ac:dyDescent="0.3">
      <c r="A17" s="32">
        <v>3079</v>
      </c>
      <c r="B17" s="32" t="s">
        <v>194</v>
      </c>
      <c r="C17" s="32" t="str">
        <f>_xlfn.XLOOKUP(B17,B17:B82,'Appraisal Data'!B17:B82)</f>
        <v>Brigette</v>
      </c>
      <c r="D17" s="32" t="str">
        <f>_xlfn.XLOOKUP(B17,B17:B82,'Appraisal Data'!C17:C82)</f>
        <v>Lacquette</v>
      </c>
      <c r="E17" s="32" t="s">
        <v>157</v>
      </c>
      <c r="F17" s="32" t="s">
        <v>158</v>
      </c>
      <c r="G17" s="33">
        <v>43830</v>
      </c>
      <c r="H17" s="33"/>
      <c r="I17" s="132" t="str">
        <f t="shared" si="0"/>
        <v>no</v>
      </c>
      <c r="J17" s="133">
        <f t="shared" si="1"/>
        <v>0</v>
      </c>
      <c r="K17" s="85" t="str">
        <f t="shared" ca="1" si="2"/>
        <v>5.4</v>
      </c>
      <c r="L17" s="34"/>
      <c r="M17" s="33">
        <v>33888</v>
      </c>
      <c r="N17" s="86" t="str">
        <f t="shared" ca="1" si="3"/>
        <v>32years6months11894days</v>
      </c>
      <c r="O17" s="32" t="s">
        <v>150</v>
      </c>
      <c r="P17" s="32" t="s">
        <v>151</v>
      </c>
      <c r="Q17" s="32" t="s">
        <v>152</v>
      </c>
      <c r="R17" s="32" t="s">
        <v>153</v>
      </c>
      <c r="S17" s="32" t="s">
        <v>160</v>
      </c>
      <c r="T17" s="35">
        <v>264000</v>
      </c>
      <c r="U17" s="32">
        <f t="shared" si="4"/>
        <v>28</v>
      </c>
      <c r="V17" s="90">
        <f t="shared" si="5"/>
        <v>3</v>
      </c>
      <c r="W17" s="91">
        <f>('Appraisal Data'!A17-'Employees Data'!T17)/T17*100</f>
        <v>12</v>
      </c>
      <c r="X17" s="36">
        <f t="shared" ca="1" si="6"/>
        <v>26400</v>
      </c>
    </row>
    <row r="18" spans="1:29" x14ac:dyDescent="0.3">
      <c r="A18" s="32">
        <v>3080</v>
      </c>
      <c r="B18" s="32" t="s">
        <v>195</v>
      </c>
      <c r="C18" s="32" t="str">
        <f>_xlfn.XLOOKUP(B18,B18:B83,'Appraisal Data'!B18:B83)</f>
        <v>Lauriane</v>
      </c>
      <c r="D18" s="32" t="str">
        <f>_xlfn.XLOOKUP(B18,B18:B83,'Appraisal Data'!C18:C83)</f>
        <v>Rougeau</v>
      </c>
      <c r="E18" s="32" t="s">
        <v>164</v>
      </c>
      <c r="F18" s="32" t="s">
        <v>165</v>
      </c>
      <c r="G18" s="33">
        <v>43084</v>
      </c>
      <c r="H18" s="33"/>
      <c r="I18" s="132" t="str">
        <f t="shared" si="0"/>
        <v>no</v>
      </c>
      <c r="J18" s="133">
        <f t="shared" si="1"/>
        <v>0</v>
      </c>
      <c r="K18" s="85" t="str">
        <f t="shared" ca="1" si="2"/>
        <v>7.4</v>
      </c>
      <c r="L18" s="34"/>
      <c r="M18" s="33">
        <v>32975</v>
      </c>
      <c r="N18" s="86" t="str">
        <f t="shared" ca="1" si="3"/>
        <v>35years0months12807days</v>
      </c>
      <c r="O18" s="32" t="s">
        <v>150</v>
      </c>
      <c r="P18" s="32" t="s">
        <v>151</v>
      </c>
      <c r="Q18" s="32" t="s">
        <v>152</v>
      </c>
      <c r="R18" s="32" t="s">
        <v>159</v>
      </c>
      <c r="S18" s="32" t="s">
        <v>160</v>
      </c>
      <c r="T18" s="35">
        <v>144000</v>
      </c>
      <c r="U18" s="32">
        <f t="shared" si="4"/>
        <v>47</v>
      </c>
      <c r="V18" s="90">
        <f t="shared" si="5"/>
        <v>3</v>
      </c>
      <c r="W18" s="91">
        <f>('Appraisal Data'!A18-'Employees Data'!T18)/T18*100</f>
        <v>12</v>
      </c>
      <c r="X18" s="36">
        <f t="shared" ca="1" si="6"/>
        <v>14400</v>
      </c>
    </row>
    <row r="19" spans="1:29" x14ac:dyDescent="0.3">
      <c r="A19" s="32">
        <v>3081</v>
      </c>
      <c r="B19" s="32" t="s">
        <v>196</v>
      </c>
      <c r="C19" s="32" t="str">
        <f>_xlfn.XLOOKUP(B19,B19:B84,'Appraisal Data'!B19:B84)</f>
        <v>Laura</v>
      </c>
      <c r="D19" s="32" t="str">
        <f>_xlfn.XLOOKUP(B19,B19:B84,'Appraisal Data'!C19:C84)</f>
        <v>Fortino</v>
      </c>
      <c r="E19" s="32" t="s">
        <v>157</v>
      </c>
      <c r="F19" s="32" t="s">
        <v>158</v>
      </c>
      <c r="G19" s="33">
        <v>42637</v>
      </c>
      <c r="H19" s="33">
        <v>44463</v>
      </c>
      <c r="I19" s="132" t="str">
        <f t="shared" si="0"/>
        <v>yes</v>
      </c>
      <c r="J19" s="133">
        <f t="shared" si="1"/>
        <v>1</v>
      </c>
      <c r="K19" s="85" t="str">
        <f t="shared" ca="1" si="2"/>
        <v>8.7</v>
      </c>
      <c r="L19" s="34"/>
      <c r="M19" s="33">
        <v>33268</v>
      </c>
      <c r="N19" s="86" t="str">
        <f t="shared" ca="1" si="3"/>
        <v>34years3months12514days</v>
      </c>
      <c r="O19" s="32" t="s">
        <v>150</v>
      </c>
      <c r="P19" s="32" t="s">
        <v>151</v>
      </c>
      <c r="Q19" s="32" t="s">
        <v>152</v>
      </c>
      <c r="R19" s="32" t="s">
        <v>162</v>
      </c>
      <c r="S19" s="32" t="s">
        <v>154</v>
      </c>
      <c r="T19" s="35">
        <v>264000</v>
      </c>
      <c r="U19" s="32">
        <f t="shared" si="4"/>
        <v>28</v>
      </c>
      <c r="V19" s="90">
        <f t="shared" si="5"/>
        <v>4</v>
      </c>
      <c r="W19" s="91">
        <f>('Appraisal Data'!A19-'Employees Data'!T19)/T19*100</f>
        <v>15</v>
      </c>
      <c r="X19" s="36">
        <f t="shared" ca="1" si="6"/>
        <v>26400</v>
      </c>
      <c r="AA19" s="41" t="s">
        <v>197</v>
      </c>
      <c r="AC19" s="41" t="s">
        <v>198</v>
      </c>
    </row>
    <row r="20" spans="1:29" x14ac:dyDescent="0.3">
      <c r="A20" s="32">
        <v>3082</v>
      </c>
      <c r="B20" s="32" t="s">
        <v>199</v>
      </c>
      <c r="C20" s="32" t="str">
        <f>_xlfn.XLOOKUP(B20,B20:B85,'Appraisal Data'!B20:B85)</f>
        <v>Meaghan</v>
      </c>
      <c r="D20" s="32" t="str">
        <f>_xlfn.XLOOKUP(B20,B20:B85,'Appraisal Data'!C20:C85)</f>
        <v>Mikkelson</v>
      </c>
      <c r="E20" s="32" t="s">
        <v>164</v>
      </c>
      <c r="F20" s="32" t="s">
        <v>165</v>
      </c>
      <c r="G20" s="33">
        <v>43100</v>
      </c>
      <c r="H20" s="33"/>
      <c r="I20" s="132" t="str">
        <f t="shared" si="0"/>
        <v>no</v>
      </c>
      <c r="J20" s="133">
        <f t="shared" si="1"/>
        <v>0</v>
      </c>
      <c r="K20" s="85" t="str">
        <f t="shared" ca="1" si="2"/>
        <v>7.4</v>
      </c>
      <c r="L20" s="34"/>
      <c r="M20" s="33">
        <v>31051</v>
      </c>
      <c r="N20" s="86" t="str">
        <f t="shared" ca="1" si="3"/>
        <v>40years4months14731days</v>
      </c>
      <c r="O20" s="32" t="s">
        <v>150</v>
      </c>
      <c r="P20" s="32" t="s">
        <v>151</v>
      </c>
      <c r="Q20" s="32" t="s">
        <v>152</v>
      </c>
      <c r="R20" s="32" t="s">
        <v>166</v>
      </c>
      <c r="S20" s="32" t="s">
        <v>160</v>
      </c>
      <c r="T20" s="35">
        <v>192000</v>
      </c>
      <c r="U20" s="32">
        <f t="shared" si="4"/>
        <v>34</v>
      </c>
      <c r="V20" s="90">
        <f t="shared" si="5"/>
        <v>4</v>
      </c>
      <c r="W20" s="91">
        <f>('Appraisal Data'!A20-'Employees Data'!T20)/T20*100</f>
        <v>15</v>
      </c>
      <c r="X20" s="36">
        <f t="shared" ca="1" si="6"/>
        <v>19200</v>
      </c>
      <c r="AA20" s="37"/>
      <c r="AC20" s="37">
        <v>3</v>
      </c>
    </row>
    <row r="21" spans="1:29" x14ac:dyDescent="0.3">
      <c r="A21" s="32">
        <v>3083</v>
      </c>
      <c r="B21" s="32" t="s">
        <v>200</v>
      </c>
      <c r="C21" s="32" t="str">
        <f>_xlfn.XLOOKUP(B21,B21:B86,'Appraisal Data'!B21:B86)</f>
        <v>Renata</v>
      </c>
      <c r="D21" s="32" t="str">
        <f>_xlfn.XLOOKUP(B21,B21:B86,'Appraisal Data'!C21:C86)</f>
        <v>Fast</v>
      </c>
      <c r="E21" s="32" t="s">
        <v>201</v>
      </c>
      <c r="F21" s="32" t="s">
        <v>202</v>
      </c>
      <c r="G21" s="33">
        <v>42735</v>
      </c>
      <c r="H21" s="33"/>
      <c r="I21" s="132" t="str">
        <f t="shared" si="0"/>
        <v>no</v>
      </c>
      <c r="J21" s="133">
        <f t="shared" si="1"/>
        <v>0</v>
      </c>
      <c r="K21" s="85" t="str">
        <f t="shared" ca="1" si="2"/>
        <v>8.4</v>
      </c>
      <c r="L21" s="34"/>
      <c r="M21" s="33">
        <v>34613</v>
      </c>
      <c r="N21" s="86" t="str">
        <f t="shared" ca="1" si="3"/>
        <v>30years6months11169days</v>
      </c>
      <c r="O21" s="32" t="s">
        <v>150</v>
      </c>
      <c r="P21" s="32" t="s">
        <v>151</v>
      </c>
      <c r="Q21" s="32" t="s">
        <v>152</v>
      </c>
      <c r="R21" s="32" t="s">
        <v>170</v>
      </c>
      <c r="S21" s="32" t="s">
        <v>160</v>
      </c>
      <c r="T21" s="35">
        <v>1200000</v>
      </c>
      <c r="U21" s="32">
        <f t="shared" si="4"/>
        <v>9</v>
      </c>
      <c r="V21" s="90">
        <f t="shared" si="5"/>
        <v>4</v>
      </c>
      <c r="W21" s="91">
        <f>('Appraisal Data'!A21-'Employees Data'!T21)/T21*100</f>
        <v>15</v>
      </c>
      <c r="X21" s="36">
        <f t="shared" ca="1" si="6"/>
        <v>120000</v>
      </c>
    </row>
    <row r="22" spans="1:29" x14ac:dyDescent="0.3">
      <c r="A22" s="32">
        <v>3084</v>
      </c>
      <c r="B22" s="32" t="s">
        <v>203</v>
      </c>
      <c r="C22" s="32" t="str">
        <f>_xlfn.XLOOKUP(B22,B22:B87,'Appraisal Data'!B22:B87)</f>
        <v>Shannon</v>
      </c>
      <c r="D22" s="32" t="str">
        <f>_xlfn.XLOOKUP(B22,B22:B87,'Appraisal Data'!C22:C87)</f>
        <v>Szabados</v>
      </c>
      <c r="E22" s="32" t="s">
        <v>201</v>
      </c>
      <c r="F22" s="32" t="s">
        <v>202</v>
      </c>
      <c r="G22" s="33">
        <v>42719</v>
      </c>
      <c r="H22" s="33"/>
      <c r="I22" s="132" t="str">
        <f t="shared" si="0"/>
        <v>no</v>
      </c>
      <c r="J22" s="133">
        <f t="shared" si="1"/>
        <v>0</v>
      </c>
      <c r="K22" s="85" t="str">
        <f t="shared" ca="1" si="2"/>
        <v>8.4</v>
      </c>
      <c r="L22" s="34"/>
      <c r="M22" s="33">
        <v>31630</v>
      </c>
      <c r="N22" s="86" t="str">
        <f t="shared" ca="1" si="3"/>
        <v>38years8months14152days</v>
      </c>
      <c r="O22" s="32" t="s">
        <v>150</v>
      </c>
      <c r="P22" s="32" t="s">
        <v>151</v>
      </c>
      <c r="Q22" s="32" t="s">
        <v>152</v>
      </c>
      <c r="R22" s="32" t="s">
        <v>175</v>
      </c>
      <c r="S22" s="32" t="s">
        <v>160</v>
      </c>
      <c r="T22" s="35">
        <v>1680000</v>
      </c>
      <c r="U22" s="32">
        <f t="shared" si="4"/>
        <v>5</v>
      </c>
      <c r="V22" s="90">
        <f t="shared" si="5"/>
        <v>5</v>
      </c>
      <c r="W22" s="91">
        <f>('Appraisal Data'!A22-'Employees Data'!T22)/T22*100</f>
        <v>20</v>
      </c>
      <c r="X22" s="36">
        <f t="shared" ca="1" si="6"/>
        <v>168000</v>
      </c>
    </row>
    <row r="23" spans="1:29" x14ac:dyDescent="0.3">
      <c r="A23" s="32">
        <v>3085</v>
      </c>
      <c r="B23" s="32" t="s">
        <v>204</v>
      </c>
      <c r="C23" s="32" t="str">
        <f>_xlfn.XLOOKUP(B23,B23:B88,'Appraisal Data'!B23:B88)</f>
        <v>Geneviève</v>
      </c>
      <c r="D23" s="32" t="str">
        <f>_xlfn.XLOOKUP(B23,B23:B88,'Appraisal Data'!C23:C88)</f>
        <v>Lacasse</v>
      </c>
      <c r="E23" s="32" t="s">
        <v>157</v>
      </c>
      <c r="F23" s="32" t="s">
        <v>158</v>
      </c>
      <c r="G23" s="33">
        <v>42719</v>
      </c>
      <c r="H23" s="33"/>
      <c r="I23" s="132" t="str">
        <f t="shared" si="0"/>
        <v>no</v>
      </c>
      <c r="J23" s="133">
        <f t="shared" si="1"/>
        <v>0</v>
      </c>
      <c r="K23" s="85" t="str">
        <f t="shared" ca="1" si="2"/>
        <v>8.4</v>
      </c>
      <c r="L23" s="34"/>
      <c r="M23" s="33">
        <v>32633</v>
      </c>
      <c r="N23" s="86" t="str">
        <f t="shared" ca="1" si="3"/>
        <v>36years0months13149days</v>
      </c>
      <c r="O23" s="32" t="s">
        <v>150</v>
      </c>
      <c r="P23" s="32" t="s">
        <v>151</v>
      </c>
      <c r="Q23" s="32" t="s">
        <v>152</v>
      </c>
      <c r="R23" s="32" t="s">
        <v>186</v>
      </c>
      <c r="S23" s="32" t="s">
        <v>154</v>
      </c>
      <c r="T23" s="35">
        <v>862200</v>
      </c>
      <c r="U23" s="32">
        <f t="shared" si="4"/>
        <v>12</v>
      </c>
      <c r="V23" s="90">
        <f t="shared" si="5"/>
        <v>5</v>
      </c>
      <c r="W23" s="91">
        <f>('Appraisal Data'!A23-'Employees Data'!T23)/T23*100</f>
        <v>20</v>
      </c>
      <c r="X23" s="36">
        <f t="shared" ca="1" si="6"/>
        <v>86220</v>
      </c>
      <c r="AA23" s="42" t="s">
        <v>205</v>
      </c>
      <c r="AB23" s="42" t="s">
        <v>206</v>
      </c>
      <c r="AC23" s="42" t="s">
        <v>207</v>
      </c>
    </row>
    <row r="24" spans="1:29" x14ac:dyDescent="0.3">
      <c r="A24" s="32">
        <v>3086</v>
      </c>
      <c r="B24" s="32" t="s">
        <v>208</v>
      </c>
      <c r="C24" s="32" t="str">
        <f>_xlfn.XLOOKUP(B24,B24:B89,'Appraisal Data'!B24:B89)</f>
        <v>Ann-Renée</v>
      </c>
      <c r="D24" s="32" t="str">
        <f>_xlfn.XLOOKUP(B24,B24:B89,'Appraisal Data'!C24:C89)</f>
        <v>Desbiens</v>
      </c>
      <c r="E24" s="32" t="s">
        <v>201</v>
      </c>
      <c r="F24" s="32" t="s">
        <v>202</v>
      </c>
      <c r="G24" s="33">
        <v>42719</v>
      </c>
      <c r="H24" s="33"/>
      <c r="I24" s="132" t="str">
        <f t="shared" si="0"/>
        <v>no</v>
      </c>
      <c r="J24" s="133">
        <f t="shared" si="1"/>
        <v>0</v>
      </c>
      <c r="K24" s="85" t="str">
        <f t="shared" ca="1" si="2"/>
        <v>8.4</v>
      </c>
      <c r="L24" s="34"/>
      <c r="M24" s="33">
        <v>34434</v>
      </c>
      <c r="N24" s="86" t="str">
        <f t="shared" ca="1" si="3"/>
        <v>31years0months11348days</v>
      </c>
      <c r="O24" s="32" t="s">
        <v>150</v>
      </c>
      <c r="P24" s="32" t="s">
        <v>151</v>
      </c>
      <c r="Q24" s="32" t="s">
        <v>152</v>
      </c>
      <c r="R24" s="32" t="s">
        <v>189</v>
      </c>
      <c r="S24" s="32" t="s">
        <v>160</v>
      </c>
      <c r="T24" s="35">
        <v>772600</v>
      </c>
      <c r="U24" s="32">
        <f t="shared" si="4"/>
        <v>14</v>
      </c>
      <c r="V24" s="90">
        <f t="shared" si="5"/>
        <v>5</v>
      </c>
      <c r="W24" s="91">
        <f>('Appraisal Data'!A24-'Employees Data'!T24)/T24*100</f>
        <v>20</v>
      </c>
      <c r="X24" s="36">
        <f t="shared" ca="1" si="6"/>
        <v>77260</v>
      </c>
      <c r="AA24" s="38" t="s">
        <v>209</v>
      </c>
      <c r="AB24" s="43">
        <v>2735</v>
      </c>
      <c r="AC24" s="43">
        <v>248</v>
      </c>
    </row>
    <row r="25" spans="1:29" x14ac:dyDescent="0.3">
      <c r="A25" s="32">
        <v>3087</v>
      </c>
      <c r="B25" s="32" t="s">
        <v>210</v>
      </c>
      <c r="C25" s="32" t="str">
        <f>_xlfn.XLOOKUP(B25,B25:B90,'Appraisal Data'!B25:B90)</f>
        <v>Gilbert</v>
      </c>
      <c r="D25" s="32" t="str">
        <f>_xlfn.XLOOKUP(B25,B25:B90,'Appraisal Data'!C25:C90)</f>
        <v>Brulé</v>
      </c>
      <c r="E25" s="32" t="s">
        <v>201</v>
      </c>
      <c r="F25" s="32" t="s">
        <v>202</v>
      </c>
      <c r="G25" s="33">
        <v>42735</v>
      </c>
      <c r="H25" s="33"/>
      <c r="I25" s="132" t="str">
        <f t="shared" si="0"/>
        <v>no</v>
      </c>
      <c r="J25" s="133">
        <f t="shared" si="1"/>
        <v>0</v>
      </c>
      <c r="K25" s="85" t="str">
        <f t="shared" ca="1" si="2"/>
        <v>8.4</v>
      </c>
      <c r="L25" s="34"/>
      <c r="M25" s="33">
        <v>31778</v>
      </c>
      <c r="N25" s="86" t="str">
        <f t="shared" ca="1" si="3"/>
        <v>38years4months14004days</v>
      </c>
      <c r="O25" s="32" t="s">
        <v>150</v>
      </c>
      <c r="P25" s="32" t="s">
        <v>151</v>
      </c>
      <c r="Q25" s="32" t="s">
        <v>152</v>
      </c>
      <c r="R25" s="32" t="s">
        <v>192</v>
      </c>
      <c r="S25" s="32" t="s">
        <v>160</v>
      </c>
      <c r="T25" s="35">
        <v>565000</v>
      </c>
      <c r="U25" s="32">
        <f t="shared" si="4"/>
        <v>17</v>
      </c>
      <c r="V25" s="90">
        <f t="shared" si="5"/>
        <v>1</v>
      </c>
      <c r="W25" s="91">
        <f>('Appraisal Data'!A25-'Employees Data'!T25)/T25*100</f>
        <v>4</v>
      </c>
      <c r="X25" s="36">
        <f t="shared" ca="1" si="6"/>
        <v>56500</v>
      </c>
      <c r="AA25" s="38" t="s">
        <v>211</v>
      </c>
      <c r="AB25" s="43">
        <v>2544</v>
      </c>
      <c r="AC25" s="43">
        <v>103</v>
      </c>
    </row>
    <row r="26" spans="1:29" x14ac:dyDescent="0.3">
      <c r="A26" s="32">
        <v>3088</v>
      </c>
      <c r="B26" s="32" t="s">
        <v>212</v>
      </c>
      <c r="C26" s="32" t="str">
        <f>_xlfn.XLOOKUP(B26,B26:B91,'Appraisal Data'!B26:B91)</f>
        <v>Wojtek</v>
      </c>
      <c r="D26" s="32" t="str">
        <f>_xlfn.XLOOKUP(B26,B26:B91,'Appraisal Data'!C26:C91)</f>
        <v>Wolski</v>
      </c>
      <c r="E26" s="32" t="s">
        <v>201</v>
      </c>
      <c r="F26" s="32" t="s">
        <v>202</v>
      </c>
      <c r="G26" s="33">
        <v>42719</v>
      </c>
      <c r="H26" s="33"/>
      <c r="I26" s="132" t="str">
        <f t="shared" si="0"/>
        <v>no</v>
      </c>
      <c r="J26" s="133">
        <f t="shared" si="1"/>
        <v>0</v>
      </c>
      <c r="K26" s="85" t="str">
        <f t="shared" ca="1" si="2"/>
        <v>8.4</v>
      </c>
      <c r="L26" s="34"/>
      <c r="M26" s="33">
        <v>31467</v>
      </c>
      <c r="N26" s="86" t="str">
        <f t="shared" ca="1" si="3"/>
        <v>39years2months14315days</v>
      </c>
      <c r="O26" s="32" t="s">
        <v>150</v>
      </c>
      <c r="P26" s="32" t="s">
        <v>151</v>
      </c>
      <c r="Q26" s="32" t="s">
        <v>152</v>
      </c>
      <c r="R26" s="32" t="s">
        <v>213</v>
      </c>
      <c r="S26" s="32" t="s">
        <v>160</v>
      </c>
      <c r="T26" s="35">
        <v>985000</v>
      </c>
      <c r="U26" s="32">
        <f t="shared" si="4"/>
        <v>10</v>
      </c>
      <c r="V26" s="90">
        <f t="shared" si="5"/>
        <v>2</v>
      </c>
      <c r="W26" s="91">
        <f>('Appraisal Data'!A26-'Employees Data'!T26)/T26*100</f>
        <v>7.0000000000000009</v>
      </c>
      <c r="X26" s="36">
        <f t="shared" ca="1" si="6"/>
        <v>98500</v>
      </c>
      <c r="AA26" s="38" t="s">
        <v>214</v>
      </c>
      <c r="AB26" s="43">
        <v>2001</v>
      </c>
      <c r="AC26" s="43">
        <v>211</v>
      </c>
    </row>
    <row r="27" spans="1:29" x14ac:dyDescent="0.3">
      <c r="A27" s="32">
        <v>3089</v>
      </c>
      <c r="B27" s="32" t="s">
        <v>215</v>
      </c>
      <c r="C27" s="32" t="str">
        <f>_xlfn.XLOOKUP(B27,B27:B92,'Appraisal Data'!B27:B92)</f>
        <v>Derek</v>
      </c>
      <c r="D27" s="32" t="str">
        <f>_xlfn.XLOOKUP(B27,B27:B92,'Appraisal Data'!C27:C92)</f>
        <v>Roy</v>
      </c>
      <c r="E27" s="32" t="s">
        <v>157</v>
      </c>
      <c r="F27" s="32" t="s">
        <v>158</v>
      </c>
      <c r="G27" s="33">
        <v>42735</v>
      </c>
      <c r="H27" s="33">
        <v>44484</v>
      </c>
      <c r="I27" s="132" t="str">
        <f t="shared" si="0"/>
        <v>yes</v>
      </c>
      <c r="J27" s="133">
        <f t="shared" si="1"/>
        <v>1</v>
      </c>
      <c r="K27" s="85" t="str">
        <f t="shared" ca="1" si="2"/>
        <v>8.4</v>
      </c>
      <c r="L27" s="34"/>
      <c r="M27" s="33">
        <v>30440</v>
      </c>
      <c r="N27" s="86" t="str">
        <f t="shared" ca="1" si="3"/>
        <v>42years0months15342days</v>
      </c>
      <c r="O27" s="32" t="s">
        <v>150</v>
      </c>
      <c r="P27" s="32" t="s">
        <v>151</v>
      </c>
      <c r="Q27" s="32" t="s">
        <v>152</v>
      </c>
      <c r="R27" s="32" t="s">
        <v>216</v>
      </c>
      <c r="S27" s="32" t="s">
        <v>160</v>
      </c>
      <c r="T27" s="35">
        <v>276600</v>
      </c>
      <c r="U27" s="32">
        <f t="shared" si="4"/>
        <v>26</v>
      </c>
      <c r="V27" s="90">
        <f t="shared" si="5"/>
        <v>2</v>
      </c>
      <c r="W27" s="91">
        <f>('Appraisal Data'!A27-'Employees Data'!T27)/T27*100</f>
        <v>7.0000000000000009</v>
      </c>
      <c r="X27" s="36">
        <f t="shared" ca="1" si="6"/>
        <v>27660</v>
      </c>
      <c r="AA27" s="38" t="s">
        <v>217</v>
      </c>
      <c r="AB27" s="43">
        <v>2969</v>
      </c>
      <c r="AC27" s="43">
        <v>373</v>
      </c>
    </row>
    <row r="28" spans="1:29" x14ac:dyDescent="0.3">
      <c r="A28" s="32">
        <v>3090</v>
      </c>
      <c r="B28" s="32" t="s">
        <v>218</v>
      </c>
      <c r="C28" s="32" t="str">
        <f>_xlfn.XLOOKUP(B28,B28:B93,'Appraisal Data'!B28:B93)</f>
        <v>Chris</v>
      </c>
      <c r="D28" s="32" t="str">
        <f>_xlfn.XLOOKUP(B28,B28:B93,'Appraisal Data'!C28:C93)</f>
        <v>Kelly</v>
      </c>
      <c r="E28" s="32" t="s">
        <v>219</v>
      </c>
      <c r="F28" s="32" t="s">
        <v>220</v>
      </c>
      <c r="G28" s="33">
        <v>42719</v>
      </c>
      <c r="H28" s="33"/>
      <c r="I28" s="132" t="str">
        <f t="shared" si="0"/>
        <v>no</v>
      </c>
      <c r="J28" s="133">
        <f t="shared" si="1"/>
        <v>0</v>
      </c>
      <c r="K28" s="85" t="str">
        <f t="shared" ca="1" si="2"/>
        <v>8.4</v>
      </c>
      <c r="L28" s="34"/>
      <c r="M28" s="33">
        <v>29536</v>
      </c>
      <c r="N28" s="86" t="str">
        <f t="shared" ca="1" si="3"/>
        <v>44years5months16246days</v>
      </c>
      <c r="O28" s="32" t="s">
        <v>150</v>
      </c>
      <c r="P28" s="32" t="s">
        <v>151</v>
      </c>
      <c r="Q28" s="32" t="s">
        <v>152</v>
      </c>
      <c r="R28" s="32" t="s">
        <v>153</v>
      </c>
      <c r="S28" s="32" t="s">
        <v>160</v>
      </c>
      <c r="T28" s="35">
        <v>1806000</v>
      </c>
      <c r="U28" s="32">
        <f t="shared" si="4"/>
        <v>4</v>
      </c>
      <c r="V28" s="90">
        <f t="shared" si="5"/>
        <v>2</v>
      </c>
      <c r="W28" s="91">
        <f>('Appraisal Data'!A28-'Employees Data'!T28)/T28*100</f>
        <v>7.0000000000000009</v>
      </c>
      <c r="X28" s="36">
        <f t="shared" ca="1" si="6"/>
        <v>180600</v>
      </c>
      <c r="AA28" s="38" t="s">
        <v>221</v>
      </c>
      <c r="AB28" s="43">
        <v>2931</v>
      </c>
      <c r="AC28" s="43">
        <v>328</v>
      </c>
    </row>
    <row r="29" spans="1:29" x14ac:dyDescent="0.3">
      <c r="A29" s="32">
        <v>3091</v>
      </c>
      <c r="B29" s="32" t="s">
        <v>222</v>
      </c>
      <c r="C29" s="32" t="str">
        <f>_xlfn.XLOOKUP(B29,B29:B94,'Appraisal Data'!B29:B94)</f>
        <v>Rob</v>
      </c>
      <c r="D29" s="32" t="str">
        <f>_xlfn.XLOOKUP(B29,B29:B94,'Appraisal Data'!C29:C94)</f>
        <v>Klinkhammer</v>
      </c>
      <c r="E29" s="32" t="s">
        <v>164</v>
      </c>
      <c r="F29" s="32" t="s">
        <v>165</v>
      </c>
      <c r="G29" s="33">
        <v>42735</v>
      </c>
      <c r="H29" s="33"/>
      <c r="I29" s="132" t="str">
        <f t="shared" si="0"/>
        <v>no</v>
      </c>
      <c r="J29" s="133">
        <f t="shared" si="1"/>
        <v>0</v>
      </c>
      <c r="K29" s="85" t="str">
        <f t="shared" ca="1" si="2"/>
        <v>8.4</v>
      </c>
      <c r="L29" s="34"/>
      <c r="M29" s="33">
        <v>31636</v>
      </c>
      <c r="N29" s="86" t="str">
        <f t="shared" ca="1" si="3"/>
        <v>38years8months14146days</v>
      </c>
      <c r="O29" s="32" t="s">
        <v>150</v>
      </c>
      <c r="P29" s="32" t="s">
        <v>151</v>
      </c>
      <c r="Q29" s="32" t="s">
        <v>152</v>
      </c>
      <c r="R29" s="32" t="s">
        <v>159</v>
      </c>
      <c r="S29" s="32" t="s">
        <v>160</v>
      </c>
      <c r="T29" s="35">
        <v>165600</v>
      </c>
      <c r="U29" s="32">
        <f t="shared" si="4"/>
        <v>40</v>
      </c>
      <c r="V29" s="90">
        <f t="shared" si="5"/>
        <v>2</v>
      </c>
      <c r="W29" s="91">
        <f>('Appraisal Data'!A29-'Employees Data'!T29)/T29*100</f>
        <v>7.0000000000000009</v>
      </c>
      <c r="X29" s="36">
        <f t="shared" ca="1" si="6"/>
        <v>16560</v>
      </c>
      <c r="AA29" s="38" t="s">
        <v>223</v>
      </c>
      <c r="AB29" s="43">
        <v>1070</v>
      </c>
      <c r="AC29" s="43">
        <v>211</v>
      </c>
    </row>
    <row r="30" spans="1:29" x14ac:dyDescent="0.3">
      <c r="A30" s="32">
        <v>3092</v>
      </c>
      <c r="B30" s="32" t="s">
        <v>224</v>
      </c>
      <c r="C30" s="32" t="str">
        <f>_xlfn.XLOOKUP(B30,B30:B95,'Appraisal Data'!B30:B95)</f>
        <v>Brandon</v>
      </c>
      <c r="D30" s="32" t="str">
        <f>_xlfn.XLOOKUP(B30,B30:B95,'Appraisal Data'!C30:C95)</f>
        <v>Kozun</v>
      </c>
      <c r="E30" s="32" t="s">
        <v>164</v>
      </c>
      <c r="F30" s="32" t="s">
        <v>165</v>
      </c>
      <c r="G30" s="33">
        <v>42719</v>
      </c>
      <c r="H30" s="33"/>
      <c r="I30" s="132" t="str">
        <f t="shared" si="0"/>
        <v>no</v>
      </c>
      <c r="J30" s="133">
        <f t="shared" si="1"/>
        <v>0</v>
      </c>
      <c r="K30" s="85" t="str">
        <f t="shared" ca="1" si="2"/>
        <v>8.4</v>
      </c>
      <c r="L30" s="34"/>
      <c r="M30" s="33">
        <v>32940</v>
      </c>
      <c r="N30" s="86" t="str">
        <f t="shared" ca="1" si="3"/>
        <v>35years1months12842days</v>
      </c>
      <c r="O30" s="32" t="s">
        <v>150</v>
      </c>
      <c r="P30" s="32" t="s">
        <v>151</v>
      </c>
      <c r="Q30" s="32" t="s">
        <v>152</v>
      </c>
      <c r="R30" s="32" t="s">
        <v>162</v>
      </c>
      <c r="S30" s="32" t="s">
        <v>160</v>
      </c>
      <c r="T30" s="35">
        <v>153600</v>
      </c>
      <c r="U30" s="32">
        <f t="shared" si="4"/>
        <v>44</v>
      </c>
      <c r="V30" s="90">
        <f t="shared" si="5"/>
        <v>2</v>
      </c>
      <c r="W30" s="91">
        <f>('Appraisal Data'!A30-'Employees Data'!T30)/T30*100</f>
        <v>7.0000000000000009</v>
      </c>
      <c r="X30" s="36">
        <f t="shared" ca="1" si="6"/>
        <v>15360</v>
      </c>
      <c r="AA30" s="38" t="s">
        <v>225</v>
      </c>
      <c r="AB30" s="43">
        <v>1602</v>
      </c>
      <c r="AC30" s="43">
        <v>491</v>
      </c>
    </row>
    <row r="31" spans="1:29" x14ac:dyDescent="0.3">
      <c r="A31" s="32">
        <v>3093</v>
      </c>
      <c r="B31" s="32" t="s">
        <v>226</v>
      </c>
      <c r="C31" s="32" t="str">
        <f>_xlfn.XLOOKUP(B31,B31:B96,'Appraisal Data'!B31:B96)</f>
        <v>Quinton</v>
      </c>
      <c r="D31" s="32" t="str">
        <f>_xlfn.XLOOKUP(B31,B31:B96,'Appraisal Data'!C31:C96)</f>
        <v>Howden</v>
      </c>
      <c r="E31" s="32" t="s">
        <v>164</v>
      </c>
      <c r="F31" s="32" t="s">
        <v>165</v>
      </c>
      <c r="G31" s="33">
        <v>42735</v>
      </c>
      <c r="H31" s="33"/>
      <c r="I31" s="132" t="str">
        <f t="shared" si="0"/>
        <v>no</v>
      </c>
      <c r="J31" s="133">
        <f t="shared" si="1"/>
        <v>0</v>
      </c>
      <c r="K31" s="85" t="str">
        <f t="shared" ca="1" si="2"/>
        <v>8.4</v>
      </c>
      <c r="L31" s="34"/>
      <c r="M31" s="33">
        <v>33624</v>
      </c>
      <c r="N31" s="86" t="str">
        <f t="shared" ca="1" si="3"/>
        <v>33years3months12158days</v>
      </c>
      <c r="O31" s="32" t="s">
        <v>150</v>
      </c>
      <c r="P31" s="32" t="s">
        <v>151</v>
      </c>
      <c r="Q31" s="32" t="s">
        <v>152</v>
      </c>
      <c r="R31" s="32" t="s">
        <v>166</v>
      </c>
      <c r="S31" s="32" t="s">
        <v>154</v>
      </c>
      <c r="T31" s="35">
        <v>171000</v>
      </c>
      <c r="U31" s="32">
        <f t="shared" si="4"/>
        <v>37</v>
      </c>
      <c r="V31" s="90">
        <f t="shared" si="5"/>
        <v>2</v>
      </c>
      <c r="W31" s="91">
        <f>('Appraisal Data'!A31-'Employees Data'!T31)/T31*100</f>
        <v>7.0000000000000009</v>
      </c>
      <c r="X31" s="36">
        <f t="shared" ca="1" si="6"/>
        <v>17100</v>
      </c>
      <c r="AA31" s="38" t="s">
        <v>227</v>
      </c>
      <c r="AB31" s="43">
        <v>2165</v>
      </c>
      <c r="AC31" s="43">
        <v>178</v>
      </c>
    </row>
    <row r="32" spans="1:29" x14ac:dyDescent="0.3">
      <c r="A32" s="32">
        <v>3094</v>
      </c>
      <c r="B32" s="32" t="s">
        <v>228</v>
      </c>
      <c r="C32" s="32" t="str">
        <f>_xlfn.XLOOKUP(B32,B32:B97,'Appraisal Data'!B32:B97)</f>
        <v>René</v>
      </c>
      <c r="D32" s="32" t="str">
        <f>_xlfn.XLOOKUP(B32,B32:B97,'Appraisal Data'!C32:C97)</f>
        <v>Bourque</v>
      </c>
      <c r="E32" s="32" t="s">
        <v>157</v>
      </c>
      <c r="F32" s="32" t="s">
        <v>158</v>
      </c>
      <c r="G32" s="33">
        <v>42719</v>
      </c>
      <c r="H32" s="33"/>
      <c r="I32" s="132" t="str">
        <f t="shared" si="0"/>
        <v>no</v>
      </c>
      <c r="J32" s="133">
        <f t="shared" si="1"/>
        <v>0</v>
      </c>
      <c r="K32" s="85" t="str">
        <f t="shared" ca="1" si="2"/>
        <v>8.4</v>
      </c>
      <c r="L32" s="34"/>
      <c r="M32" s="33">
        <v>29930</v>
      </c>
      <c r="N32" s="86" t="str">
        <f t="shared" ca="1" si="3"/>
        <v>43years4months15852days</v>
      </c>
      <c r="O32" s="32" t="s">
        <v>150</v>
      </c>
      <c r="P32" s="32" t="s">
        <v>151</v>
      </c>
      <c r="Q32" s="32" t="s">
        <v>152</v>
      </c>
      <c r="R32" s="32" t="s">
        <v>170</v>
      </c>
      <c r="S32" s="32" t="s">
        <v>160</v>
      </c>
      <c r="T32" s="35">
        <v>286400</v>
      </c>
      <c r="U32" s="32">
        <f t="shared" si="4"/>
        <v>25</v>
      </c>
      <c r="V32" s="90">
        <f t="shared" si="5"/>
        <v>2</v>
      </c>
      <c r="W32" s="91">
        <f>('Appraisal Data'!A32-'Employees Data'!T32)/T32*100</f>
        <v>9</v>
      </c>
      <c r="X32" s="36">
        <f t="shared" ca="1" si="6"/>
        <v>28640</v>
      </c>
      <c r="AA32" s="38" t="s">
        <v>229</v>
      </c>
      <c r="AB32" s="43">
        <v>2966</v>
      </c>
      <c r="AC32" s="43">
        <v>422</v>
      </c>
    </row>
    <row r="33" spans="1:29" x14ac:dyDescent="0.3">
      <c r="A33" s="32">
        <v>3095</v>
      </c>
      <c r="B33" s="32" t="s">
        <v>230</v>
      </c>
      <c r="C33" s="32" t="str">
        <f>_xlfn.XLOOKUP(B33,B33:B98,'Appraisal Data'!B33:B98)</f>
        <v>Andrew</v>
      </c>
      <c r="D33" s="32" t="str">
        <f>_xlfn.XLOOKUP(B33,B33:B98,'Appraisal Data'!C33:C98)</f>
        <v>Ebbett</v>
      </c>
      <c r="E33" s="32" t="s">
        <v>164</v>
      </c>
      <c r="F33" s="32" t="s">
        <v>165</v>
      </c>
      <c r="G33" s="33">
        <v>42719</v>
      </c>
      <c r="H33" s="33"/>
      <c r="I33" s="132" t="str">
        <f t="shared" si="0"/>
        <v>no</v>
      </c>
      <c r="J33" s="133">
        <f t="shared" si="1"/>
        <v>0</v>
      </c>
      <c r="K33" s="85" t="str">
        <f t="shared" ca="1" si="2"/>
        <v>8.4</v>
      </c>
      <c r="L33" s="34"/>
      <c r="M33" s="33">
        <v>30318</v>
      </c>
      <c r="N33" s="86" t="str">
        <f t="shared" ca="1" si="3"/>
        <v>42years4months15464days</v>
      </c>
      <c r="O33" s="32" t="s">
        <v>150</v>
      </c>
      <c r="P33" s="32" t="s">
        <v>151</v>
      </c>
      <c r="Q33" s="32" t="s">
        <v>152</v>
      </c>
      <c r="R33" s="32" t="s">
        <v>175</v>
      </c>
      <c r="S33" s="32" t="s">
        <v>154</v>
      </c>
      <c r="T33" s="35">
        <v>83520</v>
      </c>
      <c r="U33" s="32">
        <f t="shared" si="4"/>
        <v>60</v>
      </c>
      <c r="V33" s="90">
        <f t="shared" si="5"/>
        <v>2</v>
      </c>
      <c r="W33" s="91">
        <f>('Appraisal Data'!A33-'Employees Data'!T33)/T33*100</f>
        <v>9.0000000000000036</v>
      </c>
      <c r="X33" s="36">
        <f t="shared" ca="1" si="6"/>
        <v>8352</v>
      </c>
      <c r="AA33" s="38" t="s">
        <v>231</v>
      </c>
      <c r="AB33" s="43">
        <v>2025</v>
      </c>
      <c r="AC33" s="43">
        <v>387</v>
      </c>
    </row>
    <row r="34" spans="1:29" x14ac:dyDescent="0.3">
      <c r="A34" s="32">
        <v>3096</v>
      </c>
      <c r="B34" s="32" t="s">
        <v>232</v>
      </c>
      <c r="C34" s="32" t="str">
        <f>_xlfn.XLOOKUP(B34,B34:B99,'Appraisal Data'!B34:B99)</f>
        <v>Mason</v>
      </c>
      <c r="D34" s="32" t="str">
        <f>_xlfn.XLOOKUP(B34,B34:B99,'Appraisal Data'!C34:C99)</f>
        <v>Raymond</v>
      </c>
      <c r="E34" s="32" t="s">
        <v>201</v>
      </c>
      <c r="F34" s="32" t="s">
        <v>202</v>
      </c>
      <c r="G34" s="33">
        <v>42735</v>
      </c>
      <c r="H34" s="33">
        <v>44460</v>
      </c>
      <c r="I34" s="132" t="str">
        <f t="shared" si="0"/>
        <v>yes</v>
      </c>
      <c r="J34" s="133">
        <f t="shared" si="1"/>
        <v>1</v>
      </c>
      <c r="K34" s="85" t="str">
        <f t="shared" ca="1" si="2"/>
        <v>8.4</v>
      </c>
      <c r="L34" s="34"/>
      <c r="M34" s="33">
        <v>31307</v>
      </c>
      <c r="N34" s="86" t="str">
        <f t="shared" ca="1" si="3"/>
        <v>39years7months14475days</v>
      </c>
      <c r="O34" s="32" t="s">
        <v>150</v>
      </c>
      <c r="P34" s="32" t="s">
        <v>151</v>
      </c>
      <c r="Q34" s="32" t="s">
        <v>152</v>
      </c>
      <c r="R34" s="32" t="s">
        <v>186</v>
      </c>
      <c r="S34" s="32" t="s">
        <v>154</v>
      </c>
      <c r="T34" s="35">
        <v>864000</v>
      </c>
      <c r="U34" s="32">
        <f t="shared" si="4"/>
        <v>11</v>
      </c>
      <c r="V34" s="90">
        <f t="shared" si="5"/>
        <v>2</v>
      </c>
      <c r="W34" s="91">
        <f>('Appraisal Data'!A34-'Employees Data'!T34)/T34*100</f>
        <v>9</v>
      </c>
      <c r="X34" s="36">
        <f t="shared" ca="1" si="6"/>
        <v>86400</v>
      </c>
    </row>
    <row r="35" spans="1:29" x14ac:dyDescent="0.3">
      <c r="A35" s="32">
        <v>3097</v>
      </c>
      <c r="B35" s="32" t="s">
        <v>233</v>
      </c>
      <c r="C35" s="32" t="str">
        <f>_xlfn.XLOOKUP(B35,B35:B100,'Appraisal Data'!B35:B100)</f>
        <v>Eric</v>
      </c>
      <c r="D35" s="32" t="str">
        <f>_xlfn.XLOOKUP(B35,B35:B100,'Appraisal Data'!C35:C100)</f>
        <v>O’Dell</v>
      </c>
      <c r="E35" s="32" t="s">
        <v>164</v>
      </c>
      <c r="F35" s="32" t="s">
        <v>165</v>
      </c>
      <c r="G35" s="33">
        <v>42735</v>
      </c>
      <c r="H35" s="33"/>
      <c r="I35" s="132" t="str">
        <f t="shared" si="0"/>
        <v>no</v>
      </c>
      <c r="J35" s="133">
        <f t="shared" si="1"/>
        <v>0</v>
      </c>
      <c r="K35" s="85" t="str">
        <f t="shared" ca="1" si="2"/>
        <v>8.4</v>
      </c>
      <c r="L35" s="34"/>
      <c r="M35" s="33">
        <v>33045</v>
      </c>
      <c r="N35" s="86" t="str">
        <f t="shared" ca="1" si="3"/>
        <v>34years10months12737days</v>
      </c>
      <c r="O35" s="32" t="s">
        <v>150</v>
      </c>
      <c r="P35" s="32" t="s">
        <v>151</v>
      </c>
      <c r="Q35" s="32" t="s">
        <v>152</v>
      </c>
      <c r="R35" s="32" t="s">
        <v>189</v>
      </c>
      <c r="S35" s="32" t="s">
        <v>160</v>
      </c>
      <c r="T35" s="35">
        <v>87000</v>
      </c>
      <c r="U35" s="32">
        <f t="shared" si="4"/>
        <v>57</v>
      </c>
      <c r="V35" s="90">
        <f t="shared" si="5"/>
        <v>2</v>
      </c>
      <c r="W35" s="91">
        <f>('Appraisal Data'!A35-'Employees Data'!T35)/T35*100</f>
        <v>9</v>
      </c>
      <c r="X35" s="36">
        <f t="shared" ca="1" si="6"/>
        <v>8700</v>
      </c>
    </row>
    <row r="36" spans="1:29" x14ac:dyDescent="0.3">
      <c r="A36" s="32">
        <v>3098</v>
      </c>
      <c r="B36" s="32" t="s">
        <v>234</v>
      </c>
      <c r="C36" s="32" t="str">
        <f>_xlfn.XLOOKUP(B36,B36:B101,'Appraisal Data'!B36:B101)</f>
        <v>Maxim</v>
      </c>
      <c r="D36" s="32" t="str">
        <f>_xlfn.XLOOKUP(B36,B36:B101,'Appraisal Data'!C36:C101)</f>
        <v>Lapierre</v>
      </c>
      <c r="E36" s="32" t="s">
        <v>201</v>
      </c>
      <c r="F36" s="32" t="s">
        <v>202</v>
      </c>
      <c r="G36" s="33">
        <v>42735</v>
      </c>
      <c r="H36" s="33"/>
      <c r="I36" s="132" t="str">
        <f t="shared" si="0"/>
        <v>no</v>
      </c>
      <c r="J36" s="133">
        <f t="shared" si="1"/>
        <v>0</v>
      </c>
      <c r="K36" s="85" t="str">
        <f t="shared" ca="1" si="2"/>
        <v>8.4</v>
      </c>
      <c r="L36" s="34"/>
      <c r="M36" s="33">
        <v>31135</v>
      </c>
      <c r="N36" s="86" t="str">
        <f t="shared" ca="1" si="3"/>
        <v>40years1months14647days</v>
      </c>
      <c r="O36" s="32" t="s">
        <v>150</v>
      </c>
      <c r="P36" s="32" t="s">
        <v>151</v>
      </c>
      <c r="Q36" s="32" t="s">
        <v>152</v>
      </c>
      <c r="R36" s="32" t="s">
        <v>192</v>
      </c>
      <c r="S36" s="32" t="s">
        <v>154</v>
      </c>
      <c r="T36" s="35">
        <v>668000</v>
      </c>
      <c r="U36" s="32">
        <f t="shared" si="4"/>
        <v>16</v>
      </c>
      <c r="V36" s="90">
        <f t="shared" si="5"/>
        <v>3</v>
      </c>
      <c r="W36" s="91">
        <f>('Appraisal Data'!A36-'Employees Data'!T36)/T36*100</f>
        <v>11</v>
      </c>
      <c r="X36" s="36">
        <f t="shared" ca="1" si="6"/>
        <v>66800</v>
      </c>
      <c r="Y36" s="23">
        <v>5</v>
      </c>
      <c r="AA36" s="37" t="s">
        <v>14</v>
      </c>
      <c r="AB36" s="37" t="s">
        <v>235</v>
      </c>
    </row>
    <row r="37" spans="1:29" x14ac:dyDescent="0.3">
      <c r="A37" s="32">
        <v>3099</v>
      </c>
      <c r="B37" s="32" t="s">
        <v>236</v>
      </c>
      <c r="C37" s="32" t="str">
        <f>_xlfn.XLOOKUP(B37,B37:B102,'Appraisal Data'!B37:B102)</f>
        <v>Linden</v>
      </c>
      <c r="D37" s="32" t="str">
        <f>_xlfn.XLOOKUP(B37,B37:B102,'Appraisal Data'!C37:C102)</f>
        <v>Vey</v>
      </c>
      <c r="E37" s="32" t="s">
        <v>219</v>
      </c>
      <c r="F37" s="32" t="s">
        <v>220</v>
      </c>
      <c r="G37" s="33">
        <v>42735</v>
      </c>
      <c r="H37" s="33"/>
      <c r="I37" s="132" t="str">
        <f t="shared" si="0"/>
        <v>no</v>
      </c>
      <c r="J37" s="133">
        <f t="shared" si="1"/>
        <v>0</v>
      </c>
      <c r="K37" s="85" t="str">
        <f t="shared" ca="1" si="2"/>
        <v>8.4</v>
      </c>
      <c r="L37" s="34"/>
      <c r="M37" s="33">
        <v>33436</v>
      </c>
      <c r="N37" s="86" t="str">
        <f t="shared" ca="1" si="3"/>
        <v>33years9months12346days</v>
      </c>
      <c r="O37" s="32" t="s">
        <v>150</v>
      </c>
      <c r="P37" s="32" t="s">
        <v>151</v>
      </c>
      <c r="Q37" s="32" t="s">
        <v>152</v>
      </c>
      <c r="R37" s="32" t="s">
        <v>213</v>
      </c>
      <c r="S37" s="32" t="s">
        <v>160</v>
      </c>
      <c r="T37" s="35">
        <v>1290000</v>
      </c>
      <c r="U37" s="32">
        <f t="shared" si="4"/>
        <v>8</v>
      </c>
      <c r="V37" s="90">
        <f t="shared" si="5"/>
        <v>3</v>
      </c>
      <c r="W37" s="91">
        <f>('Appraisal Data'!A37-'Employees Data'!T37)/T37*100</f>
        <v>11</v>
      </c>
      <c r="X37" s="36">
        <f t="shared" ca="1" si="6"/>
        <v>129000</v>
      </c>
      <c r="AA37" s="38" t="s">
        <v>237</v>
      </c>
      <c r="AB37" s="38" t="str">
        <f>MID(AA37,4,4)</f>
        <v xml:space="preserve"> M. </v>
      </c>
    </row>
    <row r="38" spans="1:29" x14ac:dyDescent="0.3">
      <c r="A38" s="32">
        <v>3100</v>
      </c>
      <c r="B38" s="32" t="s">
        <v>238</v>
      </c>
      <c r="C38" s="32" t="str">
        <f>_xlfn.XLOOKUP(B38,B38:B103,'Appraisal Data'!B38:B103)</f>
        <v>Christian</v>
      </c>
      <c r="D38" s="32" t="str">
        <f>_xlfn.XLOOKUP(B38,B38:B103,'Appraisal Data'!C38:C103)</f>
        <v>Thomas</v>
      </c>
      <c r="E38" s="32" t="s">
        <v>164</v>
      </c>
      <c r="F38" s="32" t="s">
        <v>165</v>
      </c>
      <c r="G38" s="33">
        <v>42719</v>
      </c>
      <c r="H38" s="33"/>
      <c r="I38" s="132" t="str">
        <f t="shared" si="0"/>
        <v>no</v>
      </c>
      <c r="J38" s="133">
        <f t="shared" si="1"/>
        <v>0</v>
      </c>
      <c r="K38" s="85" t="str">
        <f t="shared" ca="1" si="2"/>
        <v>8.4</v>
      </c>
      <c r="L38" s="34"/>
      <c r="M38" s="33">
        <v>33750</v>
      </c>
      <c r="N38" s="86" t="str">
        <f t="shared" ca="1" si="3"/>
        <v>32years11months12032days</v>
      </c>
      <c r="O38" s="32" t="s">
        <v>150</v>
      </c>
      <c r="P38" s="32" t="s">
        <v>151</v>
      </c>
      <c r="Q38" s="32" t="s">
        <v>152</v>
      </c>
      <c r="R38" s="32" t="s">
        <v>216</v>
      </c>
      <c r="S38" s="32" t="s">
        <v>154</v>
      </c>
      <c r="T38" s="35">
        <v>249000</v>
      </c>
      <c r="U38" s="32">
        <f t="shared" si="4"/>
        <v>30</v>
      </c>
      <c r="V38" s="90">
        <f t="shared" si="5"/>
        <v>3</v>
      </c>
      <c r="W38" s="91">
        <f>('Appraisal Data'!A38-'Employees Data'!T38)/T38*100</f>
        <v>11</v>
      </c>
      <c r="X38" s="36">
        <f t="shared" ca="1" si="6"/>
        <v>24900</v>
      </c>
      <c r="AA38" s="38" t="s">
        <v>239</v>
      </c>
      <c r="AB38" s="38" t="str">
        <f>MID(AA38,6,7)</f>
        <v xml:space="preserve"> Katrin</v>
      </c>
    </row>
    <row r="39" spans="1:29" x14ac:dyDescent="0.3">
      <c r="A39" s="32">
        <v>3101</v>
      </c>
      <c r="B39" s="32" t="s">
        <v>240</v>
      </c>
      <c r="C39" s="32" t="str">
        <f>_xlfn.XLOOKUP(B39,B39:B104,'Appraisal Data'!B39:B104)</f>
        <v>Karl</v>
      </c>
      <c r="D39" s="32" t="str">
        <f>_xlfn.XLOOKUP(B39,B39:B104,'Appraisal Data'!C39:C104)</f>
        <v>Stollery</v>
      </c>
      <c r="E39" s="32" t="s">
        <v>201</v>
      </c>
      <c r="F39" s="32" t="s">
        <v>202</v>
      </c>
      <c r="G39" s="33">
        <v>42719</v>
      </c>
      <c r="H39" s="33"/>
      <c r="I39" s="132" t="str">
        <f t="shared" si="0"/>
        <v>no</v>
      </c>
      <c r="J39" s="133">
        <f t="shared" si="1"/>
        <v>0</v>
      </c>
      <c r="K39" s="85" t="str">
        <f t="shared" ca="1" si="2"/>
        <v>8.4</v>
      </c>
      <c r="L39" s="34"/>
      <c r="M39" s="33">
        <v>32102</v>
      </c>
      <c r="N39" s="86" t="str">
        <f t="shared" ca="1" si="3"/>
        <v>37years5months13680days</v>
      </c>
      <c r="O39" s="32" t="s">
        <v>150</v>
      </c>
      <c r="P39" s="32" t="s">
        <v>151</v>
      </c>
      <c r="Q39" s="32" t="s">
        <v>152</v>
      </c>
      <c r="R39" s="32" t="s">
        <v>170</v>
      </c>
      <c r="S39" s="32" t="s">
        <v>160</v>
      </c>
      <c r="T39" s="35">
        <v>1416000</v>
      </c>
      <c r="U39" s="32">
        <f t="shared" si="4"/>
        <v>6</v>
      </c>
      <c r="V39" s="90">
        <f t="shared" si="5"/>
        <v>3</v>
      </c>
      <c r="W39" s="91">
        <f>('Appraisal Data'!A39-'Employees Data'!T39)/T39*100</f>
        <v>11</v>
      </c>
      <c r="X39" s="36">
        <f t="shared" ca="1" si="6"/>
        <v>141600</v>
      </c>
    </row>
    <row r="40" spans="1:29" x14ac:dyDescent="0.3">
      <c r="A40" s="32">
        <v>3102</v>
      </c>
      <c r="B40" s="32" t="s">
        <v>241</v>
      </c>
      <c r="C40" s="32" t="str">
        <f>_xlfn.XLOOKUP(B40,B40:B105,'Appraisal Data'!B40:B105)</f>
        <v>Chris</v>
      </c>
      <c r="D40" s="32" t="str">
        <f>_xlfn.XLOOKUP(B40,B40:B105,'Appraisal Data'!C40:C105)</f>
        <v>Lee</v>
      </c>
      <c r="E40" s="32" t="s">
        <v>177</v>
      </c>
      <c r="F40" s="32" t="s">
        <v>178</v>
      </c>
      <c r="G40" s="33">
        <v>42735</v>
      </c>
      <c r="H40" s="33"/>
      <c r="I40" s="132" t="str">
        <f t="shared" si="0"/>
        <v>no</v>
      </c>
      <c r="J40" s="133">
        <f t="shared" si="1"/>
        <v>0</v>
      </c>
      <c r="K40" s="85" t="str">
        <f t="shared" ca="1" si="2"/>
        <v>8.4</v>
      </c>
      <c r="L40" s="34"/>
      <c r="M40" s="33">
        <v>29497</v>
      </c>
      <c r="N40" s="86" t="str">
        <f t="shared" ca="1" si="3"/>
        <v>44years7months16285days</v>
      </c>
      <c r="O40" s="32" t="s">
        <v>150</v>
      </c>
      <c r="P40" s="32" t="s">
        <v>151</v>
      </c>
      <c r="Q40" s="32" t="s">
        <v>152</v>
      </c>
      <c r="R40" s="32" t="s">
        <v>175</v>
      </c>
      <c r="S40" s="32" t="s">
        <v>154</v>
      </c>
      <c r="T40" s="35">
        <v>311160</v>
      </c>
      <c r="U40" s="32">
        <f t="shared" si="4"/>
        <v>22</v>
      </c>
      <c r="V40" s="90">
        <f t="shared" si="5"/>
        <v>3</v>
      </c>
      <c r="W40" s="91">
        <f>('Appraisal Data'!A40-'Employees Data'!T40)/T40*100</f>
        <v>10.999999999999993</v>
      </c>
      <c r="X40" s="36">
        <f t="shared" ca="1" si="6"/>
        <v>31116</v>
      </c>
    </row>
    <row r="41" spans="1:29" x14ac:dyDescent="0.3">
      <c r="A41" s="32">
        <v>3103</v>
      </c>
      <c r="B41" s="32" t="s">
        <v>242</v>
      </c>
      <c r="C41" s="32" t="str">
        <f>_xlfn.XLOOKUP(B41,B41:B106,'Appraisal Data'!B41:B106)</f>
        <v>Chay</v>
      </c>
      <c r="D41" s="32" t="str">
        <f>_xlfn.XLOOKUP(B41,B41:B106,'Appraisal Data'!C41:C106)</f>
        <v>Genoway</v>
      </c>
      <c r="E41" s="32" t="s">
        <v>157</v>
      </c>
      <c r="F41" s="32" t="s">
        <v>158</v>
      </c>
      <c r="G41" s="33">
        <v>42735</v>
      </c>
      <c r="H41" s="33"/>
      <c r="I41" s="132" t="str">
        <f t="shared" si="0"/>
        <v>no</v>
      </c>
      <c r="J41" s="133">
        <f t="shared" si="1"/>
        <v>0</v>
      </c>
      <c r="K41" s="85" t="str">
        <f t="shared" ca="1" si="2"/>
        <v>8.4</v>
      </c>
      <c r="L41" s="34"/>
      <c r="M41" s="33">
        <v>31766</v>
      </c>
      <c r="N41" s="86" t="str">
        <f t="shared" ca="1" si="3"/>
        <v>38years4months14016days</v>
      </c>
      <c r="O41" s="32" t="s">
        <v>150</v>
      </c>
      <c r="P41" s="32" t="s">
        <v>151</v>
      </c>
      <c r="Q41" s="32" t="s">
        <v>152</v>
      </c>
      <c r="R41" s="32" t="s">
        <v>186</v>
      </c>
      <c r="S41" s="32" t="s">
        <v>160</v>
      </c>
      <c r="T41" s="35">
        <v>195000</v>
      </c>
      <c r="U41" s="32">
        <f t="shared" si="4"/>
        <v>33</v>
      </c>
      <c r="V41" s="90">
        <f t="shared" si="5"/>
        <v>3</v>
      </c>
      <c r="W41" s="91">
        <f>('Appraisal Data'!A41-'Employees Data'!T41)/T41*100</f>
        <v>11</v>
      </c>
      <c r="X41" s="36">
        <f t="shared" ca="1" si="6"/>
        <v>19500</v>
      </c>
    </row>
    <row r="42" spans="1:29" x14ac:dyDescent="0.3">
      <c r="A42" s="32">
        <v>3104</v>
      </c>
      <c r="B42" s="32" t="s">
        <v>243</v>
      </c>
      <c r="C42" s="32" t="str">
        <f>_xlfn.XLOOKUP(B42,B42:B107,'Appraisal Data'!B42:B107)</f>
        <v>Marc-Andre</v>
      </c>
      <c r="D42" s="32" t="str">
        <f>_xlfn.XLOOKUP(B42,B42:B107,'Appraisal Data'!C42:C107)</f>
        <v>Gragnani</v>
      </c>
      <c r="E42" s="32" t="s">
        <v>164</v>
      </c>
      <c r="F42" s="32" t="s">
        <v>165</v>
      </c>
      <c r="G42" s="33">
        <v>42719</v>
      </c>
      <c r="H42" s="33">
        <v>44463</v>
      </c>
      <c r="I42" s="132" t="str">
        <f t="shared" si="0"/>
        <v>yes</v>
      </c>
      <c r="J42" s="133">
        <f t="shared" si="1"/>
        <v>1</v>
      </c>
      <c r="K42" s="85" t="str">
        <f t="shared" ca="1" si="2"/>
        <v>8.4</v>
      </c>
      <c r="L42" s="34"/>
      <c r="M42" s="33">
        <v>31847</v>
      </c>
      <c r="N42" s="86" t="str">
        <f t="shared" ca="1" si="3"/>
        <v>38years1months13935days</v>
      </c>
      <c r="O42" s="32" t="s">
        <v>150</v>
      </c>
      <c r="P42" s="32" t="s">
        <v>151</v>
      </c>
      <c r="Q42" s="32" t="s">
        <v>152</v>
      </c>
      <c r="R42" s="32" t="s">
        <v>189</v>
      </c>
      <c r="S42" s="32" t="s">
        <v>160</v>
      </c>
      <c r="T42" s="35">
        <v>132000</v>
      </c>
      <c r="U42" s="32">
        <f t="shared" si="4"/>
        <v>49</v>
      </c>
      <c r="V42" s="90">
        <f t="shared" si="5"/>
        <v>3</v>
      </c>
      <c r="W42" s="91">
        <f>('Appraisal Data'!A42-'Employees Data'!T42)/T42*100</f>
        <v>11</v>
      </c>
      <c r="X42" s="36">
        <f t="shared" ca="1" si="6"/>
        <v>13200</v>
      </c>
    </row>
    <row r="43" spans="1:29" x14ac:dyDescent="0.3">
      <c r="A43" s="32">
        <v>3105</v>
      </c>
      <c r="B43" s="32" t="s">
        <v>244</v>
      </c>
      <c r="C43" s="32" t="str">
        <f>_xlfn.XLOOKUP(B43,B43:B108,'Appraisal Data'!B43:B108)</f>
        <v>Stefan</v>
      </c>
      <c r="D43" s="32" t="str">
        <f>_xlfn.XLOOKUP(B43,B43:B108,'Appraisal Data'!C43:C108)</f>
        <v>Elliott</v>
      </c>
      <c r="E43" s="32" t="s">
        <v>177</v>
      </c>
      <c r="F43" s="32" t="s">
        <v>178</v>
      </c>
      <c r="G43" s="33">
        <v>42735</v>
      </c>
      <c r="H43" s="33"/>
      <c r="I43" s="132" t="str">
        <f t="shared" si="0"/>
        <v>no</v>
      </c>
      <c r="J43" s="133">
        <f t="shared" si="1"/>
        <v>0</v>
      </c>
      <c r="K43" s="85" t="str">
        <f t="shared" ca="1" si="2"/>
        <v>8.4</v>
      </c>
      <c r="L43" s="34"/>
      <c r="M43" s="33">
        <v>33268</v>
      </c>
      <c r="N43" s="86" t="str">
        <f t="shared" ca="1" si="3"/>
        <v>34years3months12514days</v>
      </c>
      <c r="O43" s="32" t="s">
        <v>150</v>
      </c>
      <c r="P43" s="32" t="s">
        <v>151</v>
      </c>
      <c r="Q43" s="32" t="s">
        <v>152</v>
      </c>
      <c r="R43" s="32" t="s">
        <v>192</v>
      </c>
      <c r="S43" s="32" t="s">
        <v>160</v>
      </c>
      <c r="T43" s="35">
        <v>153000</v>
      </c>
      <c r="U43" s="32">
        <f t="shared" si="4"/>
        <v>45</v>
      </c>
      <c r="V43" s="90">
        <f t="shared" si="5"/>
        <v>3</v>
      </c>
      <c r="W43" s="91">
        <f>('Appraisal Data'!A43-'Employees Data'!T43)/T43*100</f>
        <v>11</v>
      </c>
      <c r="X43" s="36">
        <f t="shared" ca="1" si="6"/>
        <v>15300</v>
      </c>
    </row>
    <row r="44" spans="1:29" x14ac:dyDescent="0.3">
      <c r="A44" s="32">
        <v>3106</v>
      </c>
      <c r="B44" s="32" t="s">
        <v>245</v>
      </c>
      <c r="C44" s="32" t="str">
        <f>_xlfn.XLOOKUP(B44,B44:B109,'Appraisal Data'!B44:B109)</f>
        <v>Cody</v>
      </c>
      <c r="D44" s="32" t="str">
        <f>_xlfn.XLOOKUP(B44,B44:B109,'Appraisal Data'!C44:C109)</f>
        <v>Goloubef</v>
      </c>
      <c r="E44" s="32" t="s">
        <v>164</v>
      </c>
      <c r="F44" s="32" t="s">
        <v>165</v>
      </c>
      <c r="G44" s="33">
        <v>42735</v>
      </c>
      <c r="H44" s="33"/>
      <c r="I44" s="132" t="str">
        <f t="shared" si="0"/>
        <v>no</v>
      </c>
      <c r="J44" s="133">
        <f t="shared" si="1"/>
        <v>0</v>
      </c>
      <c r="K44" s="85" t="str">
        <f t="shared" ca="1" si="2"/>
        <v>8.4</v>
      </c>
      <c r="L44" s="34"/>
      <c r="M44" s="33">
        <v>32842</v>
      </c>
      <c r="N44" s="86" t="str">
        <f t="shared" ca="1" si="3"/>
        <v>35years5months12940days</v>
      </c>
      <c r="O44" s="32" t="s">
        <v>150</v>
      </c>
      <c r="P44" s="32" t="s">
        <v>151</v>
      </c>
      <c r="Q44" s="32" t="s">
        <v>152</v>
      </c>
      <c r="R44" s="32" t="s">
        <v>213</v>
      </c>
      <c r="S44" s="32" t="s">
        <v>154</v>
      </c>
      <c r="T44" s="35">
        <v>158880</v>
      </c>
      <c r="U44" s="32">
        <f t="shared" si="4"/>
        <v>41</v>
      </c>
      <c r="V44" s="90">
        <f t="shared" si="5"/>
        <v>5</v>
      </c>
      <c r="W44" s="91">
        <f>('Appraisal Data'!A44-'Employees Data'!T44)/T44*100</f>
        <v>20.999999999999993</v>
      </c>
      <c r="X44" s="36">
        <f t="shared" ca="1" si="6"/>
        <v>15888</v>
      </c>
    </row>
    <row r="45" spans="1:29" x14ac:dyDescent="0.3">
      <c r="A45" s="32">
        <v>3107</v>
      </c>
      <c r="B45" s="32" t="s">
        <v>246</v>
      </c>
      <c r="C45" s="32" t="str">
        <f>_xlfn.XLOOKUP(B45,B45:B110,'Appraisal Data'!B45:B110)</f>
        <v>Mat</v>
      </c>
      <c r="D45" s="32" t="str">
        <f>_xlfn.XLOOKUP(B45,B45:B110,'Appraisal Data'!C45:C110)</f>
        <v>Robinson</v>
      </c>
      <c r="E45" s="32" t="s">
        <v>247</v>
      </c>
      <c r="F45" s="32" t="s">
        <v>248</v>
      </c>
      <c r="G45" s="33">
        <v>42735</v>
      </c>
      <c r="H45" s="33"/>
      <c r="I45" s="132" t="str">
        <f t="shared" si="0"/>
        <v>no</v>
      </c>
      <c r="J45" s="133">
        <f t="shared" si="1"/>
        <v>0</v>
      </c>
      <c r="K45" s="85" t="str">
        <f t="shared" ca="1" si="2"/>
        <v>8.4</v>
      </c>
      <c r="L45" s="34"/>
      <c r="M45" s="33">
        <v>31583</v>
      </c>
      <c r="N45" s="86" t="str">
        <f t="shared" ca="1" si="3"/>
        <v>38years10months14199days</v>
      </c>
      <c r="O45" s="32" t="s">
        <v>150</v>
      </c>
      <c r="P45" s="32" t="s">
        <v>151</v>
      </c>
      <c r="Q45" s="32" t="s">
        <v>152</v>
      </c>
      <c r="R45" s="32" t="s">
        <v>216</v>
      </c>
      <c r="S45" s="32" t="s">
        <v>160</v>
      </c>
      <c r="T45" s="35">
        <v>79440</v>
      </c>
      <c r="U45" s="32">
        <f t="shared" si="4"/>
        <v>62</v>
      </c>
      <c r="V45" s="90">
        <f t="shared" si="5"/>
        <v>5</v>
      </c>
      <c r="W45" s="91">
        <f>('Appraisal Data'!A45-'Employees Data'!T45)/T45*100</f>
        <v>20.999999999999993</v>
      </c>
      <c r="X45" s="36">
        <f t="shared" ca="1" si="6"/>
        <v>7944</v>
      </c>
    </row>
    <row r="46" spans="1:29" x14ac:dyDescent="0.3">
      <c r="A46" s="32">
        <v>3108</v>
      </c>
      <c r="B46" s="32" t="s">
        <v>249</v>
      </c>
      <c r="C46" s="32" t="str">
        <f>_xlfn.XLOOKUP(B46,B46:B111,'Appraisal Data'!B46:B111)</f>
        <v>Maxim</v>
      </c>
      <c r="D46" s="32" t="str">
        <f>_xlfn.XLOOKUP(B46,B46:B111,'Appraisal Data'!C46:C111)</f>
        <v>Noreau</v>
      </c>
      <c r="E46" s="32" t="s">
        <v>177</v>
      </c>
      <c r="F46" s="32" t="s">
        <v>178</v>
      </c>
      <c r="G46" s="33">
        <v>42735</v>
      </c>
      <c r="H46" s="33">
        <v>44469</v>
      </c>
      <c r="I46" s="132" t="str">
        <f t="shared" si="0"/>
        <v>yes</v>
      </c>
      <c r="J46" s="133">
        <f t="shared" si="1"/>
        <v>1</v>
      </c>
      <c r="K46" s="85" t="str">
        <f t="shared" ca="1" si="2"/>
        <v>8.4</v>
      </c>
      <c r="L46" s="34"/>
      <c r="M46" s="33">
        <v>31921</v>
      </c>
      <c r="N46" s="86" t="str">
        <f t="shared" ca="1" si="3"/>
        <v>37years11months13861days</v>
      </c>
      <c r="O46" s="32" t="s">
        <v>150</v>
      </c>
      <c r="P46" s="32" t="s">
        <v>151</v>
      </c>
      <c r="Q46" s="32" t="s">
        <v>152</v>
      </c>
      <c r="R46" s="32" t="s">
        <v>159</v>
      </c>
      <c r="S46" s="32" t="s">
        <v>160</v>
      </c>
      <c r="T46" s="35">
        <v>77040</v>
      </c>
      <c r="U46" s="32">
        <f t="shared" si="4"/>
        <v>64</v>
      </c>
      <c r="V46" s="90">
        <f t="shared" si="5"/>
        <v>5</v>
      </c>
      <c r="W46" s="91">
        <f>('Appraisal Data'!A46-'Employees Data'!T46)/T46*100</f>
        <v>20.999999999999993</v>
      </c>
      <c r="X46" s="36">
        <f t="shared" ca="1" si="6"/>
        <v>7704</v>
      </c>
    </row>
    <row r="47" spans="1:29" x14ac:dyDescent="0.3">
      <c r="A47" s="32">
        <v>3109</v>
      </c>
      <c r="B47" s="32" t="s">
        <v>250</v>
      </c>
      <c r="C47" s="32" t="str">
        <f>_xlfn.XLOOKUP(B47,B47:B112,'Appraisal Data'!B47:B112)</f>
        <v>Ben</v>
      </c>
      <c r="D47" s="32" t="str">
        <f>_xlfn.XLOOKUP(B47,B47:B112,'Appraisal Data'!C47:C112)</f>
        <v>Scrivens</v>
      </c>
      <c r="E47" s="32" t="s">
        <v>157</v>
      </c>
      <c r="F47" s="32" t="s">
        <v>158</v>
      </c>
      <c r="G47" s="33">
        <v>42735</v>
      </c>
      <c r="H47" s="33"/>
      <c r="I47" s="132" t="str">
        <f t="shared" si="0"/>
        <v>no</v>
      </c>
      <c r="J47" s="133">
        <f t="shared" si="1"/>
        <v>0</v>
      </c>
      <c r="K47" s="85" t="str">
        <f t="shared" ca="1" si="2"/>
        <v>8.4</v>
      </c>
      <c r="L47" s="34"/>
      <c r="M47" s="33">
        <v>31666</v>
      </c>
      <c r="N47" s="86" t="str">
        <f t="shared" ca="1" si="3"/>
        <v>38years7months14116days</v>
      </c>
      <c r="O47" s="32" t="s">
        <v>150</v>
      </c>
      <c r="P47" s="32" t="s">
        <v>151</v>
      </c>
      <c r="Q47" s="32" t="s">
        <v>152</v>
      </c>
      <c r="R47" s="32" t="s">
        <v>162</v>
      </c>
      <c r="S47" s="32" t="s">
        <v>160</v>
      </c>
      <c r="T47" s="35">
        <v>79440</v>
      </c>
      <c r="U47" s="32">
        <f t="shared" si="4"/>
        <v>62</v>
      </c>
      <c r="V47" s="90">
        <f t="shared" si="5"/>
        <v>5</v>
      </c>
      <c r="W47" s="91">
        <f>('Appraisal Data'!A47-'Employees Data'!T47)/T47*100</f>
        <v>20.999999999999993</v>
      </c>
      <c r="X47" s="36">
        <f t="shared" ca="1" si="6"/>
        <v>7944</v>
      </c>
    </row>
    <row r="48" spans="1:29" x14ac:dyDescent="0.3">
      <c r="A48" s="32">
        <v>3110</v>
      </c>
      <c r="B48" s="32" t="s">
        <v>251</v>
      </c>
      <c r="C48" s="32" t="str">
        <f>_xlfn.XLOOKUP(B48,B48:B113,'Appraisal Data'!B48:B113)</f>
        <v>Kevin</v>
      </c>
      <c r="D48" s="32" t="str">
        <f>_xlfn.XLOOKUP(B48,B48:B113,'Appraisal Data'!C48:C113)</f>
        <v>Poulin</v>
      </c>
      <c r="E48" s="32" t="s">
        <v>157</v>
      </c>
      <c r="F48" s="32" t="s">
        <v>158</v>
      </c>
      <c r="G48" s="33">
        <v>42735</v>
      </c>
      <c r="H48" s="33"/>
      <c r="I48" s="132" t="str">
        <f t="shared" si="0"/>
        <v>no</v>
      </c>
      <c r="J48" s="133">
        <f t="shared" si="1"/>
        <v>0</v>
      </c>
      <c r="K48" s="85" t="str">
        <f t="shared" ca="1" si="2"/>
        <v>8.4</v>
      </c>
      <c r="L48" s="34"/>
      <c r="M48" s="33">
        <v>32975</v>
      </c>
      <c r="N48" s="86" t="str">
        <f t="shared" ca="1" si="3"/>
        <v>35years0months12807days</v>
      </c>
      <c r="O48" s="32" t="s">
        <v>150</v>
      </c>
      <c r="P48" s="32" t="s">
        <v>151</v>
      </c>
      <c r="Q48" s="32" t="s">
        <v>152</v>
      </c>
      <c r="R48" s="32" t="s">
        <v>166</v>
      </c>
      <c r="S48" s="32" t="s">
        <v>160</v>
      </c>
      <c r="T48" s="35">
        <v>80040</v>
      </c>
      <c r="U48" s="32">
        <f t="shared" si="4"/>
        <v>61</v>
      </c>
      <c r="V48" s="90">
        <f t="shared" si="5"/>
        <v>5</v>
      </c>
      <c r="W48" s="91">
        <f>('Appraisal Data'!A48-'Employees Data'!T48)/T48*100</f>
        <v>20.999999999999993</v>
      </c>
      <c r="X48" s="36">
        <f t="shared" ca="1" si="6"/>
        <v>8004</v>
      </c>
    </row>
    <row r="49" spans="1:24" x14ac:dyDescent="0.3">
      <c r="A49" s="32">
        <v>3111</v>
      </c>
      <c r="B49" s="32" t="s">
        <v>252</v>
      </c>
      <c r="C49" s="32" t="str">
        <f>_xlfn.XLOOKUP(B49,B49:B114,'Appraisal Data'!B49:B114)</f>
        <v>Justin</v>
      </c>
      <c r="D49" s="32" t="str">
        <f>_xlfn.XLOOKUP(B49,B49:B114,'Appraisal Data'!C49:C114)</f>
        <v>Peters</v>
      </c>
      <c r="E49" s="32" t="s">
        <v>177</v>
      </c>
      <c r="F49" s="32" t="s">
        <v>178</v>
      </c>
      <c r="G49" s="33">
        <v>42735</v>
      </c>
      <c r="H49" s="33"/>
      <c r="I49" s="132" t="str">
        <f t="shared" si="0"/>
        <v>no</v>
      </c>
      <c r="J49" s="133">
        <f t="shared" si="1"/>
        <v>0</v>
      </c>
      <c r="K49" s="85" t="str">
        <f t="shared" ca="1" si="2"/>
        <v>8.4</v>
      </c>
      <c r="L49" s="34"/>
      <c r="M49" s="33">
        <v>31654</v>
      </c>
      <c r="N49" s="86" t="str">
        <f t="shared" ca="1" si="3"/>
        <v>38years8months14128days</v>
      </c>
      <c r="O49" s="32" t="s">
        <v>150</v>
      </c>
      <c r="P49" s="32" t="s">
        <v>151</v>
      </c>
      <c r="Q49" s="32" t="s">
        <v>152</v>
      </c>
      <c r="R49" s="32" t="s">
        <v>175</v>
      </c>
      <c r="S49" s="32" t="s">
        <v>160</v>
      </c>
      <c r="T49" s="35">
        <v>156720</v>
      </c>
      <c r="U49" s="32">
        <f t="shared" si="4"/>
        <v>42</v>
      </c>
      <c r="V49" s="90">
        <f t="shared" si="5"/>
        <v>2</v>
      </c>
      <c r="W49" s="91">
        <f>('Appraisal Data'!A49-'Employees Data'!T49)/T49*100</f>
        <v>6.0000000000000071</v>
      </c>
      <c r="X49" s="36">
        <f t="shared" ca="1" si="6"/>
        <v>15672</v>
      </c>
    </row>
    <row r="50" spans="1:24" x14ac:dyDescent="0.3">
      <c r="A50" s="32">
        <v>3112</v>
      </c>
      <c r="B50" s="32" t="s">
        <v>253</v>
      </c>
      <c r="C50" s="32" t="str">
        <f>_xlfn.XLOOKUP(B50,B50:B115,'Appraisal Data'!B50:B115)</f>
        <v>Cayla</v>
      </c>
      <c r="D50" s="32" t="str">
        <f>_xlfn.XLOOKUP(B50,B50:B115,'Appraisal Data'!C50:C115)</f>
        <v>Barnes</v>
      </c>
      <c r="E50" s="32" t="s">
        <v>254</v>
      </c>
      <c r="F50" s="32" t="s">
        <v>255</v>
      </c>
      <c r="G50" s="33">
        <v>42705</v>
      </c>
      <c r="H50" s="33"/>
      <c r="I50" s="132" t="str">
        <f t="shared" si="0"/>
        <v>no</v>
      </c>
      <c r="J50" s="133">
        <f t="shared" si="1"/>
        <v>0</v>
      </c>
      <c r="K50" s="85" t="str">
        <f t="shared" ca="1" si="2"/>
        <v>8.5</v>
      </c>
      <c r="L50" s="34"/>
      <c r="M50" s="33">
        <v>36167</v>
      </c>
      <c r="N50" s="86" t="str">
        <f t="shared" ca="1" si="3"/>
        <v>26years3months9615days</v>
      </c>
      <c r="O50" s="32" t="s">
        <v>150</v>
      </c>
      <c r="P50" s="32" t="s">
        <v>151</v>
      </c>
      <c r="Q50" s="32" t="s">
        <v>152</v>
      </c>
      <c r="R50" s="32" t="s">
        <v>186</v>
      </c>
      <c r="S50" s="32" t="s">
        <v>154</v>
      </c>
      <c r="T50" s="35">
        <v>383400</v>
      </c>
      <c r="U50" s="32">
        <f t="shared" si="4"/>
        <v>19</v>
      </c>
      <c r="V50" s="90">
        <f t="shared" si="5"/>
        <v>2</v>
      </c>
      <c r="W50" s="91">
        <f>('Appraisal Data'!A50-'Employees Data'!T50)/T50*100</f>
        <v>6</v>
      </c>
      <c r="X50" s="36">
        <f t="shared" ca="1" si="6"/>
        <v>38340</v>
      </c>
    </row>
    <row r="51" spans="1:24" x14ac:dyDescent="0.3">
      <c r="A51" s="32">
        <v>3113</v>
      </c>
      <c r="B51" s="32" t="s">
        <v>256</v>
      </c>
      <c r="C51" s="32" t="str">
        <f>_xlfn.XLOOKUP(B51,B51:B116,'Appraisal Data'!B51:B116)</f>
        <v>Kacey</v>
      </c>
      <c r="D51" s="32" t="str">
        <f>_xlfn.XLOOKUP(B51,B51:B116,'Appraisal Data'!C51:C116)</f>
        <v>Bellamy</v>
      </c>
      <c r="E51" s="32" t="s">
        <v>164</v>
      </c>
      <c r="F51" s="32" t="s">
        <v>165</v>
      </c>
      <c r="G51" s="33">
        <v>42719</v>
      </c>
      <c r="H51" s="33">
        <v>44463</v>
      </c>
      <c r="I51" s="132" t="str">
        <f t="shared" si="0"/>
        <v>yes</v>
      </c>
      <c r="J51" s="133">
        <f t="shared" si="1"/>
        <v>1</v>
      </c>
      <c r="K51" s="85" t="str">
        <f t="shared" ca="1" si="2"/>
        <v>8.4</v>
      </c>
      <c r="L51" s="34"/>
      <c r="M51" s="33">
        <v>31889</v>
      </c>
      <c r="N51" s="86" t="str">
        <f t="shared" ca="1" si="3"/>
        <v>38years0months13893days</v>
      </c>
      <c r="O51" s="32" t="s">
        <v>150</v>
      </c>
      <c r="P51" s="32" t="s">
        <v>151</v>
      </c>
      <c r="Q51" s="32" t="s">
        <v>152</v>
      </c>
      <c r="R51" s="32" t="s">
        <v>189</v>
      </c>
      <c r="S51" s="32" t="s">
        <v>160</v>
      </c>
      <c r="T51" s="35">
        <v>230040</v>
      </c>
      <c r="U51" s="32">
        <f t="shared" si="4"/>
        <v>32</v>
      </c>
      <c r="V51" s="90">
        <f t="shared" si="5"/>
        <v>2</v>
      </c>
      <c r="W51" s="91">
        <f>('Appraisal Data'!A51-'Employees Data'!T51)/T51*100</f>
        <v>5.9999999999999973</v>
      </c>
      <c r="X51" s="36">
        <f t="shared" ca="1" si="6"/>
        <v>23004</v>
      </c>
    </row>
    <row r="52" spans="1:24" x14ac:dyDescent="0.3">
      <c r="A52" s="32">
        <v>3114</v>
      </c>
      <c r="B52" s="32" t="s">
        <v>257</v>
      </c>
      <c r="C52" s="32" t="str">
        <f>_xlfn.XLOOKUP(B52,B52:B117,'Appraisal Data'!B52:B117)</f>
        <v>Hannah</v>
      </c>
      <c r="D52" s="32" t="str">
        <f>_xlfn.XLOOKUP(B52,B52:B117,'Appraisal Data'!C52:C117)</f>
        <v>Brandt</v>
      </c>
      <c r="E52" s="32" t="s">
        <v>219</v>
      </c>
      <c r="F52" s="32" t="s">
        <v>220</v>
      </c>
      <c r="G52" s="33">
        <v>42719</v>
      </c>
      <c r="H52" s="33"/>
      <c r="I52" s="132" t="str">
        <f t="shared" si="0"/>
        <v>no</v>
      </c>
      <c r="J52" s="133">
        <f t="shared" si="1"/>
        <v>0</v>
      </c>
      <c r="K52" s="85" t="str">
        <f t="shared" ca="1" si="2"/>
        <v>8.4</v>
      </c>
      <c r="L52" s="34"/>
      <c r="M52" s="33">
        <v>34300</v>
      </c>
      <c r="N52" s="86" t="str">
        <f t="shared" ca="1" si="3"/>
        <v>31years5months11482days</v>
      </c>
      <c r="O52" s="32" t="s">
        <v>150</v>
      </c>
      <c r="P52" s="32" t="s">
        <v>151</v>
      </c>
      <c r="Q52" s="32" t="s">
        <v>152</v>
      </c>
      <c r="R52" s="32" t="s">
        <v>192</v>
      </c>
      <c r="S52" s="32" t="s">
        <v>154</v>
      </c>
      <c r="T52" s="35">
        <v>1312800</v>
      </c>
      <c r="U52" s="32">
        <f t="shared" si="4"/>
        <v>7</v>
      </c>
      <c r="V52" s="90">
        <f t="shared" si="5"/>
        <v>2</v>
      </c>
      <c r="W52" s="91">
        <f>('Appraisal Data'!A52-'Employees Data'!T52)/T52*100</f>
        <v>6</v>
      </c>
      <c r="X52" s="36">
        <f t="shared" ca="1" si="6"/>
        <v>131280</v>
      </c>
    </row>
    <row r="53" spans="1:24" x14ac:dyDescent="0.3">
      <c r="A53" s="32">
        <v>3115</v>
      </c>
      <c r="B53" s="32" t="s">
        <v>258</v>
      </c>
      <c r="C53" s="32" t="str">
        <f>_xlfn.XLOOKUP(B53,B53:B118,'Appraisal Data'!B53:B118)</f>
        <v>Dani</v>
      </c>
      <c r="D53" s="32" t="str">
        <f>_xlfn.XLOOKUP(B53,B53:B118,'Appraisal Data'!C53:C118)</f>
        <v>Cameranesi</v>
      </c>
      <c r="E53" s="32" t="s">
        <v>164</v>
      </c>
      <c r="F53" s="32" t="s">
        <v>165</v>
      </c>
      <c r="G53" s="33">
        <v>42719</v>
      </c>
      <c r="H53" s="33"/>
      <c r="I53" s="132" t="str">
        <f t="shared" si="0"/>
        <v>no</v>
      </c>
      <c r="J53" s="133">
        <f t="shared" si="1"/>
        <v>0</v>
      </c>
      <c r="K53" s="85" t="str">
        <f t="shared" ca="1" si="2"/>
        <v>8.4</v>
      </c>
      <c r="L53" s="34"/>
      <c r="M53" s="33">
        <v>34880</v>
      </c>
      <c r="N53" s="86" t="str">
        <f t="shared" ca="1" si="3"/>
        <v>29years10months10902days</v>
      </c>
      <c r="O53" s="32" t="s">
        <v>150</v>
      </c>
      <c r="P53" s="32" t="s">
        <v>151</v>
      </c>
      <c r="Q53" s="32" t="s">
        <v>152</v>
      </c>
      <c r="R53" s="32" t="s">
        <v>153</v>
      </c>
      <c r="S53" s="32" t="s">
        <v>160</v>
      </c>
      <c r="T53" s="35">
        <v>292200</v>
      </c>
      <c r="U53" s="32">
        <f t="shared" si="4"/>
        <v>24</v>
      </c>
      <c r="V53" s="90">
        <f t="shared" si="5"/>
        <v>2</v>
      </c>
      <c r="W53" s="91">
        <f>('Appraisal Data'!A53-'Employees Data'!T53)/T53*100</f>
        <v>6</v>
      </c>
      <c r="X53" s="36">
        <f t="shared" ca="1" si="6"/>
        <v>29220</v>
      </c>
    </row>
    <row r="54" spans="1:24" x14ac:dyDescent="0.3">
      <c r="A54" s="32">
        <v>3116</v>
      </c>
      <c r="B54" s="32" t="s">
        <v>259</v>
      </c>
      <c r="C54" s="32" t="str">
        <f>_xlfn.XLOOKUP(B54,B54:B119,'Appraisal Data'!B54:B119)</f>
        <v>Kendall</v>
      </c>
      <c r="D54" s="32" t="str">
        <f>_xlfn.XLOOKUP(B54,B54:B119,'Appraisal Data'!C54:C119)</f>
        <v>Coyne</v>
      </c>
      <c r="E54" s="32" t="s">
        <v>219</v>
      </c>
      <c r="F54" s="32" t="s">
        <v>220</v>
      </c>
      <c r="G54" s="33">
        <v>42735</v>
      </c>
      <c r="H54" s="33"/>
      <c r="I54" s="132" t="str">
        <f t="shared" si="0"/>
        <v>no</v>
      </c>
      <c r="J54" s="133">
        <f t="shared" si="1"/>
        <v>0</v>
      </c>
      <c r="K54" s="85" t="str">
        <f t="shared" ca="1" si="2"/>
        <v>8.4</v>
      </c>
      <c r="L54" s="34"/>
      <c r="M54" s="33">
        <v>33749</v>
      </c>
      <c r="N54" s="86" t="str">
        <f t="shared" ca="1" si="3"/>
        <v>32years11months12033days</v>
      </c>
      <c r="O54" s="32" t="s">
        <v>150</v>
      </c>
      <c r="P54" s="32" t="s">
        <v>151</v>
      </c>
      <c r="Q54" s="32" t="s">
        <v>152</v>
      </c>
      <c r="R54" s="32" t="s">
        <v>159</v>
      </c>
      <c r="S54" s="32" t="s">
        <v>154</v>
      </c>
      <c r="T54" s="35">
        <v>1812000</v>
      </c>
      <c r="U54" s="32">
        <f t="shared" si="4"/>
        <v>3</v>
      </c>
      <c r="V54" s="90">
        <f t="shared" si="5"/>
        <v>2</v>
      </c>
      <c r="W54" s="91">
        <f>('Appraisal Data'!A54-'Employees Data'!T54)/T54*100</f>
        <v>6</v>
      </c>
      <c r="X54" s="36">
        <f t="shared" ca="1" si="6"/>
        <v>181200</v>
      </c>
    </row>
    <row r="55" spans="1:24" x14ac:dyDescent="0.3">
      <c r="A55" s="32">
        <v>3117</v>
      </c>
      <c r="B55" s="32" t="s">
        <v>260</v>
      </c>
      <c r="C55" s="32" t="str">
        <f>_xlfn.XLOOKUP(B55,B55:B120,'Appraisal Data'!B55:B120)</f>
        <v>Brianna</v>
      </c>
      <c r="D55" s="32" t="str">
        <f>_xlfn.XLOOKUP(B55,B55:B120,'Appraisal Data'!C55:C120)</f>
        <v>Decker</v>
      </c>
      <c r="E55" s="32" t="s">
        <v>177</v>
      </c>
      <c r="F55" s="32" t="s">
        <v>178</v>
      </c>
      <c r="G55" s="33">
        <v>42735</v>
      </c>
      <c r="H55" s="33"/>
      <c r="I55" s="132" t="str">
        <f t="shared" si="0"/>
        <v>no</v>
      </c>
      <c r="J55" s="133">
        <f t="shared" si="1"/>
        <v>0</v>
      </c>
      <c r="K55" s="85" t="str">
        <f t="shared" ca="1" si="2"/>
        <v>8.4</v>
      </c>
      <c r="L55" s="34"/>
      <c r="M55" s="33">
        <v>33371</v>
      </c>
      <c r="N55" s="86" t="str">
        <f t="shared" ca="1" si="3"/>
        <v>33years11months12411days</v>
      </c>
      <c r="O55" s="32" t="s">
        <v>150</v>
      </c>
      <c r="P55" s="32" t="s">
        <v>151</v>
      </c>
      <c r="Q55" s="32" t="s">
        <v>152</v>
      </c>
      <c r="R55" s="32" t="s">
        <v>162</v>
      </c>
      <c r="S55" s="32" t="s">
        <v>160</v>
      </c>
      <c r="T55" s="35">
        <v>123360</v>
      </c>
      <c r="U55" s="32">
        <f t="shared" si="4"/>
        <v>51</v>
      </c>
      <c r="V55" s="90">
        <f t="shared" si="5"/>
        <v>2</v>
      </c>
      <c r="W55" s="91">
        <f>('Appraisal Data'!A55-'Employees Data'!T55)/T55*100</f>
        <v>6.0000000000000044</v>
      </c>
      <c r="X55" s="36">
        <f t="shared" ca="1" si="6"/>
        <v>12336</v>
      </c>
    </row>
    <row r="56" spans="1:24" x14ac:dyDescent="0.3">
      <c r="A56" s="32">
        <v>3118</v>
      </c>
      <c r="B56" s="32" t="s">
        <v>261</v>
      </c>
      <c r="C56" s="32" t="str">
        <f>_xlfn.XLOOKUP(B56,B56:B121,'Appraisal Data'!B56:B121)</f>
        <v>Meghan</v>
      </c>
      <c r="D56" s="32" t="str">
        <f>_xlfn.XLOOKUP(B56,B56:B121,'Appraisal Data'!C56:C121)</f>
        <v>Duggan</v>
      </c>
      <c r="E56" s="32" t="s">
        <v>157</v>
      </c>
      <c r="F56" s="32" t="s">
        <v>158</v>
      </c>
      <c r="G56" s="33">
        <v>42735</v>
      </c>
      <c r="H56" s="33"/>
      <c r="I56" s="132" t="str">
        <f t="shared" si="0"/>
        <v>no</v>
      </c>
      <c r="J56" s="133">
        <f t="shared" si="1"/>
        <v>0</v>
      </c>
      <c r="K56" s="85" t="str">
        <f t="shared" ca="1" si="2"/>
        <v>8.4</v>
      </c>
      <c r="L56" s="34"/>
      <c r="M56" s="33">
        <v>32023</v>
      </c>
      <c r="N56" s="86" t="str">
        <f t="shared" ca="1" si="3"/>
        <v>37years8months13759days</v>
      </c>
      <c r="O56" s="32" t="s">
        <v>150</v>
      </c>
      <c r="P56" s="32" t="s">
        <v>151</v>
      </c>
      <c r="Q56" s="32" t="s">
        <v>152</v>
      </c>
      <c r="R56" s="32" t="s">
        <v>166</v>
      </c>
      <c r="S56" s="32" t="s">
        <v>154</v>
      </c>
      <c r="T56" s="35">
        <v>140880</v>
      </c>
      <c r="U56" s="32">
        <f t="shared" si="4"/>
        <v>48</v>
      </c>
      <c r="V56" s="90">
        <f t="shared" si="5"/>
        <v>2</v>
      </c>
      <c r="W56" s="91">
        <f>('Appraisal Data'!A56-'Employees Data'!T56)/T56*100</f>
        <v>5.9999999999999911</v>
      </c>
      <c r="X56" s="36">
        <f t="shared" ca="1" si="6"/>
        <v>14088</v>
      </c>
    </row>
    <row r="57" spans="1:24" x14ac:dyDescent="0.3">
      <c r="A57" s="32">
        <v>3119</v>
      </c>
      <c r="B57" s="32" t="s">
        <v>262</v>
      </c>
      <c r="C57" s="32" t="str">
        <f>_xlfn.XLOOKUP(B57,B57:B122,'Appraisal Data'!B57:B122)</f>
        <v>Kali</v>
      </c>
      <c r="D57" s="32" t="str">
        <f>_xlfn.XLOOKUP(B57,B57:B122,'Appraisal Data'!C57:C122)</f>
        <v>Flanagan</v>
      </c>
      <c r="E57" s="32" t="s">
        <v>148</v>
      </c>
      <c r="F57" s="32" t="s">
        <v>263</v>
      </c>
      <c r="G57" s="33">
        <v>41821</v>
      </c>
      <c r="H57" s="33"/>
      <c r="I57" s="132" t="str">
        <f t="shared" si="0"/>
        <v>no</v>
      </c>
      <c r="J57" s="133">
        <f t="shared" si="1"/>
        <v>0</v>
      </c>
      <c r="K57" s="85" t="str">
        <f t="shared" ca="1" si="2"/>
        <v>10.10</v>
      </c>
      <c r="L57" s="34"/>
      <c r="M57" s="33">
        <v>34961</v>
      </c>
      <c r="N57" s="86" t="str">
        <f t="shared" ca="1" si="3"/>
        <v>29years7months10821days</v>
      </c>
      <c r="O57" s="32" t="s">
        <v>264</v>
      </c>
      <c r="P57" s="32" t="s">
        <v>151</v>
      </c>
      <c r="Q57" s="32" t="s">
        <v>152</v>
      </c>
      <c r="R57" s="32" t="s">
        <v>170</v>
      </c>
      <c r="S57" s="32" t="s">
        <v>160</v>
      </c>
      <c r="T57" s="35">
        <v>360000</v>
      </c>
      <c r="U57" s="32">
        <f t="shared" si="4"/>
        <v>20</v>
      </c>
      <c r="V57" s="90">
        <f t="shared" si="5"/>
        <v>2</v>
      </c>
      <c r="W57" s="91">
        <f>('Appraisal Data'!A57-'Employees Data'!T57)/T57*100</f>
        <v>6</v>
      </c>
      <c r="X57" s="36">
        <f t="shared" ca="1" si="6"/>
        <v>36000</v>
      </c>
    </row>
    <row r="58" spans="1:24" x14ac:dyDescent="0.3">
      <c r="A58" s="32">
        <v>3120</v>
      </c>
      <c r="B58" s="32" t="s">
        <v>265</v>
      </c>
      <c r="C58" s="32" t="str">
        <f>_xlfn.XLOOKUP(B58,B58:B123,'Appraisal Data'!B58:B123)</f>
        <v>Nicole</v>
      </c>
      <c r="D58" s="32" t="str">
        <f>_xlfn.XLOOKUP(B58,B58:B123,'Appraisal Data'!C58:C123)</f>
        <v>Hensley</v>
      </c>
      <c r="E58" s="32" t="s">
        <v>266</v>
      </c>
      <c r="F58" s="32" t="s">
        <v>267</v>
      </c>
      <c r="G58" s="33">
        <v>41821</v>
      </c>
      <c r="H58" s="33">
        <v>44340</v>
      </c>
      <c r="I58" s="132" t="str">
        <f t="shared" si="0"/>
        <v>yes</v>
      </c>
      <c r="J58" s="133">
        <f t="shared" si="1"/>
        <v>1</v>
      </c>
      <c r="K58" s="85" t="str">
        <f t="shared" ca="1" si="2"/>
        <v>10.10</v>
      </c>
      <c r="L58" s="34"/>
      <c r="M58" s="33">
        <v>34508</v>
      </c>
      <c r="N58" s="86" t="str">
        <f t="shared" ca="1" si="3"/>
        <v>30years10months11274days</v>
      </c>
      <c r="O58" s="32" t="s">
        <v>264</v>
      </c>
      <c r="P58" s="32" t="s">
        <v>151</v>
      </c>
      <c r="Q58" s="32" t="s">
        <v>152</v>
      </c>
      <c r="R58" s="32" t="s">
        <v>159</v>
      </c>
      <c r="S58" s="32" t="s">
        <v>154</v>
      </c>
      <c r="T58" s="35">
        <v>180000</v>
      </c>
      <c r="U58" s="32">
        <f t="shared" si="4"/>
        <v>35</v>
      </c>
      <c r="V58" s="90">
        <f t="shared" si="5"/>
        <v>2</v>
      </c>
      <c r="W58" s="91">
        <f>('Appraisal Data'!A58-'Employees Data'!T58)/T58*100</f>
        <v>6</v>
      </c>
      <c r="X58" s="36">
        <f t="shared" ca="1" si="6"/>
        <v>18000</v>
      </c>
    </row>
    <row r="59" spans="1:24" x14ac:dyDescent="0.3">
      <c r="A59" s="32">
        <v>3121</v>
      </c>
      <c r="B59" s="32" t="s">
        <v>268</v>
      </c>
      <c r="C59" s="32" t="str">
        <f>_xlfn.XLOOKUP(B59,B59:B124,'Appraisal Data'!B59:B124)</f>
        <v>Megan</v>
      </c>
      <c r="D59" s="32" t="str">
        <f>_xlfn.XLOOKUP(B59,B59:B124,'Appraisal Data'!C59:C124)</f>
        <v>Keller</v>
      </c>
      <c r="E59" s="32" t="s">
        <v>269</v>
      </c>
      <c r="F59" s="32" t="s">
        <v>270</v>
      </c>
      <c r="G59" s="33">
        <v>41821</v>
      </c>
      <c r="H59" s="33"/>
      <c r="I59" s="132" t="str">
        <f t="shared" si="0"/>
        <v>no</v>
      </c>
      <c r="J59" s="133">
        <f t="shared" si="1"/>
        <v>0</v>
      </c>
      <c r="K59" s="85" t="str">
        <f t="shared" ca="1" si="2"/>
        <v>10.10</v>
      </c>
      <c r="L59" s="34"/>
      <c r="M59" s="33">
        <v>35186</v>
      </c>
      <c r="N59" s="86" t="str">
        <f t="shared" ca="1" si="3"/>
        <v>29years0months10596days</v>
      </c>
      <c r="O59" s="32" t="s">
        <v>264</v>
      </c>
      <c r="P59" s="32" t="s">
        <v>151</v>
      </c>
      <c r="Q59" s="32" t="s">
        <v>152</v>
      </c>
      <c r="R59" s="32" t="s">
        <v>162</v>
      </c>
      <c r="S59" s="32" t="s">
        <v>154</v>
      </c>
      <c r="T59" s="35">
        <v>3200000</v>
      </c>
      <c r="U59" s="32">
        <f t="shared" si="4"/>
        <v>2</v>
      </c>
      <c r="V59" s="90">
        <f t="shared" si="5"/>
        <v>2</v>
      </c>
      <c r="W59" s="91">
        <f>('Appraisal Data'!A59-'Employees Data'!T59)/T59*100</f>
        <v>6</v>
      </c>
      <c r="X59" s="36">
        <f t="shared" ca="1" si="6"/>
        <v>320000</v>
      </c>
    </row>
    <row r="60" spans="1:24" x14ac:dyDescent="0.3">
      <c r="A60" s="32">
        <v>3122</v>
      </c>
      <c r="B60" s="32" t="s">
        <v>271</v>
      </c>
      <c r="C60" s="32" t="str">
        <f>_xlfn.XLOOKUP(B60,B60:B125,'Appraisal Data'!B60:B125)</f>
        <v>Amanda</v>
      </c>
      <c r="D60" s="32" t="str">
        <f>_xlfn.XLOOKUP(B60,B60:B125,'Appraisal Data'!C60:C125)</f>
        <v>Kessel</v>
      </c>
      <c r="E60" s="32" t="s">
        <v>272</v>
      </c>
      <c r="F60" s="32" t="s">
        <v>273</v>
      </c>
      <c r="G60" s="33">
        <v>41821</v>
      </c>
      <c r="H60" s="33"/>
      <c r="I60" s="132" t="str">
        <f t="shared" si="0"/>
        <v>no</v>
      </c>
      <c r="J60" s="133">
        <f t="shared" si="1"/>
        <v>0</v>
      </c>
      <c r="K60" s="85" t="str">
        <f t="shared" ca="1" si="2"/>
        <v>10.10</v>
      </c>
      <c r="L60" s="34"/>
      <c r="M60" s="33">
        <v>33478</v>
      </c>
      <c r="N60" s="86" t="str">
        <f t="shared" ca="1" si="3"/>
        <v>33years8months12304days</v>
      </c>
      <c r="O60" s="32" t="s">
        <v>264</v>
      </c>
      <c r="P60" s="32" t="s">
        <v>151</v>
      </c>
      <c r="Q60" s="32" t="s">
        <v>152</v>
      </c>
      <c r="R60" s="32" t="s">
        <v>166</v>
      </c>
      <c r="S60" s="32" t="s">
        <v>160</v>
      </c>
      <c r="T60" s="35">
        <v>150000</v>
      </c>
      <c r="U60" s="32">
        <f t="shared" si="4"/>
        <v>46</v>
      </c>
      <c r="V60" s="90">
        <f t="shared" si="5"/>
        <v>2</v>
      </c>
      <c r="W60" s="91">
        <f>('Appraisal Data'!A60-'Employees Data'!T60)/T60*100</f>
        <v>6</v>
      </c>
      <c r="X60" s="36">
        <f t="shared" ca="1" si="6"/>
        <v>15000</v>
      </c>
    </row>
    <row r="61" spans="1:24" x14ac:dyDescent="0.3">
      <c r="A61" s="32">
        <v>3123</v>
      </c>
      <c r="B61" s="32" t="s">
        <v>274</v>
      </c>
      <c r="C61" s="32" t="str">
        <f>_xlfn.XLOOKUP(B61,B61:B126,'Appraisal Data'!B61:B126)</f>
        <v>Hilary</v>
      </c>
      <c r="D61" s="32" t="str">
        <f>_xlfn.XLOOKUP(B61,B61:B126,'Appraisal Data'!C61:C126)</f>
        <v>Knight</v>
      </c>
      <c r="E61" s="32" t="s">
        <v>266</v>
      </c>
      <c r="F61" s="32" t="s">
        <v>267</v>
      </c>
      <c r="G61" s="33">
        <v>41821</v>
      </c>
      <c r="H61" s="33"/>
      <c r="I61" s="132" t="str">
        <f t="shared" si="0"/>
        <v>no</v>
      </c>
      <c r="J61" s="133">
        <f t="shared" si="1"/>
        <v>0</v>
      </c>
      <c r="K61" s="85" t="str">
        <f t="shared" ca="1" si="2"/>
        <v>10.10</v>
      </c>
      <c r="L61" s="34"/>
      <c r="M61" s="33">
        <v>32701</v>
      </c>
      <c r="N61" s="86" t="str">
        <f t="shared" ca="1" si="3"/>
        <v>35years9months13081days</v>
      </c>
      <c r="O61" s="32" t="s">
        <v>264</v>
      </c>
      <c r="P61" s="32" t="s">
        <v>151</v>
      </c>
      <c r="Q61" s="32" t="s">
        <v>152</v>
      </c>
      <c r="R61" s="32" t="s">
        <v>175</v>
      </c>
      <c r="S61" s="32" t="s">
        <v>160</v>
      </c>
      <c r="T61" s="35">
        <v>132000</v>
      </c>
      <c r="U61" s="32">
        <f t="shared" si="4"/>
        <v>49</v>
      </c>
      <c r="V61" s="90">
        <f t="shared" si="5"/>
        <v>2</v>
      </c>
      <c r="W61" s="91">
        <f>('Appraisal Data'!A61-'Employees Data'!T61)/T61*100</f>
        <v>6</v>
      </c>
      <c r="X61" s="36">
        <f t="shared" ca="1" si="6"/>
        <v>13200</v>
      </c>
    </row>
    <row r="62" spans="1:24" x14ac:dyDescent="0.3">
      <c r="A62" s="32">
        <v>3124</v>
      </c>
      <c r="B62" s="32" t="s">
        <v>275</v>
      </c>
      <c r="C62" s="32" t="str">
        <f>_xlfn.XLOOKUP(B62,B62:B127,'Appraisal Data'!B62:B127)</f>
        <v>Jocelyne</v>
      </c>
      <c r="D62" s="32" t="str">
        <f>_xlfn.XLOOKUP(B62,B62:B127,'Appraisal Data'!C62:C127)</f>
        <v>Lamoureux</v>
      </c>
      <c r="E62" s="32" t="s">
        <v>266</v>
      </c>
      <c r="F62" s="32" t="s">
        <v>267</v>
      </c>
      <c r="G62" s="33">
        <v>41821</v>
      </c>
      <c r="H62" s="33"/>
      <c r="I62" s="132" t="str">
        <f t="shared" si="0"/>
        <v>no</v>
      </c>
      <c r="J62" s="133">
        <f t="shared" si="1"/>
        <v>0</v>
      </c>
      <c r="K62" s="85" t="str">
        <f t="shared" ca="1" si="2"/>
        <v>10.10</v>
      </c>
      <c r="L62" s="34"/>
      <c r="M62" s="33">
        <v>32692</v>
      </c>
      <c r="N62" s="86" t="str">
        <f t="shared" ca="1" si="3"/>
        <v>35years10months13090days</v>
      </c>
      <c r="O62" s="32" t="s">
        <v>264</v>
      </c>
      <c r="P62" s="32" t="s">
        <v>151</v>
      </c>
      <c r="Q62" s="32" t="s">
        <v>152</v>
      </c>
      <c r="R62" s="32" t="s">
        <v>186</v>
      </c>
      <c r="S62" s="32" t="s">
        <v>160</v>
      </c>
      <c r="T62" s="35">
        <v>84000</v>
      </c>
      <c r="U62" s="32">
        <f t="shared" si="4"/>
        <v>58</v>
      </c>
      <c r="V62" s="90">
        <f t="shared" si="5"/>
        <v>2</v>
      </c>
      <c r="W62" s="91">
        <f>('Appraisal Data'!A62-'Employees Data'!T62)/T62*100</f>
        <v>6</v>
      </c>
      <c r="X62" s="36">
        <f t="shared" ca="1" si="6"/>
        <v>8400</v>
      </c>
    </row>
    <row r="63" spans="1:24" x14ac:dyDescent="0.3">
      <c r="A63" s="32">
        <v>3125</v>
      </c>
      <c r="B63" s="32" t="s">
        <v>276</v>
      </c>
      <c r="C63" s="32" t="str">
        <f>_xlfn.XLOOKUP(B63,B63:B128,'Appraisal Data'!B63:B128)</f>
        <v>Monique</v>
      </c>
      <c r="D63" s="32" t="str">
        <f>_xlfn.XLOOKUP(B63,B63:B128,'Appraisal Data'!C63:C128)</f>
        <v>Lamoureux</v>
      </c>
      <c r="E63" s="32" t="s">
        <v>266</v>
      </c>
      <c r="F63" s="32" t="s">
        <v>267</v>
      </c>
      <c r="G63" s="33">
        <v>41821</v>
      </c>
      <c r="H63" s="33"/>
      <c r="I63" s="132" t="str">
        <f t="shared" si="0"/>
        <v>no</v>
      </c>
      <c r="J63" s="133">
        <f t="shared" si="1"/>
        <v>0</v>
      </c>
      <c r="K63" s="85" t="str">
        <f t="shared" ca="1" si="2"/>
        <v>10.10</v>
      </c>
      <c r="L63" s="34"/>
      <c r="M63" s="33">
        <v>32692</v>
      </c>
      <c r="N63" s="86" t="str">
        <f t="shared" ca="1" si="3"/>
        <v>35years10months13090days</v>
      </c>
      <c r="O63" s="32" t="s">
        <v>264</v>
      </c>
      <c r="P63" s="32" t="s">
        <v>151</v>
      </c>
      <c r="Q63" s="32" t="s">
        <v>152</v>
      </c>
      <c r="R63" s="32" t="s">
        <v>189</v>
      </c>
      <c r="S63" s="32" t="s">
        <v>160</v>
      </c>
      <c r="T63" s="35">
        <v>90000</v>
      </c>
      <c r="U63" s="32">
        <f t="shared" si="4"/>
        <v>56</v>
      </c>
      <c r="V63" s="90">
        <f t="shared" si="5"/>
        <v>2</v>
      </c>
      <c r="W63" s="91">
        <f>('Appraisal Data'!A63-'Employees Data'!T63)/T63*100</f>
        <v>6</v>
      </c>
      <c r="X63" s="36">
        <f t="shared" ca="1" si="6"/>
        <v>9000</v>
      </c>
    </row>
    <row r="64" spans="1:24" x14ac:dyDescent="0.3">
      <c r="A64" s="32">
        <v>3126</v>
      </c>
      <c r="B64" s="32" t="s">
        <v>277</v>
      </c>
      <c r="C64" s="32" t="str">
        <f>_xlfn.XLOOKUP(B64,B64:B129,'Appraisal Data'!B64:B129)</f>
        <v>Gigi</v>
      </c>
      <c r="D64" s="32" t="str">
        <f>_xlfn.XLOOKUP(B64,B64:B129,'Appraisal Data'!C64:C129)</f>
        <v>Marvin</v>
      </c>
      <c r="E64" s="32" t="s">
        <v>148</v>
      </c>
      <c r="F64" s="32" t="s">
        <v>278</v>
      </c>
      <c r="G64" s="33">
        <v>41821</v>
      </c>
      <c r="H64" s="33"/>
      <c r="I64" s="132" t="str">
        <f t="shared" si="0"/>
        <v>no</v>
      </c>
      <c r="J64" s="133">
        <f t="shared" si="1"/>
        <v>0</v>
      </c>
      <c r="K64" s="85" t="str">
        <f t="shared" ca="1" si="2"/>
        <v>10.10</v>
      </c>
      <c r="L64" s="34"/>
      <c r="M64" s="33">
        <v>31843</v>
      </c>
      <c r="N64" s="86" t="str">
        <f t="shared" ca="1" si="3"/>
        <v>38years1months13939days</v>
      </c>
      <c r="O64" s="32" t="s">
        <v>264</v>
      </c>
      <c r="P64" s="32" t="s">
        <v>151</v>
      </c>
      <c r="Q64" s="32" t="s">
        <v>152</v>
      </c>
      <c r="R64" s="32" t="s">
        <v>192</v>
      </c>
      <c r="S64" s="32" t="s">
        <v>154</v>
      </c>
      <c r="T64" s="35">
        <v>840000</v>
      </c>
      <c r="U64" s="32">
        <f t="shared" si="4"/>
        <v>13</v>
      </c>
      <c r="V64" s="90">
        <f t="shared" si="5"/>
        <v>2</v>
      </c>
      <c r="W64" s="91">
        <f>('Appraisal Data'!A64-'Employees Data'!T64)/T64*100</f>
        <v>6</v>
      </c>
      <c r="X64" s="36">
        <f t="shared" ca="1" si="6"/>
        <v>84000</v>
      </c>
    </row>
    <row r="65" spans="1:24" x14ac:dyDescent="0.3">
      <c r="A65" s="32">
        <v>3127</v>
      </c>
      <c r="B65" s="32" t="s">
        <v>279</v>
      </c>
      <c r="C65" s="32" t="str">
        <f>_xlfn.XLOOKUP(B65,B65:B130,'Appraisal Data'!B65:B130)</f>
        <v>Sidney</v>
      </c>
      <c r="D65" s="32" t="str">
        <f>_xlfn.XLOOKUP(B65,B65:B130,'Appraisal Data'!C65:C130)</f>
        <v>Morin</v>
      </c>
      <c r="E65" s="32" t="s">
        <v>280</v>
      </c>
      <c r="F65" s="32" t="s">
        <v>281</v>
      </c>
      <c r="G65" s="33">
        <v>41821</v>
      </c>
      <c r="H65" s="33"/>
      <c r="I65" s="132" t="str">
        <f t="shared" si="0"/>
        <v>no</v>
      </c>
      <c r="J65" s="133">
        <f t="shared" si="1"/>
        <v>0</v>
      </c>
      <c r="K65" s="85" t="str">
        <f t="shared" ca="1" si="2"/>
        <v>10.10</v>
      </c>
      <c r="L65" s="34"/>
      <c r="M65" s="33">
        <v>34856</v>
      </c>
      <c r="N65" s="86" t="str">
        <f t="shared" ca="1" si="3"/>
        <v>29years10months10926days</v>
      </c>
      <c r="O65" s="32" t="s">
        <v>264</v>
      </c>
      <c r="P65" s="32" t="s">
        <v>151</v>
      </c>
      <c r="Q65" s="32" t="s">
        <v>152</v>
      </c>
      <c r="R65" s="32" t="s">
        <v>153</v>
      </c>
      <c r="S65" s="32" t="s">
        <v>160</v>
      </c>
      <c r="T65" s="35">
        <v>84000</v>
      </c>
      <c r="U65" s="32">
        <f t="shared" si="4"/>
        <v>58</v>
      </c>
      <c r="V65" s="90">
        <f t="shared" si="5"/>
        <v>2</v>
      </c>
      <c r="W65" s="91">
        <f>('Appraisal Data'!A65-'Employees Data'!T65)/T65*100</f>
        <v>6</v>
      </c>
      <c r="X65" s="36">
        <f t="shared" ca="1" si="6"/>
        <v>8400</v>
      </c>
    </row>
    <row r="66" spans="1:24" x14ac:dyDescent="0.3">
      <c r="A66" s="32">
        <v>3128</v>
      </c>
      <c r="B66" s="32" t="s">
        <v>282</v>
      </c>
      <c r="C66" s="32" t="str">
        <f>_xlfn.XLOOKUP(B66,B66:B131,'Appraisal Data'!B66:B131)</f>
        <v>Kelly</v>
      </c>
      <c r="D66" s="32" t="str">
        <f>_xlfn.XLOOKUP(B66,B66:B131,'Appraisal Data'!C66:C131)</f>
        <v>Pannek</v>
      </c>
      <c r="E66" s="32" t="s">
        <v>266</v>
      </c>
      <c r="F66" s="32" t="s">
        <v>267</v>
      </c>
      <c r="G66" s="33">
        <v>41821</v>
      </c>
      <c r="H66" s="33">
        <v>44413</v>
      </c>
      <c r="I66" s="132" t="str">
        <f t="shared" si="0"/>
        <v>yes</v>
      </c>
      <c r="J66" s="133">
        <f t="shared" si="1"/>
        <v>1</v>
      </c>
      <c r="K66" s="85" t="str">
        <f t="shared" ca="1" si="2"/>
        <v>10.10</v>
      </c>
      <c r="L66" s="34"/>
      <c r="M66" s="33">
        <v>35062</v>
      </c>
      <c r="N66" s="86" t="str">
        <f t="shared" ca="1" si="3"/>
        <v>29years4months10720days</v>
      </c>
      <c r="O66" s="32" t="s">
        <v>264</v>
      </c>
      <c r="P66" s="32" t="s">
        <v>151</v>
      </c>
      <c r="Q66" s="32" t="s">
        <v>152</v>
      </c>
      <c r="R66" s="32" t="s">
        <v>162</v>
      </c>
      <c r="S66" s="32" t="s">
        <v>160</v>
      </c>
      <c r="T66" s="35">
        <v>48000</v>
      </c>
      <c r="U66" s="32">
        <f t="shared" si="4"/>
        <v>65</v>
      </c>
      <c r="V66" s="90">
        <f t="shared" si="5"/>
        <v>2</v>
      </c>
      <c r="W66" s="91">
        <f>('Appraisal Data'!A66-'Employees Data'!T66)/T66*100</f>
        <v>6</v>
      </c>
      <c r="X66" s="36">
        <f t="shared" ca="1" si="6"/>
        <v>4800</v>
      </c>
    </row>
    <row r="67" spans="1:24" x14ac:dyDescent="0.3">
      <c r="A67" s="44">
        <v>3129</v>
      </c>
      <c r="B67" s="44" t="s">
        <v>283</v>
      </c>
      <c r="C67" s="32" t="str">
        <f>_xlfn.XLOOKUP(B67,B67:B132,'Appraisal Data'!B67:B132)</f>
        <v>Amanda</v>
      </c>
      <c r="D67" s="32" t="str">
        <f>_xlfn.XLOOKUP(B67,B67:B132,'Appraisal Data'!C67:C132)</f>
        <v>Pelkey</v>
      </c>
      <c r="E67" s="44" t="s">
        <v>280</v>
      </c>
      <c r="F67" s="44" t="s">
        <v>281</v>
      </c>
      <c r="G67" s="45">
        <v>41821</v>
      </c>
      <c r="H67" s="33"/>
      <c r="I67" s="132" t="str">
        <f t="shared" ref="I67" si="7">IF(H67="","no","yes")</f>
        <v>no</v>
      </c>
      <c r="J67" s="133">
        <f t="shared" ref="J67" si="8">IF(I67="yes",1,0)</f>
        <v>0</v>
      </c>
      <c r="K67" s="85" t="str">
        <f t="shared" ref="K67" ca="1" si="9">DATEDIF(G67,TODAY(),"Y")&amp;"."&amp;DATEDIF(G67,TODAY(),"YM")</f>
        <v>10.10</v>
      </c>
      <c r="L67" s="34"/>
      <c r="M67" s="45">
        <v>34118</v>
      </c>
      <c r="N67" s="86" t="str">
        <f t="shared" ref="N67" ca="1" si="10">DATEDIF(M67,TODAY(),"Y")&amp;"years"&amp;DATEDIF(M67,TODAY(),"YM")&amp;"months"&amp;DATEDIF(M67,TODAY(),"D")&amp;"days"</f>
        <v>31years11months11664days</v>
      </c>
      <c r="O67" s="44" t="s">
        <v>264</v>
      </c>
      <c r="P67" s="44" t="s">
        <v>151</v>
      </c>
      <c r="Q67" s="44" t="s">
        <v>152</v>
      </c>
      <c r="R67" s="44" t="s">
        <v>166</v>
      </c>
      <c r="S67" s="44" t="s">
        <v>154</v>
      </c>
      <c r="T67" s="46">
        <v>44880</v>
      </c>
      <c r="U67" s="32">
        <f t="shared" ref="U67" si="11">RANK(T67,$T$2:$T$67,)</f>
        <v>66</v>
      </c>
      <c r="V67" s="90">
        <f t="shared" ref="V67" si="12">IF(W67&gt;=20,5,IF(W67&gt;=15,4,IF(W67&gt;=10,3,IF(W67&gt;=5,2,1))))</f>
        <v>2</v>
      </c>
      <c r="W67" s="91">
        <f>('Appraisal Data'!A67-'Employees Data'!T67)/T67*100</f>
        <v>6.0000000000000071</v>
      </c>
      <c r="X67" s="36">
        <f t="shared" ref="X67" ca="1" si="13">IF(K67&gt;=5,T67*10%,0)</f>
        <v>4488</v>
      </c>
    </row>
  </sheetData>
  <conditionalFormatting sqref="AB24:AC33">
    <cfRule type="top10" dxfId="29" priority="2" rank="10"/>
  </conditionalFormatting>
  <conditionalFormatting sqref="AB24:AD33">
    <cfRule type="top10" dxfId="28" priority="1" rank="10"/>
  </conditionalFormatting>
  <dataValidations count="1">
    <dataValidation type="whole" allowBlank="1" showInputMessage="1" showErrorMessage="1" sqref="AC20" xr:uid="{E551D05C-DAC6-438D-9382-248E8D3D01DE}">
      <formula1>2</formula1>
      <formula2>5</formula2>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91CB-2CA9-421D-93DD-99C0ABBBF4AA}">
  <dimension ref="A1:E67"/>
  <sheetViews>
    <sheetView workbookViewId="0">
      <selection activeCell="A2" sqref="A2"/>
    </sheetView>
  </sheetViews>
  <sheetFormatPr defaultColWidth="8.77734375" defaultRowHeight="14.4" x14ac:dyDescent="0.3"/>
  <cols>
    <col min="1" max="1" width="13.44140625" style="50" customWidth="1"/>
    <col min="2" max="2" width="10.88671875" style="23" bestFit="1" customWidth="1"/>
    <col min="3" max="3" width="18.77734375" style="23" bestFit="1" customWidth="1"/>
    <col min="4" max="4" width="38.44140625" style="23" bestFit="1" customWidth="1"/>
    <col min="5" max="5" width="11.21875" style="23" bestFit="1" customWidth="1"/>
    <col min="6" max="16384" width="8.77734375" style="23"/>
  </cols>
  <sheetData>
    <row r="1" spans="1:5" x14ac:dyDescent="0.3">
      <c r="A1" s="28" t="s">
        <v>284</v>
      </c>
      <c r="B1" s="51" t="s">
        <v>130</v>
      </c>
      <c r="C1" s="51" t="s">
        <v>131</v>
      </c>
      <c r="D1" s="24" t="s">
        <v>132</v>
      </c>
      <c r="E1" s="51" t="s">
        <v>128</v>
      </c>
    </row>
    <row r="2" spans="1:5" x14ac:dyDescent="0.3">
      <c r="A2" s="35">
        <v>756000</v>
      </c>
      <c r="B2" s="38" t="s">
        <v>285</v>
      </c>
      <c r="C2" s="38" t="s">
        <v>286</v>
      </c>
      <c r="D2" s="32" t="s">
        <v>148</v>
      </c>
      <c r="E2" s="38">
        <v>3064</v>
      </c>
    </row>
    <row r="3" spans="1:5" x14ac:dyDescent="0.3">
      <c r="A3" s="35">
        <v>378000</v>
      </c>
      <c r="B3" s="38" t="s">
        <v>287</v>
      </c>
      <c r="C3" s="38" t="s">
        <v>288</v>
      </c>
      <c r="D3" s="32" t="s">
        <v>157</v>
      </c>
      <c r="E3" s="38">
        <v>3065</v>
      </c>
    </row>
    <row r="4" spans="1:5" x14ac:dyDescent="0.3">
      <c r="A4" s="35">
        <v>252000</v>
      </c>
      <c r="B4" s="38" t="s">
        <v>289</v>
      </c>
      <c r="C4" s="38" t="s">
        <v>290</v>
      </c>
      <c r="D4" s="32" t="s">
        <v>157</v>
      </c>
      <c r="E4" s="38">
        <v>3066</v>
      </c>
    </row>
    <row r="5" spans="1:5" x14ac:dyDescent="0.3">
      <c r="A5" s="35">
        <v>315000</v>
      </c>
      <c r="B5" s="38" t="s">
        <v>291</v>
      </c>
      <c r="C5" s="38" t="s">
        <v>292</v>
      </c>
      <c r="D5" s="32" t="s">
        <v>164</v>
      </c>
      <c r="E5" s="38">
        <v>3067</v>
      </c>
    </row>
    <row r="6" spans="1:5" x14ac:dyDescent="0.3">
      <c r="A6" s="35">
        <v>5922000</v>
      </c>
      <c r="B6" s="38" t="s">
        <v>293</v>
      </c>
      <c r="C6" s="38" t="s">
        <v>294</v>
      </c>
      <c r="D6" s="32" t="s">
        <v>168</v>
      </c>
      <c r="E6" s="38">
        <v>3068</v>
      </c>
    </row>
    <row r="7" spans="1:5" x14ac:dyDescent="0.3">
      <c r="A7" s="35">
        <v>281400</v>
      </c>
      <c r="B7" s="38" t="s">
        <v>295</v>
      </c>
      <c r="C7" s="38" t="s">
        <v>296</v>
      </c>
      <c r="D7" s="32" t="s">
        <v>173</v>
      </c>
      <c r="E7" s="38">
        <v>3069</v>
      </c>
    </row>
    <row r="8" spans="1:5" x14ac:dyDescent="0.3">
      <c r="A8" s="35">
        <v>189000</v>
      </c>
      <c r="B8" s="38" t="s">
        <v>297</v>
      </c>
      <c r="C8" s="38" t="s">
        <v>298</v>
      </c>
      <c r="D8" s="32" t="s">
        <v>177</v>
      </c>
      <c r="E8" s="38">
        <v>3070</v>
      </c>
    </row>
    <row r="9" spans="1:5" x14ac:dyDescent="0.3">
      <c r="A9" s="35">
        <v>184800</v>
      </c>
      <c r="B9" s="38" t="s">
        <v>299</v>
      </c>
      <c r="C9" s="38" t="s">
        <v>300</v>
      </c>
      <c r="D9" s="32" t="s">
        <v>157</v>
      </c>
      <c r="E9" s="38">
        <v>3071</v>
      </c>
    </row>
    <row r="10" spans="1:5" x14ac:dyDescent="0.3">
      <c r="A10" s="35">
        <v>184800</v>
      </c>
      <c r="B10" s="38" t="s">
        <v>301</v>
      </c>
      <c r="C10" s="38" t="s">
        <v>302</v>
      </c>
      <c r="D10" s="32" t="s">
        <v>157</v>
      </c>
      <c r="E10" s="38">
        <v>3072</v>
      </c>
    </row>
    <row r="11" spans="1:5" x14ac:dyDescent="0.3">
      <c r="A11" s="35">
        <v>105600</v>
      </c>
      <c r="B11" s="38" t="s">
        <v>303</v>
      </c>
      <c r="C11" s="38" t="s">
        <v>304</v>
      </c>
      <c r="D11" s="32" t="s">
        <v>164</v>
      </c>
      <c r="E11" s="38">
        <v>3073</v>
      </c>
    </row>
    <row r="12" spans="1:5" x14ac:dyDescent="0.3">
      <c r="A12" s="35">
        <v>102036</v>
      </c>
      <c r="B12" s="38" t="s">
        <v>305</v>
      </c>
      <c r="C12" s="38" t="s">
        <v>306</v>
      </c>
      <c r="D12" s="32" t="s">
        <v>164</v>
      </c>
      <c r="E12" s="38">
        <v>3074</v>
      </c>
    </row>
    <row r="13" spans="1:5" x14ac:dyDescent="0.3">
      <c r="A13" s="35">
        <v>105600</v>
      </c>
      <c r="B13" s="38" t="s">
        <v>307</v>
      </c>
      <c r="C13" s="38" t="s">
        <v>308</v>
      </c>
      <c r="D13" s="32" t="s">
        <v>164</v>
      </c>
      <c r="E13" s="38">
        <v>3075</v>
      </c>
    </row>
    <row r="14" spans="1:5" x14ac:dyDescent="0.3">
      <c r="A14" s="35">
        <v>105600</v>
      </c>
      <c r="B14" s="38" t="s">
        <v>309</v>
      </c>
      <c r="C14" s="38" t="s">
        <v>310</v>
      </c>
      <c r="D14" s="32" t="s">
        <v>164</v>
      </c>
      <c r="E14" s="38">
        <v>3076</v>
      </c>
    </row>
    <row r="15" spans="1:5" x14ac:dyDescent="0.3">
      <c r="A15" s="35">
        <v>174720</v>
      </c>
      <c r="B15" s="38" t="s">
        <v>311</v>
      </c>
      <c r="C15" s="38" t="s">
        <v>312</v>
      </c>
      <c r="D15" s="32" t="s">
        <v>164</v>
      </c>
      <c r="E15" s="38">
        <v>3077</v>
      </c>
    </row>
    <row r="16" spans="1:5" x14ac:dyDescent="0.3">
      <c r="A16" s="35">
        <v>470400</v>
      </c>
      <c r="B16" s="38" t="s">
        <v>313</v>
      </c>
      <c r="C16" s="38" t="s">
        <v>314</v>
      </c>
      <c r="D16" s="32" t="s">
        <v>157</v>
      </c>
      <c r="E16" s="38">
        <v>3078</v>
      </c>
    </row>
    <row r="17" spans="1:5" x14ac:dyDescent="0.3">
      <c r="A17" s="35">
        <v>295680</v>
      </c>
      <c r="B17" s="38" t="s">
        <v>315</v>
      </c>
      <c r="C17" s="38" t="s">
        <v>316</v>
      </c>
      <c r="D17" s="32" t="s">
        <v>157</v>
      </c>
      <c r="E17" s="38">
        <v>3079</v>
      </c>
    </row>
    <row r="18" spans="1:5" x14ac:dyDescent="0.3">
      <c r="A18" s="35">
        <v>161280</v>
      </c>
      <c r="B18" s="38" t="s">
        <v>317</v>
      </c>
      <c r="C18" s="38" t="s">
        <v>318</v>
      </c>
      <c r="D18" s="32" t="s">
        <v>164</v>
      </c>
      <c r="E18" s="38">
        <v>3080</v>
      </c>
    </row>
    <row r="19" spans="1:5" x14ac:dyDescent="0.3">
      <c r="A19" s="35">
        <v>303600</v>
      </c>
      <c r="B19" s="38" t="s">
        <v>289</v>
      </c>
      <c r="C19" s="38" t="s">
        <v>319</v>
      </c>
      <c r="D19" s="32" t="s">
        <v>157</v>
      </c>
      <c r="E19" s="38">
        <v>3081</v>
      </c>
    </row>
    <row r="20" spans="1:5" x14ac:dyDescent="0.3">
      <c r="A20" s="35">
        <v>220800</v>
      </c>
      <c r="B20" s="38" t="s">
        <v>320</v>
      </c>
      <c r="C20" s="38" t="s">
        <v>321</v>
      </c>
      <c r="D20" s="32" t="s">
        <v>164</v>
      </c>
      <c r="E20" s="38">
        <v>3082</v>
      </c>
    </row>
    <row r="21" spans="1:5" x14ac:dyDescent="0.3">
      <c r="A21" s="35">
        <v>1380000</v>
      </c>
      <c r="B21" s="38" t="s">
        <v>322</v>
      </c>
      <c r="C21" s="38" t="s">
        <v>323</v>
      </c>
      <c r="D21" s="32" t="s">
        <v>201</v>
      </c>
      <c r="E21" s="38">
        <v>3083</v>
      </c>
    </row>
    <row r="22" spans="1:5" x14ac:dyDescent="0.3">
      <c r="A22" s="35">
        <v>2016000</v>
      </c>
      <c r="B22" s="38" t="s">
        <v>324</v>
      </c>
      <c r="C22" s="38" t="s">
        <v>325</v>
      </c>
      <c r="D22" s="32" t="s">
        <v>201</v>
      </c>
      <c r="E22" s="38">
        <v>3084</v>
      </c>
    </row>
    <row r="23" spans="1:5" x14ac:dyDescent="0.3">
      <c r="A23" s="35">
        <v>1034640</v>
      </c>
      <c r="B23" s="38" t="s">
        <v>326</v>
      </c>
      <c r="C23" s="38" t="s">
        <v>327</v>
      </c>
      <c r="D23" s="32" t="s">
        <v>157</v>
      </c>
      <c r="E23" s="38">
        <v>3085</v>
      </c>
    </row>
    <row r="24" spans="1:5" x14ac:dyDescent="0.3">
      <c r="A24" s="35">
        <v>927120</v>
      </c>
      <c r="B24" s="38" t="s">
        <v>328</v>
      </c>
      <c r="C24" s="38" t="s">
        <v>329</v>
      </c>
      <c r="D24" s="32" t="s">
        <v>201</v>
      </c>
      <c r="E24" s="38">
        <v>3086</v>
      </c>
    </row>
    <row r="25" spans="1:5" x14ac:dyDescent="0.3">
      <c r="A25" s="35">
        <v>587600</v>
      </c>
      <c r="B25" s="38" t="s">
        <v>330</v>
      </c>
      <c r="C25" s="38" t="s">
        <v>331</v>
      </c>
      <c r="D25" s="32" t="s">
        <v>201</v>
      </c>
      <c r="E25" s="38">
        <v>3087</v>
      </c>
    </row>
    <row r="26" spans="1:5" x14ac:dyDescent="0.3">
      <c r="A26" s="35">
        <v>1053950</v>
      </c>
      <c r="B26" s="38" t="s">
        <v>332</v>
      </c>
      <c r="C26" s="38" t="s">
        <v>333</v>
      </c>
      <c r="D26" s="32" t="s">
        <v>201</v>
      </c>
      <c r="E26" s="38">
        <v>3088</v>
      </c>
    </row>
    <row r="27" spans="1:5" x14ac:dyDescent="0.3">
      <c r="A27" s="35">
        <v>295962</v>
      </c>
      <c r="B27" s="38" t="s">
        <v>334</v>
      </c>
      <c r="C27" s="38" t="s">
        <v>335</v>
      </c>
      <c r="D27" s="32" t="s">
        <v>157</v>
      </c>
      <c r="E27" s="38">
        <v>3089</v>
      </c>
    </row>
    <row r="28" spans="1:5" x14ac:dyDescent="0.3">
      <c r="A28" s="35">
        <v>1932420</v>
      </c>
      <c r="B28" s="38" t="s">
        <v>336</v>
      </c>
      <c r="C28" s="38" t="s">
        <v>337</v>
      </c>
      <c r="D28" s="32" t="s">
        <v>219</v>
      </c>
      <c r="E28" s="38">
        <v>3090</v>
      </c>
    </row>
    <row r="29" spans="1:5" x14ac:dyDescent="0.3">
      <c r="A29" s="35">
        <v>177192</v>
      </c>
      <c r="B29" s="38" t="s">
        <v>338</v>
      </c>
      <c r="C29" s="38" t="s">
        <v>339</v>
      </c>
      <c r="D29" s="32" t="s">
        <v>164</v>
      </c>
      <c r="E29" s="38">
        <v>3091</v>
      </c>
    </row>
    <row r="30" spans="1:5" x14ac:dyDescent="0.3">
      <c r="A30" s="35">
        <v>164352</v>
      </c>
      <c r="B30" s="38" t="s">
        <v>340</v>
      </c>
      <c r="C30" s="38" t="s">
        <v>341</v>
      </c>
      <c r="D30" s="32" t="s">
        <v>164</v>
      </c>
      <c r="E30" s="38">
        <v>3092</v>
      </c>
    </row>
    <row r="31" spans="1:5" x14ac:dyDescent="0.3">
      <c r="A31" s="35">
        <v>182970</v>
      </c>
      <c r="B31" s="38" t="s">
        <v>342</v>
      </c>
      <c r="C31" s="38" t="s">
        <v>343</v>
      </c>
      <c r="D31" s="32" t="s">
        <v>164</v>
      </c>
      <c r="E31" s="38">
        <v>3093</v>
      </c>
    </row>
    <row r="32" spans="1:5" x14ac:dyDescent="0.3">
      <c r="A32" s="35">
        <v>312176</v>
      </c>
      <c r="B32" s="38" t="s">
        <v>344</v>
      </c>
      <c r="C32" s="38" t="s">
        <v>345</v>
      </c>
      <c r="D32" s="32" t="s">
        <v>157</v>
      </c>
      <c r="E32" s="38">
        <v>3094</v>
      </c>
    </row>
    <row r="33" spans="1:5" x14ac:dyDescent="0.3">
      <c r="A33" s="35">
        <v>91036.800000000003</v>
      </c>
      <c r="B33" s="38" t="s">
        <v>346</v>
      </c>
      <c r="C33" s="38" t="s">
        <v>347</v>
      </c>
      <c r="D33" s="32" t="s">
        <v>164</v>
      </c>
      <c r="E33" s="38">
        <v>3095</v>
      </c>
    </row>
    <row r="34" spans="1:5" x14ac:dyDescent="0.3">
      <c r="A34" s="35">
        <v>941760</v>
      </c>
      <c r="B34" s="38" t="s">
        <v>348</v>
      </c>
      <c r="C34" s="38" t="s">
        <v>349</v>
      </c>
      <c r="D34" s="32" t="s">
        <v>201</v>
      </c>
      <c r="E34" s="38">
        <v>3096</v>
      </c>
    </row>
    <row r="35" spans="1:5" x14ac:dyDescent="0.3">
      <c r="A35" s="35">
        <v>94830</v>
      </c>
      <c r="B35" s="38" t="s">
        <v>350</v>
      </c>
      <c r="C35" s="38" t="s">
        <v>351</v>
      </c>
      <c r="D35" s="32" t="s">
        <v>164</v>
      </c>
      <c r="E35" s="38">
        <v>3097</v>
      </c>
    </row>
    <row r="36" spans="1:5" x14ac:dyDescent="0.3">
      <c r="A36" s="35">
        <v>741480</v>
      </c>
      <c r="B36" s="38" t="s">
        <v>352</v>
      </c>
      <c r="C36" s="38" t="s">
        <v>353</v>
      </c>
      <c r="D36" s="32" t="s">
        <v>201</v>
      </c>
      <c r="E36" s="38">
        <v>3098</v>
      </c>
    </row>
    <row r="37" spans="1:5" x14ac:dyDescent="0.3">
      <c r="A37" s="35">
        <v>1431900</v>
      </c>
      <c r="B37" s="38" t="s">
        <v>354</v>
      </c>
      <c r="C37" s="38" t="s">
        <v>355</v>
      </c>
      <c r="D37" s="32" t="s">
        <v>219</v>
      </c>
      <c r="E37" s="38">
        <v>3099</v>
      </c>
    </row>
    <row r="38" spans="1:5" x14ac:dyDescent="0.3">
      <c r="A38" s="35">
        <v>276390</v>
      </c>
      <c r="B38" s="38" t="s">
        <v>356</v>
      </c>
      <c r="C38" s="38" t="s">
        <v>357</v>
      </c>
      <c r="D38" s="32" t="s">
        <v>164</v>
      </c>
      <c r="E38" s="38">
        <v>3100</v>
      </c>
    </row>
    <row r="39" spans="1:5" x14ac:dyDescent="0.3">
      <c r="A39" s="35">
        <v>1571760</v>
      </c>
      <c r="B39" s="38" t="s">
        <v>358</v>
      </c>
      <c r="C39" s="38" t="s">
        <v>359</v>
      </c>
      <c r="D39" s="32" t="s">
        <v>201</v>
      </c>
      <c r="E39" s="38">
        <v>3101</v>
      </c>
    </row>
    <row r="40" spans="1:5" x14ac:dyDescent="0.3">
      <c r="A40" s="35">
        <v>345387.6</v>
      </c>
      <c r="B40" s="38" t="s">
        <v>336</v>
      </c>
      <c r="C40" s="38" t="s">
        <v>360</v>
      </c>
      <c r="D40" s="32" t="s">
        <v>177</v>
      </c>
      <c r="E40" s="38">
        <v>3102</v>
      </c>
    </row>
    <row r="41" spans="1:5" x14ac:dyDescent="0.3">
      <c r="A41" s="35">
        <v>216450</v>
      </c>
      <c r="B41" s="38" t="s">
        <v>361</v>
      </c>
      <c r="C41" s="38" t="s">
        <v>362</v>
      </c>
      <c r="D41" s="32" t="s">
        <v>157</v>
      </c>
      <c r="E41" s="38">
        <v>3103</v>
      </c>
    </row>
    <row r="42" spans="1:5" x14ac:dyDescent="0.3">
      <c r="A42" s="35">
        <v>146520</v>
      </c>
      <c r="B42" s="38" t="s">
        <v>363</v>
      </c>
      <c r="C42" s="38" t="s">
        <v>364</v>
      </c>
      <c r="D42" s="32" t="s">
        <v>164</v>
      </c>
      <c r="E42" s="38">
        <v>3104</v>
      </c>
    </row>
    <row r="43" spans="1:5" x14ac:dyDescent="0.3">
      <c r="A43" s="35">
        <v>169830</v>
      </c>
      <c r="B43" s="38" t="s">
        <v>365</v>
      </c>
      <c r="C43" s="38" t="s">
        <v>366</v>
      </c>
      <c r="D43" s="32" t="s">
        <v>177</v>
      </c>
      <c r="E43" s="38">
        <v>3105</v>
      </c>
    </row>
    <row r="44" spans="1:5" x14ac:dyDescent="0.3">
      <c r="A44" s="35">
        <v>192244.8</v>
      </c>
      <c r="B44" s="38" t="s">
        <v>367</v>
      </c>
      <c r="C44" s="38" t="s">
        <v>368</v>
      </c>
      <c r="D44" s="32" t="s">
        <v>164</v>
      </c>
      <c r="E44" s="38">
        <v>3106</v>
      </c>
    </row>
    <row r="45" spans="1:5" x14ac:dyDescent="0.3">
      <c r="A45" s="35">
        <v>96122.4</v>
      </c>
      <c r="B45" s="38" t="s">
        <v>369</v>
      </c>
      <c r="C45" s="38" t="s">
        <v>370</v>
      </c>
      <c r="D45" s="32" t="s">
        <v>247</v>
      </c>
      <c r="E45" s="38">
        <v>3107</v>
      </c>
    </row>
    <row r="46" spans="1:5" x14ac:dyDescent="0.3">
      <c r="A46" s="35">
        <v>93218.4</v>
      </c>
      <c r="B46" s="38" t="s">
        <v>352</v>
      </c>
      <c r="C46" s="38" t="s">
        <v>371</v>
      </c>
      <c r="D46" s="32" t="s">
        <v>177</v>
      </c>
      <c r="E46" s="38">
        <v>3108</v>
      </c>
    </row>
    <row r="47" spans="1:5" x14ac:dyDescent="0.3">
      <c r="A47" s="35">
        <v>96122.4</v>
      </c>
      <c r="B47" s="38" t="s">
        <v>372</v>
      </c>
      <c r="C47" s="38" t="s">
        <v>373</v>
      </c>
      <c r="D47" s="32" t="s">
        <v>157</v>
      </c>
      <c r="E47" s="38">
        <v>3109</v>
      </c>
    </row>
    <row r="48" spans="1:5" x14ac:dyDescent="0.3">
      <c r="A48" s="35">
        <v>96848.4</v>
      </c>
      <c r="B48" s="38" t="s">
        <v>374</v>
      </c>
      <c r="C48" s="38" t="s">
        <v>310</v>
      </c>
      <c r="D48" s="32" t="s">
        <v>157</v>
      </c>
      <c r="E48" s="38">
        <v>3110</v>
      </c>
    </row>
    <row r="49" spans="1:5" x14ac:dyDescent="0.3">
      <c r="A49" s="35">
        <v>166123.20000000001</v>
      </c>
      <c r="B49" s="38" t="s">
        <v>375</v>
      </c>
      <c r="C49" s="38" t="s">
        <v>376</v>
      </c>
      <c r="D49" s="32" t="s">
        <v>177</v>
      </c>
      <c r="E49" s="38">
        <v>3111</v>
      </c>
    </row>
    <row r="50" spans="1:5" x14ac:dyDescent="0.3">
      <c r="A50" s="35">
        <v>406404</v>
      </c>
      <c r="B50" s="38" t="s">
        <v>377</v>
      </c>
      <c r="C50" s="38" t="s">
        <v>378</v>
      </c>
      <c r="D50" s="32" t="s">
        <v>254</v>
      </c>
      <c r="E50" s="38">
        <v>3112</v>
      </c>
    </row>
    <row r="51" spans="1:5" x14ac:dyDescent="0.3">
      <c r="A51" s="35">
        <v>243842.4</v>
      </c>
      <c r="B51" s="38" t="s">
        <v>379</v>
      </c>
      <c r="C51" s="38" t="s">
        <v>380</v>
      </c>
      <c r="D51" s="32" t="s">
        <v>164</v>
      </c>
      <c r="E51" s="38">
        <v>3113</v>
      </c>
    </row>
    <row r="52" spans="1:5" x14ac:dyDescent="0.3">
      <c r="A52" s="35">
        <v>1391568</v>
      </c>
      <c r="B52" s="38" t="s">
        <v>381</v>
      </c>
      <c r="C52" s="38" t="s">
        <v>382</v>
      </c>
      <c r="D52" s="32" t="s">
        <v>219</v>
      </c>
      <c r="E52" s="38">
        <v>3114</v>
      </c>
    </row>
    <row r="53" spans="1:5" x14ac:dyDescent="0.3">
      <c r="A53" s="35">
        <v>309732</v>
      </c>
      <c r="B53" s="38" t="s">
        <v>383</v>
      </c>
      <c r="C53" s="38" t="s">
        <v>384</v>
      </c>
      <c r="D53" s="32" t="s">
        <v>164</v>
      </c>
      <c r="E53" s="38">
        <v>3115</v>
      </c>
    </row>
    <row r="54" spans="1:5" x14ac:dyDescent="0.3">
      <c r="A54" s="35">
        <v>1920720</v>
      </c>
      <c r="B54" s="38" t="s">
        <v>385</v>
      </c>
      <c r="C54" s="38" t="s">
        <v>386</v>
      </c>
      <c r="D54" s="32" t="s">
        <v>219</v>
      </c>
      <c r="E54" s="38">
        <v>3116</v>
      </c>
    </row>
    <row r="55" spans="1:5" x14ac:dyDescent="0.3">
      <c r="A55" s="35">
        <v>130761.60000000001</v>
      </c>
      <c r="B55" s="38" t="s">
        <v>387</v>
      </c>
      <c r="C55" s="38" t="s">
        <v>388</v>
      </c>
      <c r="D55" s="32" t="s">
        <v>177</v>
      </c>
      <c r="E55" s="38">
        <v>3117</v>
      </c>
    </row>
    <row r="56" spans="1:5" x14ac:dyDescent="0.3">
      <c r="A56" s="35">
        <v>149332.79999999999</v>
      </c>
      <c r="B56" s="38" t="s">
        <v>285</v>
      </c>
      <c r="C56" s="38" t="s">
        <v>389</v>
      </c>
      <c r="D56" s="32" t="s">
        <v>157</v>
      </c>
      <c r="E56" s="38">
        <v>3118</v>
      </c>
    </row>
    <row r="57" spans="1:5" x14ac:dyDescent="0.3">
      <c r="A57" s="35">
        <v>381600</v>
      </c>
      <c r="B57" s="38" t="s">
        <v>390</v>
      </c>
      <c r="C57" s="38" t="s">
        <v>391</v>
      </c>
      <c r="D57" s="32" t="s">
        <v>148</v>
      </c>
      <c r="E57" s="38">
        <v>3119</v>
      </c>
    </row>
    <row r="58" spans="1:5" x14ac:dyDescent="0.3">
      <c r="A58" s="35">
        <v>190800</v>
      </c>
      <c r="B58" s="38" t="s">
        <v>392</v>
      </c>
      <c r="C58" s="38" t="s">
        <v>393</v>
      </c>
      <c r="D58" s="32" t="s">
        <v>266</v>
      </c>
      <c r="E58" s="38">
        <v>3120</v>
      </c>
    </row>
    <row r="59" spans="1:5" x14ac:dyDescent="0.3">
      <c r="A59" s="35">
        <v>3392000</v>
      </c>
      <c r="B59" s="38" t="s">
        <v>394</v>
      </c>
      <c r="C59" s="38" t="s">
        <v>395</v>
      </c>
      <c r="D59" s="32" t="s">
        <v>269</v>
      </c>
      <c r="E59" s="38">
        <v>3121</v>
      </c>
    </row>
    <row r="60" spans="1:5" x14ac:dyDescent="0.3">
      <c r="A60" s="35">
        <v>159000</v>
      </c>
      <c r="B60" s="38" t="s">
        <v>396</v>
      </c>
      <c r="C60" s="38" t="s">
        <v>397</v>
      </c>
      <c r="D60" s="32" t="s">
        <v>272</v>
      </c>
      <c r="E60" s="38">
        <v>3122</v>
      </c>
    </row>
    <row r="61" spans="1:5" x14ac:dyDescent="0.3">
      <c r="A61" s="35">
        <v>139920</v>
      </c>
      <c r="B61" s="38" t="s">
        <v>398</v>
      </c>
      <c r="C61" s="38" t="s">
        <v>399</v>
      </c>
      <c r="D61" s="32" t="s">
        <v>266</v>
      </c>
      <c r="E61" s="38">
        <v>3123</v>
      </c>
    </row>
    <row r="62" spans="1:5" x14ac:dyDescent="0.3">
      <c r="A62" s="35">
        <v>89040</v>
      </c>
      <c r="B62" s="38" t="s">
        <v>313</v>
      </c>
      <c r="C62" s="38" t="s">
        <v>400</v>
      </c>
      <c r="D62" s="32" t="s">
        <v>266</v>
      </c>
      <c r="E62" s="38">
        <v>3124</v>
      </c>
    </row>
    <row r="63" spans="1:5" x14ac:dyDescent="0.3">
      <c r="A63" s="35">
        <v>95400</v>
      </c>
      <c r="B63" s="38" t="s">
        <v>401</v>
      </c>
      <c r="C63" s="38" t="s">
        <v>400</v>
      </c>
      <c r="D63" s="32" t="s">
        <v>266</v>
      </c>
      <c r="E63" s="38">
        <v>3125</v>
      </c>
    </row>
    <row r="64" spans="1:5" x14ac:dyDescent="0.3">
      <c r="A64" s="35">
        <v>890400</v>
      </c>
      <c r="B64" s="38" t="s">
        <v>402</v>
      </c>
      <c r="C64" s="38" t="s">
        <v>403</v>
      </c>
      <c r="D64" s="32" t="s">
        <v>148</v>
      </c>
      <c r="E64" s="38">
        <v>3126</v>
      </c>
    </row>
    <row r="65" spans="1:5" x14ac:dyDescent="0.3">
      <c r="A65" s="35">
        <v>89040</v>
      </c>
      <c r="B65" s="38" t="s">
        <v>404</v>
      </c>
      <c r="C65" s="38" t="s">
        <v>405</v>
      </c>
      <c r="D65" s="32" t="s">
        <v>280</v>
      </c>
      <c r="E65" s="38">
        <v>3127</v>
      </c>
    </row>
    <row r="66" spans="1:5" x14ac:dyDescent="0.3">
      <c r="A66" s="35">
        <v>50880</v>
      </c>
      <c r="B66" s="38" t="s">
        <v>337</v>
      </c>
      <c r="C66" s="38" t="s">
        <v>406</v>
      </c>
      <c r="D66" s="32" t="s">
        <v>266</v>
      </c>
      <c r="E66" s="38">
        <v>3128</v>
      </c>
    </row>
    <row r="67" spans="1:5" x14ac:dyDescent="0.3">
      <c r="A67" s="46">
        <v>47572.800000000003</v>
      </c>
      <c r="B67" s="38" t="s">
        <v>396</v>
      </c>
      <c r="C67" s="38" t="s">
        <v>407</v>
      </c>
      <c r="D67" s="44" t="s">
        <v>280</v>
      </c>
      <c r="E67" s="38">
        <v>3129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8905C-5351-45B4-AB49-45D2856A9BA0}">
  <dimension ref="A1:W51"/>
  <sheetViews>
    <sheetView showGridLines="0" topLeftCell="H16" workbookViewId="0">
      <selection activeCell="K38" sqref="K38"/>
    </sheetView>
  </sheetViews>
  <sheetFormatPr defaultColWidth="10.5546875" defaultRowHeight="14.4" x14ac:dyDescent="0.3"/>
  <cols>
    <col min="1" max="1" width="5.6640625" style="23" bestFit="1" customWidth="1"/>
    <col min="2" max="2" width="9.77734375" style="23" bestFit="1" customWidth="1"/>
    <col min="3" max="3" width="6.6640625" style="23" bestFit="1" customWidth="1"/>
    <col min="4" max="4" width="6.109375" style="23" bestFit="1" customWidth="1"/>
    <col min="5" max="5" width="9.33203125" style="23" bestFit="1" customWidth="1"/>
    <col min="6" max="8" width="10.5546875" style="23"/>
    <col min="9" max="9" width="11.44140625" style="23" bestFit="1" customWidth="1"/>
    <col min="10" max="10" width="9.77734375" style="23" bestFit="1" customWidth="1"/>
    <col min="11" max="11" width="13.77734375" style="23" bestFit="1" customWidth="1"/>
    <col min="12" max="12" width="15.88671875" style="23" customWidth="1"/>
    <col min="13" max="13" width="15.88671875" style="23" bestFit="1" customWidth="1"/>
    <col min="14" max="14" width="15.88671875" style="23" customWidth="1"/>
    <col min="15" max="16384" width="10.5546875" style="23"/>
  </cols>
  <sheetData>
    <row r="1" spans="1:23" x14ac:dyDescent="0.3">
      <c r="A1" s="77" t="s">
        <v>457</v>
      </c>
      <c r="B1" s="77" t="s">
        <v>443</v>
      </c>
      <c r="C1" s="77" t="s">
        <v>458</v>
      </c>
      <c r="D1" s="77" t="s">
        <v>127</v>
      </c>
      <c r="E1" s="77" t="s">
        <v>459</v>
      </c>
    </row>
    <row r="2" spans="1:23" x14ac:dyDescent="0.3">
      <c r="A2" s="54">
        <v>1</v>
      </c>
      <c r="B2" s="54" t="s">
        <v>460</v>
      </c>
      <c r="C2" s="54" t="s">
        <v>461</v>
      </c>
      <c r="D2" s="54">
        <v>73</v>
      </c>
      <c r="E2" s="54">
        <v>1622</v>
      </c>
      <c r="I2" s="41" t="s">
        <v>462</v>
      </c>
    </row>
    <row r="3" spans="1:23" x14ac:dyDescent="0.3">
      <c r="A3" s="54">
        <v>2</v>
      </c>
      <c r="B3" s="54" t="s">
        <v>463</v>
      </c>
      <c r="C3" s="54" t="s">
        <v>464</v>
      </c>
      <c r="D3" s="54">
        <v>47</v>
      </c>
      <c r="E3" s="54">
        <v>2075</v>
      </c>
      <c r="H3" s="23">
        <v>1</v>
      </c>
      <c r="I3" s="23" t="s">
        <v>465</v>
      </c>
    </row>
    <row r="4" spans="1:23" x14ac:dyDescent="0.3">
      <c r="A4" s="54">
        <v>3</v>
      </c>
      <c r="B4" s="54" t="s">
        <v>466</v>
      </c>
      <c r="C4" s="54" t="s">
        <v>467</v>
      </c>
      <c r="D4" s="54">
        <v>68</v>
      </c>
      <c r="E4" s="54">
        <v>2136</v>
      </c>
      <c r="H4" s="23">
        <v>2</v>
      </c>
      <c r="I4" s="23" t="s">
        <v>468</v>
      </c>
    </row>
    <row r="5" spans="1:23" x14ac:dyDescent="0.3">
      <c r="A5" s="54">
        <v>4</v>
      </c>
      <c r="B5" s="54" t="s">
        <v>469</v>
      </c>
      <c r="C5" s="54" t="s">
        <v>470</v>
      </c>
      <c r="D5" s="54">
        <v>45</v>
      </c>
      <c r="E5" s="54">
        <v>2121</v>
      </c>
    </row>
    <row r="6" spans="1:23" x14ac:dyDescent="0.3">
      <c r="A6" s="54">
        <v>5</v>
      </c>
      <c r="B6" s="54" t="s">
        <v>471</v>
      </c>
      <c r="C6" s="54" t="s">
        <v>472</v>
      </c>
      <c r="D6" s="54">
        <v>49</v>
      </c>
      <c r="E6" s="54">
        <v>1701</v>
      </c>
    </row>
    <row r="7" spans="1:23" x14ac:dyDescent="0.3">
      <c r="A7" s="54">
        <v>6</v>
      </c>
      <c r="B7" s="54" t="s">
        <v>473</v>
      </c>
      <c r="C7" s="54" t="s">
        <v>461</v>
      </c>
      <c r="D7" s="54">
        <v>58</v>
      </c>
      <c r="E7" s="54">
        <v>2491</v>
      </c>
      <c r="I7" s="78" t="s">
        <v>458</v>
      </c>
      <c r="J7" s="78" t="s">
        <v>443</v>
      </c>
      <c r="K7" s="78" t="s">
        <v>474</v>
      </c>
      <c r="L7" s="78" t="s">
        <v>475</v>
      </c>
      <c r="M7" s="78" t="s">
        <v>476</v>
      </c>
      <c r="O7" s="129" t="s">
        <v>477</v>
      </c>
      <c r="P7" s="129"/>
      <c r="Q7" s="129"/>
      <c r="R7" s="129"/>
      <c r="S7" s="129"/>
      <c r="T7" s="129"/>
      <c r="U7" s="129"/>
      <c r="V7" s="129"/>
      <c r="W7" s="129"/>
    </row>
    <row r="8" spans="1:23" x14ac:dyDescent="0.3">
      <c r="A8" s="54">
        <v>7</v>
      </c>
      <c r="B8" s="54" t="s">
        <v>478</v>
      </c>
      <c r="C8" s="54" t="s">
        <v>464</v>
      </c>
      <c r="D8" s="54">
        <v>62</v>
      </c>
      <c r="E8" s="54">
        <v>2122</v>
      </c>
      <c r="I8" s="79" t="s">
        <v>461</v>
      </c>
      <c r="J8" s="80" t="s">
        <v>460</v>
      </c>
      <c r="K8" s="80">
        <v>302</v>
      </c>
      <c r="L8" s="81">
        <v>11411</v>
      </c>
      <c r="M8" s="81">
        <v>37.784768211920529</v>
      </c>
      <c r="O8" s="129"/>
      <c r="P8" s="129"/>
      <c r="Q8" s="129"/>
      <c r="R8" s="129"/>
      <c r="S8" s="129"/>
      <c r="T8" s="129"/>
      <c r="U8" s="129"/>
      <c r="V8" s="129"/>
      <c r="W8" s="129"/>
    </row>
    <row r="9" spans="1:23" x14ac:dyDescent="0.3">
      <c r="A9" s="54">
        <v>8</v>
      </c>
      <c r="B9" s="54" t="s">
        <v>479</v>
      </c>
      <c r="C9" s="54" t="s">
        <v>467</v>
      </c>
      <c r="D9" s="54">
        <v>69</v>
      </c>
      <c r="E9" s="54">
        <v>1435</v>
      </c>
      <c r="I9" s="79"/>
      <c r="J9" s="80" t="s">
        <v>473</v>
      </c>
      <c r="K9" s="80">
        <v>281</v>
      </c>
      <c r="L9" s="81">
        <v>10806</v>
      </c>
      <c r="M9" s="81">
        <v>38.455516014234874</v>
      </c>
      <c r="O9" s="129"/>
      <c r="P9" s="129"/>
      <c r="Q9" s="129"/>
      <c r="R9" s="129"/>
      <c r="S9" s="129"/>
      <c r="T9" s="129"/>
      <c r="U9" s="129"/>
      <c r="V9" s="129"/>
      <c r="W9" s="129"/>
    </row>
    <row r="10" spans="1:23" x14ac:dyDescent="0.3">
      <c r="A10" s="54">
        <v>9</v>
      </c>
      <c r="B10" s="54" t="s">
        <v>480</v>
      </c>
      <c r="C10" s="54" t="s">
        <v>470</v>
      </c>
      <c r="D10" s="54">
        <v>50</v>
      </c>
      <c r="E10" s="54">
        <v>2342</v>
      </c>
      <c r="I10" s="82" t="s">
        <v>481</v>
      </c>
      <c r="J10" s="82"/>
      <c r="K10" s="82">
        <v>583</v>
      </c>
      <c r="L10" s="83">
        <v>22217</v>
      </c>
      <c r="M10" s="83">
        <v>38.108061749571185</v>
      </c>
      <c r="O10" s="129"/>
      <c r="P10" s="129"/>
      <c r="Q10" s="129"/>
      <c r="R10" s="129"/>
      <c r="S10" s="129"/>
      <c r="T10" s="129"/>
      <c r="U10" s="129"/>
      <c r="V10" s="129"/>
      <c r="W10" s="129"/>
    </row>
    <row r="11" spans="1:23" x14ac:dyDescent="0.3">
      <c r="A11" s="54">
        <v>10</v>
      </c>
      <c r="B11" s="54" t="s">
        <v>482</v>
      </c>
      <c r="C11" s="54" t="s">
        <v>472</v>
      </c>
      <c r="D11" s="54">
        <v>56</v>
      </c>
      <c r="E11" s="54">
        <v>2121</v>
      </c>
      <c r="I11" s="79" t="s">
        <v>464</v>
      </c>
      <c r="J11" s="80" t="s">
        <v>463</v>
      </c>
      <c r="K11" s="80">
        <v>304</v>
      </c>
      <c r="L11" s="81">
        <v>9542</v>
      </c>
      <c r="M11" s="81">
        <v>31.388157894736842</v>
      </c>
      <c r="O11" s="129"/>
      <c r="P11" s="129"/>
      <c r="Q11" s="129"/>
      <c r="R11" s="129"/>
      <c r="S11" s="129"/>
      <c r="T11" s="129"/>
      <c r="U11" s="129"/>
      <c r="V11" s="129"/>
      <c r="W11" s="129"/>
    </row>
    <row r="12" spans="1:23" x14ac:dyDescent="0.3">
      <c r="A12" s="54">
        <v>11</v>
      </c>
      <c r="B12" s="54" t="s">
        <v>460</v>
      </c>
      <c r="C12" s="54" t="s">
        <v>461</v>
      </c>
      <c r="D12" s="54">
        <v>67</v>
      </c>
      <c r="E12" s="54">
        <v>2531</v>
      </c>
      <c r="I12" s="79"/>
      <c r="J12" s="80" t="s">
        <v>478</v>
      </c>
      <c r="K12" s="80">
        <v>267</v>
      </c>
      <c r="L12" s="81">
        <v>10918</v>
      </c>
      <c r="M12" s="81">
        <v>40.891385767790261</v>
      </c>
      <c r="O12" s="129"/>
      <c r="P12" s="129"/>
      <c r="Q12" s="129"/>
      <c r="R12" s="129"/>
      <c r="S12" s="129"/>
      <c r="T12" s="129"/>
      <c r="U12" s="129"/>
      <c r="V12" s="129"/>
      <c r="W12" s="129"/>
    </row>
    <row r="13" spans="1:23" x14ac:dyDescent="0.3">
      <c r="A13" s="54">
        <v>12</v>
      </c>
      <c r="B13" s="54" t="s">
        <v>463</v>
      </c>
      <c r="C13" s="54" t="s">
        <v>464</v>
      </c>
      <c r="D13" s="54">
        <v>51</v>
      </c>
      <c r="E13" s="54">
        <v>1315</v>
      </c>
      <c r="I13" s="82" t="s">
        <v>483</v>
      </c>
      <c r="J13" s="82"/>
      <c r="K13" s="82">
        <v>571</v>
      </c>
      <c r="L13" s="83">
        <v>20460</v>
      </c>
      <c r="M13" s="83">
        <v>35.83187390542907</v>
      </c>
      <c r="O13" s="129"/>
      <c r="P13" s="129"/>
      <c r="Q13" s="129"/>
      <c r="R13" s="129"/>
      <c r="S13" s="129"/>
      <c r="T13" s="129"/>
      <c r="U13" s="129"/>
      <c r="V13" s="129"/>
      <c r="W13" s="129"/>
    </row>
    <row r="14" spans="1:23" x14ac:dyDescent="0.3">
      <c r="A14" s="54">
        <v>13</v>
      </c>
      <c r="B14" s="54" t="s">
        <v>466</v>
      </c>
      <c r="C14" s="54" t="s">
        <v>467</v>
      </c>
      <c r="D14" s="54">
        <v>67</v>
      </c>
      <c r="E14" s="54">
        <v>2053</v>
      </c>
      <c r="I14" s="79" t="s">
        <v>467</v>
      </c>
      <c r="J14" s="80" t="s">
        <v>466</v>
      </c>
      <c r="K14" s="80">
        <v>303</v>
      </c>
      <c r="L14" s="81">
        <v>11952</v>
      </c>
      <c r="M14" s="81">
        <v>39.445544554455445</v>
      </c>
      <c r="O14" s="129"/>
      <c r="P14" s="129"/>
      <c r="Q14" s="129"/>
      <c r="R14" s="129"/>
      <c r="S14" s="129"/>
      <c r="T14" s="129"/>
      <c r="U14" s="129"/>
      <c r="V14" s="129"/>
      <c r="W14" s="129"/>
    </row>
    <row r="15" spans="1:23" x14ac:dyDescent="0.3">
      <c r="A15" s="54">
        <v>14</v>
      </c>
      <c r="B15" s="54" t="s">
        <v>469</v>
      </c>
      <c r="C15" s="54" t="s">
        <v>470</v>
      </c>
      <c r="D15" s="54">
        <v>72</v>
      </c>
      <c r="E15" s="54">
        <v>2451</v>
      </c>
      <c r="I15" s="79"/>
      <c r="J15" s="80" t="s">
        <v>479</v>
      </c>
      <c r="K15" s="80">
        <v>308</v>
      </c>
      <c r="L15" s="81">
        <v>9308</v>
      </c>
      <c r="M15" s="81">
        <v>30.220779220779221</v>
      </c>
      <c r="O15" s="129"/>
      <c r="P15" s="129"/>
      <c r="Q15" s="129"/>
      <c r="R15" s="129"/>
      <c r="S15" s="129"/>
      <c r="T15" s="129"/>
      <c r="U15" s="129"/>
      <c r="V15" s="129"/>
      <c r="W15" s="129"/>
    </row>
    <row r="16" spans="1:23" x14ac:dyDescent="0.3">
      <c r="A16" s="54">
        <v>15</v>
      </c>
      <c r="B16" s="54" t="s">
        <v>471</v>
      </c>
      <c r="C16" s="54" t="s">
        <v>472</v>
      </c>
      <c r="D16" s="54">
        <v>58</v>
      </c>
      <c r="E16" s="54">
        <v>1257</v>
      </c>
      <c r="I16" s="82" t="s">
        <v>484</v>
      </c>
      <c r="J16" s="82"/>
      <c r="K16" s="82">
        <v>611</v>
      </c>
      <c r="L16" s="83">
        <v>21260</v>
      </c>
      <c r="M16" s="83">
        <v>34.795417348608837</v>
      </c>
      <c r="O16" s="129"/>
      <c r="P16" s="129"/>
      <c r="Q16" s="129"/>
      <c r="R16" s="129"/>
      <c r="S16" s="129"/>
      <c r="T16" s="129"/>
      <c r="U16" s="129"/>
      <c r="V16" s="129"/>
      <c r="W16" s="129"/>
    </row>
    <row r="17" spans="1:23" x14ac:dyDescent="0.3">
      <c r="A17" s="54">
        <v>16</v>
      </c>
      <c r="B17" s="54" t="s">
        <v>473</v>
      </c>
      <c r="C17" s="54" t="s">
        <v>461</v>
      </c>
      <c r="D17" s="54">
        <v>68</v>
      </c>
      <c r="E17" s="54">
        <v>2652</v>
      </c>
      <c r="I17" s="79" t="s">
        <v>470</v>
      </c>
      <c r="J17" s="80" t="s">
        <v>469</v>
      </c>
      <c r="K17" s="80">
        <v>300</v>
      </c>
      <c r="L17" s="81">
        <v>10233</v>
      </c>
      <c r="M17" s="81">
        <v>34.11</v>
      </c>
      <c r="O17" s="129"/>
      <c r="P17" s="129"/>
      <c r="Q17" s="129"/>
      <c r="R17" s="129"/>
      <c r="S17" s="129"/>
      <c r="T17" s="129"/>
      <c r="U17" s="129"/>
      <c r="V17" s="129"/>
      <c r="W17" s="129"/>
    </row>
    <row r="18" spans="1:23" x14ac:dyDescent="0.3">
      <c r="A18" s="54">
        <v>17</v>
      </c>
      <c r="B18" s="54" t="s">
        <v>478</v>
      </c>
      <c r="C18" s="54" t="s">
        <v>464</v>
      </c>
      <c r="D18" s="54">
        <v>43</v>
      </c>
      <c r="E18" s="54">
        <v>2210</v>
      </c>
      <c r="I18" s="79"/>
      <c r="J18" s="80" t="s">
        <v>480</v>
      </c>
      <c r="K18" s="80">
        <v>266</v>
      </c>
      <c r="L18" s="81">
        <v>10693</v>
      </c>
      <c r="M18" s="81">
        <v>40.199248120300751</v>
      </c>
      <c r="O18" s="129"/>
      <c r="P18" s="129"/>
      <c r="Q18" s="129"/>
      <c r="R18" s="129"/>
      <c r="S18" s="129"/>
      <c r="T18" s="129"/>
      <c r="U18" s="129"/>
      <c r="V18" s="129"/>
      <c r="W18" s="129"/>
    </row>
    <row r="19" spans="1:23" x14ac:dyDescent="0.3">
      <c r="A19" s="54">
        <v>18</v>
      </c>
      <c r="B19" s="54" t="s">
        <v>479</v>
      </c>
      <c r="C19" s="54" t="s">
        <v>467</v>
      </c>
      <c r="D19" s="54">
        <v>69</v>
      </c>
      <c r="E19" s="54">
        <v>2726</v>
      </c>
      <c r="I19" s="82" t="s">
        <v>485</v>
      </c>
      <c r="J19" s="82"/>
      <c r="K19" s="82">
        <v>566</v>
      </c>
      <c r="L19" s="83">
        <v>20926</v>
      </c>
      <c r="M19" s="83">
        <v>36.971731448763251</v>
      </c>
      <c r="O19" s="129"/>
      <c r="P19" s="129"/>
      <c r="Q19" s="129"/>
      <c r="R19" s="129"/>
      <c r="S19" s="129"/>
      <c r="T19" s="129"/>
      <c r="U19" s="129"/>
      <c r="V19" s="129"/>
      <c r="W19" s="129"/>
    </row>
    <row r="20" spans="1:23" x14ac:dyDescent="0.3">
      <c r="A20" s="54">
        <v>19</v>
      </c>
      <c r="B20" s="54" t="s">
        <v>480</v>
      </c>
      <c r="C20" s="54" t="s">
        <v>470</v>
      </c>
      <c r="D20" s="54">
        <v>55</v>
      </c>
      <c r="E20" s="54">
        <v>1721</v>
      </c>
      <c r="I20" s="79" t="s">
        <v>472</v>
      </c>
      <c r="J20" s="80" t="s">
        <v>482</v>
      </c>
      <c r="K20" s="80">
        <v>255</v>
      </c>
      <c r="L20" s="81">
        <v>10276</v>
      </c>
      <c r="M20" s="81">
        <v>40.298039215686273</v>
      </c>
      <c r="O20" s="129"/>
      <c r="P20" s="129"/>
      <c r="Q20" s="129"/>
      <c r="R20" s="129"/>
      <c r="S20" s="129"/>
      <c r="T20" s="129"/>
      <c r="U20" s="129"/>
      <c r="V20" s="129"/>
      <c r="W20" s="129"/>
    </row>
    <row r="21" spans="1:23" x14ac:dyDescent="0.3">
      <c r="A21" s="54">
        <v>20</v>
      </c>
      <c r="B21" s="54" t="s">
        <v>482</v>
      </c>
      <c r="C21" s="54" t="s">
        <v>472</v>
      </c>
      <c r="D21" s="54">
        <v>42</v>
      </c>
      <c r="E21" s="54">
        <v>1939</v>
      </c>
      <c r="I21" s="79"/>
      <c r="J21" s="80" t="s">
        <v>471</v>
      </c>
      <c r="K21" s="80">
        <v>254</v>
      </c>
      <c r="L21" s="81">
        <v>9227</v>
      </c>
      <c r="M21" s="81">
        <v>36.326771653543304</v>
      </c>
      <c r="O21" s="129"/>
      <c r="P21" s="129"/>
      <c r="Q21" s="129"/>
      <c r="R21" s="129"/>
      <c r="S21" s="129"/>
      <c r="T21" s="129"/>
      <c r="U21" s="129"/>
      <c r="V21" s="129"/>
      <c r="W21" s="129"/>
    </row>
    <row r="22" spans="1:23" x14ac:dyDescent="0.3">
      <c r="A22" s="54">
        <v>21</v>
      </c>
      <c r="B22" s="54" t="s">
        <v>460</v>
      </c>
      <c r="C22" s="54" t="s">
        <v>461</v>
      </c>
      <c r="D22" s="54">
        <v>46</v>
      </c>
      <c r="E22" s="54">
        <v>2437</v>
      </c>
      <c r="I22" s="82" t="s">
        <v>486</v>
      </c>
      <c r="J22" s="82"/>
      <c r="K22" s="82">
        <v>509</v>
      </c>
      <c r="L22" s="83">
        <v>19503</v>
      </c>
      <c r="M22" s="83">
        <v>38.316306483300586</v>
      </c>
      <c r="O22" s="129"/>
      <c r="P22" s="129"/>
      <c r="Q22" s="129"/>
      <c r="R22" s="129"/>
      <c r="S22" s="129"/>
      <c r="T22" s="129"/>
      <c r="U22" s="129"/>
      <c r="V22" s="129"/>
      <c r="W22" s="129"/>
    </row>
    <row r="23" spans="1:23" x14ac:dyDescent="0.3">
      <c r="A23" s="54">
        <v>22</v>
      </c>
      <c r="B23" s="54" t="s">
        <v>463</v>
      </c>
      <c r="C23" s="54" t="s">
        <v>464</v>
      </c>
      <c r="D23" s="54">
        <v>61</v>
      </c>
      <c r="E23" s="54">
        <v>1873</v>
      </c>
      <c r="I23" s="78" t="s">
        <v>487</v>
      </c>
      <c r="J23" s="78"/>
      <c r="K23" s="78">
        <v>2840</v>
      </c>
      <c r="L23" s="84">
        <v>104366</v>
      </c>
      <c r="M23" s="84">
        <v>36.748591549295774</v>
      </c>
      <c r="O23" s="129"/>
      <c r="P23" s="129"/>
      <c r="Q23" s="129"/>
      <c r="R23" s="129"/>
      <c r="S23" s="129"/>
      <c r="T23" s="129"/>
      <c r="U23" s="129"/>
      <c r="V23" s="129"/>
      <c r="W23" s="129"/>
    </row>
    <row r="24" spans="1:23" x14ac:dyDescent="0.3">
      <c r="A24" s="54">
        <v>23</v>
      </c>
      <c r="B24" s="54" t="s">
        <v>466</v>
      </c>
      <c r="C24" s="54" t="s">
        <v>467</v>
      </c>
      <c r="D24" s="54">
        <v>60</v>
      </c>
      <c r="E24" s="54">
        <v>2612</v>
      </c>
    </row>
    <row r="25" spans="1:23" x14ac:dyDescent="0.3">
      <c r="A25" s="54">
        <v>24</v>
      </c>
      <c r="B25" s="54" t="s">
        <v>469</v>
      </c>
      <c r="C25" s="54" t="s">
        <v>470</v>
      </c>
      <c r="D25" s="54">
        <v>67</v>
      </c>
      <c r="E25" s="54">
        <v>1961</v>
      </c>
    </row>
    <row r="26" spans="1:23" x14ac:dyDescent="0.3">
      <c r="A26" s="54">
        <v>25</v>
      </c>
      <c r="B26" s="54" t="s">
        <v>471</v>
      </c>
      <c r="C26" s="54" t="s">
        <v>472</v>
      </c>
      <c r="D26" s="54">
        <v>49</v>
      </c>
      <c r="E26" s="54">
        <v>2243</v>
      </c>
    </row>
    <row r="27" spans="1:23" x14ac:dyDescent="0.3">
      <c r="A27" s="54">
        <v>26</v>
      </c>
      <c r="B27" s="54" t="s">
        <v>473</v>
      </c>
      <c r="C27" s="54" t="s">
        <v>461</v>
      </c>
      <c r="D27" s="54">
        <v>52</v>
      </c>
      <c r="E27" s="54">
        <v>2080</v>
      </c>
      <c r="P27" s="92" t="s">
        <v>490</v>
      </c>
      <c r="Q27" s="92" t="s">
        <v>496</v>
      </c>
    </row>
    <row r="28" spans="1:23" x14ac:dyDescent="0.3">
      <c r="A28" s="54">
        <v>27</v>
      </c>
      <c r="B28" s="54" t="s">
        <v>478</v>
      </c>
      <c r="C28" s="54" t="s">
        <v>464</v>
      </c>
      <c r="D28" s="54">
        <v>67</v>
      </c>
      <c r="E28" s="54">
        <v>2745</v>
      </c>
      <c r="P28" s="93" t="s">
        <v>491</v>
      </c>
      <c r="Q28" s="83">
        <v>22217</v>
      </c>
    </row>
    <row r="29" spans="1:23" x14ac:dyDescent="0.3">
      <c r="A29" s="54">
        <v>28</v>
      </c>
      <c r="B29" s="54" t="s">
        <v>479</v>
      </c>
      <c r="C29" s="54" t="s">
        <v>467</v>
      </c>
      <c r="D29" s="54">
        <v>43</v>
      </c>
      <c r="E29" s="54">
        <v>1355</v>
      </c>
      <c r="P29" s="93" t="s">
        <v>492</v>
      </c>
      <c r="Q29" s="83">
        <v>20460</v>
      </c>
    </row>
    <row r="30" spans="1:23" x14ac:dyDescent="0.3">
      <c r="A30" s="54">
        <v>29</v>
      </c>
      <c r="B30" s="54" t="s">
        <v>480</v>
      </c>
      <c r="C30" s="54" t="s">
        <v>470</v>
      </c>
      <c r="D30" s="54">
        <v>60</v>
      </c>
      <c r="E30" s="54">
        <v>2000</v>
      </c>
      <c r="P30" s="93" t="s">
        <v>493</v>
      </c>
      <c r="Q30" s="83">
        <v>21260</v>
      </c>
    </row>
    <row r="31" spans="1:23" ht="15.6" x14ac:dyDescent="0.3">
      <c r="A31" s="54">
        <v>30</v>
      </c>
      <c r="B31" s="54" t="s">
        <v>482</v>
      </c>
      <c r="C31" s="54" t="s">
        <v>472</v>
      </c>
      <c r="D31" s="54">
        <v>54</v>
      </c>
      <c r="E31" s="54">
        <v>2041</v>
      </c>
      <c r="K31" s="95" t="s">
        <v>497</v>
      </c>
      <c r="L31" s="94" t="s">
        <v>488</v>
      </c>
      <c r="M31" s="94" t="s">
        <v>489</v>
      </c>
      <c r="N31" s="100" t="s">
        <v>498</v>
      </c>
      <c r="P31" s="93" t="s">
        <v>494</v>
      </c>
      <c r="Q31" s="83">
        <v>20926</v>
      </c>
    </row>
    <row r="32" spans="1:23" x14ac:dyDescent="0.3">
      <c r="A32" s="54">
        <v>31</v>
      </c>
      <c r="B32" s="54" t="s">
        <v>460</v>
      </c>
      <c r="C32" s="54" t="s">
        <v>461</v>
      </c>
      <c r="D32" s="54">
        <v>47</v>
      </c>
      <c r="E32" s="54">
        <v>2204</v>
      </c>
      <c r="K32" s="101" t="s">
        <v>461</v>
      </c>
      <c r="L32" s="102">
        <v>583</v>
      </c>
      <c r="M32" s="103">
        <v>22217</v>
      </c>
      <c r="N32" s="105">
        <f>GETPIVOTDATA("Sum of Total Cost",$K$31,"Sold in","State 1")/GETPIVOTDATA("Sum of Count",$K$31,"Sold in","State 1")</f>
        <v>38.108061749571185</v>
      </c>
      <c r="P32" s="93" t="s">
        <v>495</v>
      </c>
      <c r="Q32" s="83">
        <v>19503</v>
      </c>
    </row>
    <row r="33" spans="1:16" x14ac:dyDescent="0.3">
      <c r="A33" s="54">
        <v>32</v>
      </c>
      <c r="B33" s="54" t="s">
        <v>463</v>
      </c>
      <c r="C33" s="54" t="s">
        <v>464</v>
      </c>
      <c r="D33" s="54">
        <v>72</v>
      </c>
      <c r="E33" s="54">
        <v>2588</v>
      </c>
      <c r="K33" s="104" t="s">
        <v>460</v>
      </c>
      <c r="L33" s="102">
        <v>302</v>
      </c>
      <c r="M33" s="103">
        <v>11411</v>
      </c>
      <c r="N33" s="106">
        <f>GETPIVOTDATA("Sum of Total Cost",$K$31,"Product","Product 1","Sold in","State 1")/GETPIVOTDATA("Sum of Count",$K$31,"Product","Product 1","Sold in","State 1")</f>
        <v>37.784768211920529</v>
      </c>
    </row>
    <row r="34" spans="1:16" x14ac:dyDescent="0.3">
      <c r="A34" s="54">
        <v>33</v>
      </c>
      <c r="B34" s="54" t="s">
        <v>466</v>
      </c>
      <c r="C34" s="54" t="s">
        <v>467</v>
      </c>
      <c r="D34" s="54">
        <v>57</v>
      </c>
      <c r="E34" s="54">
        <v>2526</v>
      </c>
      <c r="K34" s="104" t="s">
        <v>473</v>
      </c>
      <c r="L34" s="102">
        <v>281</v>
      </c>
      <c r="M34" s="103">
        <v>10806</v>
      </c>
      <c r="N34" s="106">
        <f>GETPIVOTDATA("Sum of Total Cost",$K$31,"Product","Product 6","Sold in","State 1")/GETPIVOTDATA("Sum of Count",$K$31,"Product","Product 6","Sold in","State 1")</f>
        <v>38.455516014234874</v>
      </c>
    </row>
    <row r="35" spans="1:16" x14ac:dyDescent="0.3">
      <c r="A35" s="54">
        <v>34</v>
      </c>
      <c r="B35" s="54" t="s">
        <v>469</v>
      </c>
      <c r="C35" s="54" t="s">
        <v>470</v>
      </c>
      <c r="D35" s="54">
        <v>71</v>
      </c>
      <c r="E35" s="54">
        <v>1693</v>
      </c>
      <c r="K35" s="101" t="s">
        <v>464</v>
      </c>
      <c r="L35" s="102">
        <v>571</v>
      </c>
      <c r="M35" s="103">
        <v>20460</v>
      </c>
      <c r="N35" s="106">
        <f>GETPIVOTDATA("Sum of Total Cost",$K$31,"Sold in","State 2")/GETPIVOTDATA("Sum of Count",$K$31,"Sold in","State 2")</f>
        <v>35.83187390542907</v>
      </c>
    </row>
    <row r="36" spans="1:16" x14ac:dyDescent="0.3">
      <c r="A36" s="54">
        <v>35</v>
      </c>
      <c r="B36" s="54" t="s">
        <v>471</v>
      </c>
      <c r="C36" s="54" t="s">
        <v>472</v>
      </c>
      <c r="D36" s="54">
        <v>43</v>
      </c>
      <c r="E36" s="54">
        <v>2154</v>
      </c>
      <c r="K36" s="104" t="s">
        <v>463</v>
      </c>
      <c r="L36" s="102">
        <v>304</v>
      </c>
      <c r="M36" s="103">
        <v>9542</v>
      </c>
      <c r="N36" s="106">
        <f>GETPIVOTDATA("Sum of Total Cost",$K$31,"Product","Product 2","Sold in","State 2")/GETPIVOTDATA("Sum of Count",$K$31,"Product","Product 2","Sold in","State 2")</f>
        <v>31.388157894736842</v>
      </c>
      <c r="O36" s="109"/>
    </row>
    <row r="37" spans="1:16" x14ac:dyDescent="0.3">
      <c r="A37" s="54">
        <v>36</v>
      </c>
      <c r="B37" s="54" t="s">
        <v>473</v>
      </c>
      <c r="C37" s="54" t="s">
        <v>461</v>
      </c>
      <c r="D37" s="54">
        <v>58</v>
      </c>
      <c r="E37" s="54">
        <v>1413</v>
      </c>
      <c r="K37" s="104" t="s">
        <v>478</v>
      </c>
      <c r="L37" s="102">
        <v>267</v>
      </c>
      <c r="M37" s="103">
        <v>10918</v>
      </c>
      <c r="N37" s="106">
        <f>GETPIVOTDATA("Sum of Total Cost",$K$31,"Product","Product 7","Sold in","State 2")/GETPIVOTDATA("Sum of Count",$K$31,"Product","Product 7","Sold in","State 2")</f>
        <v>40.891385767790261</v>
      </c>
    </row>
    <row r="38" spans="1:16" x14ac:dyDescent="0.3">
      <c r="A38" s="54">
        <v>37</v>
      </c>
      <c r="B38" s="54" t="s">
        <v>478</v>
      </c>
      <c r="C38" s="54" t="s">
        <v>464</v>
      </c>
      <c r="D38" s="54">
        <v>55</v>
      </c>
      <c r="E38" s="54">
        <v>1300</v>
      </c>
      <c r="K38" s="101" t="s">
        <v>467</v>
      </c>
      <c r="L38" s="102">
        <v>611</v>
      </c>
      <c r="M38" s="103">
        <v>21260</v>
      </c>
      <c r="N38" s="106">
        <f>GETPIVOTDATA("Sum of Total Cost",$K$31,"Sold in","State 3")/GETPIVOTDATA("Sum of Count",$K$31,"Sold in","State 3")</f>
        <v>34.795417348608837</v>
      </c>
    </row>
    <row r="39" spans="1:16" x14ac:dyDescent="0.3">
      <c r="A39" s="54">
        <v>38</v>
      </c>
      <c r="B39" s="54" t="s">
        <v>479</v>
      </c>
      <c r="C39" s="54" t="s">
        <v>467</v>
      </c>
      <c r="D39" s="54">
        <v>63</v>
      </c>
      <c r="E39" s="54">
        <v>1394</v>
      </c>
      <c r="K39" s="104" t="s">
        <v>466</v>
      </c>
      <c r="L39" s="102">
        <v>303</v>
      </c>
      <c r="M39" s="103">
        <v>11952</v>
      </c>
      <c r="N39" s="106">
        <f>GETPIVOTDATA("Sum of Total Cost",$K$31,"Product","Product 3","Sold in","State 3")/GETPIVOTDATA("Sum of Count",$K$31,"Product","Product 3","Sold in","State 3")</f>
        <v>39.445544554455445</v>
      </c>
    </row>
    <row r="40" spans="1:16" x14ac:dyDescent="0.3">
      <c r="A40" s="54">
        <v>39</v>
      </c>
      <c r="B40" s="54" t="s">
        <v>480</v>
      </c>
      <c r="C40" s="54" t="s">
        <v>470</v>
      </c>
      <c r="D40" s="54">
        <v>58</v>
      </c>
      <c r="E40" s="54">
        <v>2160</v>
      </c>
      <c r="K40" s="104" t="s">
        <v>479</v>
      </c>
      <c r="L40" s="102">
        <v>308</v>
      </c>
      <c r="M40" s="103">
        <v>9308</v>
      </c>
      <c r="N40" s="106">
        <f>GETPIVOTDATA("Sum of Total Cost",$K$31,"Product","Product 8","Sold in","State 3")/GETPIVOTDATA("Sum of Count",$K$31,"Product","Product 8","Sold in","State 3")</f>
        <v>30.220779220779221</v>
      </c>
    </row>
    <row r="41" spans="1:16" x14ac:dyDescent="0.3">
      <c r="A41" s="54">
        <v>40</v>
      </c>
      <c r="B41" s="54" t="s">
        <v>482</v>
      </c>
      <c r="C41" s="54" t="s">
        <v>472</v>
      </c>
      <c r="D41" s="54">
        <v>47</v>
      </c>
      <c r="E41" s="54">
        <v>2123</v>
      </c>
      <c r="K41" s="101" t="s">
        <v>470</v>
      </c>
      <c r="L41" s="102">
        <v>566</v>
      </c>
      <c r="M41" s="103">
        <v>20926</v>
      </c>
      <c r="N41" s="106">
        <f>GETPIVOTDATA("Sum of Total Cost",$K$31,"Sold in","State 4")/GETPIVOTDATA("Sum of Count",$K$31,"Sold in","State 4")</f>
        <v>36.971731448763251</v>
      </c>
      <c r="P41" s="108"/>
    </row>
    <row r="42" spans="1:16" x14ac:dyDescent="0.3">
      <c r="A42" s="54">
        <v>41</v>
      </c>
      <c r="B42" s="54" t="s">
        <v>460</v>
      </c>
      <c r="C42" s="54" t="s">
        <v>461</v>
      </c>
      <c r="D42" s="54">
        <v>69</v>
      </c>
      <c r="E42" s="54">
        <v>2617</v>
      </c>
      <c r="K42" s="104" t="s">
        <v>469</v>
      </c>
      <c r="L42" s="102">
        <v>300</v>
      </c>
      <c r="M42" s="103">
        <v>10233</v>
      </c>
      <c r="N42" s="106">
        <f>GETPIVOTDATA("Sum of Total Cost",$K$31,"Product","Product 4","Sold in","State 4")/GETPIVOTDATA("Sum of Count",$K$31,"Product","Product 4","Sold in","State 4")</f>
        <v>34.11</v>
      </c>
    </row>
    <row r="43" spans="1:16" x14ac:dyDescent="0.3">
      <c r="A43" s="54">
        <v>42</v>
      </c>
      <c r="B43" s="54" t="s">
        <v>463</v>
      </c>
      <c r="C43" s="54" t="s">
        <v>464</v>
      </c>
      <c r="D43" s="54">
        <v>73</v>
      </c>
      <c r="E43" s="54">
        <v>1691</v>
      </c>
      <c r="K43" s="104" t="s">
        <v>480</v>
      </c>
      <c r="L43" s="102">
        <v>266</v>
      </c>
      <c r="M43" s="103">
        <v>10693</v>
      </c>
      <c r="N43" s="106">
        <f>GETPIVOTDATA("Sum of Total Cost",$K$31,"Product","Product 9","Sold in","State 4")/GETPIVOTDATA("Sum of Count",$K$31,"Product","Product 9","Sold in","State 4")</f>
        <v>40.199248120300751</v>
      </c>
    </row>
    <row r="44" spans="1:16" x14ac:dyDescent="0.3">
      <c r="A44" s="54">
        <v>43</v>
      </c>
      <c r="B44" s="54" t="s">
        <v>466</v>
      </c>
      <c r="C44" s="54" t="s">
        <v>467</v>
      </c>
      <c r="D44" s="54">
        <v>51</v>
      </c>
      <c r="E44" s="54">
        <v>2625</v>
      </c>
      <c r="K44" s="101" t="s">
        <v>472</v>
      </c>
      <c r="L44" s="102">
        <v>509</v>
      </c>
      <c r="M44" s="103">
        <v>19503</v>
      </c>
      <c r="N44" s="106">
        <f>GETPIVOTDATA("Sum of Total Cost",$K$31,"Sold in","State 5")/GETPIVOTDATA("Sum of Count",$K$31,"Sold in","State 5")</f>
        <v>38.316306483300586</v>
      </c>
    </row>
    <row r="45" spans="1:16" x14ac:dyDescent="0.3">
      <c r="A45" s="54">
        <v>44</v>
      </c>
      <c r="B45" s="54" t="s">
        <v>469</v>
      </c>
      <c r="C45" s="54" t="s">
        <v>470</v>
      </c>
      <c r="D45" s="54">
        <v>45</v>
      </c>
      <c r="E45" s="54">
        <v>2007</v>
      </c>
      <c r="K45" s="104" t="s">
        <v>482</v>
      </c>
      <c r="L45" s="102">
        <v>255</v>
      </c>
      <c r="M45" s="103">
        <v>10276</v>
      </c>
      <c r="N45" s="106">
        <f>GETPIVOTDATA("Sum of Total Cost",$K$31,"Product","Product 10","Sold in","State 5")/GETPIVOTDATA("Sum of Count",$K$31,"Product","Product 10","Sold in","State 5")</f>
        <v>40.298039215686273</v>
      </c>
    </row>
    <row r="46" spans="1:16" x14ac:dyDescent="0.3">
      <c r="A46" s="54">
        <v>45</v>
      </c>
      <c r="B46" s="54" t="s">
        <v>471</v>
      </c>
      <c r="C46" s="54" t="s">
        <v>472</v>
      </c>
      <c r="D46" s="54">
        <v>55</v>
      </c>
      <c r="E46" s="54">
        <v>1872</v>
      </c>
      <c r="K46" s="104" t="s">
        <v>471</v>
      </c>
      <c r="L46" s="102">
        <v>254</v>
      </c>
      <c r="M46" s="103">
        <v>9227</v>
      </c>
      <c r="N46" s="107">
        <f>GETPIVOTDATA("Sum of Total Cost",$K$31,"Product","Product 5","Sold in","State 5")/GETPIVOTDATA("Sum of Count",$K$31,"Product","Product 5","Sold in","State 5")</f>
        <v>36.326771653543304</v>
      </c>
    </row>
    <row r="47" spans="1:16" x14ac:dyDescent="0.3">
      <c r="A47" s="54">
        <v>46</v>
      </c>
      <c r="B47" s="54" t="s">
        <v>473</v>
      </c>
      <c r="C47" s="54" t="s">
        <v>461</v>
      </c>
      <c r="D47" s="54">
        <v>45</v>
      </c>
      <c r="E47" s="54">
        <v>2170</v>
      </c>
      <c r="K47" s="96" t="s">
        <v>487</v>
      </c>
      <c r="L47" s="97">
        <v>2840</v>
      </c>
      <c r="M47" s="98">
        <v>104366</v>
      </c>
      <c r="N47" s="99">
        <f>GETPIVOTDATA("Sum of Total Cost",$K$31)/GETPIVOTDATA("Sum of Count",$K$31)</f>
        <v>36.748591549295774</v>
      </c>
    </row>
    <row r="48" spans="1:16" x14ac:dyDescent="0.3">
      <c r="A48" s="54">
        <v>47</v>
      </c>
      <c r="B48" s="54" t="s">
        <v>478</v>
      </c>
      <c r="C48" s="54" t="s">
        <v>464</v>
      </c>
      <c r="D48" s="54">
        <v>40</v>
      </c>
      <c r="E48" s="54">
        <v>2541</v>
      </c>
      <c r="K48"/>
      <c r="L48"/>
      <c r="M48"/>
    </row>
    <row r="49" spans="1:5" x14ac:dyDescent="0.3">
      <c r="A49" s="54">
        <v>48</v>
      </c>
      <c r="B49" s="54" t="s">
        <v>479</v>
      </c>
      <c r="C49" s="54" t="s">
        <v>467</v>
      </c>
      <c r="D49" s="54">
        <v>64</v>
      </c>
      <c r="E49" s="54">
        <v>2398</v>
      </c>
    </row>
    <row r="50" spans="1:5" x14ac:dyDescent="0.3">
      <c r="A50" s="54">
        <v>49</v>
      </c>
      <c r="B50" s="54" t="s">
        <v>480</v>
      </c>
      <c r="C50" s="54" t="s">
        <v>470</v>
      </c>
      <c r="D50" s="54">
        <v>43</v>
      </c>
      <c r="E50" s="54">
        <v>2470</v>
      </c>
    </row>
    <row r="51" spans="1:5" x14ac:dyDescent="0.3">
      <c r="A51" s="54">
        <v>50</v>
      </c>
      <c r="B51" s="54" t="s">
        <v>482</v>
      </c>
      <c r="C51" s="54" t="s">
        <v>472</v>
      </c>
      <c r="D51" s="54">
        <v>56</v>
      </c>
      <c r="E51" s="54">
        <v>2052</v>
      </c>
    </row>
  </sheetData>
  <mergeCells count="1">
    <mergeCell ref="O7:W23"/>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2D34-EAEA-40FD-99B5-C23A0610013D}">
  <dimension ref="A1:K149"/>
  <sheetViews>
    <sheetView showGridLines="0" topLeftCell="A93" workbookViewId="0">
      <selection activeCell="B102" sqref="B102"/>
    </sheetView>
  </sheetViews>
  <sheetFormatPr defaultColWidth="8.77734375" defaultRowHeight="14.4" x14ac:dyDescent="0.3"/>
  <cols>
    <col min="1" max="1" width="49.109375" style="23" customWidth="1"/>
    <col min="2" max="2" width="18.88671875" style="23" bestFit="1" customWidth="1"/>
    <col min="3" max="3" width="10.44140625" style="23" bestFit="1" customWidth="1"/>
    <col min="4" max="4" width="36.5546875" style="23" bestFit="1" customWidth="1"/>
    <col min="5" max="5" width="11.33203125" style="23" bestFit="1" customWidth="1"/>
    <col min="6" max="7" width="10.77734375" style="23" bestFit="1" customWidth="1"/>
    <col min="8" max="8" width="13.109375" style="23" bestFit="1" customWidth="1"/>
    <col min="9" max="9" width="6.88671875" style="23" customWidth="1"/>
    <col min="10" max="16384" width="8.77734375" style="23"/>
  </cols>
  <sheetData>
    <row r="1" spans="1:11" x14ac:dyDescent="0.3">
      <c r="K1" s="23">
        <f>SUM(K2:K1048576)</f>
        <v>40</v>
      </c>
    </row>
    <row r="2" spans="1:11" x14ac:dyDescent="0.3">
      <c r="A2" s="52" t="s">
        <v>408</v>
      </c>
    </row>
    <row r="3" spans="1:11" x14ac:dyDescent="0.3">
      <c r="A3" s="53" t="s">
        <v>409</v>
      </c>
    </row>
    <row r="5" spans="1:11" x14ac:dyDescent="0.3">
      <c r="A5" s="41" t="s">
        <v>410</v>
      </c>
      <c r="K5" s="23">
        <v>5</v>
      </c>
    </row>
    <row r="6" spans="1:11" x14ac:dyDescent="0.3">
      <c r="A6" s="41"/>
    </row>
    <row r="7" spans="1:11" x14ac:dyDescent="0.3">
      <c r="A7" s="53" t="s">
        <v>14</v>
      </c>
      <c r="B7" s="53" t="s">
        <v>15</v>
      </c>
      <c r="C7" s="53" t="s">
        <v>16</v>
      </c>
      <c r="D7" s="53" t="s">
        <v>17</v>
      </c>
      <c r="E7" s="52" t="s">
        <v>18</v>
      </c>
      <c r="F7" s="52" t="s">
        <v>19</v>
      </c>
      <c r="G7" s="52" t="s">
        <v>20</v>
      </c>
      <c r="H7" s="52" t="s">
        <v>21</v>
      </c>
      <c r="I7" s="52" t="s">
        <v>22</v>
      </c>
    </row>
    <row r="8" spans="1:11" x14ac:dyDescent="0.3">
      <c r="A8" s="54" t="s">
        <v>23</v>
      </c>
      <c r="B8" s="54">
        <v>56</v>
      </c>
      <c r="C8" s="54">
        <v>78</v>
      </c>
      <c r="D8" s="54">
        <v>45</v>
      </c>
      <c r="E8" s="54" t="b" cm="1">
        <f t="array" ref="E8">AND(B8:D8&gt;=50)</f>
        <v>0</v>
      </c>
      <c r="F8" s="54" t="b" cm="1">
        <f t="array" ref="F8">OR(B8:D8&gt;=50)</f>
        <v>1</v>
      </c>
      <c r="G8" s="54" t="b" cm="1">
        <f t="array" ref="G8">OR(B8:D8&gt;=50)</f>
        <v>1</v>
      </c>
      <c r="H8" s="55">
        <f>AVERAGE(B8:D8)</f>
        <v>59.666666666666664</v>
      </c>
      <c r="I8" s="54">
        <f>RANK(H8,$H$8:$H$10,)</f>
        <v>2</v>
      </c>
    </row>
    <row r="9" spans="1:11" x14ac:dyDescent="0.3">
      <c r="A9" s="54" t="s">
        <v>24</v>
      </c>
      <c r="B9" s="54">
        <v>45</v>
      </c>
      <c r="C9" s="54">
        <v>78</v>
      </c>
      <c r="D9" s="54">
        <v>78</v>
      </c>
      <c r="E9" s="54" t="b" cm="1">
        <f t="array" ref="E9">AND(B9:D9&gt;=50)</f>
        <v>0</v>
      </c>
      <c r="F9" s="54" t="b" cm="1">
        <f t="array" ref="F9">OR(B9:D9&gt;=50)</f>
        <v>1</v>
      </c>
      <c r="G9" s="54" t="b">
        <f t="shared" ref="G9" si="0">IF(B9&gt;=50,1,0)+IF(C9&gt;=50,1,0)+IF(D9&gt;=50,1,0)&gt;=2</f>
        <v>1</v>
      </c>
      <c r="H9" s="55">
        <f t="shared" ref="H9:H10" si="1">AVERAGE(B9:D9)</f>
        <v>67</v>
      </c>
      <c r="I9" s="54">
        <f t="shared" ref="I9:I10" si="2">RANK(H9,$H$8:$H$10,)</f>
        <v>1</v>
      </c>
    </row>
    <row r="10" spans="1:11" x14ac:dyDescent="0.3">
      <c r="A10" s="54" t="s">
        <v>25</v>
      </c>
      <c r="B10" s="54">
        <v>67</v>
      </c>
      <c r="C10" s="54">
        <v>78</v>
      </c>
      <c r="D10" s="54">
        <v>10</v>
      </c>
      <c r="E10" s="54" t="b" cm="1">
        <f t="array" ref="E10">AND(B10:D10&gt;=50)</f>
        <v>0</v>
      </c>
      <c r="F10" s="54" t="b" cm="1">
        <f t="array" ref="F10">OR(B10:D10&gt;=50)</f>
        <v>1</v>
      </c>
      <c r="G10" s="54" t="b">
        <f>IF(B10&gt;=50,1,0)+IF(C10&gt;=50,1,0)+IF(D10&gt;=50,1,0)&gt;=2</f>
        <v>1</v>
      </c>
      <c r="H10" s="55">
        <f t="shared" si="1"/>
        <v>51.666666666666664</v>
      </c>
      <c r="I10" s="54">
        <f t="shared" si="2"/>
        <v>3</v>
      </c>
    </row>
    <row r="13" spans="1:11" x14ac:dyDescent="0.3">
      <c r="A13" s="56" t="s">
        <v>26</v>
      </c>
    </row>
    <row r="14" spans="1:11" x14ac:dyDescent="0.3">
      <c r="A14" s="23" t="s">
        <v>27</v>
      </c>
    </row>
    <row r="15" spans="1:11" x14ac:dyDescent="0.3">
      <c r="A15" s="23" t="s">
        <v>28</v>
      </c>
    </row>
    <row r="16" spans="1:11" x14ac:dyDescent="0.3">
      <c r="A16" s="23" t="s">
        <v>29</v>
      </c>
    </row>
    <row r="17" spans="1:11" x14ac:dyDescent="0.3">
      <c r="A17" s="23" t="s">
        <v>30</v>
      </c>
    </row>
    <row r="18" spans="1:11" x14ac:dyDescent="0.3">
      <c r="A18" s="23" t="s">
        <v>31</v>
      </c>
    </row>
    <row r="19" spans="1:11" x14ac:dyDescent="0.3">
      <c r="A19" s="23" t="s">
        <v>32</v>
      </c>
    </row>
    <row r="22" spans="1:11" x14ac:dyDescent="0.3">
      <c r="A22" s="41" t="s">
        <v>411</v>
      </c>
      <c r="K22" s="23">
        <v>4</v>
      </c>
    </row>
    <row r="24" spans="1:11" x14ac:dyDescent="0.3">
      <c r="A24" s="53" t="s">
        <v>412</v>
      </c>
      <c r="B24" s="53" t="s">
        <v>413</v>
      </c>
      <c r="C24" s="53" t="s">
        <v>414</v>
      </c>
      <c r="D24" s="52" t="s">
        <v>415</v>
      </c>
      <c r="E24" s="52" t="s">
        <v>416</v>
      </c>
    </row>
    <row r="25" spans="1:11" x14ac:dyDescent="0.3">
      <c r="A25" s="57" t="s">
        <v>417</v>
      </c>
      <c r="B25" s="54" t="s">
        <v>418</v>
      </c>
      <c r="C25" s="58">
        <v>45751</v>
      </c>
      <c r="D25" s="54" t="str">
        <f ca="1">IF(C25&lt;TODAY(),"expired","can be used")</f>
        <v>expired</v>
      </c>
      <c r="E25" s="59">
        <f ca="1">C25-TODAY()</f>
        <v>-31</v>
      </c>
    </row>
    <row r="26" spans="1:11" x14ac:dyDescent="0.3">
      <c r="A26" s="57" t="s">
        <v>419</v>
      </c>
      <c r="B26" s="54" t="s">
        <v>420</v>
      </c>
      <c r="C26" s="58">
        <v>45869</v>
      </c>
      <c r="D26" s="54" t="str">
        <f t="shared" ref="D26:D29" ca="1" si="3">IF(C26&lt;TODAY(),"expired","can be used")</f>
        <v>can be used</v>
      </c>
      <c r="E26" s="59">
        <f t="shared" ref="E26:E29" ca="1" si="4">C26-TODAY()</f>
        <v>87</v>
      </c>
    </row>
    <row r="27" spans="1:11" x14ac:dyDescent="0.3">
      <c r="A27" s="57" t="s">
        <v>421</v>
      </c>
      <c r="B27" s="54" t="s">
        <v>422</v>
      </c>
      <c r="C27" s="58">
        <v>45689</v>
      </c>
      <c r="D27" s="54" t="str">
        <f t="shared" ca="1" si="3"/>
        <v>expired</v>
      </c>
      <c r="E27" s="59">
        <f t="shared" ca="1" si="4"/>
        <v>-93</v>
      </c>
    </row>
    <row r="28" spans="1:11" x14ac:dyDescent="0.3">
      <c r="A28" s="57" t="s">
        <v>423</v>
      </c>
      <c r="B28" s="54" t="s">
        <v>424</v>
      </c>
      <c r="C28" s="58">
        <v>45717</v>
      </c>
      <c r="D28" s="54" t="str">
        <f t="shared" ca="1" si="3"/>
        <v>expired</v>
      </c>
      <c r="E28" s="59">
        <f t="shared" ca="1" si="4"/>
        <v>-65</v>
      </c>
    </row>
    <row r="29" spans="1:11" x14ac:dyDescent="0.3">
      <c r="A29" s="57" t="s">
        <v>425</v>
      </c>
      <c r="B29" s="54" t="s">
        <v>426</v>
      </c>
      <c r="C29" s="58">
        <v>45918</v>
      </c>
      <c r="D29" s="54" t="str">
        <f t="shared" ca="1" si="3"/>
        <v>can be used</v>
      </c>
      <c r="E29" s="59">
        <f t="shared" ca="1" si="4"/>
        <v>136</v>
      </c>
    </row>
    <row r="31" spans="1:11" x14ac:dyDescent="0.3">
      <c r="A31" s="23" t="s">
        <v>427</v>
      </c>
    </row>
    <row r="32" spans="1:11" x14ac:dyDescent="0.3">
      <c r="A32" s="23" t="s">
        <v>428</v>
      </c>
    </row>
    <row r="37" spans="1:11" x14ac:dyDescent="0.3">
      <c r="A37" s="41" t="s">
        <v>429</v>
      </c>
    </row>
    <row r="38" spans="1:11" x14ac:dyDescent="0.3">
      <c r="B38" s="23">
        <v>4</v>
      </c>
      <c r="C38" s="23">
        <v>4</v>
      </c>
      <c r="D38" s="23">
        <v>2</v>
      </c>
    </row>
    <row r="39" spans="1:11" x14ac:dyDescent="0.3">
      <c r="A39" s="53" t="s">
        <v>129</v>
      </c>
      <c r="B39" s="52" t="s">
        <v>131</v>
      </c>
      <c r="C39" s="52" t="s">
        <v>130</v>
      </c>
      <c r="D39" s="52" t="s">
        <v>430</v>
      </c>
      <c r="K39" s="23">
        <v>10</v>
      </c>
    </row>
    <row r="40" spans="1:11" x14ac:dyDescent="0.3">
      <c r="A40" s="38" t="s">
        <v>431</v>
      </c>
      <c r="B40" s="38" t="str">
        <f>RIGHT(A40,4)</f>
        <v>Duck</v>
      </c>
      <c r="C40" s="38" t="str">
        <f>LEFT(A40,6)</f>
        <v>Donald</v>
      </c>
      <c r="D40" s="38" t="str">
        <f>CONCATENATE(B40,"_",C40,"@gmail.com")</f>
        <v>Duck_Donald@gmail.com</v>
      </c>
    </row>
    <row r="41" spans="1:11" x14ac:dyDescent="0.3">
      <c r="A41" s="38" t="s">
        <v>432</v>
      </c>
      <c r="B41" s="38" t="str">
        <f>RIGHT(A41,5)</f>
        <v>Mouse</v>
      </c>
      <c r="C41" s="38" t="str">
        <f>LEFT(A41,6)</f>
        <v>Mickey</v>
      </c>
      <c r="D41" s="38" t="str">
        <f t="shared" ref="D41:D44" si="5">CONCATENATE(B41,"_",C41,"@gmail.com")</f>
        <v>Mouse_Mickey@gmail.com</v>
      </c>
    </row>
    <row r="42" spans="1:11" x14ac:dyDescent="0.3">
      <c r="A42" s="38" t="s">
        <v>433</v>
      </c>
      <c r="B42" s="38" t="str">
        <f>RIGHT(A42,5)</f>
        <v>Bravo</v>
      </c>
      <c r="C42" s="38" t="str">
        <f>LEFT(A42,5)</f>
        <v>Johny</v>
      </c>
      <c r="D42" s="38" t="str">
        <f t="shared" si="5"/>
        <v>Bravo_Johny@gmail.com</v>
      </c>
    </row>
    <row r="43" spans="1:11" x14ac:dyDescent="0.3">
      <c r="A43" s="38" t="s">
        <v>434</v>
      </c>
      <c r="B43" s="38" t="str">
        <f>RIGHT(A43,5)</f>
        <v>Mouse</v>
      </c>
      <c r="C43" s="38" t="str">
        <f>LEFT(A43,6)</f>
        <v>Minnie</v>
      </c>
      <c r="D43" s="38" t="str">
        <f t="shared" si="5"/>
        <v>Mouse_Minnie@gmail.com</v>
      </c>
    </row>
    <row r="44" spans="1:11" x14ac:dyDescent="0.3">
      <c r="A44" s="38" t="s">
        <v>435</v>
      </c>
      <c r="B44" s="38" t="str">
        <f>RIGHT(A44,5)</f>
        <v>Louie</v>
      </c>
      <c r="C44" s="38" t="str">
        <f>LEFT(A44,4)</f>
        <v>King</v>
      </c>
      <c r="D44" s="38" t="str">
        <f t="shared" si="5"/>
        <v>Louie_King@gmail.com</v>
      </c>
    </row>
    <row r="46" spans="1:11" x14ac:dyDescent="0.3">
      <c r="A46" s="23" t="s">
        <v>436</v>
      </c>
    </row>
    <row r="47" spans="1:11" x14ac:dyDescent="0.3">
      <c r="A47" s="23" t="s">
        <v>437</v>
      </c>
    </row>
    <row r="48" spans="1:11" x14ac:dyDescent="0.3">
      <c r="A48" s="23" t="s">
        <v>438</v>
      </c>
    </row>
    <row r="49" spans="1:11" x14ac:dyDescent="0.3">
      <c r="A49" s="23" t="s">
        <v>439</v>
      </c>
    </row>
    <row r="52" spans="1:11" x14ac:dyDescent="0.3">
      <c r="A52" s="41" t="s">
        <v>440</v>
      </c>
      <c r="K52" s="23">
        <v>4</v>
      </c>
    </row>
    <row r="53" spans="1:11" ht="15.6" x14ac:dyDescent="0.3">
      <c r="A53" s="60" t="s">
        <v>34</v>
      </c>
    </row>
    <row r="54" spans="1:11" x14ac:dyDescent="0.3">
      <c r="A54" s="53" t="s">
        <v>14</v>
      </c>
      <c r="B54" s="53" t="s">
        <v>35</v>
      </c>
      <c r="C54" s="53" t="s">
        <v>36</v>
      </c>
    </row>
    <row r="55" spans="1:11" x14ac:dyDescent="0.3">
      <c r="A55" s="61" t="s">
        <v>37</v>
      </c>
      <c r="B55" s="62">
        <v>36526</v>
      </c>
      <c r="C55" s="61">
        <v>1005</v>
      </c>
    </row>
    <row r="56" spans="1:11" x14ac:dyDescent="0.3">
      <c r="A56" s="61" t="s">
        <v>38</v>
      </c>
      <c r="B56" s="62">
        <v>36287</v>
      </c>
      <c r="C56" s="61">
        <v>1260</v>
      </c>
    </row>
    <row r="57" spans="1:11" x14ac:dyDescent="0.3">
      <c r="A57" s="61" t="s">
        <v>39</v>
      </c>
      <c r="B57" s="62">
        <v>35767</v>
      </c>
      <c r="C57" s="61">
        <v>750</v>
      </c>
    </row>
    <row r="58" spans="1:11" x14ac:dyDescent="0.3">
      <c r="A58" s="61" t="s">
        <v>40</v>
      </c>
      <c r="B58" s="62">
        <v>36132</v>
      </c>
      <c r="C58" s="61">
        <v>1515</v>
      </c>
    </row>
    <row r="59" spans="1:11" x14ac:dyDescent="0.3">
      <c r="A59" s="61" t="s">
        <v>41</v>
      </c>
      <c r="B59" s="62">
        <v>36648</v>
      </c>
      <c r="C59" s="61">
        <v>1770</v>
      </c>
    </row>
    <row r="60" spans="1:11" x14ac:dyDescent="0.3">
      <c r="A60" s="61" t="s">
        <v>42</v>
      </c>
      <c r="B60" s="62">
        <v>36689</v>
      </c>
      <c r="C60" s="61">
        <v>2025</v>
      </c>
    </row>
    <row r="62" spans="1:11" x14ac:dyDescent="0.3">
      <c r="A62" s="53" t="s">
        <v>43</v>
      </c>
      <c r="B62" s="52" t="s">
        <v>44</v>
      </c>
    </row>
    <row r="63" spans="1:11" x14ac:dyDescent="0.3">
      <c r="A63" s="61">
        <v>1005</v>
      </c>
      <c r="B63" s="63">
        <f>_xlfn.XLOOKUP(A63,$C$55:$C$60,$B$55:$B$60,,0)</f>
        <v>36526</v>
      </c>
    </row>
    <row r="64" spans="1:11" x14ac:dyDescent="0.3">
      <c r="A64" s="61">
        <v>750</v>
      </c>
      <c r="B64" s="63">
        <f t="shared" ref="B64:B68" si="6">_xlfn.XLOOKUP(A64,$C$55:$C$60,$B$55:$B$60,,0)</f>
        <v>35767</v>
      </c>
    </row>
    <row r="65" spans="1:11" x14ac:dyDescent="0.3">
      <c r="A65" s="61">
        <v>1260</v>
      </c>
      <c r="B65" s="63">
        <f t="shared" si="6"/>
        <v>36287</v>
      </c>
    </row>
    <row r="66" spans="1:11" x14ac:dyDescent="0.3">
      <c r="A66" s="61">
        <v>1515</v>
      </c>
      <c r="B66" s="63">
        <f t="shared" si="6"/>
        <v>36132</v>
      </c>
    </row>
    <row r="67" spans="1:11" x14ac:dyDescent="0.3">
      <c r="A67" s="61">
        <v>1770</v>
      </c>
      <c r="B67" s="63">
        <f t="shared" si="6"/>
        <v>36648</v>
      </c>
    </row>
    <row r="68" spans="1:11" x14ac:dyDescent="0.3">
      <c r="A68" s="61">
        <v>2025</v>
      </c>
      <c r="B68" s="63">
        <f t="shared" si="6"/>
        <v>36689</v>
      </c>
    </row>
    <row r="71" spans="1:11" x14ac:dyDescent="0.3">
      <c r="A71" s="41" t="s">
        <v>441</v>
      </c>
      <c r="K71" s="23">
        <v>3</v>
      </c>
    </row>
    <row r="72" spans="1:11" x14ac:dyDescent="0.3">
      <c r="A72" s="23" t="s">
        <v>1</v>
      </c>
    </row>
    <row r="74" spans="1:11" x14ac:dyDescent="0.3">
      <c r="A74" s="53" t="s">
        <v>2</v>
      </c>
      <c r="B74" s="53" t="s">
        <v>3</v>
      </c>
      <c r="C74" s="53" t="s">
        <v>4</v>
      </c>
      <c r="D74" s="53" t="s">
        <v>5</v>
      </c>
      <c r="E74" s="52" t="s">
        <v>6</v>
      </c>
    </row>
    <row r="75" spans="1:11" x14ac:dyDescent="0.3">
      <c r="A75" s="61">
        <v>245</v>
      </c>
      <c r="B75" s="61" t="s">
        <v>7</v>
      </c>
      <c r="C75" s="61">
        <v>221</v>
      </c>
      <c r="D75" s="61">
        <v>23</v>
      </c>
      <c r="E75" s="64" t="str">
        <f>IF(D75&lt;=5,"0-5 days",IF(D75&lt;=15,"6-15 days",IF(D75&lt;=25,"16-25 days","")))</f>
        <v>16-25 days</v>
      </c>
    </row>
    <row r="76" spans="1:11" x14ac:dyDescent="0.3">
      <c r="A76" s="61">
        <v>1234</v>
      </c>
      <c r="B76" s="61" t="s">
        <v>7</v>
      </c>
      <c r="C76" s="61">
        <v>222</v>
      </c>
      <c r="D76" s="61">
        <v>13</v>
      </c>
      <c r="E76" s="64" t="str">
        <f t="shared" ref="E76:E80" si="7">IF(D76&lt;=5,"0-5 days",IF(D76&lt;=15,"6-15 days",IF(D76&lt;=25,"16-25 days","")))</f>
        <v>6-15 days</v>
      </c>
    </row>
    <row r="77" spans="1:11" x14ac:dyDescent="0.3">
      <c r="A77" s="61">
        <v>1235</v>
      </c>
      <c r="B77" s="61" t="s">
        <v>7</v>
      </c>
      <c r="C77" s="61">
        <v>223</v>
      </c>
      <c r="D77" s="61">
        <v>5</v>
      </c>
      <c r="E77" s="64" t="str">
        <f t="shared" si="7"/>
        <v>0-5 days</v>
      </c>
    </row>
    <row r="78" spans="1:11" x14ac:dyDescent="0.3">
      <c r="A78" s="61">
        <v>1567</v>
      </c>
      <c r="B78" s="61" t="s">
        <v>7</v>
      </c>
      <c r="C78" s="61">
        <v>224</v>
      </c>
      <c r="D78" s="61">
        <v>7</v>
      </c>
      <c r="E78" s="64" t="str">
        <f t="shared" si="7"/>
        <v>6-15 days</v>
      </c>
    </row>
    <row r="79" spans="1:11" x14ac:dyDescent="0.3">
      <c r="A79" s="61">
        <v>234</v>
      </c>
      <c r="B79" s="61" t="s">
        <v>8</v>
      </c>
      <c r="C79" s="61">
        <v>225</v>
      </c>
      <c r="D79" s="61">
        <v>22</v>
      </c>
      <c r="E79" s="64" t="str">
        <f t="shared" si="7"/>
        <v>16-25 days</v>
      </c>
    </row>
    <row r="80" spans="1:11" x14ac:dyDescent="0.3">
      <c r="A80" s="61">
        <v>567</v>
      </c>
      <c r="B80" s="61" t="s">
        <v>8</v>
      </c>
      <c r="C80" s="61">
        <v>226</v>
      </c>
      <c r="D80" s="61">
        <v>18</v>
      </c>
      <c r="E80" s="64" t="str">
        <f t="shared" si="7"/>
        <v>16-25 days</v>
      </c>
    </row>
    <row r="82" spans="1:11" x14ac:dyDescent="0.3">
      <c r="A82" s="65" t="s">
        <v>9</v>
      </c>
    </row>
    <row r="83" spans="1:11" x14ac:dyDescent="0.3">
      <c r="A83" s="65" t="s">
        <v>10</v>
      </c>
    </row>
    <row r="84" spans="1:11" x14ac:dyDescent="0.3">
      <c r="A84" s="65" t="s">
        <v>11</v>
      </c>
    </row>
    <row r="85" spans="1:11" x14ac:dyDescent="0.3">
      <c r="A85" s="65" t="s">
        <v>12</v>
      </c>
    </row>
    <row r="89" spans="1:11" x14ac:dyDescent="0.3">
      <c r="A89" s="41" t="s">
        <v>442</v>
      </c>
      <c r="K89" s="23">
        <v>6</v>
      </c>
    </row>
    <row r="90" spans="1:11" x14ac:dyDescent="0.3">
      <c r="A90" s="66" t="s">
        <v>443</v>
      </c>
      <c r="B90" s="66" t="s">
        <v>444</v>
      </c>
      <c r="C90" s="66" t="s">
        <v>445</v>
      </c>
      <c r="D90" s="66" t="s">
        <v>446</v>
      </c>
    </row>
    <row r="91" spans="1:11" x14ac:dyDescent="0.3">
      <c r="A91" s="67" t="s">
        <v>418</v>
      </c>
      <c r="B91" s="67" t="s">
        <v>447</v>
      </c>
      <c r="C91" s="67" t="s">
        <v>448</v>
      </c>
      <c r="D91" s="68">
        <v>30</v>
      </c>
    </row>
    <row r="92" spans="1:11" x14ac:dyDescent="0.3">
      <c r="A92" s="67" t="s">
        <v>420</v>
      </c>
      <c r="B92" s="67" t="s">
        <v>447</v>
      </c>
      <c r="C92" s="67" t="s">
        <v>449</v>
      </c>
      <c r="D92" s="68">
        <v>20</v>
      </c>
    </row>
    <row r="93" spans="1:11" x14ac:dyDescent="0.3">
      <c r="A93" s="67" t="s">
        <v>422</v>
      </c>
      <c r="B93" s="67" t="s">
        <v>447</v>
      </c>
      <c r="C93" s="67" t="s">
        <v>449</v>
      </c>
      <c r="D93" s="68">
        <v>15</v>
      </c>
    </row>
    <row r="94" spans="1:11" x14ac:dyDescent="0.3">
      <c r="A94" s="67" t="s">
        <v>424</v>
      </c>
      <c r="B94" s="67" t="s">
        <v>450</v>
      </c>
      <c r="C94" s="67" t="s">
        <v>448</v>
      </c>
      <c r="D94" s="69">
        <v>25</v>
      </c>
    </row>
    <row r="95" spans="1:11" x14ac:dyDescent="0.3">
      <c r="A95" s="67" t="s">
        <v>426</v>
      </c>
      <c r="B95" s="67" t="s">
        <v>447</v>
      </c>
      <c r="C95" s="67" t="s">
        <v>448</v>
      </c>
      <c r="D95" s="69">
        <v>40</v>
      </c>
    </row>
    <row r="96" spans="1:11" x14ac:dyDescent="0.3">
      <c r="A96" s="67" t="s">
        <v>451</v>
      </c>
      <c r="B96" s="67" t="s">
        <v>450</v>
      </c>
      <c r="C96" s="67" t="s">
        <v>449</v>
      </c>
      <c r="D96" s="69">
        <v>70</v>
      </c>
    </row>
    <row r="97" spans="1:11" x14ac:dyDescent="0.3">
      <c r="A97" s="67" t="s">
        <v>452</v>
      </c>
      <c r="B97" s="67" t="s">
        <v>447</v>
      </c>
      <c r="C97" s="67" t="s">
        <v>448</v>
      </c>
      <c r="D97" s="69">
        <v>105</v>
      </c>
    </row>
    <row r="99" spans="1:11" x14ac:dyDescent="0.3">
      <c r="A99" s="110">
        <f>COUNTIFS(B91:B97,"Black Refrigerator",C91:C97,"yes")</f>
        <v>3</v>
      </c>
      <c r="B99" s="70" t="s">
        <v>453</v>
      </c>
    </row>
    <row r="100" spans="1:11" x14ac:dyDescent="0.3">
      <c r="A100" s="111">
        <f>SUMIFS(D91:D97,B91:B97,"Blue Refrigerator",C91:C97,"No")</f>
        <v>70</v>
      </c>
      <c r="B100" s="70" t="s">
        <v>454</v>
      </c>
    </row>
    <row r="104" spans="1:11" x14ac:dyDescent="0.3">
      <c r="A104" s="41" t="s">
        <v>455</v>
      </c>
    </row>
    <row r="105" spans="1:11" x14ac:dyDescent="0.3">
      <c r="K105" s="23">
        <v>6</v>
      </c>
    </row>
    <row r="106" spans="1:11" x14ac:dyDescent="0.3">
      <c r="A106" s="53" t="s">
        <v>46</v>
      </c>
      <c r="B106" s="71" t="s">
        <v>47</v>
      </c>
      <c r="C106" s="53" t="s">
        <v>48</v>
      </c>
    </row>
    <row r="107" spans="1:11" x14ac:dyDescent="0.3">
      <c r="A107" s="54" t="s">
        <v>49</v>
      </c>
      <c r="B107" s="72">
        <f>C107/$C$113</f>
        <v>0.22282070331847451</v>
      </c>
      <c r="C107" s="54">
        <v>3599</v>
      </c>
    </row>
    <row r="108" spans="1:11" x14ac:dyDescent="0.3">
      <c r="A108" s="54" t="s">
        <v>50</v>
      </c>
      <c r="B108" s="72">
        <f t="shared" ref="B108:B112" si="8">C108/$C$113</f>
        <v>0.14654531946508173</v>
      </c>
      <c r="C108" s="54">
        <v>2367</v>
      </c>
    </row>
    <row r="109" spans="1:11" x14ac:dyDescent="0.3">
      <c r="A109" s="54" t="s">
        <v>51</v>
      </c>
      <c r="B109" s="72">
        <f t="shared" si="8"/>
        <v>0.15205547300643882</v>
      </c>
      <c r="C109" s="54">
        <v>2456</v>
      </c>
    </row>
    <row r="110" spans="1:11" x14ac:dyDescent="0.3">
      <c r="A110" s="54" t="s">
        <v>52</v>
      </c>
      <c r="B110" s="72">
        <f t="shared" si="8"/>
        <v>0.24684249628528976</v>
      </c>
      <c r="C110" s="54">
        <v>3987</v>
      </c>
    </row>
    <row r="111" spans="1:11" x14ac:dyDescent="0.3">
      <c r="A111" s="54" t="s">
        <v>53</v>
      </c>
      <c r="B111" s="72">
        <f t="shared" si="8"/>
        <v>0.11546557701832591</v>
      </c>
      <c r="C111" s="54">
        <v>1865</v>
      </c>
    </row>
    <row r="112" spans="1:11" x14ac:dyDescent="0.3">
      <c r="A112" s="54" t="s">
        <v>54</v>
      </c>
      <c r="B112" s="72">
        <f t="shared" si="8"/>
        <v>0.1162704309063893</v>
      </c>
      <c r="C112" s="54">
        <v>1878</v>
      </c>
    </row>
    <row r="113" spans="1:3" x14ac:dyDescent="0.3">
      <c r="B113" s="72"/>
      <c r="C113" s="23">
        <v>16152</v>
      </c>
    </row>
    <row r="115" spans="1:3" x14ac:dyDescent="0.3">
      <c r="A115" s="130" t="s">
        <v>55</v>
      </c>
      <c r="B115" s="130"/>
      <c r="C115" s="130"/>
    </row>
    <row r="116" spans="1:3" x14ac:dyDescent="0.3">
      <c r="A116" s="130"/>
      <c r="B116" s="130"/>
      <c r="C116" s="130"/>
    </row>
    <row r="117" spans="1:3" x14ac:dyDescent="0.3">
      <c r="A117" s="130"/>
      <c r="B117" s="130"/>
      <c r="C117" s="130"/>
    </row>
    <row r="118" spans="1:3" x14ac:dyDescent="0.3">
      <c r="A118" s="130"/>
      <c r="B118" s="130"/>
      <c r="C118" s="130"/>
    </row>
    <row r="119" spans="1:3" x14ac:dyDescent="0.3">
      <c r="A119" s="130"/>
      <c r="B119" s="130"/>
      <c r="C119" s="130"/>
    </row>
    <row r="120" spans="1:3" x14ac:dyDescent="0.3">
      <c r="A120" s="130"/>
      <c r="B120" s="130"/>
      <c r="C120" s="130"/>
    </row>
    <row r="121" spans="1:3" x14ac:dyDescent="0.3">
      <c r="A121" s="130"/>
      <c r="B121" s="130"/>
      <c r="C121" s="130"/>
    </row>
    <row r="122" spans="1:3" x14ac:dyDescent="0.3">
      <c r="A122" s="130"/>
      <c r="B122" s="130"/>
      <c r="C122" s="130"/>
    </row>
    <row r="123" spans="1:3" x14ac:dyDescent="0.3">
      <c r="A123" s="130"/>
      <c r="B123" s="130"/>
      <c r="C123" s="130"/>
    </row>
    <row r="124" spans="1:3" x14ac:dyDescent="0.3">
      <c r="A124" s="130"/>
      <c r="B124" s="130"/>
      <c r="C124" s="130"/>
    </row>
    <row r="125" spans="1:3" x14ac:dyDescent="0.3">
      <c r="A125" s="130"/>
      <c r="B125" s="130"/>
      <c r="C125" s="130"/>
    </row>
    <row r="126" spans="1:3" x14ac:dyDescent="0.3">
      <c r="A126" s="130"/>
      <c r="B126" s="130"/>
      <c r="C126" s="130"/>
    </row>
    <row r="127" spans="1:3" x14ac:dyDescent="0.3">
      <c r="A127" s="130"/>
      <c r="B127" s="130"/>
      <c r="C127" s="130"/>
    </row>
    <row r="128" spans="1:3" x14ac:dyDescent="0.3">
      <c r="A128" s="130"/>
      <c r="B128" s="130"/>
      <c r="C128" s="130"/>
    </row>
    <row r="129" spans="1:11" x14ac:dyDescent="0.3">
      <c r="A129" s="130"/>
      <c r="B129" s="130"/>
      <c r="C129" s="130"/>
    </row>
    <row r="130" spans="1:11" x14ac:dyDescent="0.3">
      <c r="A130" s="130"/>
      <c r="B130" s="130"/>
      <c r="C130" s="130"/>
    </row>
    <row r="134" spans="1:11" x14ac:dyDescent="0.3">
      <c r="A134" s="41" t="s">
        <v>456</v>
      </c>
      <c r="K134" s="23">
        <v>2</v>
      </c>
    </row>
    <row r="135" spans="1:11" x14ac:dyDescent="0.3">
      <c r="A135" s="23" t="s">
        <v>56</v>
      </c>
    </row>
    <row r="136" spans="1:11" x14ac:dyDescent="0.3">
      <c r="A136" s="23" t="s">
        <v>57</v>
      </c>
    </row>
    <row r="138" spans="1:11" x14ac:dyDescent="0.3">
      <c r="A138" s="73" t="s">
        <v>58</v>
      </c>
      <c r="B138" s="73" t="s">
        <v>59</v>
      </c>
      <c r="C138" s="74" t="s">
        <v>60</v>
      </c>
      <c r="D138" s="74" t="s">
        <v>61</v>
      </c>
      <c r="E138" s="74" t="s">
        <v>62</v>
      </c>
    </row>
    <row r="139" spans="1:11" x14ac:dyDescent="0.3">
      <c r="A139" s="54">
        <v>100</v>
      </c>
      <c r="B139" s="54" t="s">
        <v>63</v>
      </c>
      <c r="C139" s="75">
        <v>187274</v>
      </c>
      <c r="D139" s="75">
        <v>175000</v>
      </c>
      <c r="E139" s="76">
        <f>(D139-C139)/D139</f>
        <v>-7.0137142857142856E-2</v>
      </c>
    </row>
    <row r="140" spans="1:11" x14ac:dyDescent="0.3">
      <c r="A140" s="54">
        <v>101</v>
      </c>
      <c r="B140" s="54" t="s">
        <v>64</v>
      </c>
      <c r="C140" s="75">
        <v>61456</v>
      </c>
      <c r="D140" s="75">
        <v>60000</v>
      </c>
      <c r="E140" s="76">
        <f t="shared" ref="E140:E149" si="9">(D140-C140)/D140</f>
        <v>-2.4266666666666666E-2</v>
      </c>
    </row>
    <row r="141" spans="1:11" x14ac:dyDescent="0.3">
      <c r="A141" s="54">
        <v>102</v>
      </c>
      <c r="B141" s="54" t="s">
        <v>65</v>
      </c>
      <c r="C141" s="75">
        <v>88133</v>
      </c>
      <c r="D141" s="75">
        <v>90000</v>
      </c>
      <c r="E141" s="76">
        <f t="shared" si="9"/>
        <v>2.0744444444444444E-2</v>
      </c>
    </row>
    <row r="142" spans="1:11" x14ac:dyDescent="0.3">
      <c r="A142" s="54">
        <v>200</v>
      </c>
      <c r="B142" s="54" t="s">
        <v>66</v>
      </c>
      <c r="C142" s="75">
        <v>167209</v>
      </c>
      <c r="D142" s="75">
        <v>150000</v>
      </c>
      <c r="E142" s="76">
        <f t="shared" si="9"/>
        <v>-0.11472666666666667</v>
      </c>
    </row>
    <row r="143" spans="1:11" x14ac:dyDescent="0.3">
      <c r="A143" s="54">
        <v>202</v>
      </c>
      <c r="B143" s="54" t="s">
        <v>67</v>
      </c>
      <c r="C143" s="75">
        <v>116801</v>
      </c>
      <c r="D143" s="75">
        <v>125000</v>
      </c>
      <c r="E143" s="76">
        <f t="shared" si="9"/>
        <v>6.5591999999999998E-2</v>
      </c>
    </row>
    <row r="144" spans="1:11" x14ac:dyDescent="0.3">
      <c r="A144" s="54">
        <v>206</v>
      </c>
      <c r="B144" s="54" t="s">
        <v>68</v>
      </c>
      <c r="C144" s="75">
        <v>175202</v>
      </c>
      <c r="D144" s="75">
        <v>165000</v>
      </c>
      <c r="E144" s="76">
        <f t="shared" si="9"/>
        <v>-6.1830303030303027E-2</v>
      </c>
    </row>
    <row r="145" spans="1:5" x14ac:dyDescent="0.3">
      <c r="A145" s="54">
        <v>301</v>
      </c>
      <c r="B145" s="54" t="s">
        <v>69</v>
      </c>
      <c r="C145" s="75">
        <v>169975</v>
      </c>
      <c r="D145" s="75">
        <v>125000</v>
      </c>
      <c r="E145" s="76">
        <f t="shared" si="9"/>
        <v>-0.35980000000000001</v>
      </c>
    </row>
    <row r="146" spans="1:5" x14ac:dyDescent="0.3">
      <c r="A146" s="54">
        <v>305</v>
      </c>
      <c r="B146" s="54" t="s">
        <v>70</v>
      </c>
      <c r="C146" s="75">
        <v>212012</v>
      </c>
      <c r="D146" s="75">
        <v>185000</v>
      </c>
      <c r="E146" s="76">
        <f t="shared" si="9"/>
        <v>-0.1460108108108108</v>
      </c>
    </row>
    <row r="147" spans="1:5" x14ac:dyDescent="0.3">
      <c r="A147" s="54">
        <v>400</v>
      </c>
      <c r="B147" s="54" t="s">
        <v>71</v>
      </c>
      <c r="C147" s="75">
        <v>172371</v>
      </c>
      <c r="D147" s="75">
        <v>200000</v>
      </c>
      <c r="E147" s="76">
        <f t="shared" si="9"/>
        <v>0.13814499999999999</v>
      </c>
    </row>
    <row r="148" spans="1:5" x14ac:dyDescent="0.3">
      <c r="A148" s="54">
        <v>410</v>
      </c>
      <c r="B148" s="54" t="s">
        <v>72</v>
      </c>
      <c r="C148" s="75">
        <v>92749</v>
      </c>
      <c r="D148" s="75">
        <v>100000</v>
      </c>
      <c r="E148" s="76">
        <f t="shared" si="9"/>
        <v>7.2510000000000005E-2</v>
      </c>
    </row>
    <row r="149" spans="1:5" x14ac:dyDescent="0.3">
      <c r="A149" s="54">
        <v>420</v>
      </c>
      <c r="B149" s="54" t="s">
        <v>73</v>
      </c>
      <c r="C149" s="75">
        <v>57845</v>
      </c>
      <c r="D149" s="75">
        <v>75000</v>
      </c>
      <c r="E149" s="76">
        <f t="shared" si="9"/>
        <v>0.22873333333333334</v>
      </c>
    </row>
  </sheetData>
  <mergeCells count="1">
    <mergeCell ref="A115:C130"/>
  </mergeCells>
  <conditionalFormatting sqref="E139:E149">
    <cfRule type="cellIs" dxfId="27" priority="1" operator="lessThan">
      <formula>-0.1</formula>
    </cfRule>
    <cfRule type="cellIs" dxfId="26" priority="2" operator="greaterThan">
      <formula>0.1</formula>
    </cfRule>
  </conditionalFormatting>
  <pageMargins left="0.7" right="0.7" top="0.75" bottom="0.75" header="0.3" footer="0.3"/>
  <pageSetup orientation="portrait" horizontalDpi="300" verticalDpi="0"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C6E6-525A-4DB6-B3C9-F6D9A7A3FF8B}">
  <dimension ref="A1:Q45"/>
  <sheetViews>
    <sheetView showGridLines="0" topLeftCell="E11" workbookViewId="0">
      <selection activeCell="M33" sqref="M33"/>
    </sheetView>
  </sheetViews>
  <sheetFormatPr defaultColWidth="8.77734375" defaultRowHeight="14.4" x14ac:dyDescent="0.3"/>
  <cols>
    <col min="1" max="1" width="3.77734375" style="20" customWidth="1"/>
    <col min="2" max="2" width="16.44140625" style="20" bestFit="1" customWidth="1"/>
    <col min="3" max="3" width="8.77734375" style="20"/>
    <col min="4" max="4" width="12.5546875" style="20" customWidth="1"/>
    <col min="5" max="5" width="8.77734375" style="20"/>
    <col min="6" max="6" width="13" style="20" bestFit="1" customWidth="1"/>
    <col min="7" max="7" width="10.5546875" style="20" bestFit="1" customWidth="1"/>
    <col min="8" max="8" width="17.6640625" style="20" customWidth="1"/>
    <col min="9" max="9" width="14.77734375" style="20" customWidth="1"/>
    <col min="10" max="10" width="23.77734375" style="20" customWidth="1"/>
    <col min="11" max="11" width="31.44140625" style="20" customWidth="1"/>
    <col min="12" max="12" width="13.33203125" style="20" bestFit="1" customWidth="1"/>
    <col min="13" max="13" width="22.5546875" style="20" customWidth="1"/>
    <col min="14" max="14" width="19.6640625" style="20" bestFit="1" customWidth="1"/>
    <col min="15" max="15" width="12.5546875" style="20" bestFit="1" customWidth="1"/>
    <col min="16" max="16" width="20.21875" style="20" bestFit="1" customWidth="1"/>
    <col min="17" max="16384" width="8.77734375" style="20"/>
  </cols>
  <sheetData>
    <row r="1" spans="1:14" x14ac:dyDescent="0.3">
      <c r="B1" s="21" t="s">
        <v>74</v>
      </c>
    </row>
    <row r="2" spans="1:14" x14ac:dyDescent="0.3">
      <c r="A2" s="20">
        <v>1</v>
      </c>
      <c r="B2" s="20" t="s">
        <v>75</v>
      </c>
      <c r="E2" s="112" t="s">
        <v>113</v>
      </c>
    </row>
    <row r="3" spans="1:14" x14ac:dyDescent="0.3">
      <c r="A3" s="20">
        <v>2</v>
      </c>
      <c r="B3" s="20" t="s">
        <v>76</v>
      </c>
      <c r="I3" s="112"/>
    </row>
    <row r="4" spans="1:14" x14ac:dyDescent="0.3">
      <c r="A4" s="20">
        <v>3</v>
      </c>
      <c r="B4" s="20" t="s">
        <v>77</v>
      </c>
      <c r="E4" s="112" t="s">
        <v>499</v>
      </c>
    </row>
    <row r="5" spans="1:14" x14ac:dyDescent="0.3">
      <c r="A5" s="20">
        <v>4</v>
      </c>
      <c r="B5" s="20" t="s">
        <v>78</v>
      </c>
      <c r="J5" s="22" t="s">
        <v>126</v>
      </c>
    </row>
    <row r="6" spans="1:14" x14ac:dyDescent="0.3">
      <c r="J6" s="7" t="s">
        <v>111</v>
      </c>
      <c r="K6" s="7" t="s">
        <v>112</v>
      </c>
      <c r="L6" s="119" t="s">
        <v>502</v>
      </c>
      <c r="M6" s="118" t="s">
        <v>503</v>
      </c>
    </row>
    <row r="7" spans="1:14" x14ac:dyDescent="0.3">
      <c r="B7" s="21" t="s">
        <v>79</v>
      </c>
      <c r="C7" s="21" t="s">
        <v>80</v>
      </c>
      <c r="D7" s="21" t="s">
        <v>81</v>
      </c>
      <c r="E7" s="21" t="s">
        <v>82</v>
      </c>
      <c r="F7" s="21" t="s">
        <v>83</v>
      </c>
      <c r="G7" s="21" t="s">
        <v>84</v>
      </c>
      <c r="H7" s="124" t="s">
        <v>85</v>
      </c>
      <c r="I7" s="127" t="s">
        <v>112</v>
      </c>
      <c r="J7" t="s">
        <v>113</v>
      </c>
      <c r="K7" t="s">
        <v>114</v>
      </c>
      <c r="L7" s="115" t="s">
        <v>504</v>
      </c>
      <c r="M7" s="116">
        <f>COUNTIF(E8:E25,"White")</f>
        <v>6</v>
      </c>
    </row>
    <row r="8" spans="1:14" x14ac:dyDescent="0.3">
      <c r="B8" s="20" t="s">
        <v>86</v>
      </c>
      <c r="C8" s="20">
        <v>2012</v>
      </c>
      <c r="D8" s="20">
        <v>342358</v>
      </c>
      <c r="E8" s="20" t="s">
        <v>87</v>
      </c>
      <c r="F8" s="20" t="s">
        <v>88</v>
      </c>
      <c r="G8" s="20" t="s">
        <v>89</v>
      </c>
      <c r="H8" s="125">
        <v>15400</v>
      </c>
      <c r="I8" s="125" t="str">
        <f>VLOOKUP(LEFT(B8,FIND(" ",B8)-1),$J$7:$K$14,2,FALSE)</f>
        <v>Germany</v>
      </c>
      <c r="J8" t="s">
        <v>115</v>
      </c>
      <c r="K8" t="s">
        <v>114</v>
      </c>
      <c r="L8" s="117" t="s">
        <v>505</v>
      </c>
      <c r="M8" s="116">
        <f>COUNTIF(E8:E25,"Black")</f>
        <v>3</v>
      </c>
    </row>
    <row r="9" spans="1:14" x14ac:dyDescent="0.3">
      <c r="B9" s="20" t="s">
        <v>90</v>
      </c>
      <c r="C9" s="20">
        <v>2017</v>
      </c>
      <c r="D9" s="20">
        <v>130000</v>
      </c>
      <c r="E9" s="20" t="s">
        <v>91</v>
      </c>
      <c r="F9" s="20" t="s">
        <v>92</v>
      </c>
      <c r="G9" s="20" t="s">
        <v>93</v>
      </c>
      <c r="H9" s="125">
        <v>24321</v>
      </c>
      <c r="I9" s="125" t="str">
        <f t="shared" ref="I9:I25" si="0">VLOOKUP(LEFT(B9,FIND(" ",B9)-1),$J$7:$K$14,2,FALSE)</f>
        <v>Germany</v>
      </c>
      <c r="J9" t="s">
        <v>116</v>
      </c>
      <c r="K9" t="s">
        <v>117</v>
      </c>
      <c r="L9" s="117" t="s">
        <v>506</v>
      </c>
      <c r="M9" s="116">
        <f>COUNTIF(E8:E25,"Red")</f>
        <v>4</v>
      </c>
    </row>
    <row r="10" spans="1:14" x14ac:dyDescent="0.3">
      <c r="B10" s="20" t="s">
        <v>94</v>
      </c>
      <c r="C10" s="20">
        <v>2020</v>
      </c>
      <c r="D10" s="20">
        <v>92450</v>
      </c>
      <c r="E10" s="20" t="s">
        <v>95</v>
      </c>
      <c r="F10" s="20" t="s">
        <v>88</v>
      </c>
      <c r="G10" s="20" t="s">
        <v>96</v>
      </c>
      <c r="H10" s="126">
        <v>102342</v>
      </c>
      <c r="I10" s="125" t="str">
        <f t="shared" si="0"/>
        <v>Germany</v>
      </c>
      <c r="J10" t="s">
        <v>118</v>
      </c>
      <c r="K10" t="s">
        <v>119</v>
      </c>
      <c r="L10" s="117" t="s">
        <v>507</v>
      </c>
      <c r="M10" s="116">
        <f>COUNTIF(E8:E25,"Blue")</f>
        <v>2</v>
      </c>
    </row>
    <row r="11" spans="1:14" x14ac:dyDescent="0.3">
      <c r="B11" s="20" t="s">
        <v>86</v>
      </c>
      <c r="C11" s="20">
        <v>2020</v>
      </c>
      <c r="D11" s="20">
        <v>76240</v>
      </c>
      <c r="E11" s="20" t="s">
        <v>87</v>
      </c>
      <c r="F11" s="20" t="s">
        <v>88</v>
      </c>
      <c r="G11" s="20" t="s">
        <v>93</v>
      </c>
      <c r="H11" s="125">
        <v>55272</v>
      </c>
      <c r="I11" s="125" t="str">
        <f t="shared" si="0"/>
        <v>Germany</v>
      </c>
      <c r="J11" t="s">
        <v>120</v>
      </c>
      <c r="K11" t="s">
        <v>114</v>
      </c>
      <c r="L11" s="117" t="s">
        <v>508</v>
      </c>
      <c r="M11" s="116">
        <f>COUNTIF(E8:E25,"Yellow")</f>
        <v>1</v>
      </c>
    </row>
    <row r="12" spans="1:14" x14ac:dyDescent="0.3">
      <c r="B12" s="20" t="s">
        <v>97</v>
      </c>
      <c r="C12" s="20">
        <v>2021</v>
      </c>
      <c r="D12" s="20">
        <v>17283</v>
      </c>
      <c r="E12" s="20" t="s">
        <v>87</v>
      </c>
      <c r="F12" s="20" t="s">
        <v>92</v>
      </c>
      <c r="G12" s="20" t="s">
        <v>89</v>
      </c>
      <c r="H12" s="125">
        <v>42000</v>
      </c>
      <c r="I12" s="125" t="str">
        <f t="shared" si="0"/>
        <v>Germany</v>
      </c>
      <c r="J12" t="s">
        <v>121</v>
      </c>
      <c r="K12" t="s">
        <v>122</v>
      </c>
      <c r="L12" s="117"/>
      <c r="M12" s="116"/>
    </row>
    <row r="13" spans="1:14" x14ac:dyDescent="0.3">
      <c r="B13" s="20" t="s">
        <v>98</v>
      </c>
      <c r="C13" s="20">
        <v>2020</v>
      </c>
      <c r="D13" s="20">
        <v>98312</v>
      </c>
      <c r="E13" s="20" t="s">
        <v>91</v>
      </c>
      <c r="F13" s="20" t="s">
        <v>88</v>
      </c>
      <c r="G13" s="20" t="s">
        <v>96</v>
      </c>
      <c r="H13" s="125">
        <v>51292</v>
      </c>
      <c r="I13" s="125" t="str">
        <f t="shared" si="0"/>
        <v>Japan</v>
      </c>
      <c r="J13" t="s">
        <v>123</v>
      </c>
      <c r="K13" t="s">
        <v>117</v>
      </c>
      <c r="L13"/>
    </row>
    <row r="14" spans="1:14" x14ac:dyDescent="0.3">
      <c r="B14" s="20" t="s">
        <v>97</v>
      </c>
      <c r="C14" s="20">
        <v>2018</v>
      </c>
      <c r="D14" s="20">
        <v>156784</v>
      </c>
      <c r="E14" s="20" t="s">
        <v>99</v>
      </c>
      <c r="F14" s="20" t="s">
        <v>92</v>
      </c>
      <c r="G14" s="20" t="s">
        <v>96</v>
      </c>
      <c r="H14" s="125">
        <v>37605</v>
      </c>
      <c r="I14" s="125" t="str">
        <f t="shared" si="0"/>
        <v>Germany</v>
      </c>
      <c r="J14" t="s">
        <v>124</v>
      </c>
      <c r="K14" t="s">
        <v>125</v>
      </c>
      <c r="L14"/>
    </row>
    <row r="15" spans="1:14" x14ac:dyDescent="0.3">
      <c r="B15" s="20" t="s">
        <v>86</v>
      </c>
      <c r="C15" s="20">
        <v>2019</v>
      </c>
      <c r="D15" s="20">
        <v>52034</v>
      </c>
      <c r="E15" s="20" t="s">
        <v>100</v>
      </c>
      <c r="F15" s="20" t="s">
        <v>88</v>
      </c>
      <c r="G15" s="20" t="s">
        <v>89</v>
      </c>
      <c r="H15" s="125">
        <v>45000</v>
      </c>
      <c r="I15" s="125" t="str">
        <f t="shared" si="0"/>
        <v>Germany</v>
      </c>
    </row>
    <row r="16" spans="1:14" x14ac:dyDescent="0.3">
      <c r="B16" s="20" t="s">
        <v>101</v>
      </c>
      <c r="C16" s="20">
        <v>2011</v>
      </c>
      <c r="D16" s="20">
        <v>205204</v>
      </c>
      <c r="E16" s="20" t="s">
        <v>91</v>
      </c>
      <c r="F16" s="20" t="s">
        <v>88</v>
      </c>
      <c r="G16" s="20" t="s">
        <v>93</v>
      </c>
      <c r="H16" s="125">
        <v>13241</v>
      </c>
      <c r="I16" s="125" t="str">
        <f t="shared" si="0"/>
        <v>Germany</v>
      </c>
      <c r="J16"/>
      <c r="K16"/>
      <c r="L16"/>
      <c r="M16"/>
      <c r="N16"/>
    </row>
    <row r="17" spans="2:17" x14ac:dyDescent="0.3">
      <c r="B17" s="20" t="s">
        <v>94</v>
      </c>
      <c r="C17" s="20">
        <v>2014</v>
      </c>
      <c r="D17" s="20">
        <v>152985</v>
      </c>
      <c r="E17" s="20" t="s">
        <v>95</v>
      </c>
      <c r="F17" s="20" t="s">
        <v>88</v>
      </c>
      <c r="G17" s="20" t="s">
        <v>93</v>
      </c>
      <c r="H17" s="125">
        <v>49344</v>
      </c>
      <c r="I17" s="125" t="str">
        <f t="shared" si="0"/>
        <v>Germany</v>
      </c>
      <c r="J17" s="138" t="s">
        <v>500</v>
      </c>
      <c r="K17" s="113" t="s">
        <v>501</v>
      </c>
      <c r="L17"/>
      <c r="M17" s="120" t="s">
        <v>84</v>
      </c>
      <c r="N17" s="120" t="s">
        <v>509</v>
      </c>
      <c r="O17" s="121" t="s">
        <v>510</v>
      </c>
      <c r="P17" s="121" t="s">
        <v>511</v>
      </c>
    </row>
    <row r="18" spans="2:17" x14ac:dyDescent="0.3">
      <c r="B18" s="20" t="s">
        <v>102</v>
      </c>
      <c r="C18" s="20">
        <v>2018</v>
      </c>
      <c r="D18" s="20">
        <v>76429</v>
      </c>
      <c r="E18" s="20" t="s">
        <v>103</v>
      </c>
      <c r="F18" s="20" t="s">
        <v>88</v>
      </c>
      <c r="G18" s="20" t="s">
        <v>89</v>
      </c>
      <c r="H18" s="125">
        <v>52432</v>
      </c>
      <c r="I18" s="125" t="str">
        <f t="shared" si="0"/>
        <v>USA</v>
      </c>
      <c r="J18" s="114" t="s">
        <v>113</v>
      </c>
      <c r="K18" s="114">
        <f>COUNTIF(B8:B25,"*BMW*")</f>
        <v>7</v>
      </c>
      <c r="L18"/>
      <c r="M18" s="122" t="s">
        <v>89</v>
      </c>
      <c r="N18" s="122">
        <f>SUMIF($G$8:$G$25,"1st owner",$H$8:$H$25)</f>
        <v>219082</v>
      </c>
      <c r="O18" s="123">
        <f>COUNTIF($G$8:$G$25,"1st owner")</f>
        <v>6</v>
      </c>
      <c r="P18" s="123">
        <f>N18/O18</f>
        <v>36513.666666666664</v>
      </c>
    </row>
    <row r="19" spans="2:17" x14ac:dyDescent="0.3">
      <c r="B19" s="20" t="s">
        <v>104</v>
      </c>
      <c r="C19" s="20">
        <v>2013</v>
      </c>
      <c r="D19" s="20">
        <v>254028</v>
      </c>
      <c r="E19" s="20" t="s">
        <v>105</v>
      </c>
      <c r="F19" s="20" t="s">
        <v>92</v>
      </c>
      <c r="G19" s="20" t="s">
        <v>93</v>
      </c>
      <c r="H19" s="125">
        <v>17452</v>
      </c>
      <c r="I19" s="125" t="str">
        <f t="shared" si="0"/>
        <v>Sweden</v>
      </c>
      <c r="J19" s="114" t="s">
        <v>115</v>
      </c>
      <c r="K19" s="114">
        <f>COUNTIF(B8:B25,"*AUDI*")</f>
        <v>2</v>
      </c>
      <c r="L19"/>
      <c r="M19" s="122" t="s">
        <v>93</v>
      </c>
      <c r="N19" s="122">
        <f>SUMIF($G$8:$G$25,"2nd owner",$H$8:$H$25)</f>
        <v>245744</v>
      </c>
      <c r="O19" s="123">
        <f>COUNTIF($G$8:$G$25,"2nd owner")</f>
        <v>8</v>
      </c>
      <c r="P19" s="123">
        <f t="shared" ref="P19:P21" si="1">N19/O19</f>
        <v>30718</v>
      </c>
    </row>
    <row r="20" spans="2:17" x14ac:dyDescent="0.3">
      <c r="B20" s="20" t="s">
        <v>106</v>
      </c>
      <c r="C20" s="20">
        <v>2014</v>
      </c>
      <c r="D20" s="20">
        <v>45832</v>
      </c>
      <c r="E20" s="20" t="s">
        <v>87</v>
      </c>
      <c r="F20" s="20" t="s">
        <v>92</v>
      </c>
      <c r="G20" s="20" t="s">
        <v>89</v>
      </c>
      <c r="H20" s="125">
        <v>23250</v>
      </c>
      <c r="I20" s="125" t="str">
        <f t="shared" si="0"/>
        <v>Germany</v>
      </c>
      <c r="J20" s="114" t="s">
        <v>116</v>
      </c>
      <c r="K20" s="114">
        <f>COUNTIF(B8:B25,"*TESLA*")</f>
        <v>1</v>
      </c>
      <c r="L20"/>
      <c r="M20" s="122" t="s">
        <v>512</v>
      </c>
      <c r="N20" s="122">
        <f>SUMIF($G$8:$G$25,"3rd owner",$H$8:$H$25)</f>
        <v>191239</v>
      </c>
      <c r="O20" s="123">
        <f>COUNTIF($G$8:$G$25,"3rd owner")</f>
        <v>3</v>
      </c>
      <c r="P20" s="123">
        <f t="shared" si="1"/>
        <v>63746.333333333336</v>
      </c>
    </row>
    <row r="21" spans="2:17" x14ac:dyDescent="0.3">
      <c r="B21" s="20" t="s">
        <v>107</v>
      </c>
      <c r="C21" s="20">
        <v>2018</v>
      </c>
      <c r="D21" s="20">
        <v>67591</v>
      </c>
      <c r="E21" s="20" t="s">
        <v>99</v>
      </c>
      <c r="F21" s="20" t="s">
        <v>88</v>
      </c>
      <c r="G21" s="20" t="s">
        <v>93</v>
      </c>
      <c r="H21" s="125">
        <v>32420</v>
      </c>
      <c r="I21" s="125" t="str">
        <f t="shared" si="0"/>
        <v>USA</v>
      </c>
      <c r="J21" s="114" t="s">
        <v>118</v>
      </c>
      <c r="K21" s="114">
        <f>COUNTIF(B8:B25,"*JAGUAR*")</f>
        <v>1</v>
      </c>
      <c r="L21"/>
      <c r="M21" s="122" t="s">
        <v>110</v>
      </c>
      <c r="N21" s="122">
        <f>SUMIF($G$8:$G$25,"4th owner",$H$8:$H$25)</f>
        <v>22520</v>
      </c>
      <c r="O21" s="123">
        <f>COUNTIF(G8:G25,"4th owner")</f>
        <v>1</v>
      </c>
      <c r="P21" s="123">
        <f t="shared" si="1"/>
        <v>22520</v>
      </c>
    </row>
    <row r="22" spans="2:17" x14ac:dyDescent="0.3">
      <c r="B22" s="20" t="s">
        <v>108</v>
      </c>
      <c r="C22" s="20">
        <v>2013</v>
      </c>
      <c r="D22" s="20">
        <v>85320</v>
      </c>
      <c r="E22" s="20" t="s">
        <v>87</v>
      </c>
      <c r="F22" s="20" t="s">
        <v>88</v>
      </c>
      <c r="G22" s="20" t="s">
        <v>93</v>
      </c>
      <c r="H22" s="125">
        <v>18454</v>
      </c>
      <c r="I22" s="125" t="str">
        <f t="shared" si="0"/>
        <v>UK</v>
      </c>
      <c r="J22" s="114" t="s">
        <v>120</v>
      </c>
      <c r="K22" s="114">
        <f>COUNTIF(B8:B25,"*MERCEDES*")</f>
        <v>2</v>
      </c>
      <c r="L22"/>
      <c r="M22"/>
      <c r="N22"/>
    </row>
    <row r="23" spans="2:17" x14ac:dyDescent="0.3">
      <c r="B23" s="20" t="s">
        <v>98</v>
      </c>
      <c r="C23" s="20">
        <v>2016</v>
      </c>
      <c r="D23" s="20">
        <v>5000</v>
      </c>
      <c r="E23" s="20" t="s">
        <v>87</v>
      </c>
      <c r="F23" s="20" t="s">
        <v>88</v>
      </c>
      <c r="G23" s="20" t="s">
        <v>89</v>
      </c>
      <c r="H23" s="125">
        <v>41000</v>
      </c>
      <c r="I23" s="125" t="str">
        <f t="shared" si="0"/>
        <v>Japan</v>
      </c>
      <c r="J23" s="114" t="s">
        <v>121</v>
      </c>
      <c r="K23" s="114">
        <f>COUNTIF(B8:B25,"*VOLVO*")</f>
        <v>1</v>
      </c>
      <c r="L23"/>
      <c r="M23"/>
      <c r="N23"/>
    </row>
    <row r="24" spans="2:17" x14ac:dyDescent="0.3">
      <c r="B24" s="20" t="s">
        <v>109</v>
      </c>
      <c r="C24" s="20">
        <v>2017</v>
      </c>
      <c r="D24" s="20">
        <v>92450</v>
      </c>
      <c r="E24" s="20" t="s">
        <v>91</v>
      </c>
      <c r="F24" s="20" t="s">
        <v>92</v>
      </c>
      <c r="G24" s="20" t="s">
        <v>93</v>
      </c>
      <c r="H24" s="125">
        <v>35240</v>
      </c>
      <c r="I24" s="125" t="str">
        <f t="shared" si="0"/>
        <v>Germany</v>
      </c>
      <c r="J24" s="114" t="s">
        <v>123</v>
      </c>
      <c r="K24" s="114">
        <f>COUNTIF(B8:B25,"*CADILLAC*")</f>
        <v>1</v>
      </c>
      <c r="L24"/>
      <c r="M24"/>
      <c r="N24"/>
    </row>
    <row r="25" spans="2:17" x14ac:dyDescent="0.3">
      <c r="B25" s="20" t="s">
        <v>98</v>
      </c>
      <c r="C25" s="20">
        <v>2015</v>
      </c>
      <c r="D25" s="20">
        <v>130000</v>
      </c>
      <c r="E25" s="20" t="s">
        <v>95</v>
      </c>
      <c r="F25" s="20" t="s">
        <v>88</v>
      </c>
      <c r="G25" s="20" t="s">
        <v>110</v>
      </c>
      <c r="H25" s="125">
        <v>22520</v>
      </c>
      <c r="I25" s="125" t="str">
        <f t="shared" si="0"/>
        <v>Japan</v>
      </c>
      <c r="J25" s="114" t="s">
        <v>124</v>
      </c>
      <c r="K25" s="114">
        <f>COUNTIF(B8:B25,"*LEXUS*")</f>
        <v>3</v>
      </c>
      <c r="L25"/>
      <c r="M25" s="139" t="s">
        <v>520</v>
      </c>
      <c r="N25" s="139" t="s">
        <v>521</v>
      </c>
    </row>
    <row r="26" spans="2:17" x14ac:dyDescent="0.3">
      <c r="J26"/>
      <c r="K26"/>
      <c r="L26"/>
      <c r="M26" s="140" t="s">
        <v>114</v>
      </c>
      <c r="N26" s="114">
        <f>COUNTIF($I$8:$I$25,"germany")</f>
        <v>11</v>
      </c>
    </row>
    <row r="27" spans="2:17" x14ac:dyDescent="0.3">
      <c r="J27"/>
      <c r="K27"/>
      <c r="L27"/>
      <c r="M27" s="140" t="s">
        <v>125</v>
      </c>
      <c r="N27" s="114">
        <f>COUNTIF($I$8:$I$25,"japan")</f>
        <v>3</v>
      </c>
    </row>
    <row r="28" spans="2:17" x14ac:dyDescent="0.3">
      <c r="J28"/>
      <c r="K28"/>
      <c r="L28"/>
      <c r="M28" s="140" t="s">
        <v>117</v>
      </c>
      <c r="N28" s="114">
        <f>COUNTIF($I$8:$I$25,"USA")</f>
        <v>2</v>
      </c>
      <c r="O28"/>
      <c r="P28"/>
      <c r="Q28"/>
    </row>
    <row r="29" spans="2:17" x14ac:dyDescent="0.3">
      <c r="J29"/>
      <c r="K29"/>
      <c r="L29"/>
      <c r="M29" s="140" t="s">
        <v>119</v>
      </c>
      <c r="N29" s="114">
        <f>COUNTIF($I$8:$I$25,"UK")</f>
        <v>1</v>
      </c>
      <c r="O29"/>
      <c r="P29"/>
      <c r="Q29"/>
    </row>
    <row r="30" spans="2:17" x14ac:dyDescent="0.3">
      <c r="J30"/>
      <c r="K30"/>
      <c r="L30"/>
      <c r="M30" s="140" t="s">
        <v>122</v>
      </c>
      <c r="N30" s="114">
        <f>COUNTIF($I$8:$I$25,"Sweden")</f>
        <v>1</v>
      </c>
      <c r="O30"/>
      <c r="P30"/>
      <c r="Q30"/>
    </row>
    <row r="31" spans="2:17" x14ac:dyDescent="0.3">
      <c r="J31"/>
      <c r="K31"/>
      <c r="L31"/>
      <c r="M31"/>
      <c r="N31"/>
      <c r="O31"/>
      <c r="P31"/>
      <c r="Q31"/>
    </row>
    <row r="32" spans="2:17" x14ac:dyDescent="0.3">
      <c r="J32"/>
      <c r="K32"/>
      <c r="L32"/>
      <c r="M32"/>
      <c r="N32"/>
      <c r="O32"/>
      <c r="P32"/>
      <c r="Q32"/>
    </row>
    <row r="33" spans="10:17" x14ac:dyDescent="0.3">
      <c r="J33"/>
      <c r="K33"/>
      <c r="L33"/>
      <c r="M33"/>
      <c r="N33"/>
      <c r="O33"/>
      <c r="P33"/>
      <c r="Q33"/>
    </row>
    <row r="34" spans="10:17" x14ac:dyDescent="0.3">
      <c r="K34"/>
      <c r="L34"/>
      <c r="M34"/>
      <c r="O34"/>
      <c r="P34"/>
      <c r="Q34"/>
    </row>
    <row r="35" spans="10:17" x14ac:dyDescent="0.3">
      <c r="K35"/>
      <c r="L35"/>
      <c r="M35"/>
      <c r="O35"/>
      <c r="P35"/>
      <c r="Q35"/>
    </row>
    <row r="36" spans="10:17" x14ac:dyDescent="0.3">
      <c r="K36"/>
      <c r="L36"/>
      <c r="M36"/>
      <c r="O36"/>
      <c r="P36"/>
      <c r="Q36"/>
    </row>
    <row r="37" spans="10:17" x14ac:dyDescent="0.3">
      <c r="K37"/>
      <c r="L37"/>
      <c r="M37"/>
      <c r="O37"/>
      <c r="P37"/>
      <c r="Q37"/>
    </row>
    <row r="38" spans="10:17" x14ac:dyDescent="0.3">
      <c r="K38"/>
      <c r="L38"/>
      <c r="M38"/>
      <c r="O38"/>
      <c r="P38"/>
      <c r="Q38"/>
    </row>
    <row r="39" spans="10:17" x14ac:dyDescent="0.3">
      <c r="K39"/>
      <c r="L39"/>
      <c r="M39"/>
      <c r="O39"/>
      <c r="P39"/>
      <c r="Q39"/>
    </row>
    <row r="40" spans="10:17" x14ac:dyDescent="0.3">
      <c r="K40"/>
      <c r="L40"/>
      <c r="M40"/>
      <c r="O40"/>
      <c r="P40"/>
      <c r="Q40"/>
    </row>
    <row r="41" spans="10:17" x14ac:dyDescent="0.3">
      <c r="K41"/>
      <c r="L41"/>
      <c r="M41"/>
      <c r="O41"/>
      <c r="P41"/>
      <c r="Q41"/>
    </row>
    <row r="42" spans="10:17" x14ac:dyDescent="0.3">
      <c r="K42"/>
      <c r="L42"/>
      <c r="M42"/>
      <c r="O42"/>
      <c r="P42"/>
      <c r="Q42"/>
    </row>
    <row r="43" spans="10:17" x14ac:dyDescent="0.3">
      <c r="K43"/>
      <c r="L43"/>
      <c r="M43"/>
      <c r="O43"/>
      <c r="P43"/>
      <c r="Q43"/>
    </row>
    <row r="44" spans="10:17" x14ac:dyDescent="0.3">
      <c r="K44"/>
      <c r="L44"/>
      <c r="M44"/>
      <c r="O44"/>
      <c r="P44"/>
      <c r="Q44"/>
    </row>
    <row r="45" spans="10:17" x14ac:dyDescent="0.3">
      <c r="O45"/>
      <c r="P45"/>
      <c r="Q4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1A5D6-4BD4-48FE-B14E-A3099A6149BF}">
  <dimension ref="A2:K101"/>
  <sheetViews>
    <sheetView showGridLines="0" topLeftCell="A21" workbookViewId="0">
      <selection activeCell="A6" sqref="A6"/>
    </sheetView>
  </sheetViews>
  <sheetFormatPr defaultRowHeight="14.4" x14ac:dyDescent="0.3"/>
  <cols>
    <col min="1" max="1" width="140" bestFit="1" customWidth="1"/>
    <col min="2" max="2" width="18.88671875" bestFit="1" customWidth="1"/>
    <col min="3" max="3" width="9.44140625" bestFit="1" customWidth="1"/>
    <col min="4" max="5" width="11.21875" bestFit="1" customWidth="1"/>
    <col min="6" max="7" width="10.6640625" bestFit="1" customWidth="1"/>
    <col min="8" max="8" width="12.5546875" bestFit="1" customWidth="1"/>
    <col min="11" max="11" width="2" bestFit="1" customWidth="1"/>
  </cols>
  <sheetData>
    <row r="2" spans="1:11" x14ac:dyDescent="0.3">
      <c r="A2" s="1" t="s">
        <v>0</v>
      </c>
      <c r="K2">
        <v>3</v>
      </c>
    </row>
    <row r="3" spans="1:11" x14ac:dyDescent="0.3">
      <c r="A3" t="s">
        <v>1</v>
      </c>
    </row>
    <row r="5" spans="1:11" x14ac:dyDescent="0.3">
      <c r="A5" s="2" t="s">
        <v>2</v>
      </c>
      <c r="B5" s="2" t="s">
        <v>3</v>
      </c>
      <c r="C5" s="2" t="s">
        <v>4</v>
      </c>
      <c r="D5" s="2" t="s">
        <v>5</v>
      </c>
      <c r="E5" s="3" t="s">
        <v>6</v>
      </c>
    </row>
    <row r="6" spans="1:11" x14ac:dyDescent="0.3">
      <c r="A6" s="4">
        <v>245</v>
      </c>
      <c r="B6" s="4" t="s">
        <v>7</v>
      </c>
      <c r="C6" s="4">
        <v>221</v>
      </c>
      <c r="D6" s="4">
        <v>23</v>
      </c>
      <c r="E6" s="5"/>
    </row>
    <row r="7" spans="1:11" x14ac:dyDescent="0.3">
      <c r="A7" s="4">
        <v>1234</v>
      </c>
      <c r="B7" s="4" t="s">
        <v>7</v>
      </c>
      <c r="C7" s="4">
        <v>222</v>
      </c>
      <c r="D7" s="4">
        <v>13</v>
      </c>
      <c r="E7" s="5"/>
    </row>
    <row r="8" spans="1:11" x14ac:dyDescent="0.3">
      <c r="A8" s="4">
        <v>1235</v>
      </c>
      <c r="B8" s="4" t="s">
        <v>7</v>
      </c>
      <c r="C8" s="4">
        <v>223</v>
      </c>
      <c r="D8" s="4">
        <v>5</v>
      </c>
      <c r="E8" s="5"/>
    </row>
    <row r="9" spans="1:11" x14ac:dyDescent="0.3">
      <c r="A9" s="4">
        <v>1567</v>
      </c>
      <c r="B9" s="4" t="s">
        <v>7</v>
      </c>
      <c r="C9" s="4">
        <v>224</v>
      </c>
      <c r="D9" s="4">
        <v>7</v>
      </c>
      <c r="E9" s="5"/>
    </row>
    <row r="10" spans="1:11" x14ac:dyDescent="0.3">
      <c r="A10" s="4">
        <v>234</v>
      </c>
      <c r="B10" s="4" t="s">
        <v>8</v>
      </c>
      <c r="C10" s="4">
        <v>225</v>
      </c>
      <c r="D10" s="4">
        <v>22</v>
      </c>
      <c r="E10" s="5"/>
    </row>
    <row r="11" spans="1:11" x14ac:dyDescent="0.3">
      <c r="A11" s="4">
        <v>567</v>
      </c>
      <c r="B11" s="4" t="s">
        <v>8</v>
      </c>
      <c r="C11" s="4">
        <v>226</v>
      </c>
      <c r="D11" s="4">
        <v>18</v>
      </c>
      <c r="E11" s="5"/>
    </row>
    <row r="13" spans="1:11" x14ac:dyDescent="0.3">
      <c r="A13" s="6" t="s">
        <v>9</v>
      </c>
    </row>
    <row r="14" spans="1:11" x14ac:dyDescent="0.3">
      <c r="A14" s="6" t="s">
        <v>10</v>
      </c>
    </row>
    <row r="15" spans="1:11" x14ac:dyDescent="0.3">
      <c r="A15" s="6" t="s">
        <v>11</v>
      </c>
    </row>
    <row r="16" spans="1:11" x14ac:dyDescent="0.3">
      <c r="A16" s="6" t="s">
        <v>12</v>
      </c>
    </row>
    <row r="19" spans="1:11" x14ac:dyDescent="0.3">
      <c r="A19" s="1" t="s">
        <v>13</v>
      </c>
      <c r="K19">
        <v>5</v>
      </c>
    </row>
    <row r="20" spans="1:11" x14ac:dyDescent="0.3">
      <c r="A20" s="7"/>
    </row>
    <row r="21" spans="1:11" x14ac:dyDescent="0.3">
      <c r="A21" s="2" t="s">
        <v>14</v>
      </c>
      <c r="B21" s="2" t="s">
        <v>15</v>
      </c>
      <c r="C21" s="2" t="s">
        <v>16</v>
      </c>
      <c r="D21" s="2" t="s">
        <v>17</v>
      </c>
      <c r="E21" s="3" t="s">
        <v>18</v>
      </c>
      <c r="F21" s="3" t="s">
        <v>19</v>
      </c>
      <c r="G21" s="3" t="s">
        <v>20</v>
      </c>
      <c r="H21" s="3" t="s">
        <v>21</v>
      </c>
      <c r="I21" s="3" t="s">
        <v>22</v>
      </c>
    </row>
    <row r="22" spans="1:11" x14ac:dyDescent="0.3">
      <c r="A22" s="8" t="s">
        <v>23</v>
      </c>
      <c r="B22" s="8">
        <v>56</v>
      </c>
      <c r="C22" s="8">
        <v>78</v>
      </c>
      <c r="D22" s="8">
        <v>45</v>
      </c>
      <c r="E22" s="8"/>
      <c r="F22" s="8"/>
      <c r="G22" s="8"/>
      <c r="H22" s="9">
        <f>AVERAGE(B22:D22)</f>
        <v>59.666666666666664</v>
      </c>
      <c r="I22" s="8" t="str" cm="1">
        <f t="array" ref="I22">_xlfn.IFS(H22&gt;60,"B",H22&gt;50,"C",H22&gt;70,"A")</f>
        <v>C</v>
      </c>
    </row>
    <row r="23" spans="1:11" x14ac:dyDescent="0.3">
      <c r="A23" s="8" t="s">
        <v>24</v>
      </c>
      <c r="B23" s="8">
        <v>45</v>
      </c>
      <c r="C23" s="8">
        <v>78</v>
      </c>
      <c r="D23" s="8">
        <v>78</v>
      </c>
      <c r="E23" s="8"/>
      <c r="F23" s="8"/>
      <c r="G23" s="8"/>
      <c r="H23" s="9">
        <f t="shared" ref="H23:H24" si="0">AVERAGE(B23:D23)</f>
        <v>67</v>
      </c>
      <c r="I23" s="8" t="str" cm="1">
        <f t="array" ref="I23">_xlfn.IFS(H23&gt;60,"B",H23&gt;50,"C",H23&gt;70,"A")</f>
        <v>B</v>
      </c>
    </row>
    <row r="24" spans="1:11" x14ac:dyDescent="0.3">
      <c r="A24" s="8" t="s">
        <v>25</v>
      </c>
      <c r="B24" s="8">
        <v>67</v>
      </c>
      <c r="C24" s="8">
        <v>78</v>
      </c>
      <c r="D24" s="8">
        <v>10</v>
      </c>
      <c r="E24" s="8"/>
      <c r="F24" s="8"/>
      <c r="G24" s="8"/>
      <c r="H24" s="9">
        <f t="shared" si="0"/>
        <v>51.666666666666664</v>
      </c>
      <c r="I24" s="8" t="str" cm="1">
        <f t="array" ref="I24">_xlfn.IFS(H24&gt;60,"B",H24&gt;50,"C",H24&gt;70,"A")</f>
        <v>C</v>
      </c>
    </row>
    <row r="27" spans="1:11" x14ac:dyDescent="0.3">
      <c r="A27" s="10" t="s">
        <v>26</v>
      </c>
    </row>
    <row r="28" spans="1:11" x14ac:dyDescent="0.3">
      <c r="A28" t="s">
        <v>27</v>
      </c>
    </row>
    <row r="29" spans="1:11" x14ac:dyDescent="0.3">
      <c r="A29" t="s">
        <v>28</v>
      </c>
    </row>
    <row r="30" spans="1:11" x14ac:dyDescent="0.3">
      <c r="A30" t="s">
        <v>29</v>
      </c>
    </row>
    <row r="31" spans="1:11" x14ac:dyDescent="0.3">
      <c r="A31" t="s">
        <v>30</v>
      </c>
    </row>
    <row r="32" spans="1:11" x14ac:dyDescent="0.3">
      <c r="A32" t="s">
        <v>31</v>
      </c>
    </row>
    <row r="33" spans="1:11" x14ac:dyDescent="0.3">
      <c r="A33" t="s">
        <v>32</v>
      </c>
    </row>
    <row r="37" spans="1:11" x14ac:dyDescent="0.3">
      <c r="A37" s="1" t="s">
        <v>33</v>
      </c>
      <c r="K37">
        <v>4</v>
      </c>
    </row>
    <row r="38" spans="1:11" ht="15.6" x14ac:dyDescent="0.3">
      <c r="A38" s="11" t="s">
        <v>34</v>
      </c>
    </row>
    <row r="39" spans="1:11" x14ac:dyDescent="0.3">
      <c r="A39" s="2" t="s">
        <v>14</v>
      </c>
      <c r="B39" s="2" t="s">
        <v>35</v>
      </c>
      <c r="C39" s="2" t="s">
        <v>36</v>
      </c>
    </row>
    <row r="40" spans="1:11" x14ac:dyDescent="0.3">
      <c r="A40" s="4" t="s">
        <v>37</v>
      </c>
      <c r="B40" s="12">
        <v>36526</v>
      </c>
      <c r="C40" s="4">
        <v>1005</v>
      </c>
    </row>
    <row r="41" spans="1:11" x14ac:dyDescent="0.3">
      <c r="A41" s="4" t="s">
        <v>38</v>
      </c>
      <c r="B41" s="12">
        <v>36287</v>
      </c>
      <c r="C41" s="4">
        <v>1260</v>
      </c>
    </row>
    <row r="42" spans="1:11" x14ac:dyDescent="0.3">
      <c r="A42" s="4" t="s">
        <v>39</v>
      </c>
      <c r="B42" s="12">
        <v>35767</v>
      </c>
      <c r="C42" s="4">
        <v>750</v>
      </c>
    </row>
    <row r="43" spans="1:11" x14ac:dyDescent="0.3">
      <c r="A43" s="4" t="s">
        <v>40</v>
      </c>
      <c r="B43" s="12">
        <v>36132</v>
      </c>
      <c r="C43" s="4">
        <v>1515</v>
      </c>
    </row>
    <row r="44" spans="1:11" x14ac:dyDescent="0.3">
      <c r="A44" s="4" t="s">
        <v>41</v>
      </c>
      <c r="B44" s="12">
        <v>36648</v>
      </c>
      <c r="C44" s="4">
        <v>1770</v>
      </c>
    </row>
    <row r="45" spans="1:11" x14ac:dyDescent="0.3">
      <c r="A45" s="4" t="s">
        <v>42</v>
      </c>
      <c r="B45" s="12">
        <v>36689</v>
      </c>
      <c r="C45" s="4">
        <v>2025</v>
      </c>
    </row>
    <row r="47" spans="1:11" x14ac:dyDescent="0.3">
      <c r="A47" s="2" t="s">
        <v>43</v>
      </c>
      <c r="B47" s="3" t="s">
        <v>44</v>
      </c>
    </row>
    <row r="48" spans="1:11" x14ac:dyDescent="0.3">
      <c r="A48" s="4">
        <v>1005</v>
      </c>
      <c r="B48" s="13">
        <f>_xlfn.XLOOKUP(A48,C39:C45,B39:B45)</f>
        <v>36526</v>
      </c>
    </row>
    <row r="49" spans="1:11" x14ac:dyDescent="0.3">
      <c r="A49" s="4">
        <v>750</v>
      </c>
      <c r="B49" s="13">
        <f t="shared" ref="B49:B53" si="1">_xlfn.XLOOKUP(A49,C40:C46,B40:B46)</f>
        <v>35767</v>
      </c>
    </row>
    <row r="50" spans="1:11" x14ac:dyDescent="0.3">
      <c r="A50" s="4">
        <v>1260</v>
      </c>
      <c r="B50" s="13">
        <f t="shared" si="1"/>
        <v>36287</v>
      </c>
    </row>
    <row r="51" spans="1:11" x14ac:dyDescent="0.3">
      <c r="A51" s="4">
        <v>1515</v>
      </c>
      <c r="B51" s="13">
        <f t="shared" si="1"/>
        <v>36132</v>
      </c>
    </row>
    <row r="52" spans="1:11" x14ac:dyDescent="0.3">
      <c r="A52" s="4">
        <v>1770</v>
      </c>
      <c r="B52" s="13">
        <f t="shared" si="1"/>
        <v>36648</v>
      </c>
    </row>
    <row r="53" spans="1:11" x14ac:dyDescent="0.3">
      <c r="A53" s="4">
        <v>2025</v>
      </c>
      <c r="B53" s="13">
        <f t="shared" si="1"/>
        <v>36689</v>
      </c>
    </row>
    <row r="57" spans="1:11" x14ac:dyDescent="0.3">
      <c r="A57" s="1" t="s">
        <v>45</v>
      </c>
    </row>
    <row r="58" spans="1:11" x14ac:dyDescent="0.3">
      <c r="K58">
        <v>6</v>
      </c>
    </row>
    <row r="59" spans="1:11" x14ac:dyDescent="0.3">
      <c r="A59" s="2" t="s">
        <v>46</v>
      </c>
      <c r="B59" s="14" t="s">
        <v>47</v>
      </c>
      <c r="C59" s="2" t="s">
        <v>48</v>
      </c>
    </row>
    <row r="60" spans="1:11" x14ac:dyDescent="0.3">
      <c r="A60" s="8" t="s">
        <v>49</v>
      </c>
      <c r="B60" s="15">
        <f>C60/$C66</f>
        <v>0.22282070331847451</v>
      </c>
      <c r="C60" s="8">
        <v>3599</v>
      </c>
    </row>
    <row r="61" spans="1:11" x14ac:dyDescent="0.3">
      <c r="A61" s="8" t="s">
        <v>50</v>
      </c>
      <c r="B61" s="15">
        <f>C61/C66</f>
        <v>0.14654531946508173</v>
      </c>
      <c r="C61" s="8">
        <v>2367</v>
      </c>
    </row>
    <row r="62" spans="1:11" x14ac:dyDescent="0.3">
      <c r="A62" s="8" t="s">
        <v>51</v>
      </c>
      <c r="B62" s="15">
        <f>C62/C66</f>
        <v>0.15205547300643882</v>
      </c>
      <c r="C62" s="8">
        <v>2456</v>
      </c>
    </row>
    <row r="63" spans="1:11" x14ac:dyDescent="0.3">
      <c r="A63" s="8" t="s">
        <v>52</v>
      </c>
      <c r="B63" s="15">
        <f>C63/C66</f>
        <v>0.24684249628528976</v>
      </c>
      <c r="C63" s="8">
        <v>3987</v>
      </c>
    </row>
    <row r="64" spans="1:11" x14ac:dyDescent="0.3">
      <c r="A64" s="8" t="s">
        <v>53</v>
      </c>
      <c r="B64" s="15">
        <f>C64/C66</f>
        <v>0.11546557701832591</v>
      </c>
      <c r="C64" s="8">
        <v>1865</v>
      </c>
    </row>
    <row r="65" spans="1:3" x14ac:dyDescent="0.3">
      <c r="A65" s="8" t="s">
        <v>54</v>
      </c>
      <c r="B65" s="15">
        <f>C65/C66</f>
        <v>0.1162704309063893</v>
      </c>
      <c r="C65" s="8">
        <v>1878</v>
      </c>
    </row>
    <row r="66" spans="1:3" x14ac:dyDescent="0.3">
      <c r="C66">
        <f>SUM(C60:C65)</f>
        <v>16152</v>
      </c>
    </row>
    <row r="68" spans="1:3" x14ac:dyDescent="0.3">
      <c r="A68" s="131" t="s">
        <v>55</v>
      </c>
      <c r="B68" s="131"/>
      <c r="C68" s="131"/>
    </row>
    <row r="69" spans="1:3" x14ac:dyDescent="0.3">
      <c r="A69" s="131"/>
      <c r="B69" s="131"/>
      <c r="C69" s="131"/>
    </row>
    <row r="70" spans="1:3" x14ac:dyDescent="0.3">
      <c r="A70" s="131"/>
      <c r="B70" s="131"/>
      <c r="C70" s="131"/>
    </row>
    <row r="71" spans="1:3" x14ac:dyDescent="0.3">
      <c r="A71" s="131"/>
      <c r="B71" s="131"/>
      <c r="C71" s="131"/>
    </row>
    <row r="72" spans="1:3" x14ac:dyDescent="0.3">
      <c r="A72" s="131"/>
      <c r="B72" s="131"/>
      <c r="C72" s="131"/>
    </row>
    <row r="73" spans="1:3" x14ac:dyDescent="0.3">
      <c r="A73" s="131"/>
      <c r="B73" s="131"/>
      <c r="C73" s="131"/>
    </row>
    <row r="74" spans="1:3" x14ac:dyDescent="0.3">
      <c r="A74" s="131"/>
      <c r="B74" s="131"/>
      <c r="C74" s="131"/>
    </row>
    <row r="75" spans="1:3" x14ac:dyDescent="0.3">
      <c r="A75" s="131"/>
      <c r="B75" s="131"/>
      <c r="C75" s="131"/>
    </row>
    <row r="76" spans="1:3" x14ac:dyDescent="0.3">
      <c r="A76" s="131"/>
      <c r="B76" s="131"/>
      <c r="C76" s="131"/>
    </row>
    <row r="77" spans="1:3" x14ac:dyDescent="0.3">
      <c r="A77" s="131"/>
      <c r="B77" s="131"/>
      <c r="C77" s="131"/>
    </row>
    <row r="78" spans="1:3" x14ac:dyDescent="0.3">
      <c r="A78" s="131"/>
      <c r="B78" s="131"/>
      <c r="C78" s="131"/>
    </row>
    <row r="79" spans="1:3" x14ac:dyDescent="0.3">
      <c r="A79" s="131"/>
      <c r="B79" s="131"/>
      <c r="C79" s="131"/>
    </row>
    <row r="80" spans="1:3" x14ac:dyDescent="0.3">
      <c r="A80" s="131"/>
      <c r="B80" s="131"/>
      <c r="C80" s="131"/>
    </row>
    <row r="81" spans="1:11" x14ac:dyDescent="0.3">
      <c r="A81" s="131"/>
      <c r="B81" s="131"/>
      <c r="C81" s="131"/>
    </row>
    <row r="82" spans="1:11" x14ac:dyDescent="0.3">
      <c r="A82" s="131"/>
      <c r="B82" s="131"/>
      <c r="C82" s="131"/>
    </row>
    <row r="83" spans="1:11" x14ac:dyDescent="0.3">
      <c r="A83" s="131"/>
      <c r="B83" s="131"/>
      <c r="C83" s="131"/>
    </row>
    <row r="86" spans="1:11" x14ac:dyDescent="0.3">
      <c r="A86" s="1">
        <v>7</v>
      </c>
      <c r="K86">
        <v>2</v>
      </c>
    </row>
    <row r="87" spans="1:11" x14ac:dyDescent="0.3">
      <c r="A87" t="s">
        <v>56</v>
      </c>
    </row>
    <row r="88" spans="1:11" x14ac:dyDescent="0.3">
      <c r="A88" t="s">
        <v>57</v>
      </c>
    </row>
    <row r="90" spans="1:11" x14ac:dyDescent="0.3">
      <c r="A90" s="16" t="s">
        <v>58</v>
      </c>
      <c r="B90" s="16" t="s">
        <v>59</v>
      </c>
      <c r="C90" s="17" t="s">
        <v>60</v>
      </c>
      <c r="D90" s="17" t="s">
        <v>61</v>
      </c>
      <c r="E90" s="17" t="s">
        <v>62</v>
      </c>
    </row>
    <row r="91" spans="1:11" x14ac:dyDescent="0.3">
      <c r="A91" s="8">
        <v>100</v>
      </c>
      <c r="B91" s="8" t="s">
        <v>63</v>
      </c>
      <c r="C91" s="18">
        <v>187274</v>
      </c>
      <c r="D91" s="18">
        <v>175000</v>
      </c>
      <c r="E91" s="19">
        <f>(D91-C91)/D91</f>
        <v>-7.0137142857142856E-2</v>
      </c>
    </row>
    <row r="92" spans="1:11" x14ac:dyDescent="0.3">
      <c r="A92" s="8">
        <v>101</v>
      </c>
      <c r="B92" s="8" t="s">
        <v>64</v>
      </c>
      <c r="C92" s="18">
        <v>61456</v>
      </c>
      <c r="D92" s="18">
        <v>60000</v>
      </c>
      <c r="E92" s="19">
        <f t="shared" ref="E92:E101" si="2">(D92-C92)/D92</f>
        <v>-2.4266666666666666E-2</v>
      </c>
    </row>
    <row r="93" spans="1:11" x14ac:dyDescent="0.3">
      <c r="A93" s="8">
        <v>102</v>
      </c>
      <c r="B93" s="8" t="s">
        <v>65</v>
      </c>
      <c r="C93" s="18">
        <v>88133</v>
      </c>
      <c r="D93" s="18">
        <v>90000</v>
      </c>
      <c r="E93" s="19">
        <f t="shared" si="2"/>
        <v>2.0744444444444444E-2</v>
      </c>
    </row>
    <row r="94" spans="1:11" x14ac:dyDescent="0.3">
      <c r="A94" s="8">
        <v>200</v>
      </c>
      <c r="B94" s="8" t="s">
        <v>66</v>
      </c>
      <c r="C94" s="18">
        <v>167209</v>
      </c>
      <c r="D94" s="18">
        <v>150000</v>
      </c>
      <c r="E94" s="19">
        <f t="shared" si="2"/>
        <v>-0.11472666666666667</v>
      </c>
    </row>
    <row r="95" spans="1:11" x14ac:dyDescent="0.3">
      <c r="A95" s="8">
        <v>202</v>
      </c>
      <c r="B95" s="8" t="s">
        <v>67</v>
      </c>
      <c r="C95" s="18">
        <v>116801</v>
      </c>
      <c r="D95" s="18">
        <v>125000</v>
      </c>
      <c r="E95" s="19">
        <f t="shared" si="2"/>
        <v>6.5591999999999998E-2</v>
      </c>
    </row>
    <row r="96" spans="1:11" x14ac:dyDescent="0.3">
      <c r="A96" s="8">
        <v>206</v>
      </c>
      <c r="B96" s="8" t="s">
        <v>68</v>
      </c>
      <c r="C96" s="18">
        <v>175202</v>
      </c>
      <c r="D96" s="18">
        <v>165000</v>
      </c>
      <c r="E96" s="19">
        <f t="shared" si="2"/>
        <v>-6.1830303030303027E-2</v>
      </c>
    </row>
    <row r="97" spans="1:5" x14ac:dyDescent="0.3">
      <c r="A97" s="8">
        <v>301</v>
      </c>
      <c r="B97" s="8" t="s">
        <v>69</v>
      </c>
      <c r="C97" s="18">
        <v>169975</v>
      </c>
      <c r="D97" s="18">
        <v>125000</v>
      </c>
      <c r="E97" s="19">
        <f t="shared" si="2"/>
        <v>-0.35980000000000001</v>
      </c>
    </row>
    <row r="98" spans="1:5" x14ac:dyDescent="0.3">
      <c r="A98" s="8">
        <v>305</v>
      </c>
      <c r="B98" s="8" t="s">
        <v>70</v>
      </c>
      <c r="C98" s="18">
        <v>212012</v>
      </c>
      <c r="D98" s="18">
        <v>185000</v>
      </c>
      <c r="E98" s="19">
        <f t="shared" si="2"/>
        <v>-0.1460108108108108</v>
      </c>
    </row>
    <row r="99" spans="1:5" x14ac:dyDescent="0.3">
      <c r="A99" s="8">
        <v>400</v>
      </c>
      <c r="B99" s="8" t="s">
        <v>71</v>
      </c>
      <c r="C99" s="18">
        <v>172371</v>
      </c>
      <c r="D99" s="18">
        <v>200000</v>
      </c>
      <c r="E99" s="19">
        <f t="shared" si="2"/>
        <v>0.13814499999999999</v>
      </c>
    </row>
    <row r="100" spans="1:5" x14ac:dyDescent="0.3">
      <c r="A100" s="8">
        <v>410</v>
      </c>
      <c r="B100" s="8" t="s">
        <v>72</v>
      </c>
      <c r="C100" s="18">
        <v>92749</v>
      </c>
      <c r="D100" s="18">
        <v>100000</v>
      </c>
      <c r="E100" s="19">
        <f t="shared" si="2"/>
        <v>7.2510000000000005E-2</v>
      </c>
    </row>
    <row r="101" spans="1:5" x14ac:dyDescent="0.3">
      <c r="A101" s="8">
        <v>420</v>
      </c>
      <c r="B101" s="8" t="s">
        <v>73</v>
      </c>
      <c r="C101" s="18">
        <v>57845</v>
      </c>
      <c r="D101" s="18">
        <v>75000</v>
      </c>
      <c r="E101" s="19">
        <f t="shared" si="2"/>
        <v>0.22873333333333334</v>
      </c>
    </row>
  </sheetData>
  <mergeCells count="1">
    <mergeCell ref="A68:C8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Employees Data</vt:lpstr>
      <vt:lpstr>Appraisal Data</vt:lpstr>
      <vt:lpstr>Pivot Table Exercise</vt:lpstr>
      <vt:lpstr>Formulae &amp; Conditional Format</vt:lpstr>
      <vt:lpstr>Advance Excel</vt:lpstr>
      <vt:lpstr>Formula and Cond Format</vt:lpstr>
    </vt:vector>
  </TitlesOfParts>
  <Company>TrueBlueInc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Choubey, Yash</dc:creator>
  <cp:lastModifiedBy>Karanjodh Singh</cp:lastModifiedBy>
  <dcterms:created xsi:type="dcterms:W3CDTF">2023-05-18T11:27:16Z</dcterms:created>
  <dcterms:modified xsi:type="dcterms:W3CDTF">2025-05-05T08:14:57Z</dcterms:modified>
</cp:coreProperties>
</file>