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erzbe-my.sharepoint.com/personal/jodok_fehlmann_edu_gbjb_ch/Documents/GYM3/Maturaarbeit_Jodok/Technisches/Xflr5/Files/"/>
    </mc:Choice>
  </mc:AlternateContent>
  <xr:revisionPtr revIDLastSave="79" documentId="11_D6AFE34BA6DCA0CBFFD4B59E816106E1D3405A99" xr6:coauthVersionLast="47" xr6:coauthVersionMax="47" xr10:uidLastSave="{87B91D83-7B1A-4B47-AE5D-F751468B442C}"/>
  <bookViews>
    <workbookView xWindow="-120" yWindow="-120" windowWidth="24240" windowHeight="13140" activeTab="1" xr2:uid="{00000000-000D-0000-FFFF-FFFF00000000}"/>
  </bookViews>
  <sheets>
    <sheet name="Tabellenblat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F47" i="1"/>
  <c r="E47" i="1"/>
  <c r="D47" i="1"/>
  <c r="C47" i="1"/>
  <c r="C14" i="1" s="1"/>
  <c r="F46" i="1"/>
  <c r="E46" i="1"/>
  <c r="D46" i="1"/>
  <c r="C46" i="1"/>
  <c r="F45" i="1"/>
  <c r="E45" i="1"/>
  <c r="D45" i="1"/>
  <c r="C45" i="1"/>
  <c r="F44" i="1"/>
  <c r="E44" i="1"/>
  <c r="D44" i="1"/>
  <c r="C44" i="1"/>
  <c r="U39" i="1"/>
  <c r="U40" i="1" s="1"/>
  <c r="T39" i="1"/>
  <c r="T40" i="1" s="1"/>
  <c r="S39" i="1"/>
  <c r="S40" i="1" s="1"/>
  <c r="F34" i="1"/>
  <c r="F35" i="1" s="1"/>
  <c r="F36" i="1" s="1"/>
  <c r="E34" i="1"/>
  <c r="E35" i="1" s="1"/>
  <c r="D34" i="1"/>
  <c r="D35" i="1" s="1"/>
  <c r="D36" i="1" s="1"/>
  <c r="C34" i="1"/>
  <c r="C35" i="1" s="1"/>
  <c r="C36" i="1" s="1"/>
  <c r="U28" i="1"/>
  <c r="T28" i="1"/>
  <c r="S28" i="1"/>
  <c r="R28" i="1"/>
  <c r="Q28" i="1"/>
  <c r="P28" i="1"/>
  <c r="O28" i="1"/>
  <c r="N28" i="1"/>
  <c r="F27" i="1"/>
  <c r="F28" i="1" s="1"/>
  <c r="F40" i="1" s="1"/>
  <c r="E27" i="1"/>
  <c r="E28" i="1" s="1"/>
  <c r="D27" i="1"/>
  <c r="D28" i="1" s="1"/>
  <c r="D40" i="1" s="1"/>
  <c r="C27" i="1"/>
  <c r="C40" i="1" s="1"/>
  <c r="F24" i="1"/>
  <c r="E24" i="1"/>
  <c r="D24" i="1"/>
  <c r="C24" i="1"/>
  <c r="U21" i="1"/>
  <c r="U22" i="1" s="1"/>
  <c r="U23" i="1" s="1"/>
  <c r="T21" i="1"/>
  <c r="T22" i="1" s="1"/>
  <c r="T23" i="1" s="1"/>
  <c r="S21" i="1"/>
  <c r="S22" i="1" s="1"/>
  <c r="S23" i="1" s="1"/>
  <c r="R21" i="1"/>
  <c r="R22" i="1" s="1"/>
  <c r="R23" i="1" s="1"/>
  <c r="Q21" i="1"/>
  <c r="Q22" i="1" s="1"/>
  <c r="Q23" i="1" s="1"/>
  <c r="P21" i="1"/>
  <c r="P22" i="1" s="1"/>
  <c r="P23" i="1" s="1"/>
  <c r="O21" i="1"/>
  <c r="O22" i="1" s="1"/>
  <c r="O23" i="1" s="1"/>
  <c r="N21" i="1"/>
  <c r="N22" i="1" s="1"/>
  <c r="N23" i="1" s="1"/>
  <c r="I19" i="1"/>
  <c r="U17" i="1"/>
  <c r="U18" i="1" s="1"/>
  <c r="T17" i="1"/>
  <c r="T18" i="1" s="1"/>
  <c r="S17" i="1"/>
  <c r="S18" i="1" s="1"/>
  <c r="R17" i="1"/>
  <c r="R18" i="1" s="1"/>
  <c r="Q17" i="1"/>
  <c r="Q18" i="1" s="1"/>
  <c r="P17" i="1"/>
  <c r="P18" i="1" s="1"/>
  <c r="O17" i="1"/>
  <c r="O18" i="1" s="1"/>
  <c r="N17" i="1"/>
  <c r="N18" i="1" s="1"/>
  <c r="U14" i="1"/>
  <c r="T14" i="1"/>
  <c r="S14" i="1"/>
  <c r="R14" i="1"/>
  <c r="Q14" i="1"/>
  <c r="P14" i="1"/>
  <c r="O14" i="1"/>
  <c r="N14" i="1"/>
  <c r="I14" i="1"/>
  <c r="F14" i="1"/>
  <c r="E14" i="1"/>
  <c r="D14" i="1"/>
  <c r="I13" i="1"/>
  <c r="I11" i="1"/>
  <c r="I6" i="1"/>
  <c r="C54" i="1" l="1"/>
  <c r="C56" i="1" s="1"/>
  <c r="N38" i="1"/>
  <c r="N39" i="1" s="1"/>
  <c r="N40" i="1" s="1"/>
  <c r="N35" i="1"/>
  <c r="N34" i="1"/>
  <c r="R38" i="1"/>
  <c r="R39" i="1" s="1"/>
  <c r="R40" i="1" s="1"/>
  <c r="R35" i="1"/>
  <c r="R34" i="1"/>
  <c r="C41" i="1"/>
  <c r="C52" i="1"/>
  <c r="C49" i="1"/>
  <c r="C39" i="1"/>
  <c r="D54" i="1"/>
  <c r="D56" i="1" s="1"/>
  <c r="Q38" i="1"/>
  <c r="Q39" i="1" s="1"/>
  <c r="Q40" i="1" s="1"/>
  <c r="Q35" i="1"/>
  <c r="Q34" i="1"/>
  <c r="F52" i="1"/>
  <c r="F49" i="1"/>
  <c r="F39" i="1"/>
  <c r="O38" i="1"/>
  <c r="O39" i="1" s="1"/>
  <c r="O40" i="1" s="1"/>
  <c r="O35" i="1"/>
  <c r="O34" i="1"/>
  <c r="S35" i="1"/>
  <c r="S34" i="1"/>
  <c r="D41" i="1"/>
  <c r="D52" i="1"/>
  <c r="D49" i="1"/>
  <c r="D39" i="1"/>
  <c r="E54" i="1"/>
  <c r="E56" i="1" s="1"/>
  <c r="U35" i="1"/>
  <c r="U34" i="1"/>
  <c r="F41" i="1"/>
  <c r="P38" i="1"/>
  <c r="P39" i="1" s="1"/>
  <c r="P40" i="1" s="1"/>
  <c r="P35" i="1"/>
  <c r="P34" i="1"/>
  <c r="T35" i="1"/>
  <c r="T34" i="1"/>
  <c r="E40" i="1"/>
  <c r="I4" i="1"/>
  <c r="E36" i="1"/>
  <c r="I5" i="1"/>
  <c r="F54" i="1"/>
  <c r="F56" i="1" s="1"/>
  <c r="E52" i="1" l="1"/>
  <c r="E49" i="1"/>
  <c r="E39" i="1"/>
  <c r="E41" i="1" s="1"/>
</calcChain>
</file>

<file path=xl/sharedStrings.xml><?xml version="1.0" encoding="utf-8"?>
<sst xmlns="http://schemas.openxmlformats.org/spreadsheetml/2006/main" count="179" uniqueCount="135">
  <si>
    <t>Wing data</t>
  </si>
  <si>
    <t>Fixed wing v1</t>
  </si>
  <si>
    <t>1m Wing v 1</t>
  </si>
  <si>
    <t>testing</t>
  </si>
  <si>
    <t>Powertrain eficcency</t>
  </si>
  <si>
    <t>TESTING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</si>
  <si>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</si>
  <si>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</si>
  <si>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</si>
  <si>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</si>
  <si>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</si>
  <si>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</si>
  <si>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</si>
  <si>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</si>
  <si>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Version</t>
  </si>
  <si>
    <t>Lift / Drag data</t>
  </si>
  <si>
    <t>Version/Type</t>
  </si>
  <si>
    <t>Gen</t>
  </si>
  <si>
    <t>Wing</t>
  </si>
  <si>
    <t>v1</t>
  </si>
  <si>
    <t>v2</t>
  </si>
  <si>
    <t>Lift[kgF]</t>
  </si>
  <si>
    <t>Wing Inner</t>
  </si>
  <si>
    <t>Body</t>
  </si>
  <si>
    <t>v3</t>
  </si>
  <si>
    <t>Drag [N]</t>
  </si>
  <si>
    <t>Wing Tip</t>
  </si>
  <si>
    <t>Cruisespeed m/s</t>
  </si>
  <si>
    <t>Airfoil</t>
  </si>
  <si>
    <t>General</t>
  </si>
  <si>
    <t>span[m]</t>
  </si>
  <si>
    <t>Motor data</t>
  </si>
  <si>
    <t>Aspectratio</t>
  </si>
  <si>
    <t>Stator height [mm]</t>
  </si>
  <si>
    <t>LIFT</t>
  </si>
  <si>
    <t>Waight [kg]</t>
  </si>
  <si>
    <t>Stator with [mm]</t>
  </si>
  <si>
    <t>As, area[m²]</t>
  </si>
  <si>
    <t>Battery voltage [V]</t>
  </si>
  <si>
    <t>Stator volume [cm³]</t>
  </si>
  <si>
    <t>Cl</t>
  </si>
  <si>
    <t>Battery cell count [s]</t>
  </si>
  <si>
    <t>Motor [kv]</t>
  </si>
  <si>
    <t>Cd</t>
  </si>
  <si>
    <t>Battery Capacity [mah]</t>
  </si>
  <si>
    <t>Battery Voltage</t>
  </si>
  <si>
    <t>AoA [deg]</t>
  </si>
  <si>
    <t>Wh</t>
  </si>
  <si>
    <t>Theoretical max rpm</t>
  </si>
  <si>
    <t>Speed [kmh]</t>
  </si>
  <si>
    <t>Motor max thrust [g]</t>
  </si>
  <si>
    <t>2000g</t>
  </si>
  <si>
    <t>1000g</t>
  </si>
  <si>
    <t>Speed [m/s]</t>
  </si>
  <si>
    <t>Motor efficency [g/w] @ Drag thrust</t>
  </si>
  <si>
    <t>Prop data</t>
  </si>
  <si>
    <t>air dencety [kg/m³]</t>
  </si>
  <si>
    <t>Name</t>
  </si>
  <si>
    <t>Lift generated[N]</t>
  </si>
  <si>
    <t xml:space="preserve">Aerodynamic/Lift </t>
  </si>
  <si>
    <t>Diameter [inch]</t>
  </si>
  <si>
    <t>chord lenght</t>
  </si>
  <si>
    <t>//</t>
  </si>
  <si>
    <t>Diameter [cm]</t>
  </si>
  <si>
    <t>Pitch [inch]</t>
  </si>
  <si>
    <t>DRAG</t>
  </si>
  <si>
    <t xml:space="preserve">Eficcency </t>
  </si>
  <si>
    <t>Drag Frorce [N]</t>
  </si>
  <si>
    <t>Aerodynamics</t>
  </si>
  <si>
    <t xml:space="preserve">Eficcency @50mph </t>
  </si>
  <si>
    <t>Drag [kgF]</t>
  </si>
  <si>
    <t>Cruisespeed kmh</t>
  </si>
  <si>
    <t>at Drag trust</t>
  </si>
  <si>
    <t>Resulting rpm</t>
  </si>
  <si>
    <t xml:space="preserve">Motor </t>
  </si>
  <si>
    <t>air dencety kg/m³</t>
  </si>
  <si>
    <t>Power [W] conservative</t>
  </si>
  <si>
    <t>Eficcency w/g @Speed</t>
  </si>
  <si>
    <t>Prop Pitch</t>
  </si>
  <si>
    <t>Min Rpm @Speed</t>
  </si>
  <si>
    <t>Notes</t>
  </si>
  <si>
    <t>Drag</t>
  </si>
  <si>
    <t>RANGE</t>
  </si>
  <si>
    <t>Chord Height%</t>
  </si>
  <si>
    <t>Chrodheight[m]</t>
  </si>
  <si>
    <t>Batery Capacity [mah]</t>
  </si>
  <si>
    <t>Af, Wing frontal aera</t>
  </si>
  <si>
    <t>Other Components [W]</t>
  </si>
  <si>
    <t>As, Wing skin aera</t>
  </si>
  <si>
    <t>Flight time [min]</t>
  </si>
  <si>
    <t>Theoretical Range [km]</t>
  </si>
  <si>
    <t xml:space="preserve">Battery </t>
  </si>
  <si>
    <t>Lift Eficcency [g]Lift/[g]Drag</t>
  </si>
  <si>
    <t>Batt Load @Speed [w]</t>
  </si>
  <si>
    <t>Average Load [A]</t>
  </si>
  <si>
    <t xml:space="preserve">Drag/Lift </t>
  </si>
  <si>
    <t>Lift [kgF]</t>
  </si>
  <si>
    <t>Load Per cell [A]</t>
  </si>
  <si>
    <t>Lift drag ratio</t>
  </si>
  <si>
    <t>Flightefficency</t>
  </si>
  <si>
    <t>Drag Coeficcent comparison</t>
  </si>
  <si>
    <t>Motor efficcency @ drag thurst [w/g]</t>
  </si>
  <si>
    <t>25m/s</t>
  </si>
  <si>
    <t>Travel speed [m/s]</t>
  </si>
  <si>
    <t>Battery capacity [mah]</t>
  </si>
  <si>
    <t xml:space="preserve">Range </t>
  </si>
  <si>
    <t>Drag  [kgF]</t>
  </si>
  <si>
    <t>other componets [A]</t>
  </si>
  <si>
    <t xml:space="preserve">Wh/km </t>
  </si>
  <si>
    <t>Max theoretical range [km]</t>
  </si>
  <si>
    <t xml:space="preserve"> 13x6E</t>
  </si>
  <si>
    <t>Ziel ist 400km bei einer reisegeschwindigkeit von 100-150km/h</t>
  </si>
  <si>
    <t>Component</t>
  </si>
  <si>
    <t>Specifications</t>
  </si>
  <si>
    <t>Electric Brushless motor</t>
  </si>
  <si>
    <t>Kv</t>
  </si>
  <si>
    <t>Weight</t>
  </si>
  <si>
    <t>Power</t>
  </si>
  <si>
    <t>Thrust</t>
  </si>
  <si>
    <t>Electronic Speed Controller</t>
  </si>
  <si>
    <t>Constant Current</t>
  </si>
  <si>
    <t>Battery</t>
  </si>
  <si>
    <t>Capacity</t>
  </si>
  <si>
    <t>Voltage</t>
  </si>
  <si>
    <t>Watt Hours</t>
  </si>
  <si>
    <t>Propeller</t>
  </si>
  <si>
    <t>Pitch</t>
  </si>
  <si>
    <t>Diameter</t>
  </si>
  <si>
    <t>Servo Motor</t>
  </si>
  <si>
    <t>Torque</t>
  </si>
  <si>
    <t>800kv</t>
  </si>
  <si>
    <t>213g</t>
  </si>
  <si>
    <t>890wat</t>
  </si>
  <si>
    <t>2850g</t>
  </si>
  <si>
    <t>4.6kg.cm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</si>
</sst>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"/>
    <numFmt numFmtId="166" formatCode="#,##0.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rgb="FF1F1F1F"/>
      <name val="Arial"/>
      <scheme val="minor"/>
    </font>
    <font>
      <sz val="10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  <fill>
      <patternFill patternType="solid">
        <fgColor theme="4"/>
        <bgColor theme="4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1" fillId="4" borderId="0" xfId="0" applyFont="1" applyFill="1"/>
    <xf numFmtId="0" fontId="4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" fillId="11" borderId="0" xfId="0" applyFont="1" applyFill="1"/>
    <xf numFmtId="166" fontId="1" fillId="8" borderId="0" xfId="0" applyNumberFormat="1" applyFont="1" applyFill="1"/>
    <xf numFmtId="0" fontId="1" fillId="12" borderId="0" xfId="0" applyFont="1" applyFill="1"/>
    <xf numFmtId="0" fontId="1" fillId="13" borderId="0" xfId="0" applyFont="1" applyFill="1"/>
    <xf numFmtId="0" fontId="1" fillId="8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5" fillId="14" borderId="0" xfId="0" applyFont="1" applyFill="1"/>
    <xf numFmtId="0" fontId="5" fillId="7" borderId="0" xfId="0" applyFont="1" applyFill="1" applyAlignment="1">
      <alignment vertical="top"/>
    </xf>
    <xf numFmtId="0" fontId="5" fillId="8" borderId="0" xfId="0" applyFont="1" applyFill="1" applyAlignment="1">
      <alignment horizontal="right"/>
    </xf>
    <xf numFmtId="0" fontId="5" fillId="11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15" borderId="0" xfId="0" applyFont="1" applyFill="1"/>
    <xf numFmtId="164" fontId="1" fillId="12" borderId="0" xfId="0" applyNumberFormat="1" applyFont="1" applyFill="1"/>
    <xf numFmtId="0" fontId="6" fillId="7" borderId="0" xfId="0" applyFont="1" applyFill="1"/>
    <xf numFmtId="166" fontId="1" fillId="11" borderId="0" xfId="0" applyNumberFormat="1" applyFont="1" applyFill="1"/>
    <xf numFmtId="0" fontId="2" fillId="15" borderId="0" xfId="0" applyFont="1" applyFill="1"/>
    <xf numFmtId="165" fontId="1" fillId="12" borderId="0" xfId="0" applyNumberFormat="1" applyFont="1" applyFill="1"/>
    <xf numFmtId="164" fontId="1" fillId="9" borderId="0" xfId="0" applyNumberFormat="1" applyFont="1" applyFill="1"/>
    <xf numFmtId="164" fontId="1" fillId="13" borderId="0" xfId="0" applyNumberFormat="1" applyFont="1" applyFill="1"/>
    <xf numFmtId="2" fontId="1" fillId="12" borderId="0" xfId="0" applyNumberFormat="1" applyFont="1" applyFill="1"/>
    <xf numFmtId="0" fontId="1" fillId="16" borderId="0" xfId="0" applyFont="1" applyFill="1"/>
    <xf numFmtId="0" fontId="2" fillId="16" borderId="0" xfId="0" applyFont="1" applyFill="1"/>
    <xf numFmtId="165" fontId="1" fillId="9" borderId="0" xfId="0" applyNumberFormat="1" applyFont="1" applyFill="1"/>
    <xf numFmtId="0" fontId="1" fillId="17" borderId="0" xfId="0" applyFont="1" applyFill="1"/>
    <xf numFmtId="165" fontId="1" fillId="13" borderId="0" xfId="0" applyNumberFormat="1" applyFont="1" applyFill="1"/>
    <xf numFmtId="0" fontId="1" fillId="18" borderId="0" xfId="0" applyFont="1" applyFill="1"/>
    <xf numFmtId="0" fontId="2" fillId="17" borderId="0" xfId="0" applyFont="1" applyFill="1"/>
    <xf numFmtId="0" fontId="2" fillId="18" borderId="0" xfId="0" applyFont="1" applyFill="1"/>
    <xf numFmtId="2" fontId="1" fillId="13" borderId="0" xfId="0" applyNumberFormat="1" applyFont="1" applyFill="1"/>
    <xf numFmtId="0" fontId="7" fillId="4" borderId="0" xfId="0" applyFont="1" applyFill="1"/>
  </cellXfs>
  <cellStyles count="1">
    <cellStyle name="Standard" xfId="0" builtinId="0"/>
  </cellStyles>
  <dxfs count="9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Tabellenblatt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Tabellenblatt1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bellenblatt1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28" headerRowCount="0">
  <tableColumns count="1">
    <tableColumn id="1" xr3:uid="{00000000-0010-0000-0000-000001000000}" name="Column1"/>
  </tableColumns>
  <tableStyleInfo name="Tabellenblat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N15:N18" headerRowCount="0">
  <tableColumns count="1">
    <tableColumn id="1" xr3:uid="{00000000-0010-0000-0100-000001000000}" name="Column1"/>
  </tableColumns>
  <tableStyleInfo name="Tabellenblat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25:F30" headerRowCount="0">
  <tableColumns count="2">
    <tableColumn id="1" xr3:uid="{00000000-0010-0000-0200-000001000000}" name="Column1"/>
    <tableColumn id="2" xr3:uid="{00000000-0010-0000-0200-000002000000}" name="Column2"/>
  </tableColumns>
  <tableStyleInfo name="Tabellenblatt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6"/>
  <sheetViews>
    <sheetView zoomScale="75" workbookViewId="0">
      <selection activeCell="C14" sqref="C14"/>
    </sheetView>
  </sheetViews>
  <sheetFormatPr baseColWidth="10" defaultColWidth="12.42578125" defaultRowHeight="15.75" customHeight="1" x14ac:dyDescent="0.2"/>
  <cols>
    <col min="2" max="2" width="31.42578125" bestFit="1" customWidth="1"/>
    <col min="7" max="7" width="14.7109375" customWidth="1"/>
    <col min="8" max="8" width="59.140625" bestFit="1" customWidth="1"/>
    <col min="13" max="13" width="27" bestFit="1" customWidth="1"/>
  </cols>
  <sheetData>
    <row r="1" spans="1:21" ht="12.75" x14ac:dyDescent="0.2">
      <c r="A1" s="1"/>
      <c r="B1" s="2" t="s">
        <v>0</v>
      </c>
      <c r="C1" s="2" t="s">
        <v>1</v>
      </c>
      <c r="D1" s="2" t="s">
        <v>1</v>
      </c>
      <c r="E1" s="2" t="s">
        <v>2</v>
      </c>
      <c r="F1" s="3" t="s">
        <v>3</v>
      </c>
      <c r="H1" s="2" t="s">
        <v>4</v>
      </c>
      <c r="I1" s="2"/>
      <c r="J1" s="1"/>
      <c r="K1" s="1"/>
      <c r="M1" s="4" t="s">
        <v>5</v>
      </c>
      <c r="N1" s="1"/>
      <c r="O1" s="1"/>
      <c r="P1" s="1"/>
      <c r="Q1" s="1"/>
      <c r="R1" s="1"/>
      <c r="S1" s="1"/>
      <c r="T1" s="1"/>
      <c r="U1" s="1"/>
    </row>
    <row r="2" spans="1:21" ht="12.75" x14ac:dyDescent="0.2">
      <c r="A2" s="5"/>
      <c r="B2" s="5"/>
      <c r="C2" s="5"/>
      <c r="D2" s="5"/>
      <c r="E2" s="5"/>
      <c r="F2" s="5"/>
      <c r="H2" s="5"/>
      <c r="I2" s="6" t="s">
        <v>6</v>
      </c>
      <c r="J2" s="6" t="s">
        <v>7</v>
      </c>
      <c r="K2" s="6" t="s">
        <v>8</v>
      </c>
      <c r="M2" s="5"/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12</v>
      </c>
      <c r="U2" s="6" t="s">
        <v>13</v>
      </c>
    </row>
    <row r="3" spans="1:21" ht="12.75" x14ac:dyDescent="0.2">
      <c r="A3" s="7"/>
      <c r="B3" s="8" t="s">
        <v>14</v>
      </c>
      <c r="C3" s="5"/>
      <c r="D3" s="5"/>
      <c r="E3" s="5"/>
      <c r="F3" s="5"/>
      <c r="H3" s="8" t="s">
        <v>15</v>
      </c>
      <c r="I3" s="5"/>
      <c r="J3" s="5"/>
      <c r="K3" s="5"/>
      <c r="M3" s="8" t="s">
        <v>16</v>
      </c>
      <c r="N3" s="5"/>
      <c r="O3" s="5"/>
      <c r="P3" s="5"/>
      <c r="Q3" s="5"/>
      <c r="R3" s="5"/>
      <c r="S3" s="5"/>
      <c r="T3" s="5"/>
      <c r="U3" s="5"/>
    </row>
    <row r="4" spans="1:21" ht="12.75" x14ac:dyDescent="0.2">
      <c r="A4" s="9" t="s">
        <v>17</v>
      </c>
      <c r="B4" s="10" t="s">
        <v>18</v>
      </c>
      <c r="C4" s="11" t="s">
        <v>19</v>
      </c>
      <c r="D4" s="11" t="s">
        <v>19</v>
      </c>
      <c r="E4" s="11" t="s">
        <v>20</v>
      </c>
      <c r="F4" s="12" t="s">
        <v>20</v>
      </c>
      <c r="H4" s="10" t="s">
        <v>21</v>
      </c>
      <c r="I4" s="13">
        <f>E28</f>
        <v>0.54795828140347713</v>
      </c>
      <c r="J4" s="5"/>
      <c r="K4" s="5"/>
      <c r="M4" s="10" t="s">
        <v>22</v>
      </c>
      <c r="N4" s="11"/>
      <c r="O4" s="11"/>
      <c r="P4" s="11"/>
      <c r="Q4" s="11"/>
      <c r="R4" s="11"/>
      <c r="S4" s="11"/>
      <c r="T4" s="11"/>
      <c r="U4" s="11"/>
    </row>
    <row r="5" spans="1:21" ht="12.75" x14ac:dyDescent="0.2">
      <c r="A5" s="7"/>
      <c r="B5" s="10" t="s">
        <v>23</v>
      </c>
      <c r="C5" s="11" t="s">
        <v>19</v>
      </c>
      <c r="D5" s="11" t="s">
        <v>20</v>
      </c>
      <c r="E5" s="11" t="s">
        <v>24</v>
      </c>
      <c r="F5" s="12" t="s">
        <v>24</v>
      </c>
      <c r="H5" s="10" t="s">
        <v>25</v>
      </c>
      <c r="I5" s="14">
        <f>E35</f>
        <v>0.69688629295826643</v>
      </c>
      <c r="J5" s="5"/>
      <c r="K5" s="5"/>
      <c r="M5" s="10" t="s">
        <v>26</v>
      </c>
      <c r="N5" s="11"/>
      <c r="O5" s="11"/>
      <c r="P5" s="11"/>
      <c r="Q5" s="11"/>
      <c r="R5" s="11"/>
      <c r="S5" s="11"/>
      <c r="T5" s="11"/>
      <c r="U5" s="11"/>
    </row>
    <row r="6" spans="1:21" ht="12.75" x14ac:dyDescent="0.2">
      <c r="A6" s="5"/>
      <c r="B6" s="5"/>
      <c r="C6" s="5"/>
      <c r="D6" s="5"/>
      <c r="E6" s="5"/>
      <c r="F6" s="5"/>
      <c r="H6" s="10" t="s">
        <v>27</v>
      </c>
      <c r="I6" s="5">
        <f>E25</f>
        <v>32.829000000000001</v>
      </c>
      <c r="J6" s="5"/>
      <c r="K6" s="5"/>
      <c r="M6" s="10" t="s">
        <v>28</v>
      </c>
      <c r="N6" s="11"/>
      <c r="O6" s="11"/>
      <c r="P6" s="11"/>
      <c r="Q6" s="11"/>
      <c r="R6" s="11"/>
      <c r="S6" s="11"/>
      <c r="T6" s="11"/>
      <c r="U6" s="11"/>
    </row>
    <row r="7" spans="1:21" ht="12.75" x14ac:dyDescent="0.2">
      <c r="A7" s="15"/>
      <c r="B7" s="8" t="s">
        <v>29</v>
      </c>
      <c r="C7" s="5"/>
      <c r="D7" s="5"/>
      <c r="E7" s="5"/>
      <c r="F7" s="5"/>
      <c r="H7" s="5"/>
      <c r="I7" s="5"/>
      <c r="J7" s="5"/>
      <c r="K7" s="5"/>
      <c r="M7" s="10" t="s">
        <v>23</v>
      </c>
      <c r="N7" s="11"/>
      <c r="O7" s="11"/>
      <c r="P7" s="11"/>
      <c r="Q7" s="11"/>
      <c r="R7" s="11"/>
      <c r="S7" s="11"/>
      <c r="T7" s="11"/>
      <c r="U7" s="11"/>
    </row>
    <row r="8" spans="1:21" ht="12.75" x14ac:dyDescent="0.2">
      <c r="A8" s="15"/>
      <c r="B8" s="10" t="s">
        <v>30</v>
      </c>
      <c r="C8" s="11">
        <v>2.2999999999999998</v>
      </c>
      <c r="D8" s="11">
        <v>1.5</v>
      </c>
      <c r="E8" s="11">
        <v>1</v>
      </c>
      <c r="F8" s="12">
        <v>1</v>
      </c>
      <c r="H8" s="8" t="s">
        <v>31</v>
      </c>
      <c r="I8" s="5"/>
      <c r="J8" s="5"/>
      <c r="K8" s="5"/>
      <c r="M8" s="5"/>
      <c r="N8" s="5"/>
      <c r="O8" s="5"/>
      <c r="P8" s="5"/>
      <c r="Q8" s="5"/>
      <c r="R8" s="5"/>
      <c r="S8" s="5"/>
      <c r="T8" s="5"/>
      <c r="U8" s="5"/>
    </row>
    <row r="9" spans="1:21" ht="12.75" x14ac:dyDescent="0.2">
      <c r="A9" s="15"/>
      <c r="B9" s="10" t="s">
        <v>32</v>
      </c>
      <c r="C9" s="5">
        <v>9.0890000000000004</v>
      </c>
      <c r="D9" s="5">
        <v>7.8949999999999996</v>
      </c>
      <c r="E9" s="5">
        <v>8</v>
      </c>
      <c r="F9" s="12">
        <v>8</v>
      </c>
      <c r="H9" s="10" t="s">
        <v>33</v>
      </c>
      <c r="I9" s="5">
        <v>12</v>
      </c>
      <c r="J9" s="5"/>
      <c r="K9" s="5"/>
      <c r="M9" s="8" t="s">
        <v>34</v>
      </c>
      <c r="N9" s="5"/>
      <c r="O9" s="5"/>
      <c r="P9" s="5"/>
      <c r="Q9" s="5"/>
      <c r="R9" s="5"/>
      <c r="S9" s="5"/>
      <c r="T9" s="5"/>
      <c r="U9" s="5"/>
    </row>
    <row r="10" spans="1:21" ht="12.75" x14ac:dyDescent="0.2">
      <c r="A10" s="15"/>
      <c r="B10" s="10" t="s">
        <v>35</v>
      </c>
      <c r="C10" s="11">
        <v>5.5</v>
      </c>
      <c r="D10" s="11">
        <v>1</v>
      </c>
      <c r="E10" s="11">
        <v>0.5</v>
      </c>
      <c r="F10" s="12">
        <v>0.5</v>
      </c>
      <c r="H10" s="10" t="s">
        <v>36</v>
      </c>
      <c r="I10" s="5">
        <v>23</v>
      </c>
      <c r="J10" s="5"/>
      <c r="K10" s="5"/>
      <c r="M10" s="10" t="s">
        <v>37</v>
      </c>
      <c r="N10" s="5">
        <v>0.13500000000000001</v>
      </c>
      <c r="O10" s="5">
        <v>0.13100000000000001</v>
      </c>
      <c r="P10" s="5">
        <v>0.13100000000000001</v>
      </c>
      <c r="Q10" s="5">
        <v>0.13100000000000001</v>
      </c>
      <c r="R10" s="5">
        <v>0.13400000000000001</v>
      </c>
      <c r="S10" s="5"/>
      <c r="T10" s="5"/>
      <c r="U10" s="5"/>
    </row>
    <row r="11" spans="1:21" ht="12.75" x14ac:dyDescent="0.2">
      <c r="A11" s="16" t="s">
        <v>29</v>
      </c>
      <c r="B11" s="10" t="s">
        <v>38</v>
      </c>
      <c r="C11" s="11">
        <v>14.8</v>
      </c>
      <c r="D11" s="11">
        <v>14.8</v>
      </c>
      <c r="E11" s="11">
        <v>14.4</v>
      </c>
      <c r="F11" s="17">
        <v>14.4</v>
      </c>
      <c r="H11" s="10" t="s">
        <v>39</v>
      </c>
      <c r="I11" s="5">
        <f>3.14159*(I10/2)^2*12/1000</f>
        <v>4.9857033300000007</v>
      </c>
      <c r="J11" s="5"/>
      <c r="K11" s="5"/>
      <c r="M11" s="10" t="s">
        <v>40</v>
      </c>
      <c r="N11" s="18">
        <v>0.1</v>
      </c>
      <c r="O11" s="18">
        <v>7.9960000000000003E-2</v>
      </c>
      <c r="P11" s="18">
        <v>8.5879999999999998E-2</v>
      </c>
      <c r="Q11" s="18">
        <v>0.11668000000000001</v>
      </c>
      <c r="R11" s="18">
        <v>7.9710000000000003E-2</v>
      </c>
      <c r="S11" s="18"/>
      <c r="T11" s="18"/>
      <c r="U11" s="18"/>
    </row>
    <row r="12" spans="1:21" ht="15" customHeight="1" x14ac:dyDescent="0.2">
      <c r="A12" s="15"/>
      <c r="B12" s="10" t="s">
        <v>41</v>
      </c>
      <c r="C12" s="11">
        <v>4</v>
      </c>
      <c r="D12" s="11">
        <v>4</v>
      </c>
      <c r="E12" s="11">
        <v>4</v>
      </c>
      <c r="F12" s="17">
        <v>4</v>
      </c>
      <c r="H12" s="10" t="s">
        <v>42</v>
      </c>
      <c r="I12" s="5">
        <v>1150</v>
      </c>
      <c r="J12" s="5"/>
      <c r="K12" s="5"/>
      <c r="M12" s="10" t="s">
        <v>43</v>
      </c>
      <c r="N12" s="18">
        <v>5.0000000000000001E-3</v>
      </c>
      <c r="O12" s="18">
        <v>7.6800000000000002E-3</v>
      </c>
      <c r="P12" s="18">
        <v>7.4700000000000001E-3</v>
      </c>
      <c r="Q12" s="18">
        <v>8.26E-3</v>
      </c>
      <c r="R12" s="18">
        <v>7.1799999999999998E-3</v>
      </c>
      <c r="S12" s="18"/>
      <c r="T12" s="18"/>
      <c r="U12" s="18"/>
    </row>
    <row r="13" spans="1:21" ht="12.75" x14ac:dyDescent="0.2">
      <c r="A13" s="15"/>
      <c r="B13" s="10" t="s">
        <v>44</v>
      </c>
      <c r="C13" s="11">
        <v>32000</v>
      </c>
      <c r="D13" s="11">
        <v>3300</v>
      </c>
      <c r="E13" s="11">
        <v>5800</v>
      </c>
      <c r="F13" s="17">
        <v>10000</v>
      </c>
      <c r="H13" s="10" t="s">
        <v>45</v>
      </c>
      <c r="I13" s="5">
        <f>E11</f>
        <v>14.4</v>
      </c>
      <c r="J13" s="5"/>
      <c r="K13" s="5"/>
      <c r="M13" s="10" t="s">
        <v>46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ht="12.75" x14ac:dyDescent="0.2">
      <c r="A14" s="15"/>
      <c r="B14" s="10" t="s">
        <v>47</v>
      </c>
      <c r="C14" s="19">
        <f t="shared" ref="C14:F14" si="0">C46*C47/1000</f>
        <v>473.6</v>
      </c>
      <c r="D14" s="19">
        <f t="shared" si="0"/>
        <v>48.84</v>
      </c>
      <c r="E14" s="19">
        <f t="shared" si="0"/>
        <v>83.52</v>
      </c>
      <c r="F14" s="20">
        <f t="shared" si="0"/>
        <v>144</v>
      </c>
      <c r="H14" s="10" t="s">
        <v>48</v>
      </c>
      <c r="I14" s="5">
        <f>E12*4.2*I12</f>
        <v>19320</v>
      </c>
      <c r="J14" s="5"/>
      <c r="K14" s="5"/>
      <c r="M14" s="10" t="s">
        <v>49</v>
      </c>
      <c r="N14" s="5">
        <f t="shared" ref="N14:U14" si="1">N15*3.6</f>
        <v>94.046399999999991</v>
      </c>
      <c r="O14" s="5">
        <f t="shared" si="1"/>
        <v>104.4</v>
      </c>
      <c r="P14" s="5">
        <f t="shared" si="1"/>
        <v>100.73520000000001</v>
      </c>
      <c r="Q14" s="5">
        <f t="shared" si="1"/>
        <v>86.4</v>
      </c>
      <c r="R14" s="5">
        <f t="shared" si="1"/>
        <v>103.19040000000001</v>
      </c>
      <c r="S14" s="5">
        <f t="shared" si="1"/>
        <v>0</v>
      </c>
      <c r="T14" s="5">
        <f t="shared" si="1"/>
        <v>0</v>
      </c>
      <c r="U14" s="5">
        <f t="shared" si="1"/>
        <v>0</v>
      </c>
    </row>
    <row r="15" spans="1:21" ht="12.75" x14ac:dyDescent="0.2">
      <c r="A15" s="15"/>
      <c r="B15" s="10" t="s">
        <v>50</v>
      </c>
      <c r="C15" s="21">
        <v>4800</v>
      </c>
      <c r="D15" s="21" t="s">
        <v>51</v>
      </c>
      <c r="E15" s="21" t="s">
        <v>52</v>
      </c>
      <c r="F15" s="22" t="s">
        <v>52</v>
      </c>
      <c r="H15" s="5"/>
      <c r="I15" s="5"/>
      <c r="J15" s="5"/>
      <c r="K15" s="5"/>
      <c r="M15" s="10" t="s">
        <v>53</v>
      </c>
      <c r="N15" s="11">
        <v>26.123999999999999</v>
      </c>
      <c r="O15" s="11">
        <v>29</v>
      </c>
      <c r="P15" s="11">
        <v>27.981999999999999</v>
      </c>
      <c r="Q15" s="11">
        <v>24</v>
      </c>
      <c r="R15" s="11">
        <v>28.664000000000001</v>
      </c>
      <c r="S15" s="11"/>
      <c r="T15" s="11"/>
      <c r="U15" s="11"/>
    </row>
    <row r="16" spans="1:21" ht="12.75" x14ac:dyDescent="0.2">
      <c r="A16" s="23"/>
      <c r="B16" s="24" t="s">
        <v>54</v>
      </c>
      <c r="C16" s="25">
        <v>7</v>
      </c>
      <c r="D16" s="25">
        <v>6</v>
      </c>
      <c r="E16" s="25">
        <v>6</v>
      </c>
      <c r="F16" s="26">
        <v>6</v>
      </c>
      <c r="H16" s="8" t="s">
        <v>55</v>
      </c>
      <c r="I16" s="5"/>
      <c r="J16" s="5"/>
      <c r="K16" s="5"/>
      <c r="M16" s="10" t="s">
        <v>56</v>
      </c>
      <c r="N16" s="5">
        <v>1.2250000000000001</v>
      </c>
      <c r="O16" s="5">
        <v>1.2250000000000001</v>
      </c>
      <c r="P16" s="5">
        <v>1.2250000000000001</v>
      </c>
      <c r="Q16" s="5">
        <v>1.2250000000000001</v>
      </c>
      <c r="R16" s="5">
        <v>1.2250000000000001</v>
      </c>
      <c r="S16" s="5">
        <v>1.2250000000000001</v>
      </c>
      <c r="T16" s="5">
        <v>1.2250000000000001</v>
      </c>
      <c r="U16" s="5">
        <v>1.2250000000000001</v>
      </c>
    </row>
    <row r="17" spans="1:21" ht="12.75" x14ac:dyDescent="0.2">
      <c r="B17" s="5"/>
      <c r="C17" s="5"/>
      <c r="D17" s="5"/>
      <c r="E17" s="5"/>
      <c r="F17" s="5"/>
      <c r="H17" s="10" t="s">
        <v>57</v>
      </c>
      <c r="I17" s="27" t="s">
        <v>110</v>
      </c>
      <c r="J17" s="5"/>
      <c r="K17" s="5"/>
      <c r="M17" s="10" t="s">
        <v>58</v>
      </c>
      <c r="N17" s="13">
        <f t="shared" ref="N17:U17" si="2">N11*N16*(N15^2)*0.5*N10</f>
        <v>5.6431190403000002</v>
      </c>
      <c r="O17" s="13">
        <f t="shared" si="2"/>
        <v>5.3956798105000008</v>
      </c>
      <c r="P17" s="13">
        <f t="shared" si="2"/>
        <v>5.3954407657460655</v>
      </c>
      <c r="Q17" s="13">
        <f t="shared" si="2"/>
        <v>5.3925762239999999</v>
      </c>
      <c r="R17" s="13">
        <f t="shared" si="2"/>
        <v>5.3752329567676336</v>
      </c>
      <c r="S17" s="13">
        <f t="shared" si="2"/>
        <v>0</v>
      </c>
      <c r="T17" s="13">
        <f t="shared" si="2"/>
        <v>0</v>
      </c>
      <c r="U17" s="13">
        <f t="shared" si="2"/>
        <v>0</v>
      </c>
    </row>
    <row r="18" spans="1:21" ht="12.75" x14ac:dyDescent="0.2">
      <c r="A18" s="28"/>
      <c r="B18" s="8" t="s">
        <v>59</v>
      </c>
      <c r="C18" s="5"/>
      <c r="D18" s="5"/>
      <c r="E18" s="5"/>
      <c r="F18" s="5"/>
      <c r="H18" s="10" t="s">
        <v>60</v>
      </c>
      <c r="I18" s="5">
        <v>13</v>
      </c>
      <c r="J18" s="5"/>
      <c r="K18" s="5"/>
      <c r="M18" s="10" t="s">
        <v>21</v>
      </c>
      <c r="N18" s="29">
        <f t="shared" ref="N18:U18" si="3">N17/9.81</f>
        <v>0.57524149238532107</v>
      </c>
      <c r="O18" s="29">
        <f t="shared" si="3"/>
        <v>0.55001832930682981</v>
      </c>
      <c r="P18" s="29">
        <f t="shared" si="3"/>
        <v>0.5499939618497518</v>
      </c>
      <c r="Q18" s="29">
        <f t="shared" si="3"/>
        <v>0.54970195963302748</v>
      </c>
      <c r="R18" s="29">
        <f t="shared" si="3"/>
        <v>0.54793404248395849</v>
      </c>
      <c r="S18" s="29">
        <f t="shared" si="3"/>
        <v>0</v>
      </c>
      <c r="T18" s="29">
        <f t="shared" si="3"/>
        <v>0</v>
      </c>
      <c r="U18" s="29">
        <f t="shared" si="3"/>
        <v>0</v>
      </c>
    </row>
    <row r="19" spans="1:21" ht="12.75" x14ac:dyDescent="0.2">
      <c r="A19" s="28"/>
      <c r="B19" s="10" t="s">
        <v>61</v>
      </c>
      <c r="C19" s="5" t="s">
        <v>62</v>
      </c>
      <c r="D19" s="5" t="s">
        <v>62</v>
      </c>
      <c r="E19" s="5" t="s">
        <v>62</v>
      </c>
      <c r="F19" s="12" t="s">
        <v>62</v>
      </c>
      <c r="H19" s="30" t="s">
        <v>63</v>
      </c>
      <c r="I19" s="5">
        <f>I18*2.54</f>
        <v>33.020000000000003</v>
      </c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.75" x14ac:dyDescent="0.2">
      <c r="A20" s="28"/>
      <c r="B20" s="10" t="s">
        <v>37</v>
      </c>
      <c r="C20" s="11">
        <v>0.58199999999999996</v>
      </c>
      <c r="D20" s="11">
        <v>0.28499999999999998</v>
      </c>
      <c r="E20" s="11">
        <v>0.13500000000000001</v>
      </c>
      <c r="F20" s="17">
        <v>0.13500000000000001</v>
      </c>
      <c r="H20" s="10" t="s">
        <v>64</v>
      </c>
      <c r="I20" s="5">
        <v>6</v>
      </c>
      <c r="J20" s="5"/>
      <c r="K20" s="5"/>
      <c r="M20" s="8" t="s">
        <v>65</v>
      </c>
      <c r="N20" s="5"/>
      <c r="O20" s="5"/>
      <c r="P20" s="5"/>
      <c r="Q20" s="5"/>
      <c r="R20" s="5"/>
      <c r="S20" s="5"/>
      <c r="T20" s="5"/>
      <c r="U20" s="5"/>
    </row>
    <row r="21" spans="1:21" ht="12.75" x14ac:dyDescent="0.2">
      <c r="A21" s="28"/>
      <c r="B21" s="10" t="s">
        <v>40</v>
      </c>
      <c r="C21" s="18">
        <v>7.8320000000000001E-2</v>
      </c>
      <c r="D21" s="18">
        <v>7.6399999999999996E-2</v>
      </c>
      <c r="E21" s="18">
        <v>6.0319999999999999E-2</v>
      </c>
      <c r="F21" s="31">
        <v>9.5259999999999997E-2</v>
      </c>
      <c r="H21" s="5"/>
      <c r="I21" s="5"/>
      <c r="J21" s="5"/>
      <c r="K21" s="5"/>
      <c r="M21" s="10" t="s">
        <v>37</v>
      </c>
      <c r="N21" s="5">
        <f t="shared" ref="N21:U21" si="4">N10</f>
        <v>0.13500000000000001</v>
      </c>
      <c r="O21" s="5">
        <f t="shared" si="4"/>
        <v>0.13100000000000001</v>
      </c>
      <c r="P21" s="5">
        <f t="shared" si="4"/>
        <v>0.13100000000000001</v>
      </c>
      <c r="Q21" s="5">
        <f t="shared" si="4"/>
        <v>0.13100000000000001</v>
      </c>
      <c r="R21" s="5">
        <f t="shared" si="4"/>
        <v>0.13400000000000001</v>
      </c>
      <c r="S21" s="5">
        <f t="shared" si="4"/>
        <v>0</v>
      </c>
      <c r="T21" s="5">
        <f t="shared" si="4"/>
        <v>0</v>
      </c>
      <c r="U21" s="5">
        <f t="shared" si="4"/>
        <v>0</v>
      </c>
    </row>
    <row r="22" spans="1:21" ht="12.75" x14ac:dyDescent="0.2">
      <c r="A22" s="28"/>
      <c r="B22" s="10" t="s">
        <v>43</v>
      </c>
      <c r="C22" s="18">
        <v>8.0800000000000004E-3</v>
      </c>
      <c r="D22" s="18">
        <v>8.3400000000000002E-3</v>
      </c>
      <c r="E22" s="18">
        <v>7.8200000000000006E-3</v>
      </c>
      <c r="F22" s="31">
        <v>7.6800000000000002E-3</v>
      </c>
      <c r="H22" s="8" t="s">
        <v>66</v>
      </c>
      <c r="I22" s="5"/>
      <c r="J22" s="5"/>
      <c r="K22" s="5"/>
      <c r="M22" s="10" t="s">
        <v>67</v>
      </c>
      <c r="N22" s="14">
        <f t="shared" ref="N22:U22" si="5">N12*N16*0.5*(N15^2)*N21</f>
        <v>0.28215595201500004</v>
      </c>
      <c r="O22" s="14">
        <f t="shared" si="5"/>
        <v>0.51824438400000006</v>
      </c>
      <c r="P22" s="14">
        <f t="shared" si="5"/>
        <v>0.46930533907921651</v>
      </c>
      <c r="Q22" s="14">
        <f t="shared" si="5"/>
        <v>0.38175076800000007</v>
      </c>
      <c r="R22" s="14">
        <f t="shared" si="5"/>
        <v>0.48418231877545603</v>
      </c>
      <c r="S22" s="14">
        <f t="shared" si="5"/>
        <v>0</v>
      </c>
      <c r="T22" s="14">
        <f t="shared" si="5"/>
        <v>0</v>
      </c>
      <c r="U22" s="14">
        <f t="shared" si="5"/>
        <v>0</v>
      </c>
    </row>
    <row r="23" spans="1:21" ht="12.75" x14ac:dyDescent="0.2">
      <c r="A23" s="32" t="s">
        <v>68</v>
      </c>
      <c r="B23" s="10" t="s">
        <v>46</v>
      </c>
      <c r="C23" s="5">
        <v>1.5</v>
      </c>
      <c r="D23" s="5">
        <v>0</v>
      </c>
      <c r="E23" s="5">
        <v>0</v>
      </c>
      <c r="F23" s="12">
        <v>0</v>
      </c>
      <c r="H23" s="10" t="s">
        <v>69</v>
      </c>
      <c r="I23" s="5"/>
      <c r="J23" s="5"/>
      <c r="K23" s="5"/>
      <c r="M23" s="10" t="s">
        <v>70</v>
      </c>
      <c r="N23" s="33">
        <f t="shared" ref="N23:U23" si="6">N22/9.81</f>
        <v>2.8762074619266057E-2</v>
      </c>
      <c r="O23" s="33">
        <f t="shared" si="6"/>
        <v>5.2828173700305812E-2</v>
      </c>
      <c r="P23" s="33">
        <f t="shared" si="6"/>
        <v>4.7839484105934402E-2</v>
      </c>
      <c r="Q23" s="33">
        <f t="shared" si="6"/>
        <v>3.8914451376146797E-2</v>
      </c>
      <c r="R23" s="33">
        <f t="shared" si="6"/>
        <v>4.9355995797701939E-2</v>
      </c>
      <c r="S23" s="33">
        <f t="shared" si="6"/>
        <v>0</v>
      </c>
      <c r="T23" s="33">
        <f t="shared" si="6"/>
        <v>0</v>
      </c>
      <c r="U23" s="33">
        <f t="shared" si="6"/>
        <v>0</v>
      </c>
    </row>
    <row r="24" spans="1:21" ht="12.75" x14ac:dyDescent="0.2">
      <c r="A24" s="28"/>
      <c r="B24" s="10" t="s">
        <v>71</v>
      </c>
      <c r="C24" s="5">
        <f t="shared" ref="C24:F24" si="7">C25*3.6</f>
        <v>90</v>
      </c>
      <c r="D24" s="5">
        <f t="shared" si="7"/>
        <v>96.444000000000003</v>
      </c>
      <c r="E24" s="5">
        <f t="shared" si="7"/>
        <v>118.18440000000001</v>
      </c>
      <c r="F24" s="12">
        <f t="shared" si="7"/>
        <v>94.046399999999991</v>
      </c>
      <c r="H24" s="10" t="s">
        <v>72</v>
      </c>
      <c r="I24" s="5">
        <v>2.5</v>
      </c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.75" x14ac:dyDescent="0.2">
      <c r="A25" s="28"/>
      <c r="B25" s="10" t="s">
        <v>27</v>
      </c>
      <c r="C25" s="11">
        <v>25</v>
      </c>
      <c r="D25" s="11">
        <v>26.79</v>
      </c>
      <c r="E25" s="11">
        <v>32.829000000000001</v>
      </c>
      <c r="F25" s="17">
        <v>26.123999999999999</v>
      </c>
      <c r="H25" s="10" t="s">
        <v>73</v>
      </c>
      <c r="I25" s="5">
        <v>7500</v>
      </c>
      <c r="J25" s="5"/>
      <c r="K25" s="5"/>
      <c r="M25" s="8" t="s">
        <v>74</v>
      </c>
      <c r="N25" s="5"/>
      <c r="O25" s="5"/>
      <c r="P25" s="5"/>
      <c r="Q25" s="5"/>
      <c r="R25" s="5"/>
      <c r="S25" s="5"/>
      <c r="T25" s="5"/>
      <c r="U25" s="5"/>
    </row>
    <row r="26" spans="1:21" ht="12.75" x14ac:dyDescent="0.2">
      <c r="A26" s="28"/>
      <c r="B26" s="10" t="s">
        <v>75</v>
      </c>
      <c r="C26" s="11">
        <v>1.2250000000000001</v>
      </c>
      <c r="D26" s="11">
        <v>1.2250000000000001</v>
      </c>
      <c r="E26" s="11">
        <v>1.2250000000000001</v>
      </c>
      <c r="F26" s="17">
        <v>1.2250000000000001</v>
      </c>
      <c r="H26" s="10" t="s">
        <v>76</v>
      </c>
      <c r="I26" s="5">
        <v>100</v>
      </c>
      <c r="J26" s="5"/>
      <c r="K26" s="5"/>
      <c r="M26" s="10" t="s">
        <v>77</v>
      </c>
      <c r="N26" s="11">
        <v>3</v>
      </c>
      <c r="O26" s="11">
        <v>3</v>
      </c>
      <c r="P26" s="11">
        <v>3</v>
      </c>
      <c r="Q26" s="11">
        <v>3</v>
      </c>
      <c r="R26" s="11">
        <v>3</v>
      </c>
      <c r="S26" s="11">
        <v>3</v>
      </c>
      <c r="T26" s="11">
        <v>3</v>
      </c>
      <c r="U26" s="11">
        <v>3</v>
      </c>
    </row>
    <row r="27" spans="1:21" ht="12.75" x14ac:dyDescent="0.2">
      <c r="A27" s="28"/>
      <c r="B27" s="10" t="s">
        <v>58</v>
      </c>
      <c r="C27" s="13">
        <f t="shared" ref="C27:F27" si="8">C21*C26*(C25^2)*0.5*C20</f>
        <v>17.449451250000003</v>
      </c>
      <c r="D27" s="13">
        <f t="shared" si="8"/>
        <v>9.5717145574574989</v>
      </c>
      <c r="E27" s="13">
        <f t="shared" si="8"/>
        <v>5.3754707405681108</v>
      </c>
      <c r="F27" s="34">
        <f t="shared" si="8"/>
        <v>5.3756351977897801</v>
      </c>
      <c r="M27" s="10" t="s">
        <v>78</v>
      </c>
      <c r="N27" s="11">
        <v>6</v>
      </c>
      <c r="O27" s="11">
        <v>6</v>
      </c>
      <c r="P27" s="11">
        <v>6</v>
      </c>
      <c r="Q27" s="11">
        <v>6</v>
      </c>
      <c r="R27" s="11">
        <v>6</v>
      </c>
      <c r="S27" s="11">
        <v>6</v>
      </c>
      <c r="T27" s="11">
        <v>6</v>
      </c>
      <c r="U27" s="11">
        <v>6</v>
      </c>
    </row>
    <row r="28" spans="1:21" ht="12.75" x14ac:dyDescent="0.2">
      <c r="A28" s="28"/>
      <c r="B28" s="10" t="s">
        <v>21</v>
      </c>
      <c r="C28" s="29">
        <v>2</v>
      </c>
      <c r="D28" s="29">
        <f t="shared" ref="D28:F28" si="9">D27/9.81</f>
        <v>0.97570994469495398</v>
      </c>
      <c r="E28" s="29">
        <f t="shared" si="9"/>
        <v>0.54795828140347713</v>
      </c>
      <c r="F28" s="35">
        <f t="shared" si="9"/>
        <v>0.54797504564625688</v>
      </c>
      <c r="M28" s="10" t="s">
        <v>79</v>
      </c>
      <c r="N28" s="36">
        <f t="shared" ref="N28:U28" si="10">N15*60*100/(N27*2.54)</f>
        <v>10285.039370078739</v>
      </c>
      <c r="O28" s="36">
        <f t="shared" si="10"/>
        <v>11417.322834645669</v>
      </c>
      <c r="P28" s="36">
        <f t="shared" si="10"/>
        <v>11016.535433070865</v>
      </c>
      <c r="Q28" s="36">
        <f t="shared" si="10"/>
        <v>9448.8188976377951</v>
      </c>
      <c r="R28" s="36">
        <f t="shared" si="10"/>
        <v>11285.039370078741</v>
      </c>
      <c r="S28" s="36">
        <f t="shared" si="10"/>
        <v>0</v>
      </c>
      <c r="T28" s="36">
        <f t="shared" si="10"/>
        <v>0</v>
      </c>
      <c r="U28" s="36">
        <f t="shared" si="10"/>
        <v>0</v>
      </c>
    </row>
    <row r="29" spans="1:21" ht="12.75" x14ac:dyDescent="0.2">
      <c r="A29" s="5"/>
      <c r="B29" s="5"/>
      <c r="C29" s="5"/>
      <c r="D29" s="5"/>
      <c r="E29" s="5"/>
      <c r="F29" s="5"/>
      <c r="H29" s="2" t="s">
        <v>80</v>
      </c>
      <c r="I29" s="1"/>
      <c r="J29" s="1"/>
      <c r="K29" s="1"/>
      <c r="M29" s="5"/>
      <c r="N29" s="5"/>
      <c r="O29" s="5"/>
      <c r="P29" s="5"/>
      <c r="Q29" s="5"/>
      <c r="R29" s="5"/>
      <c r="S29" s="5"/>
      <c r="T29" s="5"/>
      <c r="U29" s="5"/>
    </row>
    <row r="30" spans="1:21" ht="12.75" x14ac:dyDescent="0.2">
      <c r="A30" s="37"/>
      <c r="B30" s="8" t="s">
        <v>81</v>
      </c>
      <c r="C30" s="5"/>
      <c r="D30" s="5"/>
      <c r="E30" s="5"/>
      <c r="F30" s="5"/>
      <c r="H30" s="46" t="s">
        <v>111</v>
      </c>
      <c r="I30" s="5"/>
      <c r="J30" s="5"/>
      <c r="K30" s="5"/>
      <c r="M30" s="8" t="s">
        <v>82</v>
      </c>
      <c r="N30" s="5"/>
      <c r="O30" s="5"/>
      <c r="P30" s="5"/>
      <c r="Q30" s="5"/>
      <c r="R30" s="5"/>
      <c r="S30" s="5"/>
      <c r="T30" s="5"/>
      <c r="U30" s="5"/>
    </row>
    <row r="31" spans="1:21" ht="12.75" x14ac:dyDescent="0.2">
      <c r="A31" s="37"/>
      <c r="B31" s="10" t="s">
        <v>83</v>
      </c>
      <c r="C31" s="5" t="s">
        <v>62</v>
      </c>
      <c r="D31" s="5" t="s">
        <v>62</v>
      </c>
      <c r="E31" s="5" t="s">
        <v>62</v>
      </c>
      <c r="F31" s="12" t="s">
        <v>62</v>
      </c>
      <c r="H31" s="5"/>
      <c r="I31" s="5"/>
      <c r="J31" s="5"/>
      <c r="K31" s="5"/>
      <c r="M31" s="10" t="s">
        <v>38</v>
      </c>
      <c r="N31" s="11">
        <v>14.4</v>
      </c>
      <c r="O31" s="11">
        <v>14.4</v>
      </c>
      <c r="P31" s="11">
        <v>14.4</v>
      </c>
      <c r="Q31" s="11">
        <v>14.4</v>
      </c>
      <c r="R31" s="11">
        <v>14.4</v>
      </c>
      <c r="S31" s="11">
        <v>14.4</v>
      </c>
      <c r="T31" s="11">
        <v>14.4</v>
      </c>
      <c r="U31" s="11">
        <v>14.4</v>
      </c>
    </row>
    <row r="32" spans="1:21" ht="12.75" x14ac:dyDescent="0.2">
      <c r="A32" s="38" t="s">
        <v>81</v>
      </c>
      <c r="B32" s="10" t="s">
        <v>84</v>
      </c>
      <c r="C32" s="5" t="s">
        <v>62</v>
      </c>
      <c r="D32" s="5" t="s">
        <v>62</v>
      </c>
      <c r="E32" s="5" t="s">
        <v>62</v>
      </c>
      <c r="F32" s="12" t="s">
        <v>62</v>
      </c>
      <c r="H32" s="5"/>
      <c r="I32" s="5"/>
      <c r="J32" s="5"/>
      <c r="K32" s="5"/>
      <c r="M32" s="10" t="s">
        <v>85</v>
      </c>
      <c r="N32" s="11">
        <v>5800</v>
      </c>
      <c r="O32" s="11">
        <v>5800</v>
      </c>
      <c r="P32" s="11">
        <v>5800</v>
      </c>
      <c r="Q32" s="11">
        <v>5800</v>
      </c>
      <c r="R32" s="11">
        <v>5800</v>
      </c>
      <c r="S32" s="11"/>
      <c r="T32" s="11"/>
      <c r="U32" s="11"/>
    </row>
    <row r="33" spans="1:21" ht="12.75" x14ac:dyDescent="0.2">
      <c r="A33" s="37"/>
      <c r="B33" s="10" t="s">
        <v>86</v>
      </c>
      <c r="C33" s="5" t="s">
        <v>62</v>
      </c>
      <c r="D33" s="5" t="s">
        <v>62</v>
      </c>
      <c r="E33" s="5" t="s">
        <v>62</v>
      </c>
      <c r="F33" s="12" t="s">
        <v>62</v>
      </c>
      <c r="H33" s="5"/>
      <c r="I33" s="5"/>
      <c r="J33" s="5"/>
      <c r="K33" s="5"/>
      <c r="M33" s="10" t="s">
        <v>87</v>
      </c>
      <c r="N33" s="21">
        <v>15</v>
      </c>
      <c r="O33" s="21">
        <v>15</v>
      </c>
      <c r="P33" s="21">
        <v>15</v>
      </c>
      <c r="Q33" s="21">
        <v>15</v>
      </c>
      <c r="R33" s="21">
        <v>15</v>
      </c>
      <c r="S33" s="21">
        <v>15</v>
      </c>
      <c r="T33" s="21">
        <v>15</v>
      </c>
      <c r="U33" s="21">
        <v>15</v>
      </c>
    </row>
    <row r="34" spans="1:21" ht="12.75" x14ac:dyDescent="0.2">
      <c r="A34" s="37"/>
      <c r="B34" s="10" t="s">
        <v>88</v>
      </c>
      <c r="C34" s="11">
        <f t="shared" ref="C34:F34" si="11">C20</f>
        <v>0.58199999999999996</v>
      </c>
      <c r="D34" s="11">
        <f t="shared" si="11"/>
        <v>0.28499999999999998</v>
      </c>
      <c r="E34" s="11">
        <f t="shared" si="11"/>
        <v>0.13500000000000001</v>
      </c>
      <c r="F34" s="17">
        <f t="shared" si="11"/>
        <v>0.13500000000000001</v>
      </c>
      <c r="H34" s="5"/>
      <c r="I34" s="5"/>
      <c r="J34" s="5"/>
      <c r="K34" s="5"/>
      <c r="M34" s="10" t="s">
        <v>89</v>
      </c>
      <c r="N34" s="36">
        <f t="shared" ref="N34:U34" si="12">N32/1000*N31/(N23*1000/N26+N33)*60</f>
        <v>203.81205487505832</v>
      </c>
      <c r="O34" s="36">
        <f t="shared" si="12"/>
        <v>153.67352196571775</v>
      </c>
      <c r="P34" s="36">
        <f t="shared" si="12"/>
        <v>161.93110231898669</v>
      </c>
      <c r="Q34" s="36">
        <f t="shared" si="12"/>
        <v>179.15388533748302</v>
      </c>
      <c r="R34" s="36">
        <f t="shared" si="12"/>
        <v>159.3285076682551</v>
      </c>
      <c r="S34" s="36">
        <f t="shared" si="12"/>
        <v>0</v>
      </c>
      <c r="T34" s="36">
        <f t="shared" si="12"/>
        <v>0</v>
      </c>
      <c r="U34" s="36">
        <f t="shared" si="12"/>
        <v>0</v>
      </c>
    </row>
    <row r="35" spans="1:21" ht="12.75" x14ac:dyDescent="0.2">
      <c r="A35" s="37"/>
      <c r="B35" s="10" t="s">
        <v>67</v>
      </c>
      <c r="C35" s="14">
        <f t="shared" ref="C35:F35" si="13">C22*C26*0.5*(C25^2)*C34</f>
        <v>1.8001987499999998</v>
      </c>
      <c r="D35" s="14">
        <f t="shared" si="13"/>
        <v>1.044870411115125</v>
      </c>
      <c r="E35" s="14">
        <f t="shared" si="13"/>
        <v>0.69688629295826643</v>
      </c>
      <c r="F35" s="39">
        <f t="shared" si="13"/>
        <v>0.43339154229504007</v>
      </c>
      <c r="H35" s="5"/>
      <c r="I35" s="5"/>
      <c r="J35" s="5"/>
      <c r="K35" s="5"/>
      <c r="L35" s="40"/>
      <c r="M35" s="10" t="s">
        <v>90</v>
      </c>
      <c r="N35" s="36">
        <f t="shared" ref="N35:U35" si="14">N32/1000*N31/(N23*1000/N26+N33)*3600*N15/1000</f>
        <v>319.46316729336138</v>
      </c>
      <c r="O35" s="36">
        <f t="shared" si="14"/>
        <v>267.39192822034886</v>
      </c>
      <c r="P35" s="36">
        <f t="shared" si="14"/>
        <v>271.8693663053931</v>
      </c>
      <c r="Q35" s="36">
        <f t="shared" si="14"/>
        <v>257.9815948859756</v>
      </c>
      <c r="R35" s="36">
        <f t="shared" si="14"/>
        <v>274.01954062817185</v>
      </c>
      <c r="S35" s="36">
        <f t="shared" si="14"/>
        <v>0</v>
      </c>
      <c r="T35" s="36">
        <f t="shared" si="14"/>
        <v>0</v>
      </c>
      <c r="U35" s="36">
        <f t="shared" si="14"/>
        <v>0</v>
      </c>
    </row>
    <row r="36" spans="1:21" ht="12.75" x14ac:dyDescent="0.2">
      <c r="A36" s="37"/>
      <c r="B36" s="10" t="s">
        <v>70</v>
      </c>
      <c r="C36" s="33">
        <f t="shared" ref="C36:F36" si="15">C35/9.81</f>
        <v>0.18350649847094799</v>
      </c>
      <c r="D36" s="33">
        <f t="shared" si="15"/>
        <v>0.10651074527167431</v>
      </c>
      <c r="E36" s="33">
        <f t="shared" si="15"/>
        <v>7.1038358099721338E-2</v>
      </c>
      <c r="F36" s="41">
        <f t="shared" si="15"/>
        <v>4.4178546615192667E-2</v>
      </c>
      <c r="H36" s="5"/>
      <c r="I36" s="5"/>
      <c r="J36" s="5"/>
      <c r="K36" s="5"/>
      <c r="L36" s="40"/>
      <c r="M36" s="5"/>
      <c r="N36" s="5"/>
      <c r="O36" s="5"/>
      <c r="P36" s="5"/>
      <c r="Q36" s="5"/>
      <c r="R36" s="5"/>
      <c r="S36" s="5"/>
      <c r="T36" s="5"/>
      <c r="U36" s="5"/>
    </row>
    <row r="37" spans="1:21" ht="12.75" x14ac:dyDescent="0.2">
      <c r="A37" s="5"/>
      <c r="B37" s="5"/>
      <c r="C37" s="5"/>
      <c r="D37" s="5"/>
      <c r="E37" s="5"/>
      <c r="F37" s="5"/>
      <c r="H37" s="5"/>
      <c r="I37" s="5"/>
      <c r="J37" s="5"/>
      <c r="K37" s="5"/>
      <c r="L37" s="40"/>
      <c r="M37" s="8" t="s">
        <v>91</v>
      </c>
      <c r="N37" s="5"/>
      <c r="O37" s="5"/>
      <c r="P37" s="5"/>
      <c r="Q37" s="5"/>
      <c r="R37" s="5"/>
      <c r="S37" s="5"/>
      <c r="T37" s="5"/>
      <c r="U37" s="5"/>
    </row>
    <row r="38" spans="1:21" ht="12.75" x14ac:dyDescent="0.2">
      <c r="A38" s="42"/>
      <c r="B38" s="8" t="s">
        <v>92</v>
      </c>
      <c r="C38" s="5"/>
      <c r="D38" s="5"/>
      <c r="E38" s="5"/>
      <c r="F38" s="5"/>
      <c r="H38" s="5"/>
      <c r="I38" s="5"/>
      <c r="J38" s="5"/>
      <c r="K38" s="5"/>
      <c r="L38" s="40"/>
      <c r="M38" s="10" t="s">
        <v>93</v>
      </c>
      <c r="N38" s="36">
        <f t="shared" ref="N38:R38" si="16">N33+N23*1000/N26</f>
        <v>24.587358206422017</v>
      </c>
      <c r="O38" s="36">
        <f t="shared" si="16"/>
        <v>32.609391233435275</v>
      </c>
      <c r="P38" s="36">
        <f t="shared" si="16"/>
        <v>30.946494701978132</v>
      </c>
      <c r="Q38" s="36">
        <f t="shared" si="16"/>
        <v>27.971483792048936</v>
      </c>
      <c r="R38" s="36">
        <f t="shared" si="16"/>
        <v>31.451998599233978</v>
      </c>
      <c r="S38" s="19"/>
      <c r="T38" s="19"/>
      <c r="U38" s="19"/>
    </row>
    <row r="39" spans="1:21" ht="12.75" x14ac:dyDescent="0.2">
      <c r="A39" s="42"/>
      <c r="B39" s="10" t="s">
        <v>70</v>
      </c>
      <c r="C39" s="13">
        <f t="shared" ref="C39:F39" si="17">C36</f>
        <v>0.18350649847094799</v>
      </c>
      <c r="D39" s="13">
        <f t="shared" si="17"/>
        <v>0.10651074527167431</v>
      </c>
      <c r="E39" s="13">
        <f t="shared" si="17"/>
        <v>7.1038358099721338E-2</v>
      </c>
      <c r="F39" s="34">
        <f t="shared" si="17"/>
        <v>4.4178546615192667E-2</v>
      </c>
      <c r="G39" s="40"/>
      <c r="H39" s="5"/>
      <c r="I39" s="5"/>
      <c r="J39" s="5"/>
      <c r="K39" s="5"/>
      <c r="L39" s="43"/>
      <c r="M39" s="10" t="s">
        <v>94</v>
      </c>
      <c r="N39" s="36">
        <f t="shared" ref="N39:U39" si="18">N38/N31</f>
        <v>1.7074554310015289</v>
      </c>
      <c r="O39" s="19">
        <f t="shared" si="18"/>
        <v>2.2645410578774494</v>
      </c>
      <c r="P39" s="19">
        <f t="shared" si="18"/>
        <v>2.1490621320818146</v>
      </c>
      <c r="Q39" s="19">
        <f t="shared" si="18"/>
        <v>1.9424641522256205</v>
      </c>
      <c r="R39" s="19">
        <f t="shared" si="18"/>
        <v>2.1841665693912482</v>
      </c>
      <c r="S39" s="19">
        <f t="shared" si="18"/>
        <v>0</v>
      </c>
      <c r="T39" s="19">
        <f t="shared" si="18"/>
        <v>0</v>
      </c>
      <c r="U39" s="19">
        <f t="shared" si="18"/>
        <v>0</v>
      </c>
    </row>
    <row r="40" spans="1:21" ht="12.75" x14ac:dyDescent="0.2">
      <c r="A40" s="44" t="s">
        <v>95</v>
      </c>
      <c r="B40" s="10" t="s">
        <v>96</v>
      </c>
      <c r="C40" s="13">
        <f t="shared" ref="C40:F40" si="19">C28</f>
        <v>2</v>
      </c>
      <c r="D40" s="13">
        <f t="shared" si="19"/>
        <v>0.97570994469495398</v>
      </c>
      <c r="E40" s="13">
        <f t="shared" si="19"/>
        <v>0.54795828140347713</v>
      </c>
      <c r="F40" s="34">
        <f t="shared" si="19"/>
        <v>0.54797504564625688</v>
      </c>
      <c r="H40" s="5"/>
      <c r="I40" s="5"/>
      <c r="J40" s="5"/>
      <c r="K40" s="5"/>
      <c r="L40" s="40"/>
      <c r="M40" s="10" t="s">
        <v>97</v>
      </c>
      <c r="N40" s="33">
        <f t="shared" ref="N40:U40" si="20">N39/(N31/3.6)</f>
        <v>0.42686385775038221</v>
      </c>
      <c r="O40" s="33">
        <f t="shared" si="20"/>
        <v>0.56613526446936235</v>
      </c>
      <c r="P40" s="33">
        <f t="shared" si="20"/>
        <v>0.53726553302045366</v>
      </c>
      <c r="Q40" s="33">
        <f t="shared" si="20"/>
        <v>0.48561603805640513</v>
      </c>
      <c r="R40" s="33">
        <f t="shared" si="20"/>
        <v>0.54604164234781205</v>
      </c>
      <c r="S40" s="33">
        <f t="shared" si="20"/>
        <v>0</v>
      </c>
      <c r="T40" s="33">
        <f t="shared" si="20"/>
        <v>0</v>
      </c>
      <c r="U40" s="33">
        <f t="shared" si="20"/>
        <v>0</v>
      </c>
    </row>
    <row r="41" spans="1:21" ht="12.75" x14ac:dyDescent="0.2">
      <c r="A41" s="42"/>
      <c r="B41" s="10" t="s">
        <v>98</v>
      </c>
      <c r="C41" s="29">
        <f t="shared" ref="C41:F41" si="21">C40/C39</f>
        <v>10.898796591209722</v>
      </c>
      <c r="D41" s="29">
        <f t="shared" si="21"/>
        <v>9.1606714628297343</v>
      </c>
      <c r="E41" s="29">
        <f t="shared" si="21"/>
        <v>7.7135549872122766</v>
      </c>
      <c r="F41" s="35">
        <f t="shared" si="21"/>
        <v>12.403645833333332</v>
      </c>
      <c r="H41" s="5"/>
      <c r="I41" s="5"/>
      <c r="J41" s="5"/>
      <c r="K41" s="5"/>
      <c r="L41" s="40"/>
    </row>
    <row r="42" spans="1:21" ht="12.75" x14ac:dyDescent="0.2">
      <c r="A42" s="5"/>
      <c r="B42" s="5"/>
      <c r="C42" s="5"/>
      <c r="D42" s="5"/>
      <c r="E42" s="5"/>
      <c r="F42" s="5"/>
      <c r="H42" s="5"/>
      <c r="I42" s="5"/>
      <c r="J42" s="5"/>
      <c r="K42" s="5"/>
      <c r="L42" s="40"/>
    </row>
    <row r="43" spans="1:21" ht="12.75" x14ac:dyDescent="0.2">
      <c r="A43" s="42"/>
      <c r="B43" s="8" t="s">
        <v>99</v>
      </c>
      <c r="C43" s="5"/>
      <c r="D43" s="5"/>
      <c r="E43" s="5"/>
      <c r="F43" s="5"/>
      <c r="L43" s="40"/>
      <c r="M43" s="2" t="s">
        <v>100</v>
      </c>
      <c r="N43" s="1"/>
      <c r="O43" s="1"/>
      <c r="P43" s="1"/>
      <c r="Q43" s="1"/>
    </row>
    <row r="44" spans="1:21" ht="12.75" x14ac:dyDescent="0.2">
      <c r="A44" s="42"/>
      <c r="B44" s="10" t="s">
        <v>101</v>
      </c>
      <c r="C44" s="5">
        <f t="shared" ref="C44:F44" si="22">C16</f>
        <v>7</v>
      </c>
      <c r="D44" s="5">
        <f t="shared" si="22"/>
        <v>6</v>
      </c>
      <c r="E44" s="5">
        <f t="shared" si="22"/>
        <v>6</v>
      </c>
      <c r="F44" s="12">
        <f t="shared" si="22"/>
        <v>6</v>
      </c>
      <c r="L44" s="40"/>
      <c r="M44" s="5" t="s">
        <v>102</v>
      </c>
      <c r="N44" s="5">
        <v>8.3499999999999998E-3</v>
      </c>
      <c r="O44" s="5">
        <v>7.5399999999999998E-3</v>
      </c>
      <c r="P44" s="5">
        <v>7.4700000000000001E-3</v>
      </c>
      <c r="Q44" s="5">
        <v>7.62E-3</v>
      </c>
    </row>
    <row r="45" spans="1:21" ht="12.75" x14ac:dyDescent="0.2">
      <c r="A45" s="42"/>
      <c r="B45" s="10" t="s">
        <v>103</v>
      </c>
      <c r="C45" s="5">
        <f t="shared" ref="C45:F45" si="23">C25</f>
        <v>25</v>
      </c>
      <c r="D45" s="5">
        <f t="shared" si="23"/>
        <v>26.79</v>
      </c>
      <c r="E45" s="5">
        <f t="shared" si="23"/>
        <v>32.829000000000001</v>
      </c>
      <c r="F45" s="12">
        <f t="shared" si="23"/>
        <v>26.123999999999999</v>
      </c>
      <c r="L45" s="40"/>
      <c r="M45" s="5"/>
      <c r="N45" s="5"/>
      <c r="O45" s="5"/>
      <c r="P45" s="5"/>
      <c r="Q45" s="5">
        <v>7.3899999999999999E-3</v>
      </c>
    </row>
    <row r="46" spans="1:21" ht="12.75" x14ac:dyDescent="0.2">
      <c r="A46" s="42"/>
      <c r="B46" s="10" t="s">
        <v>38</v>
      </c>
      <c r="C46" s="5">
        <f t="shared" ref="C46:F46" si="24">C11</f>
        <v>14.8</v>
      </c>
      <c r="D46" s="5">
        <f t="shared" si="24"/>
        <v>14.8</v>
      </c>
      <c r="E46" s="5">
        <f t="shared" si="24"/>
        <v>14.4</v>
      </c>
      <c r="F46" s="12">
        <f t="shared" si="24"/>
        <v>14.4</v>
      </c>
      <c r="M46" s="5"/>
      <c r="N46" s="5"/>
      <c r="O46" s="5"/>
      <c r="P46" s="5"/>
      <c r="Q46" s="5"/>
    </row>
    <row r="47" spans="1:21" ht="12.75" x14ac:dyDescent="0.2">
      <c r="A47" s="42"/>
      <c r="B47" s="10" t="s">
        <v>104</v>
      </c>
      <c r="C47" s="5">
        <f t="shared" ref="C47:F47" si="25">C13</f>
        <v>32000</v>
      </c>
      <c r="D47" s="5">
        <f t="shared" si="25"/>
        <v>3300</v>
      </c>
      <c r="E47" s="5">
        <f t="shared" si="25"/>
        <v>5800</v>
      </c>
      <c r="F47" s="12">
        <f t="shared" si="25"/>
        <v>10000</v>
      </c>
      <c r="M47" s="5"/>
      <c r="N47" s="5"/>
      <c r="O47" s="5"/>
      <c r="P47" s="5"/>
      <c r="Q47" s="5"/>
    </row>
    <row r="48" spans="1:21" ht="12.75" x14ac:dyDescent="0.2">
      <c r="A48" s="42"/>
      <c r="B48" s="5"/>
      <c r="C48" s="5"/>
      <c r="D48" s="5"/>
      <c r="E48" s="5"/>
      <c r="F48" s="5"/>
      <c r="M48" s="5"/>
      <c r="N48" s="5"/>
      <c r="O48" s="5"/>
      <c r="P48" s="5"/>
      <c r="Q48" s="5"/>
    </row>
    <row r="49" spans="1:17" ht="12.75" x14ac:dyDescent="0.2">
      <c r="A49" s="42" t="s">
        <v>105</v>
      </c>
      <c r="B49" s="10" t="s">
        <v>106</v>
      </c>
      <c r="C49" s="14">
        <f t="shared" ref="C49:F49" si="26">C36</f>
        <v>0.18350649847094799</v>
      </c>
      <c r="D49" s="14">
        <f t="shared" si="26"/>
        <v>0.10651074527167431</v>
      </c>
      <c r="E49" s="14">
        <f t="shared" si="26"/>
        <v>7.1038358099721338E-2</v>
      </c>
      <c r="F49" s="39">
        <f t="shared" si="26"/>
        <v>4.4178546615192667E-2</v>
      </c>
      <c r="M49" s="5"/>
      <c r="N49" s="5"/>
      <c r="O49" s="5"/>
      <c r="P49" s="5"/>
      <c r="Q49" s="5"/>
    </row>
    <row r="50" spans="1:17" ht="12.75" x14ac:dyDescent="0.2">
      <c r="A50" s="42"/>
      <c r="B50" s="10" t="s">
        <v>107</v>
      </c>
      <c r="C50" s="11">
        <v>1.5</v>
      </c>
      <c r="D50" s="11">
        <v>1.2</v>
      </c>
      <c r="E50" s="11">
        <v>1.2</v>
      </c>
      <c r="F50" s="17">
        <v>1.2</v>
      </c>
    </row>
    <row r="51" spans="1:17" ht="12.75" x14ac:dyDescent="0.2">
      <c r="A51" s="42"/>
      <c r="B51" s="5"/>
      <c r="C51" s="5"/>
      <c r="D51" s="5"/>
      <c r="E51" s="5"/>
      <c r="F51" s="5"/>
    </row>
    <row r="52" spans="1:17" ht="12.75" x14ac:dyDescent="0.2">
      <c r="A52" s="42"/>
      <c r="B52" s="10" t="s">
        <v>108</v>
      </c>
      <c r="C52" s="33">
        <f t="shared" ref="C52:F52" si="27">((((C36*1000)/C44)+(C50*C46))*(1000/C45))/3600</f>
        <v>0.53794682296975871</v>
      </c>
      <c r="D52" s="33">
        <f t="shared" si="27"/>
        <v>0.36821151008473713</v>
      </c>
      <c r="E52" s="33">
        <f t="shared" si="27"/>
        <v>0.24639230177547597</v>
      </c>
      <c r="F52" s="41">
        <f t="shared" si="27"/>
        <v>0.26203120058324519</v>
      </c>
    </row>
    <row r="53" spans="1:17" ht="12.75" x14ac:dyDescent="0.2">
      <c r="A53" s="42"/>
      <c r="B53" s="5"/>
      <c r="C53" s="5"/>
      <c r="D53" s="5"/>
      <c r="E53" s="5"/>
      <c r="F53" s="5"/>
    </row>
    <row r="54" spans="1:17" ht="12.75" x14ac:dyDescent="0.2">
      <c r="A54" s="42"/>
      <c r="B54" s="10" t="s">
        <v>89</v>
      </c>
      <c r="C54" s="36">
        <f t="shared" ref="C54:F54" si="28">(C46*(C47/1000)/((C36*1000/C44)+C46*C50))*60</f>
        <v>586.92294452138196</v>
      </c>
      <c r="D54" s="36">
        <f t="shared" si="28"/>
        <v>82.519071201359367</v>
      </c>
      <c r="E54" s="36">
        <f t="shared" si="28"/>
        <v>172.08952926880755</v>
      </c>
      <c r="F54" s="45">
        <f t="shared" si="28"/>
        <v>350.60536699928156</v>
      </c>
    </row>
    <row r="55" spans="1:17" ht="12.75" x14ac:dyDescent="0.2">
      <c r="A55" s="42"/>
      <c r="B55" s="5"/>
      <c r="C55" s="5"/>
      <c r="D55" s="5"/>
      <c r="E55" s="5"/>
      <c r="F55" s="5"/>
    </row>
    <row r="56" spans="1:17" ht="12.75" x14ac:dyDescent="0.2">
      <c r="A56" s="42"/>
      <c r="B56" s="10" t="s">
        <v>109</v>
      </c>
      <c r="C56" s="36">
        <f t="shared" ref="C56:F56" si="29">C54*60*C25/1000</f>
        <v>880.38441678207289</v>
      </c>
      <c r="D56" s="36">
        <f t="shared" si="29"/>
        <v>132.64115504906505</v>
      </c>
      <c r="E56" s="36">
        <f t="shared" si="29"/>
        <v>338.971629381941</v>
      </c>
      <c r="F56" s="45">
        <f t="shared" si="29"/>
        <v>549.5528764493539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3F9-69FD-4B07-898F-AEAFBCF3DDB7}">
  <dimension ref="A1:C14"/>
  <sheetViews>
    <sheetView tabSelected="1" workbookViewId="0">
      <selection activeCell="D17" sqref="D17"/>
    </sheetView>
  </sheetViews>
  <sheetFormatPr baseColWidth="10" defaultRowHeight="12.75" x14ac:dyDescent="0.2"/>
  <cols>
    <col min="1" max="1" width="23.85546875" bestFit="1" customWidth="1"/>
    <col min="2" max="2" width="12.5703125" bestFit="1" customWidth="1"/>
  </cols>
  <sheetData>
    <row r="1" spans="1:3" x14ac:dyDescent="0.2">
      <c r="A1" t="s">
        <v>112</v>
      </c>
      <c r="B1" t="s">
        <v>113</v>
      </c>
    </row>
    <row r="2" spans="1:3" x14ac:dyDescent="0.2">
      <c r="A2" t="s">
        <v>114</v>
      </c>
      <c r="B2" t="s">
        <v>115</v>
      </c>
      <c r="C2" t="s">
        <v>130</v>
      </c>
    </row>
    <row r="3" spans="1:3" x14ac:dyDescent="0.2">
      <c r="B3" t="s">
        <v>116</v>
      </c>
      <c r="C3" t="s">
        <v>131</v>
      </c>
    </row>
    <row r="4" spans="1:3" x14ac:dyDescent="0.2">
      <c r="B4" t="s">
        <v>117</v>
      </c>
      <c r="C4" t="s">
        <v>132</v>
      </c>
    </row>
    <row r="5" spans="1:3" x14ac:dyDescent="0.2">
      <c r="B5" t="s">
        <v>118</v>
      </c>
      <c r="C5" t="s">
        <v>133</v>
      </c>
    </row>
    <row r="7" spans="1:3" x14ac:dyDescent="0.2">
      <c r="A7" t="s">
        <v>119</v>
      </c>
      <c r="B7" t="s">
        <v>120</v>
      </c>
    </row>
    <row r="8" spans="1:3" x14ac:dyDescent="0.2">
      <c r="A8" t="s">
        <v>121</v>
      </c>
      <c r="B8" t="s">
        <v>122</v>
      </c>
      <c r="C8">
        <v>32</v>
      </c>
    </row>
    <row r="9" spans="1:3" x14ac:dyDescent="0.2">
      <c r="B9" t="s">
        <v>123</v>
      </c>
      <c r="C9">
        <v>14.8</v>
      </c>
    </row>
    <row r="10" spans="1:3" x14ac:dyDescent="0.2">
      <c r="B10" t="s">
        <v>116</v>
      </c>
      <c r="C10">
        <f>69*32</f>
        <v>2208</v>
      </c>
    </row>
    <row r="11" spans="1:3" x14ac:dyDescent="0.2">
      <c r="B11" t="s">
        <v>124</v>
      </c>
      <c r="C11">
        <v>473.6</v>
      </c>
    </row>
    <row r="12" spans="1:3" x14ac:dyDescent="0.2">
      <c r="A12" t="s">
        <v>125</v>
      </c>
      <c r="B12" t="s">
        <v>126</v>
      </c>
      <c r="C12">
        <v>6.5</v>
      </c>
    </row>
    <row r="13" spans="1:3" x14ac:dyDescent="0.2">
      <c r="B13" t="s">
        <v>127</v>
      </c>
      <c r="C13">
        <v>13</v>
      </c>
    </row>
    <row r="14" spans="1:3" x14ac:dyDescent="0.2">
      <c r="A14" t="s">
        <v>128</v>
      </c>
      <c r="B14" t="s">
        <v>129</v>
      </c>
      <c r="C14" t="s">
        <v>134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Tabellenblatt1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Fehlmann Jodok, Gymnase Bienne Jura bernois</cp:lastModifiedBy>
  <dcterms:modified xsi:type="dcterms:W3CDTF">2023-10-17T08:29:53Z</dcterms:modified>
</cp:coreProperties>
</file>