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ycrash/projects/validation - single vehicle motion/docs/"/>
    </mc:Choice>
  </mc:AlternateContent>
  <xr:revisionPtr revIDLastSave="0" documentId="13_ncr:1_{20DD3F18-72EF-D641-A776-CEEA68CC8E5F}" xr6:coauthVersionLast="46" xr6:coauthVersionMax="46" xr10:uidLastSave="{00000000-0000-0000-0000-000000000000}"/>
  <bookViews>
    <workbookView xWindow="4900" yWindow="3020" windowWidth="37460" windowHeight="20800" xr2:uid="{E0D980B0-3EDE-4883-8BEE-1B06EFC1FF71}"/>
  </bookViews>
  <sheets>
    <sheet name="For HVE" sheetId="2" r:id="rId1"/>
    <sheet name="IPs From 2019 SAE Pub" sheetId="1" r:id="rId2"/>
  </sheets>
  <definedNames>
    <definedName name="_xlnm.Print_Area" localSheetId="0">'For HVE'!$A$1:$I$37</definedName>
    <definedName name="_xlnm.Print_Area" localSheetId="1">'IPs From 2019 SAE Pub'!$A$1:$D$48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C20" i="2"/>
  <c r="C21" i="2"/>
  <c r="C19" i="2"/>
  <c r="C12" i="2"/>
  <c r="C14" i="2"/>
  <c r="C15" i="2"/>
  <c r="C16" i="2"/>
  <c r="C17" i="2"/>
  <c r="C11" i="2"/>
  <c r="C50" i="2" l="1"/>
  <c r="C49" i="2"/>
  <c r="C46" i="2"/>
  <c r="C45" i="2"/>
  <c r="C41" i="2"/>
  <c r="C40" i="2"/>
  <c r="H33" i="2"/>
  <c r="H32" i="2"/>
  <c r="Q31" i="2"/>
  <c r="H31" i="2"/>
  <c r="Q30" i="2"/>
  <c r="H30" i="2"/>
  <c r="D29" i="2"/>
  <c r="C29" i="2"/>
  <c r="D28" i="2"/>
  <c r="C28" i="2"/>
  <c r="R24" i="2"/>
  <c r="G24" i="2"/>
  <c r="G26" i="2" s="1"/>
  <c r="Q34" i="2" s="1"/>
  <c r="Q35" i="2" s="1"/>
  <c r="R23" i="2"/>
  <c r="D23" i="2"/>
  <c r="C23" i="2"/>
  <c r="C48" i="2" s="1"/>
  <c r="R22" i="2"/>
  <c r="D22" i="2"/>
  <c r="C22" i="2"/>
  <c r="C47" i="2" s="1"/>
  <c r="R21" i="2"/>
  <c r="L20" i="2"/>
  <c r="M20" i="2" s="1"/>
  <c r="L19" i="2"/>
  <c r="M19" i="2" s="1"/>
  <c r="L18" i="2"/>
  <c r="M18" i="2" s="1"/>
  <c r="L17" i="2"/>
  <c r="N13" i="2"/>
  <c r="L13" i="2"/>
  <c r="M12" i="2"/>
  <c r="M13" i="2" s="1"/>
  <c r="Q11" i="2"/>
  <c r="M17" i="2" l="1"/>
  <c r="C12" i="1" l="1"/>
  <c r="C11" i="1" s="1"/>
  <c r="C15" i="1"/>
  <c r="C13" i="2" s="1"/>
  <c r="C24" i="1"/>
  <c r="C31" i="1"/>
  <c r="C32" i="1"/>
  <c r="C42" i="1"/>
  <c r="C45" i="1" s="1"/>
  <c r="C43" i="1"/>
  <c r="C46" i="1" s="1"/>
  <c r="C47" i="1" l="1"/>
  <c r="C42" i="2"/>
  <c r="G30" i="2"/>
  <c r="Q33" i="2" s="1"/>
  <c r="G32" i="2"/>
  <c r="Q37" i="2" s="1"/>
  <c r="G33" i="2"/>
  <c r="Q38" i="2" s="1"/>
  <c r="G31" i="2"/>
  <c r="Q36" i="2" s="1"/>
  <c r="C33" i="1"/>
  <c r="G13" i="2"/>
  <c r="G14" i="2" s="1"/>
  <c r="G27" i="2" s="1"/>
  <c r="G28" i="2" s="1"/>
  <c r="G29" i="2" s="1"/>
  <c r="D47" i="1"/>
  <c r="Q22" i="2" l="1"/>
  <c r="C43" i="2"/>
  <c r="Q23" i="2"/>
  <c r="Q24" i="2"/>
  <c r="Q21" i="2"/>
  <c r="Q28" i="2"/>
  <c r="Q29" i="2" s="1"/>
  <c r="S22" i="2"/>
  <c r="S24" i="2"/>
  <c r="C44" i="2"/>
  <c r="S21" i="2"/>
  <c r="Q39" i="2"/>
  <c r="S23" i="2"/>
  <c r="Q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19" authorId="0" shapeId="0" xr:uid="{E8E61576-1BC7-4A19-B245-7E4EF9393EBA}">
      <text>
        <r>
          <rPr>
            <b/>
            <sz val="8"/>
            <color indexed="81"/>
            <rFont val="Tahoma"/>
            <family val="2"/>
          </rPr>
          <t>Input Wheel Parameters into HVE first, then modify CG height and other parameters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Pentecost</author>
  </authors>
  <commentList>
    <comment ref="C20" authorId="0" shapeId="0" xr:uid="{C2D65F9C-4BD0-4402-8DDE-C63729ADF6E4}">
      <text>
        <r>
          <rPr>
            <b/>
            <sz val="9"/>
            <color indexed="81"/>
            <rFont val="Tahoma"/>
            <family val="2"/>
          </rPr>
          <t>David Pentecost:</t>
        </r>
        <r>
          <rPr>
            <sz val="9"/>
            <color indexed="81"/>
            <rFont val="Tahoma"/>
            <family val="2"/>
          </rPr>
          <t xml:space="preserve">
Runs 1,2,3,10,11,12</t>
        </r>
      </text>
    </comment>
  </commentList>
</comments>
</file>

<file path=xl/sharedStrings.xml><?xml version="1.0" encoding="utf-8"?>
<sst xmlns="http://schemas.openxmlformats.org/spreadsheetml/2006/main" count="179" uniqueCount="155">
  <si>
    <t>Total Offset - Weighted Average RW of Center (in)</t>
  </si>
  <si>
    <t>Average</t>
  </si>
  <si>
    <t>Rear CG Offset Rightward From Centerline (in)</t>
  </si>
  <si>
    <t>Front CG Offset Rightward From Centerline (in)</t>
  </si>
  <si>
    <t>Rear Total (lbs)</t>
  </si>
  <si>
    <t>Front Total Weight (lbs)</t>
  </si>
  <si>
    <t>Right Rear Tire (lbs)</t>
  </si>
  <si>
    <t>Left Rear Tire (lbs)</t>
  </si>
  <si>
    <t>Right Front Tire (lbs)</t>
  </si>
  <si>
    <t>Left Front Tire (lbs)</t>
  </si>
  <si>
    <t>CG Left of Centerline (in)</t>
  </si>
  <si>
    <t>CG from Front Axle (in)</t>
  </si>
  <si>
    <t>Tire - Width</t>
  </si>
  <si>
    <t>Tire - Nominal Outer Diameter</t>
  </si>
  <si>
    <r>
      <t>Wheel Diameter (xxx/xxR</t>
    </r>
    <r>
      <rPr>
        <b/>
        <sz val="12"/>
        <color indexed="10"/>
        <rFont val="Arial"/>
        <family val="2"/>
      </rPr>
      <t>xx</t>
    </r>
    <r>
      <rPr>
        <b/>
        <sz val="12"/>
        <rFont val="Arial"/>
        <family val="2"/>
      </rPr>
      <t>) (in)</t>
    </r>
  </si>
  <si>
    <r>
      <t>Tire Aspect Ratio (xxx/</t>
    </r>
    <r>
      <rPr>
        <b/>
        <sz val="12"/>
        <color indexed="10"/>
        <rFont val="Arial"/>
        <family val="2"/>
      </rPr>
      <t>xx</t>
    </r>
    <r>
      <rPr>
        <b/>
        <sz val="12"/>
        <rFont val="Arial"/>
        <family val="2"/>
      </rPr>
      <t>Rxx)</t>
    </r>
  </si>
  <si>
    <r>
      <t>Tire Width (</t>
    </r>
    <r>
      <rPr>
        <b/>
        <sz val="12"/>
        <color indexed="10"/>
        <rFont val="Arial"/>
        <family val="2"/>
      </rPr>
      <t>xxx</t>
    </r>
    <r>
      <rPr>
        <b/>
        <sz val="12"/>
        <rFont val="Arial"/>
        <family val="2"/>
      </rPr>
      <t>/xxRxx)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(mm)</t>
    </r>
  </si>
  <si>
    <t>Slope Contribution (g)</t>
  </si>
  <si>
    <t>Cross Slope (rad)</t>
  </si>
  <si>
    <t>Cross Slope (deg)</t>
  </si>
  <si>
    <t>Reserve Capacity (%)</t>
  </si>
  <si>
    <t>Disabled Tire Friction (g)</t>
  </si>
  <si>
    <t>Full Friction (g)</t>
  </si>
  <si>
    <t>-</t>
  </si>
  <si>
    <t>Cargo</t>
  </si>
  <si>
    <t>DK</t>
  </si>
  <si>
    <t>Driver</t>
  </si>
  <si>
    <t>Rear Track Width (in)</t>
  </si>
  <si>
    <t>Front Track Width (in)</t>
  </si>
  <si>
    <t>Front Overhang (in)</t>
  </si>
  <si>
    <t>Wheelbase (in)</t>
  </si>
  <si>
    <t>Overall Height (in)</t>
  </si>
  <si>
    <t>Overall Width (in)</t>
  </si>
  <si>
    <t>Overall Length (in)</t>
  </si>
  <si>
    <t>Front Axle Weight (lb)</t>
  </si>
  <si>
    <t>Front Weight Distribution (%)</t>
  </si>
  <si>
    <t>Total Weight (lb)</t>
  </si>
  <si>
    <t>2004 Test Malibu</t>
  </si>
  <si>
    <t>Vehicle</t>
  </si>
  <si>
    <t>Test Date</t>
  </si>
  <si>
    <t>SAE</t>
  </si>
  <si>
    <t>Inertial Parameter Calculations</t>
  </si>
  <si>
    <t>Vehicle Parameters</t>
  </si>
  <si>
    <t>Verification</t>
  </si>
  <si>
    <t>CDR Information</t>
  </si>
  <si>
    <t>Name</t>
  </si>
  <si>
    <t>Date</t>
  </si>
  <si>
    <t>Notes</t>
  </si>
  <si>
    <t>Completed</t>
  </si>
  <si>
    <t>Verified</t>
  </si>
  <si>
    <t>Update</t>
  </si>
  <si>
    <t>Dimensions</t>
  </si>
  <si>
    <t>Mass Properties</t>
  </si>
  <si>
    <t>Value</t>
  </si>
  <si>
    <t>Source</t>
  </si>
  <si>
    <t>Age Calculator</t>
  </si>
  <si>
    <t>Millimeters to inches conversion</t>
  </si>
  <si>
    <t>(10th decimal place)</t>
  </si>
  <si>
    <t>Overall Length [in.]</t>
  </si>
  <si>
    <t>Vehicle Type</t>
  </si>
  <si>
    <t>DOL</t>
  </si>
  <si>
    <t>Multiply millimeters by this value</t>
  </si>
  <si>
    <t>Overall Width [in.]</t>
  </si>
  <si>
    <t>Curb Weight [lb]</t>
  </si>
  <si>
    <t>DOB</t>
  </si>
  <si>
    <t>Information Sources</t>
  </si>
  <si>
    <t>Overall Height [in.]</t>
  </si>
  <si>
    <t>Front Axle Weight Distribution [%]</t>
  </si>
  <si>
    <t>Age [years]</t>
  </si>
  <si>
    <t>NIST Special Publication 1038</t>
  </si>
  <si>
    <t>Wheelbase [in.]</t>
  </si>
  <si>
    <t>Front Axle Curb Weight [lb]</t>
  </si>
  <si>
    <t>Front Overhang [in.]</t>
  </si>
  <si>
    <t>Contained Weight Distribution</t>
  </si>
  <si>
    <t>Front Track Width [in.]</t>
  </si>
  <si>
    <t>Area</t>
  </si>
  <si>
    <t>Front [%]</t>
  </si>
  <si>
    <t>Rear [%]</t>
  </si>
  <si>
    <t>Distance from Rear Axle [in.]</t>
  </si>
  <si>
    <t>Rear Track Width [in.]</t>
  </si>
  <si>
    <t>Front</t>
  </si>
  <si>
    <t>Front Tires</t>
  </si>
  <si>
    <t>Left (Brand)</t>
  </si>
  <si>
    <t>Right (Brand)</t>
  </si>
  <si>
    <t>Rear</t>
  </si>
  <si>
    <t>HVE Input Parameters</t>
  </si>
  <si>
    <r>
      <t>Tire Width (</t>
    </r>
    <r>
      <rPr>
        <b/>
        <sz val="12"/>
        <color indexed="10"/>
        <rFont val="Arial"/>
        <family val="2"/>
      </rPr>
      <t>xxx</t>
    </r>
    <r>
      <rPr>
        <b/>
        <sz val="12"/>
        <rFont val="Arial"/>
        <family val="2"/>
      </rPr>
      <t>/xxRxx) [mm]</t>
    </r>
  </si>
  <si>
    <t>3rd Row</t>
  </si>
  <si>
    <t>Wheel Location Parameters</t>
  </si>
  <si>
    <t>X [in.]</t>
  </si>
  <si>
    <t>Y [in.]</t>
  </si>
  <si>
    <t>Z [in.]</t>
  </si>
  <si>
    <r>
      <t>Wheel Diameter (xxx/xxR</t>
    </r>
    <r>
      <rPr>
        <b/>
        <sz val="12"/>
        <color indexed="10"/>
        <rFont val="Arial"/>
        <family val="2"/>
      </rPr>
      <t>xx</t>
    </r>
    <r>
      <rPr>
        <b/>
        <sz val="12"/>
        <rFont val="Arial"/>
        <family val="2"/>
      </rPr>
      <t>) [in.]</t>
    </r>
  </si>
  <si>
    <t>CG to Left Front</t>
  </si>
  <si>
    <t>Tire - Nominal Outer Diameter [in.]</t>
  </si>
  <si>
    <t>50th Percentile Weights (Non-Clothed)</t>
  </si>
  <si>
    <t>CG to Right Front</t>
  </si>
  <si>
    <t>Tire - Width [in.]</t>
  </si>
  <si>
    <t>Age</t>
  </si>
  <si>
    <t>Males [lbs]</t>
  </si>
  <si>
    <t>Females [lbs]</t>
  </si>
  <si>
    <t>CG to Left Rear</t>
  </si>
  <si>
    <t>Rear Tires</t>
  </si>
  <si>
    <t>Total Occupant Weight [lb]</t>
  </si>
  <si>
    <t>0-2 months</t>
  </si>
  <si>
    <t>CG to Right Rear</t>
  </si>
  <si>
    <t>Cargo [lb]</t>
  </si>
  <si>
    <t>3–5 months</t>
  </si>
  <si>
    <r>
      <t>Tire Aspect Ratio (xxx/</t>
    </r>
    <r>
      <rPr>
        <b/>
        <sz val="12"/>
        <color indexed="10"/>
        <rFont val="Arial"/>
        <family val="2"/>
      </rPr>
      <t>xx</t>
    </r>
    <r>
      <rPr>
        <b/>
        <sz val="12"/>
        <rFont val="Arial"/>
        <family val="2"/>
      </rPr>
      <t>Rxx) [%]</t>
    </r>
  </si>
  <si>
    <t>Total Vehicle Weight [lb]</t>
  </si>
  <si>
    <t>6–8 months</t>
  </si>
  <si>
    <t>Front Axle Loaded Weight [lb]</t>
  </si>
  <si>
    <t>9–11 months</t>
  </si>
  <si>
    <t>Ground Clearance [in.]</t>
  </si>
  <si>
    <t>Front Axle Load Ratio</t>
  </si>
  <si>
    <t>CG to Front [in.]</t>
  </si>
  <si>
    <t>CG from Front Axle [in.]</t>
  </si>
  <si>
    <t>CG to Rear [in.]</t>
  </si>
  <si>
    <t>CG Height [in.]</t>
  </si>
  <si>
    <t>CG to Left [in.]</t>
  </si>
  <si>
    <r>
      <t>Roll Moment of Inertia [lb-ft-sec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</si>
  <si>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t>CG to Right [in.]</t>
  </si>
  <si>
    <t>Manufacturer Specifications</t>
  </si>
  <si>
    <r>
      <t>Pitch Moment of Inertia [lb-ft-sec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</si>
  <si>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t>CG to Bottom [in.]</t>
  </si>
  <si>
    <t>Police Report / Medical Document</t>
  </si>
  <si>
    <r>
      <t>Yaw Moment of Inertia [lb-ft-sec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</si>
  <si>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t>CG to Top [in.]</t>
  </si>
  <si>
    <t>National Center for Health Statistics</t>
  </si>
  <si>
    <t>Kineticorp Inspection or Analysis</t>
  </si>
  <si>
    <r>
      <t>Total Vehicle Mass [lb-sec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/in]</t>
    </r>
  </si>
  <si>
    <t>SAE 970951 and SAE 2003-01-0966</t>
  </si>
  <si>
    <r>
      <t>Roll Moment of Inertia [lb-in-sec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</si>
  <si>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r>
      <t>Pitch Moment of Inertia [lb-in-sec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</si>
  <si>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r>
      <t>Yaw Moment of Inertia [lb-in-sec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>]</t>
    </r>
  </si>
  <si>
    <t>Vis Specifications</t>
  </si>
  <si>
    <t>Length [in.]</t>
  </si>
  <si>
    <t>Width [in.]</t>
  </si>
  <si>
    <t>Height [in.]</t>
  </si>
  <si>
    <t>CG Front Bumper [in.]</t>
  </si>
  <si>
    <t>Tire Radius [in.]</t>
  </si>
  <si>
    <t>20's</t>
  </si>
  <si>
    <t>Tire Width [in.]</t>
  </si>
  <si>
    <t>30's</t>
  </si>
  <si>
    <t>40's</t>
  </si>
  <si>
    <t>50's</t>
  </si>
  <si>
    <t>60's</t>
  </si>
  <si>
    <t>70's</t>
  </si>
  <si>
    <t>80+</t>
  </si>
  <si>
    <t>2004 Chevrolet Malibu</t>
  </si>
  <si>
    <t>Fwd-Car</t>
  </si>
  <si>
    <t xml:space="preserve">Dan </t>
  </si>
  <si>
    <t>CDR Supported - Yes</t>
  </si>
  <si>
    <t>VIN - 1G1ZU54854F135916</t>
  </si>
  <si>
    <t>3.5 Liter V6, 15.9:1 Steering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</si>
</sst>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54"/>
      <name val="Arial"/>
      <family val="2"/>
    </font>
    <font>
      <b/>
      <sz val="12"/>
      <color rgb="FF0000FF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6"/>
      <color rgb="FFFF0000"/>
      <name val="Arial"/>
      <family val="2"/>
    </font>
    <font>
      <b/>
      <i/>
      <sz val="12"/>
      <color rgb="FF0000FF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color rgb="FF0070C0"/>
      <name val="Arial"/>
      <family val="2"/>
    </font>
    <font>
      <b/>
      <sz val="13"/>
      <color indexed="10"/>
      <name val="Arial"/>
      <family val="2"/>
    </font>
    <font>
      <b/>
      <vertAlign val="superscript"/>
      <sz val="12"/>
      <name val="Arial"/>
      <family val="2"/>
    </font>
    <font>
      <sz val="10"/>
      <name val="Arial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23" fillId="0" borderId="0"/>
  </cellStyleXfs>
  <cellXfs count="199">
    <xf numFmtId="0" fontId="0" fillId="0" borderId="0" xfId="0"/>
    <xf numFmtId="0" fontId="3" fillId="0" borderId="0" xfId="2"/>
    <xf numFmtId="0" fontId="3" fillId="0" borderId="0" xfId="2" applyAlignment="1">
      <alignment wrapText="1"/>
    </xf>
    <xf numFmtId="164" fontId="0" fillId="0" borderId="0" xfId="0" applyNumberFormat="1"/>
    <xf numFmtId="0" fontId="3" fillId="0" borderId="0" xfId="2" applyAlignment="1">
      <alignment horizontal="right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2" applyAlignment="1">
      <alignment horizontal="left" vertical="center" wrapText="1"/>
    </xf>
    <xf numFmtId="0" fontId="4" fillId="0" borderId="0" xfId="2" applyFont="1" applyAlignment="1">
      <alignment horizontal="center" vertical="center" wrapText="1"/>
    </xf>
    <xf numFmtId="164" fontId="5" fillId="2" borderId="1" xfId="2" applyNumberFormat="1" applyFont="1" applyFill="1" applyBorder="1" applyAlignment="1">
      <alignment horizontal="center"/>
    </xf>
    <xf numFmtId="0" fontId="6" fillId="3" borderId="3" xfId="2" applyFont="1" applyFill="1" applyBorder="1" applyAlignment="1">
      <alignment horizontal="right" wrapText="1"/>
    </xf>
    <xf numFmtId="164" fontId="5" fillId="2" borderId="5" xfId="2" applyNumberFormat="1" applyFont="1" applyFill="1" applyBorder="1" applyAlignment="1">
      <alignment horizontal="center"/>
    </xf>
    <xf numFmtId="0" fontId="6" fillId="3" borderId="6" xfId="2" applyFont="1" applyFill="1" applyBorder="1" applyAlignment="1">
      <alignment horizontal="right" wrapText="1"/>
    </xf>
    <xf numFmtId="0" fontId="3" fillId="0" borderId="0" xfId="2" applyAlignment="1">
      <alignment horizontal="center"/>
    </xf>
    <xf numFmtId="0" fontId="6" fillId="3" borderId="6" xfId="2" applyFont="1" applyFill="1" applyBorder="1" applyAlignment="1">
      <alignment horizontal="right"/>
    </xf>
    <xf numFmtId="0" fontId="5" fillId="4" borderId="5" xfId="2" applyFont="1" applyFill="1" applyBorder="1" applyAlignment="1">
      <alignment horizontal="center"/>
    </xf>
    <xf numFmtId="164" fontId="3" fillId="0" borderId="0" xfId="2" applyNumberFormat="1"/>
    <xf numFmtId="164" fontId="5" fillId="4" borderId="5" xfId="2" applyNumberFormat="1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 vertical="center" wrapText="1"/>
    </xf>
    <xf numFmtId="14" fontId="9" fillId="0" borderId="9" xfId="2" applyNumberFormat="1" applyFont="1" applyBorder="1" applyAlignment="1">
      <alignment horizontal="center" wrapText="1"/>
    </xf>
    <xf numFmtId="0" fontId="6" fillId="3" borderId="11" xfId="2" applyFont="1" applyFill="1" applyBorder="1" applyAlignment="1">
      <alignment horizontal="right" wrapText="1"/>
    </xf>
    <xf numFmtId="0" fontId="10" fillId="0" borderId="0" xfId="2" applyFont="1"/>
    <xf numFmtId="0" fontId="3" fillId="0" borderId="0" xfId="2" applyAlignment="1">
      <alignment horizontal="center" wrapText="1"/>
    </xf>
    <xf numFmtId="10" fontId="5" fillId="2" borderId="5" xfId="3" applyNumberFormat="1" applyFont="1" applyFill="1" applyBorder="1" applyAlignment="1">
      <alignment horizontal="center"/>
    </xf>
    <xf numFmtId="0" fontId="5" fillId="2" borderId="5" xfId="2" applyFont="1" applyFill="1" applyBorder="1" applyAlignment="1">
      <alignment horizontal="center"/>
    </xf>
    <xf numFmtId="165" fontId="5" fillId="2" borderId="5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3" fillId="0" borderId="0" xfId="4" applyFont="1" applyAlignment="1">
      <alignment horizontal="center" vertical="center"/>
    </xf>
    <xf numFmtId="164" fontId="9" fillId="4" borderId="21" xfId="4" applyNumberFormat="1" applyFont="1" applyFill="1" applyBorder="1" applyAlignment="1">
      <alignment horizontal="center" vertical="center" wrapText="1"/>
    </xf>
    <xf numFmtId="0" fontId="6" fillId="4" borderId="22" xfId="4" applyFont="1" applyFill="1" applyBorder="1" applyAlignment="1">
      <alignment horizontal="center" vertical="center" wrapText="1"/>
    </xf>
    <xf numFmtId="0" fontId="6" fillId="4" borderId="12" xfId="4" applyFont="1" applyFill="1" applyBorder="1" applyAlignment="1">
      <alignment horizontal="center" vertical="center" wrapText="1"/>
    </xf>
    <xf numFmtId="0" fontId="9" fillId="0" borderId="0" xfId="5" applyFont="1" applyAlignment="1">
      <alignment horizontal="center" vertical="center"/>
    </xf>
    <xf numFmtId="0" fontId="5" fillId="4" borderId="8" xfId="4" applyFont="1" applyFill="1" applyBorder="1" applyAlignment="1">
      <alignment horizontal="center" vertical="center" wrapText="1"/>
    </xf>
    <xf numFmtId="164" fontId="9" fillId="4" borderId="23" xfId="4" applyNumberFormat="1" applyFont="1" applyFill="1" applyBorder="1" applyAlignment="1">
      <alignment horizontal="center" vertical="center" wrapText="1"/>
    </xf>
    <xf numFmtId="14" fontId="9" fillId="4" borderId="23" xfId="4" applyNumberFormat="1" applyFont="1" applyFill="1" applyBorder="1" applyAlignment="1">
      <alignment horizontal="center" vertical="center" wrapText="1"/>
    </xf>
    <xf numFmtId="164" fontId="9" fillId="4" borderId="7" xfId="4" applyNumberFormat="1" applyFont="1" applyFill="1" applyBorder="1" applyAlignment="1">
      <alignment horizontal="center" vertical="center" wrapText="1"/>
    </xf>
    <xf numFmtId="0" fontId="6" fillId="4" borderId="8" xfId="4" applyFont="1" applyFill="1" applyBorder="1" applyAlignment="1">
      <alignment horizontal="center" vertical="center" wrapText="1"/>
    </xf>
    <xf numFmtId="0" fontId="6" fillId="4" borderId="24" xfId="4" applyFont="1" applyFill="1" applyBorder="1" applyAlignment="1">
      <alignment horizontal="center" vertical="center" wrapText="1"/>
    </xf>
    <xf numFmtId="164" fontId="9" fillId="4" borderId="14" xfId="4" applyNumberFormat="1" applyFont="1" applyFill="1" applyBorder="1" applyAlignment="1">
      <alignment horizontal="center" vertical="center" wrapText="1"/>
    </xf>
    <xf numFmtId="14" fontId="9" fillId="4" borderId="14" xfId="4" applyNumberFormat="1" applyFont="1" applyFill="1" applyBorder="1" applyAlignment="1">
      <alignment horizontal="center" vertical="center" wrapText="1"/>
    </xf>
    <xf numFmtId="164" fontId="9" fillId="4" borderId="25" xfId="4" applyNumberFormat="1" applyFont="1" applyFill="1" applyBorder="1" applyAlignment="1">
      <alignment horizontal="center" vertical="center" wrapText="1"/>
    </xf>
    <xf numFmtId="0" fontId="16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6" fillId="2" borderId="21" xfId="5" applyFont="1" applyFill="1" applyBorder="1" applyAlignment="1">
      <alignment horizontal="center" vertical="center" wrapText="1"/>
    </xf>
    <xf numFmtId="0" fontId="6" fillId="2" borderId="22" xfId="5" applyFont="1" applyFill="1" applyBorder="1" applyAlignment="1">
      <alignment horizontal="center" vertical="center" wrapText="1"/>
    </xf>
    <xf numFmtId="0" fontId="6" fillId="2" borderId="12" xfId="5" applyFont="1" applyFill="1" applyBorder="1" applyAlignment="1">
      <alignment horizontal="center" vertical="center" wrapText="1"/>
    </xf>
    <xf numFmtId="0" fontId="9" fillId="2" borderId="21" xfId="5" applyFont="1" applyFill="1" applyBorder="1" applyAlignment="1">
      <alignment horizontal="center" vertical="center" wrapText="1"/>
    </xf>
    <xf numFmtId="0" fontId="9" fillId="0" borderId="9" xfId="4" applyFont="1" applyBorder="1" applyAlignment="1">
      <alignment horizontal="center" vertical="center"/>
    </xf>
    <xf numFmtId="0" fontId="13" fillId="0" borderId="13" xfId="4" applyFont="1" applyBorder="1" applyAlignment="1">
      <alignment horizontal="center" vertical="center"/>
    </xf>
    <xf numFmtId="0" fontId="6" fillId="2" borderId="8" xfId="5" applyFont="1" applyFill="1" applyBorder="1" applyAlignment="1">
      <alignment horizontal="right" vertical="center" wrapText="1"/>
    </xf>
    <xf numFmtId="164" fontId="5" fillId="4" borderId="23" xfId="5" applyNumberFormat="1" applyFont="1" applyFill="1" applyBorder="1" applyAlignment="1">
      <alignment horizontal="center" vertical="center"/>
    </xf>
    <xf numFmtId="0" fontId="5" fillId="4" borderId="7" xfId="5" applyFont="1" applyFill="1" applyBorder="1" applyAlignment="1">
      <alignment horizontal="center" vertical="center"/>
    </xf>
    <xf numFmtId="0" fontId="6" fillId="2" borderId="24" xfId="5" applyFont="1" applyFill="1" applyBorder="1" applyAlignment="1">
      <alignment horizontal="right" vertical="center" wrapText="1"/>
    </xf>
    <xf numFmtId="0" fontId="5" fillId="4" borderId="14" xfId="5" applyFont="1" applyFill="1" applyBorder="1" applyAlignment="1">
      <alignment horizontal="center" vertical="center"/>
    </xf>
    <xf numFmtId="0" fontId="5" fillId="4" borderId="25" xfId="5" applyFont="1" applyFill="1" applyBorder="1" applyAlignment="1">
      <alignment horizontal="center" vertical="center"/>
    </xf>
    <xf numFmtId="0" fontId="6" fillId="3" borderId="21" xfId="4" applyFont="1" applyFill="1" applyBorder="1" applyAlignment="1">
      <alignment horizontal="center" vertical="center" wrapText="1"/>
    </xf>
    <xf numFmtId="0" fontId="13" fillId="2" borderId="5" xfId="4" applyFont="1" applyFill="1" applyBorder="1" applyAlignment="1">
      <alignment horizontal="center" vertical="center"/>
    </xf>
    <xf numFmtId="166" fontId="13" fillId="0" borderId="33" xfId="4" applyNumberFormat="1" applyFont="1" applyBorder="1" applyAlignment="1">
      <alignment horizontal="center" vertical="center"/>
    </xf>
    <xf numFmtId="0" fontId="6" fillId="2" borderId="34" xfId="5" applyFont="1" applyFill="1" applyBorder="1" applyAlignment="1">
      <alignment horizontal="right" vertical="center" wrapText="1"/>
    </xf>
    <xf numFmtId="1" fontId="5" fillId="5" borderId="23" xfId="5" applyNumberFormat="1" applyFont="1" applyFill="1" applyBorder="1" applyAlignment="1">
      <alignment horizontal="center" vertical="center"/>
    </xf>
    <xf numFmtId="0" fontId="5" fillId="4" borderId="35" xfId="5" applyFont="1" applyFill="1" applyBorder="1" applyAlignment="1">
      <alignment horizontal="center" vertical="center"/>
    </xf>
    <xf numFmtId="0" fontId="6" fillId="3" borderId="8" xfId="4" applyFont="1" applyFill="1" applyBorder="1" applyAlignment="1">
      <alignment horizontal="center" vertical="center" wrapText="1"/>
    </xf>
    <xf numFmtId="14" fontId="6" fillId="4" borderId="23" xfId="4" applyNumberFormat="1" applyFont="1" applyFill="1" applyBorder="1" applyAlignment="1">
      <alignment horizontal="center" vertical="center" wrapText="1"/>
    </xf>
    <xf numFmtId="14" fontId="6" fillId="4" borderId="7" xfId="4" applyNumberFormat="1" applyFont="1" applyFill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center"/>
    </xf>
    <xf numFmtId="9" fontId="5" fillId="5" borderId="23" xfId="3" applyFont="1" applyFill="1" applyBorder="1" applyAlignment="1">
      <alignment horizontal="center" vertical="center"/>
    </xf>
    <xf numFmtId="0" fontId="6" fillId="3" borderId="24" xfId="4" applyFont="1" applyFill="1" applyBorder="1" applyAlignment="1">
      <alignment horizontal="center" vertical="center" wrapText="1"/>
    </xf>
    <xf numFmtId="1" fontId="6" fillId="3" borderId="14" xfId="4" applyNumberFormat="1" applyFont="1" applyFill="1" applyBorder="1" applyAlignment="1">
      <alignment horizontal="center" vertical="center" wrapText="1"/>
    </xf>
    <xf numFmtId="1" fontId="6" fillId="3" borderId="25" xfId="4" applyNumberFormat="1" applyFont="1" applyFill="1" applyBorder="1" applyAlignment="1">
      <alignment horizontal="center" vertical="center" wrapText="1"/>
    </xf>
    <xf numFmtId="1" fontId="13" fillId="0" borderId="0" xfId="4" applyNumberFormat="1" applyFont="1" applyAlignment="1">
      <alignment horizontal="center" vertical="center"/>
    </xf>
    <xf numFmtId="0" fontId="13" fillId="2" borderId="36" xfId="4" applyFont="1" applyFill="1" applyBorder="1" applyAlignment="1">
      <alignment horizontal="center" vertical="center"/>
    </xf>
    <xf numFmtId="1" fontId="5" fillId="2" borderId="14" xfId="5" applyNumberFormat="1" applyFont="1" applyFill="1" applyBorder="1" applyAlignment="1">
      <alignment horizontal="center" vertical="center" wrapText="1"/>
    </xf>
    <xf numFmtId="0" fontId="5" fillId="2" borderId="25" xfId="5" applyFont="1" applyFill="1" applyBorder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5" fillId="2" borderId="21" xfId="5" applyFont="1" applyFill="1" applyBorder="1" applyAlignment="1">
      <alignment horizontal="right" vertical="center" wrapText="1"/>
    </xf>
    <xf numFmtId="0" fontId="5" fillId="4" borderId="23" xfId="5" applyFont="1" applyFill="1" applyBorder="1" applyAlignment="1">
      <alignment horizontal="center" vertical="center"/>
    </xf>
    <xf numFmtId="0" fontId="5" fillId="4" borderId="12" xfId="5" applyFont="1" applyFill="1" applyBorder="1" applyAlignment="1">
      <alignment horizontal="center" vertical="center"/>
    </xf>
    <xf numFmtId="0" fontId="5" fillId="2" borderId="34" xfId="5" applyFont="1" applyFill="1" applyBorder="1" applyAlignment="1">
      <alignment horizontal="right" vertical="center" wrapText="1"/>
    </xf>
    <xf numFmtId="0" fontId="6" fillId="0" borderId="21" xfId="5" applyFont="1" applyBorder="1" applyAlignment="1">
      <alignment horizontal="center" vertical="center"/>
    </xf>
    <xf numFmtId="0" fontId="6" fillId="0" borderId="22" xfId="5" applyFont="1" applyBorder="1" applyAlignment="1">
      <alignment horizontal="center" vertical="center"/>
    </xf>
    <xf numFmtId="0" fontId="6" fillId="0" borderId="12" xfId="4" applyFont="1" applyBorder="1" applyAlignment="1">
      <alignment horizontal="left" vertical="center"/>
    </xf>
    <xf numFmtId="0" fontId="6" fillId="2" borderId="37" xfId="5" applyFont="1" applyFill="1" applyBorder="1" applyAlignment="1">
      <alignment horizontal="right" vertical="center" wrapText="1"/>
    </xf>
    <xf numFmtId="0" fontId="5" fillId="4" borderId="38" xfId="5" applyFont="1" applyFill="1" applyBorder="1" applyAlignment="1">
      <alignment horizontal="center" vertical="center"/>
    </xf>
    <xf numFmtId="0" fontId="5" fillId="2" borderId="8" xfId="5" applyFont="1" applyFill="1" applyBorder="1" applyAlignment="1">
      <alignment horizontal="right" vertical="center" wrapText="1"/>
    </xf>
    <xf numFmtId="1" fontId="5" fillId="4" borderId="23" xfId="5" applyNumberFormat="1" applyFont="1" applyFill="1" applyBorder="1" applyAlignment="1">
      <alignment horizontal="center" vertical="center"/>
    </xf>
    <xf numFmtId="9" fontId="5" fillId="2" borderId="23" xfId="6" applyFont="1" applyFill="1" applyBorder="1" applyAlignment="1">
      <alignment horizontal="center" vertical="center" wrapText="1"/>
    </xf>
    <xf numFmtId="9" fontId="5" fillId="3" borderId="23" xfId="6" applyFont="1" applyFill="1" applyBorder="1" applyAlignment="1">
      <alignment horizontal="center" vertical="center" wrapText="1"/>
    </xf>
    <xf numFmtId="0" fontId="6" fillId="2" borderId="21" xfId="5" applyFont="1" applyFill="1" applyBorder="1" applyAlignment="1">
      <alignment horizontal="right" vertical="center" wrapText="1"/>
    </xf>
    <xf numFmtId="0" fontId="6" fillId="2" borderId="22" xfId="5" applyFont="1" applyFill="1" applyBorder="1" applyAlignment="1">
      <alignment horizontal="center" vertical="center"/>
    </xf>
    <xf numFmtId="0" fontId="6" fillId="2" borderId="12" xfId="5" applyFont="1" applyFill="1" applyBorder="1" applyAlignment="1">
      <alignment horizontal="center" vertical="center"/>
    </xf>
    <xf numFmtId="9" fontId="5" fillId="2" borderId="14" xfId="6" applyFont="1" applyFill="1" applyBorder="1" applyAlignment="1">
      <alignment horizontal="center" vertical="center" wrapText="1"/>
    </xf>
    <xf numFmtId="9" fontId="5" fillId="3" borderId="14" xfId="6" applyFont="1" applyFill="1" applyBorder="1" applyAlignment="1">
      <alignment horizontal="center" vertical="center" wrapText="1"/>
    </xf>
    <xf numFmtId="0" fontId="2" fillId="0" borderId="39" xfId="4" applyFont="1" applyBorder="1" applyAlignment="1">
      <alignment horizontal="center" vertical="center" wrapText="1"/>
    </xf>
    <xf numFmtId="164" fontId="6" fillId="2" borderId="40" xfId="4" applyNumberFormat="1" applyFont="1" applyFill="1" applyBorder="1" applyAlignment="1">
      <alignment horizontal="center" vertical="center" wrapText="1"/>
    </xf>
    <xf numFmtId="164" fontId="6" fillId="2" borderId="35" xfId="4" applyNumberFormat="1" applyFont="1" applyFill="1" applyBorder="1" applyAlignment="1">
      <alignment horizontal="center" vertical="center" wrapText="1"/>
    </xf>
    <xf numFmtId="0" fontId="6" fillId="2" borderId="8" xfId="4" applyFont="1" applyFill="1" applyBorder="1" applyAlignment="1">
      <alignment horizontal="right" vertical="center" wrapText="1"/>
    </xf>
    <xf numFmtId="164" fontId="9" fillId="2" borderId="23" xfId="4" applyNumberFormat="1" applyFont="1" applyFill="1" applyBorder="1" applyAlignment="1">
      <alignment horizontal="center" vertical="center" wrapText="1"/>
    </xf>
    <xf numFmtId="164" fontId="9" fillId="2" borderId="7" xfId="4" applyNumberFormat="1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right" vertical="center"/>
    </xf>
    <xf numFmtId="164" fontId="6" fillId="2" borderId="23" xfId="5" applyNumberFormat="1" applyFont="1" applyFill="1" applyBorder="1" applyAlignment="1">
      <alignment horizontal="center" vertical="center"/>
    </xf>
    <xf numFmtId="164" fontId="6" fillId="2" borderId="7" xfId="5" applyNumberFormat="1" applyFont="1" applyFill="1" applyBorder="1" applyAlignment="1">
      <alignment horizontal="center" vertical="center"/>
    </xf>
    <xf numFmtId="164" fontId="9" fillId="2" borderId="23" xfId="4" applyNumberFormat="1" applyFont="1" applyFill="1" applyBorder="1" applyAlignment="1">
      <alignment horizontal="center" vertical="center"/>
    </xf>
    <xf numFmtId="0" fontId="6" fillId="2" borderId="37" xfId="5" applyFont="1" applyFill="1" applyBorder="1" applyAlignment="1">
      <alignment horizontal="right" vertical="center"/>
    </xf>
    <xf numFmtId="164" fontId="6" fillId="2" borderId="41" xfId="5" applyNumberFormat="1" applyFont="1" applyFill="1" applyBorder="1" applyAlignment="1">
      <alignment horizontal="center" vertical="center"/>
    </xf>
    <xf numFmtId="164" fontId="6" fillId="2" borderId="38" xfId="5" applyNumberFormat="1" applyFont="1" applyFill="1" applyBorder="1" applyAlignment="1">
      <alignment horizontal="center" vertical="center"/>
    </xf>
    <xf numFmtId="0" fontId="13" fillId="2" borderId="8" xfId="4" applyFont="1" applyFill="1" applyBorder="1" applyAlignment="1">
      <alignment horizontal="center" vertical="center"/>
    </xf>
    <xf numFmtId="0" fontId="13" fillId="2" borderId="23" xfId="4" applyFont="1" applyFill="1" applyBorder="1" applyAlignment="1">
      <alignment horizontal="center" vertical="center"/>
    </xf>
    <xf numFmtId="0" fontId="13" fillId="2" borderId="7" xfId="4" applyFont="1" applyFill="1" applyBorder="1" applyAlignment="1">
      <alignment horizontal="center" vertical="center"/>
    </xf>
    <xf numFmtId="1" fontId="6" fillId="2" borderId="14" xfId="5" applyNumberFormat="1" applyFont="1" applyFill="1" applyBorder="1" applyAlignment="1">
      <alignment horizontal="center" vertical="center" wrapText="1"/>
    </xf>
    <xf numFmtId="0" fontId="20" fillId="2" borderId="25" xfId="5" applyFont="1" applyFill="1" applyBorder="1" applyAlignment="1">
      <alignment horizontal="center" vertical="center" wrapText="1"/>
    </xf>
    <xf numFmtId="1" fontId="13" fillId="2" borderId="23" xfId="4" applyNumberFormat="1" applyFont="1" applyFill="1" applyBorder="1" applyAlignment="1">
      <alignment horizontal="center" vertical="center"/>
    </xf>
    <xf numFmtId="1" fontId="13" fillId="2" borderId="7" xfId="4" applyNumberFormat="1" applyFont="1" applyFill="1" applyBorder="1" applyAlignment="1">
      <alignment horizontal="center" vertical="center"/>
    </xf>
    <xf numFmtId="0" fontId="6" fillId="2" borderId="24" xfId="4" applyFont="1" applyFill="1" applyBorder="1" applyAlignment="1">
      <alignment horizontal="right" vertical="center" wrapText="1"/>
    </xf>
    <xf numFmtId="164" fontId="9" fillId="2" borderId="14" xfId="4" applyNumberFormat="1" applyFont="1" applyFill="1" applyBorder="1" applyAlignment="1">
      <alignment horizontal="center" vertical="center"/>
    </xf>
    <xf numFmtId="164" fontId="9" fillId="2" borderId="25" xfId="4" applyNumberFormat="1" applyFont="1" applyFill="1" applyBorder="1" applyAlignment="1">
      <alignment horizontal="center" vertical="center" wrapText="1"/>
    </xf>
    <xf numFmtId="0" fontId="6" fillId="2" borderId="18" xfId="5" applyFont="1" applyFill="1" applyBorder="1" applyAlignment="1">
      <alignment horizontal="right" vertical="center" wrapText="1"/>
    </xf>
    <xf numFmtId="1" fontId="5" fillId="4" borderId="19" xfId="5" applyNumberFormat="1" applyFont="1" applyFill="1" applyBorder="1" applyAlignment="1">
      <alignment horizontal="center" vertical="center"/>
    </xf>
    <xf numFmtId="0" fontId="5" fillId="4" borderId="20" xfId="5" applyFont="1" applyFill="1" applyBorder="1" applyAlignment="1">
      <alignment horizontal="center" vertical="center"/>
    </xf>
    <xf numFmtId="0" fontId="2" fillId="0" borderId="39" xfId="4" applyFont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6" fillId="0" borderId="42" xfId="4" applyFont="1" applyBorder="1" applyAlignment="1">
      <alignment horizontal="center" vertical="center" wrapText="1"/>
    </xf>
    <xf numFmtId="1" fontId="6" fillId="2" borderId="22" xfId="5" applyNumberFormat="1" applyFont="1" applyFill="1" applyBorder="1" applyAlignment="1">
      <alignment horizontal="center" vertical="center" wrapText="1"/>
    </xf>
    <xf numFmtId="0" fontId="2" fillId="0" borderId="42" xfId="4" applyFont="1" applyBorder="1" applyAlignment="1">
      <alignment horizontal="center" vertical="center"/>
    </xf>
    <xf numFmtId="1" fontId="6" fillId="2" borderId="23" xfId="5" applyNumberFormat="1" applyFont="1" applyFill="1" applyBorder="1" applyAlignment="1">
      <alignment horizontal="center" vertical="center" wrapText="1"/>
    </xf>
    <xf numFmtId="1" fontId="6" fillId="2" borderId="7" xfId="5" applyNumberFormat="1" applyFont="1" applyFill="1" applyBorder="1" applyAlignment="1">
      <alignment horizontal="center" vertical="center" wrapText="1"/>
    </xf>
    <xf numFmtId="0" fontId="6" fillId="4" borderId="34" xfId="4" applyFont="1" applyFill="1" applyBorder="1" applyAlignment="1">
      <alignment horizontal="right" vertical="center" wrapText="1"/>
    </xf>
    <xf numFmtId="2" fontId="6" fillId="2" borderId="23" xfId="5" applyNumberFormat="1" applyFont="1" applyFill="1" applyBorder="1" applyAlignment="1">
      <alignment horizontal="center" vertical="center" wrapText="1"/>
    </xf>
    <xf numFmtId="2" fontId="6" fillId="2" borderId="7" xfId="5" applyNumberFormat="1" applyFont="1" applyFill="1" applyBorder="1" applyAlignment="1">
      <alignment horizontal="center" vertical="center" wrapText="1"/>
    </xf>
    <xf numFmtId="0" fontId="6" fillId="2" borderId="24" xfId="5" applyFont="1" applyFill="1" applyBorder="1" applyAlignment="1">
      <alignment horizontal="right" vertical="center"/>
    </xf>
    <xf numFmtId="164" fontId="6" fillId="2" borderId="14" xfId="5" applyNumberFormat="1" applyFont="1" applyFill="1" applyBorder="1" applyAlignment="1">
      <alignment horizontal="center" vertical="center"/>
    </xf>
    <xf numFmtId="164" fontId="6" fillId="2" borderId="25" xfId="5" applyNumberFormat="1" applyFont="1" applyFill="1" applyBorder="1" applyAlignment="1">
      <alignment horizontal="center" vertical="center"/>
    </xf>
    <xf numFmtId="164" fontId="6" fillId="2" borderId="23" xfId="5" applyNumberFormat="1" applyFont="1" applyFill="1" applyBorder="1" applyAlignment="1">
      <alignment horizontal="center" vertical="center" wrapText="1"/>
    </xf>
    <xf numFmtId="164" fontId="6" fillId="2" borderId="7" xfId="5" applyNumberFormat="1" applyFont="1" applyFill="1" applyBorder="1" applyAlignment="1">
      <alignment horizontal="center" vertical="center" wrapText="1"/>
    </xf>
    <xf numFmtId="164" fontId="9" fillId="2" borderId="7" xfId="4" applyNumberFormat="1" applyFont="1" applyFill="1" applyBorder="1" applyAlignment="1">
      <alignment horizontal="center" vertical="center"/>
    </xf>
    <xf numFmtId="0" fontId="2" fillId="0" borderId="42" xfId="4" applyFont="1" applyBorder="1" applyAlignment="1">
      <alignment horizontal="center" vertical="center" wrapText="1"/>
    </xf>
    <xf numFmtId="0" fontId="6" fillId="2" borderId="35" xfId="5" applyFont="1" applyFill="1" applyBorder="1" applyAlignment="1">
      <alignment horizontal="center" vertical="center" wrapText="1"/>
    </xf>
    <xf numFmtId="1" fontId="6" fillId="2" borderId="25" xfId="5" applyNumberFormat="1" applyFont="1" applyFill="1" applyBorder="1" applyAlignment="1">
      <alignment horizontal="center" vertical="center" wrapText="1"/>
    </xf>
    <xf numFmtId="164" fontId="9" fillId="2" borderId="25" xfId="4" applyNumberFormat="1" applyFont="1" applyFill="1" applyBorder="1" applyAlignment="1">
      <alignment horizontal="center" vertical="center"/>
    </xf>
    <xf numFmtId="0" fontId="23" fillId="0" borderId="0" xfId="7"/>
    <xf numFmtId="0" fontId="6" fillId="2" borderId="21" xfId="4" applyFont="1" applyFill="1" applyBorder="1" applyAlignment="1">
      <alignment horizontal="right" vertical="center" wrapText="1"/>
    </xf>
    <xf numFmtId="164" fontId="9" fillId="2" borderId="12" xfId="4" applyNumberFormat="1" applyFont="1" applyFill="1" applyBorder="1" applyAlignment="1">
      <alignment horizontal="center" vertical="center"/>
    </xf>
    <xf numFmtId="2" fontId="9" fillId="2" borderId="7" xfId="4" applyNumberFormat="1" applyFont="1" applyFill="1" applyBorder="1" applyAlignment="1">
      <alignment horizontal="center" vertical="center"/>
    </xf>
    <xf numFmtId="0" fontId="6" fillId="2" borderId="4" xfId="5" applyFont="1" applyFill="1" applyBorder="1" applyAlignment="1">
      <alignment horizontal="center" vertical="center" wrapText="1"/>
    </xf>
    <xf numFmtId="2" fontId="9" fillId="2" borderId="25" xfId="4" applyNumberFormat="1" applyFont="1" applyFill="1" applyBorder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43" xfId="4" applyFont="1" applyBorder="1" applyAlignment="1">
      <alignment horizontal="center" vertical="center" wrapText="1"/>
    </xf>
    <xf numFmtId="0" fontId="6" fillId="2" borderId="21" xfId="5" applyFont="1" applyFill="1" applyBorder="1" applyAlignment="1">
      <alignment horizontal="right"/>
    </xf>
    <xf numFmtId="164" fontId="6" fillId="2" borderId="12" xfId="5" applyNumberFormat="1" applyFont="1" applyFill="1" applyBorder="1" applyAlignment="1">
      <alignment horizontal="center"/>
    </xf>
    <xf numFmtId="0" fontId="6" fillId="2" borderId="8" xfId="5" applyFont="1" applyFill="1" applyBorder="1" applyAlignment="1">
      <alignment horizontal="right"/>
    </xf>
    <xf numFmtId="164" fontId="6" fillId="2" borderId="7" xfId="5" applyNumberFormat="1" applyFont="1" applyFill="1" applyBorder="1" applyAlignment="1">
      <alignment horizontal="center"/>
    </xf>
    <xf numFmtId="0" fontId="6" fillId="2" borderId="24" xfId="5" applyFont="1" applyFill="1" applyBorder="1" applyAlignment="1">
      <alignment horizontal="right"/>
    </xf>
    <xf numFmtId="164" fontId="6" fillId="2" borderId="25" xfId="5" applyNumberFormat="1" applyFont="1" applyFill="1" applyBorder="1" applyAlignment="1">
      <alignment horizontal="center"/>
    </xf>
    <xf numFmtId="0" fontId="13" fillId="2" borderId="24" xfId="4" applyFont="1" applyFill="1" applyBorder="1" applyAlignment="1">
      <alignment horizontal="center" vertical="center"/>
    </xf>
    <xf numFmtId="1" fontId="13" fillId="2" borderId="14" xfId="4" applyNumberFormat="1" applyFont="1" applyFill="1" applyBorder="1" applyAlignment="1">
      <alignment horizontal="center" vertical="center"/>
    </xf>
    <xf numFmtId="1" fontId="13" fillId="2" borderId="25" xfId="4" applyNumberFormat="1" applyFont="1" applyFill="1" applyBorder="1" applyAlignment="1">
      <alignment horizontal="center" vertical="center"/>
    </xf>
    <xf numFmtId="164" fontId="13" fillId="0" borderId="0" xfId="4" applyNumberFormat="1" applyFont="1" applyAlignment="1">
      <alignment horizontal="center" vertical="center"/>
    </xf>
    <xf numFmtId="164" fontId="9" fillId="4" borderId="35" xfId="4" applyNumberFormat="1" applyFont="1" applyFill="1" applyBorder="1" applyAlignment="1">
      <alignment horizontal="center" vertical="center"/>
    </xf>
    <xf numFmtId="0" fontId="6" fillId="2" borderId="21" xfId="5" applyFont="1" applyFill="1" applyBorder="1" applyAlignment="1">
      <alignment horizontal="center" vertical="center" wrapText="1"/>
    </xf>
    <xf numFmtId="0" fontId="6" fillId="2" borderId="22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6" fillId="2" borderId="23" xfId="5" applyFont="1" applyFill="1" applyBorder="1" applyAlignment="1">
      <alignment horizontal="center" vertical="center" wrapText="1"/>
    </xf>
    <xf numFmtId="0" fontId="6" fillId="2" borderId="24" xfId="5" applyFont="1" applyFill="1" applyBorder="1" applyAlignment="1">
      <alignment horizontal="center" vertical="center" wrapText="1"/>
    </xf>
    <xf numFmtId="0" fontId="6" fillId="2" borderId="14" xfId="5" applyFont="1" applyFill="1" applyBorder="1" applyAlignment="1">
      <alignment horizontal="center" vertical="center" wrapText="1"/>
    </xf>
    <xf numFmtId="0" fontId="16" fillId="0" borderId="15" xfId="5" applyFont="1" applyBorder="1" applyAlignment="1">
      <alignment horizontal="center"/>
    </xf>
    <xf numFmtId="0" fontId="16" fillId="0" borderId="17" xfId="5" applyFont="1" applyBorder="1" applyAlignment="1">
      <alignment horizontal="center"/>
    </xf>
    <xf numFmtId="0" fontId="9" fillId="0" borderId="15" xfId="5" applyFont="1" applyBorder="1" applyAlignment="1">
      <alignment horizontal="center" vertical="center"/>
    </xf>
    <xf numFmtId="0" fontId="9" fillId="0" borderId="16" xfId="5" applyFont="1" applyBorder="1" applyAlignment="1">
      <alignment horizontal="center" vertical="center"/>
    </xf>
    <xf numFmtId="0" fontId="9" fillId="0" borderId="17" xfId="5" applyFont="1" applyBorder="1" applyAlignment="1">
      <alignment horizontal="center" vertical="center"/>
    </xf>
    <xf numFmtId="0" fontId="10" fillId="0" borderId="26" xfId="4" applyFont="1" applyBorder="1" applyAlignment="1">
      <alignment horizontal="center" vertical="center"/>
    </xf>
    <xf numFmtId="0" fontId="10" fillId="0" borderId="27" xfId="4" applyFont="1" applyBorder="1" applyAlignment="1">
      <alignment horizontal="center" vertical="center"/>
    </xf>
    <xf numFmtId="0" fontId="10" fillId="0" borderId="28" xfId="4" applyFont="1" applyBorder="1" applyAlignment="1">
      <alignment horizontal="center" vertical="center"/>
    </xf>
    <xf numFmtId="0" fontId="19" fillId="0" borderId="29" xfId="4" applyFont="1" applyBorder="1" applyAlignment="1">
      <alignment horizontal="center" vertical="center" wrapText="1"/>
    </xf>
    <xf numFmtId="0" fontId="19" fillId="0" borderId="30" xfId="4" applyFont="1" applyBorder="1" applyAlignment="1">
      <alignment horizontal="center" vertical="center" wrapText="1"/>
    </xf>
    <xf numFmtId="0" fontId="19" fillId="0" borderId="31" xfId="4" applyFont="1" applyBorder="1" applyAlignment="1">
      <alignment horizontal="center" vertical="center" wrapText="1"/>
    </xf>
    <xf numFmtId="0" fontId="9" fillId="0" borderId="11" xfId="4" applyFont="1" applyBorder="1" applyAlignment="1">
      <alignment horizontal="center" vertical="center"/>
    </xf>
    <xf numFmtId="0" fontId="9" fillId="0" borderId="10" xfId="4" applyFont="1" applyBorder="1" applyAlignment="1">
      <alignment horizontal="center" vertical="center"/>
    </xf>
    <xf numFmtId="0" fontId="9" fillId="0" borderId="13" xfId="4" applyFont="1" applyBorder="1" applyAlignment="1">
      <alignment horizontal="center" vertical="center"/>
    </xf>
    <xf numFmtId="0" fontId="21" fillId="0" borderId="29" xfId="4" applyFont="1" applyBorder="1" applyAlignment="1">
      <alignment horizontal="center" vertical="center" wrapText="1"/>
    </xf>
    <xf numFmtId="0" fontId="21" fillId="0" borderId="31" xfId="4" applyFont="1" applyBorder="1" applyAlignment="1">
      <alignment horizontal="center" vertical="center" wrapText="1"/>
    </xf>
    <xf numFmtId="0" fontId="16" fillId="0" borderId="29" xfId="4" applyFont="1" applyBorder="1" applyAlignment="1">
      <alignment horizontal="center" vertical="center"/>
    </xf>
    <xf numFmtId="0" fontId="16" fillId="0" borderId="30" xfId="4" applyFont="1" applyBorder="1" applyAlignment="1">
      <alignment horizontal="center" vertical="center"/>
    </xf>
    <xf numFmtId="0" fontId="16" fillId="0" borderId="31" xfId="4" applyFont="1" applyBorder="1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16" fillId="0" borderId="26" xfId="4" applyFont="1" applyBorder="1" applyAlignment="1">
      <alignment horizontal="center" vertical="center"/>
    </xf>
    <xf numFmtId="0" fontId="16" fillId="0" borderId="27" xfId="4" applyFont="1" applyBorder="1" applyAlignment="1">
      <alignment horizontal="center" vertical="center"/>
    </xf>
    <xf numFmtId="0" fontId="16" fillId="0" borderId="28" xfId="4" applyFont="1" applyBorder="1" applyAlignment="1">
      <alignment horizontal="center" vertical="center"/>
    </xf>
    <xf numFmtId="0" fontId="9" fillId="0" borderId="29" xfId="5" applyFont="1" applyBorder="1" applyAlignment="1">
      <alignment horizontal="center" vertical="center"/>
    </xf>
    <xf numFmtId="0" fontId="9" fillId="0" borderId="30" xfId="5" applyFont="1" applyBorder="1" applyAlignment="1">
      <alignment horizontal="center" vertical="center"/>
    </xf>
    <xf numFmtId="0" fontId="9" fillId="0" borderId="31" xfId="5" applyFont="1" applyBorder="1" applyAlignment="1">
      <alignment horizontal="center" vertical="center"/>
    </xf>
    <xf numFmtId="14" fontId="6" fillId="4" borderId="32" xfId="4" applyNumberFormat="1" applyFont="1" applyFill="1" applyBorder="1" applyAlignment="1">
      <alignment horizontal="center" vertical="center" wrapText="1"/>
    </xf>
    <xf numFmtId="14" fontId="6" fillId="4" borderId="10" xfId="4" applyNumberFormat="1" applyFont="1" applyFill="1" applyBorder="1" applyAlignment="1">
      <alignment horizontal="center" vertical="center" wrapText="1"/>
    </xf>
    <xf numFmtId="14" fontId="6" fillId="4" borderId="13" xfId="4" applyNumberFormat="1" applyFont="1" applyFill="1" applyBorder="1" applyAlignment="1">
      <alignment horizontal="center" vertical="center" wrapText="1"/>
    </xf>
    <xf numFmtId="0" fontId="14" fillId="0" borderId="0" xfId="4" applyFont="1" applyAlignment="1">
      <alignment horizontal="center" vertical="center"/>
    </xf>
    <xf numFmtId="0" fontId="9" fillId="0" borderId="18" xfId="5" applyFont="1" applyBorder="1" applyAlignment="1">
      <alignment horizontal="center" vertical="center"/>
    </xf>
    <xf numFmtId="0" fontId="9" fillId="0" borderId="19" xfId="5" applyFont="1" applyBorder="1" applyAlignment="1">
      <alignment horizontal="center" vertical="center"/>
    </xf>
    <xf numFmtId="0" fontId="9" fillId="0" borderId="20" xfId="5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10" fillId="0" borderId="0" xfId="2" applyFont="1" applyAlignment="1">
      <alignment horizontal="center"/>
    </xf>
  </cellXfs>
  <cellStyles count="8">
    <cellStyle name="Normal" xfId="0" builtinId="0"/>
    <cellStyle name="Normal 2" xfId="2" xr:uid="{1C56D1F3-1035-4768-94E0-6B377B4FC6F4}"/>
    <cellStyle name="Normal 2 2" xfId="5" xr:uid="{769B4F38-06A4-47D1-96E1-A48B83FE179D}"/>
    <cellStyle name="Normal 3" xfId="7" xr:uid="{EC506C7E-36FC-48D5-BEBC-590C6E7A0595}"/>
    <cellStyle name="Normal 7" xfId="4" xr:uid="{A87FDB62-98A4-4AF0-A873-A9AD6D7F411E}"/>
    <cellStyle name="Percent" xfId="1" builtinId="5"/>
    <cellStyle name="Percent 2" xfId="3" xr:uid="{25390ABC-24D5-44E4-9B6E-C7AED14A977D}"/>
    <cellStyle name="Percent 4" xfId="6" xr:uid="{88336F05-3C74-4E48-BEF4-4E737B18D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1</xdr:col>
      <xdr:colOff>1051808</xdr:colOff>
      <xdr:row>1</xdr:row>
      <xdr:rowOff>222489</xdr:rowOff>
    </xdr:to>
    <xdr:pic>
      <xdr:nvPicPr>
        <xdr:cNvPr id="2" name="Picture 12" descr="logo-and-byline">
          <a:extLst>
            <a:ext uri="{FF2B5EF4-FFF2-40B4-BE49-F238E27FC236}">
              <a16:creationId xmlns:a16="http://schemas.microsoft.com/office/drawing/2014/main" id="{A764EC43-CAC9-4635-9E40-D24EF15C5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47625"/>
          <a:ext cx="1442333" cy="422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175532</xdr:colOff>
      <xdr:row>0</xdr:row>
      <xdr:rowOff>121103</xdr:rowOff>
    </xdr:from>
    <xdr:ext cx="1446972" cy="426200"/>
    <xdr:pic>
      <xdr:nvPicPr>
        <xdr:cNvPr id="2" name="Picture 12" descr="logo-and-byline">
          <a:extLst>
            <a:ext uri="{FF2B5EF4-FFF2-40B4-BE49-F238E27FC236}">
              <a16:creationId xmlns:a16="http://schemas.microsoft.com/office/drawing/2014/main" id="{C13CC257-30AF-4842-9DF5-81720AEB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5532" y="121103"/>
          <a:ext cx="1446972" cy="42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B5AB-A110-4C96-A6E7-49CF52C85A2B}">
  <sheetPr>
    <tabColor rgb="FF00B050"/>
    <pageSetUpPr fitToPage="1"/>
  </sheetPr>
  <dimension ref="B1:U101"/>
  <sheetViews>
    <sheetView tabSelected="1" zoomScaleNormal="100" workbookViewId="0">
      <selection activeCell="M1" sqref="M1"/>
    </sheetView>
  </sheetViews>
  <sheetFormatPr baseColWidth="10" defaultColWidth="9.1640625" defaultRowHeight="19.5" customHeight="1" x14ac:dyDescent="0.2"/>
  <cols>
    <col min="1" max="1" width="7.33203125" style="28" customWidth="1"/>
    <col min="2" max="2" width="48.5" style="28" bestFit="1" customWidth="1"/>
    <col min="3" max="4" width="18.1640625" style="28" customWidth="1"/>
    <col min="5" max="5" width="6.6640625" style="28" customWidth="1"/>
    <col min="6" max="6" width="48.6640625" style="28" bestFit="1" customWidth="1"/>
    <col min="7" max="8" width="15.6640625" style="28" customWidth="1"/>
    <col min="9" max="9" width="7.1640625" style="28" customWidth="1"/>
    <col min="10" max="10" width="3.5" style="28" customWidth="1"/>
    <col min="11" max="14" width="19.1640625" style="28" customWidth="1"/>
    <col min="15" max="15" width="12.1640625" style="28" customWidth="1"/>
    <col min="16" max="16" width="41.6640625" style="28" bestFit="1" customWidth="1"/>
    <col min="17" max="17" width="24.33203125" style="28" bestFit="1" customWidth="1"/>
    <col min="18" max="19" width="10.6640625" style="28" customWidth="1"/>
    <col min="20" max="16384" width="9.1640625" style="28"/>
  </cols>
  <sheetData>
    <row r="1" spans="2:21" ht="19.5" customHeight="1" thickBot="1" x14ac:dyDescent="0.25">
      <c r="M1">
        <v>0</v>
      </c>
    </row>
    <row r="2" spans="2:21" ht="19.5" customHeight="1" thickBot="1" x14ac:dyDescent="0.25">
      <c r="B2" s="193" t="s">
        <v>42</v>
      </c>
      <c r="C2" s="193"/>
      <c r="D2" s="193"/>
      <c r="E2" s="193"/>
      <c r="F2" s="193"/>
      <c r="G2" s="193"/>
      <c r="H2" s="193"/>
      <c r="K2" s="166" t="s">
        <v>43</v>
      </c>
      <c r="L2" s="167"/>
      <c r="M2" s="167"/>
      <c r="N2" s="168"/>
      <c r="P2" s="194" t="s">
        <v>44</v>
      </c>
      <c r="Q2" s="195"/>
      <c r="R2" s="195"/>
      <c r="S2" s="195"/>
      <c r="T2" s="196"/>
    </row>
    <row r="3" spans="2:21" ht="19.5" customHeight="1" x14ac:dyDescent="0.2">
      <c r="B3" s="197" t="s">
        <v>40</v>
      </c>
      <c r="C3" s="183"/>
      <c r="D3" s="183"/>
      <c r="E3" s="183"/>
      <c r="F3" s="183"/>
      <c r="G3" s="183"/>
      <c r="H3" s="183"/>
      <c r="K3" s="29"/>
      <c r="L3" s="30" t="s">
        <v>45</v>
      </c>
      <c r="M3" s="30" t="s">
        <v>46</v>
      </c>
      <c r="N3" s="31" t="s">
        <v>47</v>
      </c>
      <c r="P3" s="32"/>
      <c r="Q3" s="32"/>
      <c r="R3" s="32"/>
      <c r="S3" s="32"/>
      <c r="T3" s="32"/>
    </row>
    <row r="4" spans="2:21" ht="19.5" customHeight="1" x14ac:dyDescent="0.2">
      <c r="B4" s="183" t="s">
        <v>149</v>
      </c>
      <c r="C4" s="183"/>
      <c r="D4" s="183"/>
      <c r="E4" s="183"/>
      <c r="F4" s="183"/>
      <c r="G4" s="183"/>
      <c r="H4" s="183"/>
      <c r="K4" s="33" t="s">
        <v>48</v>
      </c>
      <c r="L4" s="34"/>
      <c r="M4" s="35"/>
      <c r="N4" s="36"/>
      <c r="P4" s="32"/>
      <c r="Q4" s="32"/>
      <c r="R4" s="32"/>
      <c r="S4" s="32"/>
      <c r="T4" s="32"/>
    </row>
    <row r="5" spans="2:21" ht="19.5" customHeight="1" x14ac:dyDescent="0.2">
      <c r="B5" s="183" t="s">
        <v>153</v>
      </c>
      <c r="C5" s="183"/>
      <c r="D5" s="183"/>
      <c r="E5" s="183"/>
      <c r="F5" s="183"/>
      <c r="G5" s="183"/>
      <c r="H5" s="183"/>
      <c r="K5" s="33" t="s">
        <v>49</v>
      </c>
      <c r="L5" s="34"/>
      <c r="M5" s="35"/>
      <c r="N5" s="36"/>
      <c r="P5" s="32"/>
      <c r="Q5" s="32"/>
      <c r="R5" s="32"/>
      <c r="S5" s="32"/>
      <c r="T5" s="32"/>
    </row>
    <row r="6" spans="2:21" ht="19.5" customHeight="1" x14ac:dyDescent="0.2">
      <c r="B6" s="183" t="s">
        <v>154</v>
      </c>
      <c r="C6" s="183"/>
      <c r="D6" s="183"/>
      <c r="E6" s="183"/>
      <c r="F6" s="183"/>
      <c r="G6" s="183"/>
      <c r="H6" s="183"/>
      <c r="K6" s="37" t="s">
        <v>50</v>
      </c>
      <c r="L6" s="34"/>
      <c r="M6" s="35"/>
      <c r="N6" s="36"/>
      <c r="P6" s="32"/>
      <c r="Q6" s="32"/>
      <c r="R6" s="32"/>
      <c r="S6" s="32"/>
      <c r="T6" s="32"/>
    </row>
    <row r="7" spans="2:21" ht="19.5" customHeight="1" x14ac:dyDescent="0.2">
      <c r="B7" s="183" t="s">
        <v>152</v>
      </c>
      <c r="C7" s="183"/>
      <c r="D7" s="183"/>
      <c r="E7" s="183"/>
      <c r="F7" s="183"/>
      <c r="G7" s="183"/>
      <c r="H7" s="183"/>
      <c r="K7" s="37" t="s">
        <v>50</v>
      </c>
      <c r="L7" s="34"/>
      <c r="M7" s="35"/>
      <c r="N7" s="36"/>
      <c r="P7" s="32"/>
      <c r="Q7" s="32"/>
      <c r="R7" s="32"/>
      <c r="S7" s="32"/>
      <c r="T7" s="32"/>
    </row>
    <row r="8" spans="2:21" ht="19.5" customHeight="1" thickBot="1" x14ac:dyDescent="0.25">
      <c r="K8" s="38" t="s">
        <v>50</v>
      </c>
      <c r="L8" s="39"/>
      <c r="M8" s="40"/>
      <c r="N8" s="41"/>
      <c r="P8" s="32"/>
      <c r="Q8" s="32"/>
      <c r="R8" s="32"/>
      <c r="S8" s="32"/>
      <c r="T8" s="32"/>
    </row>
    <row r="9" spans="2:21" s="43" customFormat="1" ht="19.5" customHeight="1" thickBot="1" x14ac:dyDescent="0.25">
      <c r="B9" s="184" t="s">
        <v>51</v>
      </c>
      <c r="C9" s="185"/>
      <c r="D9" s="186"/>
      <c r="E9" s="42"/>
      <c r="F9" s="184" t="s">
        <v>52</v>
      </c>
      <c r="G9" s="185"/>
      <c r="H9" s="186"/>
      <c r="J9" s="28"/>
      <c r="K9" s="28"/>
      <c r="L9" s="28"/>
      <c r="M9" s="28"/>
      <c r="N9" s="28"/>
      <c r="P9" s="32"/>
      <c r="Q9" s="32"/>
      <c r="R9" s="32"/>
      <c r="S9" s="32"/>
      <c r="T9" s="32"/>
      <c r="U9" s="28"/>
    </row>
    <row r="10" spans="2:21" ht="19.5" customHeight="1" thickBot="1" x14ac:dyDescent="0.25">
      <c r="B10" s="44"/>
      <c r="C10" s="45" t="s">
        <v>53</v>
      </c>
      <c r="D10" s="46" t="s">
        <v>54</v>
      </c>
      <c r="F10" s="47"/>
      <c r="G10" s="45" t="s">
        <v>53</v>
      </c>
      <c r="H10" s="46" t="s">
        <v>54</v>
      </c>
      <c r="J10" s="43"/>
      <c r="K10" s="187" t="s">
        <v>55</v>
      </c>
      <c r="L10" s="188"/>
      <c r="M10" s="188"/>
      <c r="N10" s="189"/>
      <c r="O10" s="43"/>
      <c r="P10" s="48" t="s">
        <v>56</v>
      </c>
      <c r="Q10" s="49" t="s">
        <v>57</v>
      </c>
    </row>
    <row r="11" spans="2:21" ht="19.5" customHeight="1" thickBot="1" x14ac:dyDescent="0.25">
      <c r="B11" s="50" t="s">
        <v>58</v>
      </c>
      <c r="C11" s="51">
        <f>'IPs From 2019 SAE Pub'!C13</f>
        <v>187</v>
      </c>
      <c r="D11" s="52">
        <v>4</v>
      </c>
      <c r="F11" s="53" t="s">
        <v>59</v>
      </c>
      <c r="G11" s="54" t="s">
        <v>150</v>
      </c>
      <c r="H11" s="55" t="s">
        <v>23</v>
      </c>
      <c r="K11" s="56" t="s">
        <v>60</v>
      </c>
      <c r="L11" s="190">
        <v>40179</v>
      </c>
      <c r="M11" s="191"/>
      <c r="N11" s="192"/>
      <c r="P11" s="57" t="s">
        <v>61</v>
      </c>
      <c r="Q11" s="58">
        <f>1/25.4</f>
        <v>3.937007874015748E-2</v>
      </c>
    </row>
    <row r="12" spans="2:21" ht="19.5" customHeight="1" x14ac:dyDescent="0.2">
      <c r="B12" s="50" t="s">
        <v>62</v>
      </c>
      <c r="C12" s="51">
        <f>'IPs From 2019 SAE Pub'!C14</f>
        <v>70</v>
      </c>
      <c r="D12" s="52">
        <v>4</v>
      </c>
      <c r="F12" s="59" t="s">
        <v>63</v>
      </c>
      <c r="G12" s="60">
        <f>'IPs From 2019 SAE Pub'!C10</f>
        <v>3298</v>
      </c>
      <c r="H12" s="61" t="s">
        <v>23</v>
      </c>
      <c r="K12" s="62" t="s">
        <v>64</v>
      </c>
      <c r="L12" s="63">
        <v>36892</v>
      </c>
      <c r="M12" s="63">
        <f ca="1">TODAY()</f>
        <v>44216</v>
      </c>
      <c r="N12" s="64">
        <v>26872</v>
      </c>
      <c r="P12" s="65" t="s">
        <v>65</v>
      </c>
    </row>
    <row r="13" spans="2:21" ht="19.5" customHeight="1" thickBot="1" x14ac:dyDescent="0.25">
      <c r="B13" s="50" t="s">
        <v>66</v>
      </c>
      <c r="C13" s="51">
        <f>'IPs From 2019 SAE Pub'!C15</f>
        <v>56.25</v>
      </c>
      <c r="D13" s="52">
        <v>4</v>
      </c>
      <c r="F13" s="50" t="s">
        <v>67</v>
      </c>
      <c r="G13" s="66">
        <f>'IPs From 2019 SAE Pub'!C11</f>
        <v>0.64038811400848994</v>
      </c>
      <c r="H13" s="52" t="s">
        <v>23</v>
      </c>
      <c r="K13" s="67" t="s">
        <v>68</v>
      </c>
      <c r="L13" s="68">
        <f>DATEDIF(L12,L11,"y")</f>
        <v>9</v>
      </c>
      <c r="M13" s="68" t="e">
        <f ca="1">DATEDIF(M12,L11,"y")</f>
        <v>#NUM!</v>
      </c>
      <c r="N13" s="69">
        <f>DATEDIF(N12,L11,"y")</f>
        <v>36</v>
      </c>
      <c r="O13" s="70"/>
      <c r="P13" s="71" t="s">
        <v>69</v>
      </c>
    </row>
    <row r="14" spans="2:21" ht="19.5" customHeight="1" thickBot="1" x14ac:dyDescent="0.25">
      <c r="B14" s="50" t="s">
        <v>70</v>
      </c>
      <c r="C14" s="51">
        <f>'IPs From 2019 SAE Pub'!C16</f>
        <v>106</v>
      </c>
      <c r="D14" s="52">
        <v>4</v>
      </c>
      <c r="F14" s="53" t="s">
        <v>71</v>
      </c>
      <c r="G14" s="72">
        <f>G13*G12</f>
        <v>2112</v>
      </c>
      <c r="H14" s="73"/>
      <c r="K14" s="74"/>
      <c r="L14" s="74"/>
      <c r="M14" s="74"/>
    </row>
    <row r="15" spans="2:21" ht="19.5" customHeight="1" thickBot="1" x14ac:dyDescent="0.25">
      <c r="B15" s="50" t="s">
        <v>72</v>
      </c>
      <c r="C15" s="51">
        <f>'IPs From 2019 SAE Pub'!C17</f>
        <v>38</v>
      </c>
      <c r="D15" s="52">
        <v>4</v>
      </c>
      <c r="F15" s="75" t="s">
        <v>151</v>
      </c>
      <c r="G15" s="76">
        <v>0</v>
      </c>
      <c r="H15" s="77" t="s">
        <v>23</v>
      </c>
      <c r="K15" s="166" t="s">
        <v>73</v>
      </c>
      <c r="L15" s="167"/>
      <c r="M15" s="167"/>
      <c r="N15" s="168"/>
    </row>
    <row r="16" spans="2:21" ht="19.5" customHeight="1" x14ac:dyDescent="0.2">
      <c r="B16" s="50" t="s">
        <v>74</v>
      </c>
      <c r="C16" s="51">
        <f>'IPs From 2019 SAE Pub'!C18</f>
        <v>60</v>
      </c>
      <c r="D16" s="52">
        <v>4</v>
      </c>
      <c r="F16" s="78"/>
      <c r="G16" s="76"/>
      <c r="H16" s="61"/>
      <c r="K16" s="79" t="s">
        <v>75</v>
      </c>
      <c r="L16" s="80" t="s">
        <v>76</v>
      </c>
      <c r="M16" s="80" t="s">
        <v>77</v>
      </c>
      <c r="N16" s="81" t="s">
        <v>78</v>
      </c>
    </row>
    <row r="17" spans="2:20" ht="19.5" customHeight="1" thickBot="1" x14ac:dyDescent="0.25">
      <c r="B17" s="82" t="s">
        <v>79</v>
      </c>
      <c r="C17" s="51">
        <f>'IPs From 2019 SAE Pub'!C19</f>
        <v>59</v>
      </c>
      <c r="D17" s="83">
        <v>4</v>
      </c>
      <c r="F17" s="84"/>
      <c r="G17" s="85"/>
      <c r="H17" s="52"/>
      <c r="K17" s="62" t="s">
        <v>80</v>
      </c>
      <c r="L17" s="86">
        <f>N17/C$14</f>
        <v>0</v>
      </c>
      <c r="M17" s="87">
        <f>1-L17</f>
        <v>1</v>
      </c>
      <c r="N17" s="52">
        <v>0</v>
      </c>
    </row>
    <row r="18" spans="2:20" ht="19.5" customHeight="1" thickBot="1" x14ac:dyDescent="0.25">
      <c r="B18" s="88" t="s">
        <v>81</v>
      </c>
      <c r="C18" s="89" t="s">
        <v>82</v>
      </c>
      <c r="D18" s="90" t="s">
        <v>83</v>
      </c>
      <c r="F18" s="84"/>
      <c r="G18" s="85"/>
      <c r="H18" s="52"/>
      <c r="K18" s="62" t="s">
        <v>84</v>
      </c>
      <c r="L18" s="86">
        <f>N18/C$14</f>
        <v>0</v>
      </c>
      <c r="M18" s="87">
        <f>1-L18</f>
        <v>1</v>
      </c>
      <c r="N18" s="52">
        <v>0</v>
      </c>
      <c r="P18" s="169" t="s">
        <v>85</v>
      </c>
      <c r="Q18" s="170"/>
      <c r="R18" s="170"/>
      <c r="S18" s="171"/>
    </row>
    <row r="19" spans="2:20" ht="19.5" customHeight="1" thickBot="1" x14ac:dyDescent="0.25">
      <c r="B19" s="50" t="s">
        <v>86</v>
      </c>
      <c r="C19" s="76">
        <f>'IPs From 2019 SAE Pub'!C28</f>
        <v>215</v>
      </c>
      <c r="D19" s="52">
        <v>215</v>
      </c>
      <c r="F19" s="84"/>
      <c r="G19" s="85"/>
      <c r="H19" s="52"/>
      <c r="K19" s="62" t="s">
        <v>87</v>
      </c>
      <c r="L19" s="86">
        <f>N19/C$14</f>
        <v>0</v>
      </c>
      <c r="M19" s="87">
        <f>1-L19</f>
        <v>1</v>
      </c>
      <c r="N19" s="52">
        <v>0</v>
      </c>
      <c r="P19" s="172" t="s">
        <v>88</v>
      </c>
      <c r="Q19" s="173"/>
      <c r="R19" s="173"/>
      <c r="S19" s="174"/>
    </row>
    <row r="20" spans="2:20" ht="19.5" customHeight="1" thickBot="1" x14ac:dyDescent="0.25">
      <c r="B20" s="50" t="s">
        <v>15</v>
      </c>
      <c r="C20" s="76">
        <f>'IPs From 2019 SAE Pub'!C29</f>
        <v>60</v>
      </c>
      <c r="D20" s="52">
        <v>60</v>
      </c>
      <c r="F20" s="84"/>
      <c r="G20" s="85"/>
      <c r="H20" s="52"/>
      <c r="K20" s="67" t="s">
        <v>24</v>
      </c>
      <c r="L20" s="91">
        <f>N20/C$14</f>
        <v>0</v>
      </c>
      <c r="M20" s="92">
        <f>1-L20</f>
        <v>1</v>
      </c>
      <c r="N20" s="55">
        <v>0</v>
      </c>
      <c r="P20" s="93"/>
      <c r="Q20" s="94" t="s">
        <v>89</v>
      </c>
      <c r="R20" s="94" t="s">
        <v>90</v>
      </c>
      <c r="S20" s="95" t="s">
        <v>91</v>
      </c>
    </row>
    <row r="21" spans="2:20" ht="19.5" customHeight="1" thickBot="1" x14ac:dyDescent="0.25">
      <c r="B21" s="50" t="s">
        <v>92</v>
      </c>
      <c r="C21" s="76">
        <f>'IPs From 2019 SAE Pub'!C30</f>
        <v>16</v>
      </c>
      <c r="D21" s="52">
        <v>16</v>
      </c>
      <c r="F21" s="84"/>
      <c r="G21" s="85"/>
      <c r="H21" s="52"/>
      <c r="P21" s="96" t="s">
        <v>93</v>
      </c>
      <c r="Q21" s="97">
        <f>G29</f>
        <v>38.118859915100067</v>
      </c>
      <c r="R21" s="97">
        <f>-(C16/2)</f>
        <v>-30</v>
      </c>
      <c r="S21" s="98">
        <f>G30-(C22/2)</f>
        <v>8.4018473425196838</v>
      </c>
    </row>
    <row r="22" spans="2:20" ht="19.5" customHeight="1" x14ac:dyDescent="0.2">
      <c r="B22" s="99" t="s">
        <v>94</v>
      </c>
      <c r="C22" s="100">
        <f>C19*((C20/100)*2)/25.4+C21</f>
        <v>26.15748031496063</v>
      </c>
      <c r="D22" s="101">
        <f>D19*((D20/100)*2)/25.4+D21</f>
        <v>26.15748031496063</v>
      </c>
      <c r="F22" s="84"/>
      <c r="G22" s="85"/>
      <c r="H22" s="52"/>
      <c r="K22" s="175" t="s">
        <v>95</v>
      </c>
      <c r="L22" s="176"/>
      <c r="M22" s="177"/>
      <c r="P22" s="96" t="s">
        <v>96</v>
      </c>
      <c r="Q22" s="97">
        <f>G29</f>
        <v>38.118859915100067</v>
      </c>
      <c r="R22" s="102">
        <f>C16/2</f>
        <v>30</v>
      </c>
      <c r="S22" s="98">
        <f>G30-(C22/2)</f>
        <v>8.4018473425196838</v>
      </c>
    </row>
    <row r="23" spans="2:20" ht="19.5" customHeight="1" thickBot="1" x14ac:dyDescent="0.25">
      <c r="B23" s="103" t="s">
        <v>97</v>
      </c>
      <c r="C23" s="104">
        <f>C19/25.4</f>
        <v>8.4645669291338592</v>
      </c>
      <c r="D23" s="105">
        <f>D19/25.4</f>
        <v>8.4645669291338592</v>
      </c>
      <c r="F23" s="84"/>
      <c r="G23" s="85"/>
      <c r="H23" s="52"/>
      <c r="K23" s="106" t="s">
        <v>98</v>
      </c>
      <c r="L23" s="107" t="s">
        <v>99</v>
      </c>
      <c r="M23" s="108" t="s">
        <v>100</v>
      </c>
      <c r="P23" s="96" t="s">
        <v>101</v>
      </c>
      <c r="Q23" s="102">
        <f>-(C14-G29)</f>
        <v>-67.881140084899926</v>
      </c>
      <c r="R23" s="102">
        <f>-(C17/2)</f>
        <v>-29.5</v>
      </c>
      <c r="S23" s="98">
        <f>G30-(C22/2)</f>
        <v>8.4018473425196838</v>
      </c>
    </row>
    <row r="24" spans="2:20" ht="19.5" customHeight="1" thickBot="1" x14ac:dyDescent="0.25">
      <c r="B24" s="88" t="s">
        <v>102</v>
      </c>
      <c r="C24" s="89" t="s">
        <v>82</v>
      </c>
      <c r="D24" s="90" t="s">
        <v>83</v>
      </c>
      <c r="F24" s="53" t="s">
        <v>103</v>
      </c>
      <c r="G24" s="109">
        <f>SUM(G15:G23)</f>
        <v>0</v>
      </c>
      <c r="H24" s="110"/>
      <c r="K24" s="106" t="s">
        <v>104</v>
      </c>
      <c r="L24" s="111">
        <v>11.7</v>
      </c>
      <c r="M24" s="112">
        <v>10.4</v>
      </c>
      <c r="P24" s="113" t="s">
        <v>105</v>
      </c>
      <c r="Q24" s="114">
        <f>-(C14-G29)</f>
        <v>-67.881140084899926</v>
      </c>
      <c r="R24" s="114">
        <f>C17/2</f>
        <v>29.5</v>
      </c>
      <c r="S24" s="115">
        <f>G30-(C22/2)</f>
        <v>8.4018473425196838</v>
      </c>
    </row>
    <row r="25" spans="2:20" ht="19.5" customHeight="1" thickBot="1" x14ac:dyDescent="0.25">
      <c r="B25" s="50" t="s">
        <v>86</v>
      </c>
      <c r="C25" s="76">
        <v>215</v>
      </c>
      <c r="D25" s="52">
        <v>215</v>
      </c>
      <c r="F25" s="116" t="s">
        <v>106</v>
      </c>
      <c r="G25" s="117"/>
      <c r="H25" s="118"/>
      <c r="K25" s="106" t="s">
        <v>107</v>
      </c>
      <c r="L25" s="111">
        <v>16</v>
      </c>
      <c r="M25" s="112">
        <v>14.7</v>
      </c>
      <c r="P25" s="119"/>
      <c r="Q25" s="120"/>
      <c r="R25" s="120"/>
      <c r="S25" s="121"/>
      <c r="T25" s="43"/>
    </row>
    <row r="26" spans="2:20" ht="19.5" customHeight="1" thickBot="1" x14ac:dyDescent="0.25">
      <c r="B26" s="50" t="s">
        <v>108</v>
      </c>
      <c r="C26" s="76">
        <v>60</v>
      </c>
      <c r="D26" s="52">
        <v>60</v>
      </c>
      <c r="F26" s="88" t="s">
        <v>109</v>
      </c>
      <c r="G26" s="122">
        <f>G12+G24+G25</f>
        <v>3298</v>
      </c>
      <c r="H26" s="46"/>
      <c r="K26" s="106" t="s">
        <v>110</v>
      </c>
      <c r="L26" s="111">
        <v>18.5</v>
      </c>
      <c r="M26" s="112">
        <v>17.2</v>
      </c>
      <c r="P26" s="178" t="s">
        <v>42</v>
      </c>
      <c r="Q26" s="179"/>
      <c r="R26" s="120"/>
      <c r="S26" s="123"/>
    </row>
    <row r="27" spans="2:20" ht="19.5" customHeight="1" x14ac:dyDescent="0.2">
      <c r="B27" s="50" t="s">
        <v>92</v>
      </c>
      <c r="C27" s="76">
        <v>16</v>
      </c>
      <c r="D27" s="52">
        <v>16</v>
      </c>
      <c r="F27" s="50" t="s">
        <v>111</v>
      </c>
      <c r="G27" s="124">
        <f>G14+SUM(G15:G17)*L17+SUM(G18:G20)*L18+SUM(G21:G23)*L19+G25*L20</f>
        <v>2112</v>
      </c>
      <c r="H27" s="125"/>
      <c r="K27" s="106" t="s">
        <v>112</v>
      </c>
      <c r="L27" s="111">
        <v>21</v>
      </c>
      <c r="M27" s="112">
        <v>20.100000000000001</v>
      </c>
      <c r="P27" s="126" t="s">
        <v>113</v>
      </c>
      <c r="Q27" s="157">
        <v>5</v>
      </c>
      <c r="R27" s="120"/>
      <c r="S27" s="123"/>
    </row>
    <row r="28" spans="2:20" ht="19.5" customHeight="1" x14ac:dyDescent="0.2">
      <c r="B28" s="99" t="s">
        <v>94</v>
      </c>
      <c r="C28" s="100">
        <f>C25*((C26/100)*2)/25.4+C27</f>
        <v>26.15748031496063</v>
      </c>
      <c r="D28" s="101">
        <f>D25*((D26/100)*2)/25.4+D27</f>
        <v>26.15748031496063</v>
      </c>
      <c r="F28" s="50" t="s">
        <v>114</v>
      </c>
      <c r="G28" s="127">
        <f>G27/G26</f>
        <v>0.64038811400848994</v>
      </c>
      <c r="H28" s="128"/>
      <c r="K28" s="106">
        <v>1</v>
      </c>
      <c r="L28" s="111">
        <v>24.9</v>
      </c>
      <c r="M28" s="112">
        <v>24.4</v>
      </c>
      <c r="P28" s="96" t="s">
        <v>115</v>
      </c>
      <c r="Q28" s="98">
        <f>G29+C15</f>
        <v>76.118859915100074</v>
      </c>
      <c r="R28" s="120"/>
      <c r="S28" s="123"/>
    </row>
    <row r="29" spans="2:20" ht="19.5" customHeight="1" thickBot="1" x14ac:dyDescent="0.25">
      <c r="B29" s="129" t="s">
        <v>97</v>
      </c>
      <c r="C29" s="130">
        <f>C25/25.4</f>
        <v>8.4645669291338592</v>
      </c>
      <c r="D29" s="131">
        <f>D25/25.4</f>
        <v>8.4645669291338592</v>
      </c>
      <c r="F29" s="50" t="s">
        <v>116</v>
      </c>
      <c r="G29" s="132">
        <f>C14*(1-G28)</f>
        <v>38.118859915100067</v>
      </c>
      <c r="H29" s="133"/>
      <c r="K29" s="106">
        <v>2</v>
      </c>
      <c r="L29" s="111">
        <v>30.8</v>
      </c>
      <c r="M29" s="112">
        <v>28.8</v>
      </c>
      <c r="P29" s="96" t="s">
        <v>117</v>
      </c>
      <c r="Q29" s="98">
        <f>Q28-C11</f>
        <v>-110.88114008489993</v>
      </c>
      <c r="R29" s="120"/>
      <c r="S29" s="123"/>
    </row>
    <row r="30" spans="2:20" ht="19.5" customHeight="1" thickBot="1" x14ac:dyDescent="0.25">
      <c r="F30" s="50" t="s">
        <v>118</v>
      </c>
      <c r="G30" s="132">
        <f>AVERAGE(0.3891*C13+0.0113,IF(G11="Fwd-Car",21.063,IF(G11="Rwd-Car",0.39*C13,IF(G11="Pickup",0.376*C13,IF(G11="SUV",0.39*C13,IF(G11="Van",0.381*C13,""))))))</f>
        <v>21.480587499999999</v>
      </c>
      <c r="H30" s="125">
        <f>D36</f>
        <v>5</v>
      </c>
      <c r="K30" s="106">
        <v>3</v>
      </c>
      <c r="L30" s="111">
        <v>34.6</v>
      </c>
      <c r="M30" s="112">
        <v>33.4</v>
      </c>
      <c r="P30" s="96" t="s">
        <v>119</v>
      </c>
      <c r="Q30" s="134">
        <f>-C12/2</f>
        <v>-35</v>
      </c>
      <c r="R30" s="120"/>
      <c r="S30" s="123"/>
    </row>
    <row r="31" spans="2:20" ht="19.5" customHeight="1" thickBot="1" x14ac:dyDescent="0.25">
      <c r="B31" s="180" t="s">
        <v>65</v>
      </c>
      <c r="C31" s="181"/>
      <c r="D31" s="182"/>
      <c r="F31" s="50" t="s">
        <v>120</v>
      </c>
      <c r="G31" s="124">
        <f>AVERAGE((10^-2.1363*(C14/12)^-0.1596*(((C16+C17)/2)/12)^1.9404*(C13/12)^0.3629*G26^0.9421),IF(G11="Fwd-Car",(0.1274*(G26*4.448/9.81)*((C13+535/25.4)/(12*3.2808))*(((C16+C17)/2)/(12*3.2808)))/1.356,IF(G11="Rwd-Car",(0.12*(G26*4.448/9.81)*((C13+0.39*C13)/(12*3.2808))*(((C16+C17)/2)/(12*3.2808)))/1.356,IF(G11="Pickup",(0.138*(G26*4.448/9.81)*(((C16+C17)/2)/(12*3.2808))*(C13/(12*3.2808)))/1.356,IF(G11="SUV",(0.145*(G26*4.448/9.81)*(((C16+C17)/2)/(12*3.2808))*(C13/(12*3.2808)))/1.356,IF(G11="Van",(0.1212*(G26*4.448/9.81)*((C13+0.381*C13)/(12*3.2808))*(((C16+C17)/2)/(12*3.2808)))/1.356,""))))))</f>
        <v>416.89822232506287</v>
      </c>
      <c r="H31" s="125">
        <f>D36</f>
        <v>5</v>
      </c>
      <c r="K31" s="106">
        <v>4</v>
      </c>
      <c r="L31" s="111">
        <v>39.799999999999997</v>
      </c>
      <c r="M31" s="112">
        <v>39.5</v>
      </c>
      <c r="P31" s="96" t="s">
        <v>121</v>
      </c>
      <c r="Q31" s="134">
        <f>C12/2</f>
        <v>35</v>
      </c>
      <c r="R31" s="120"/>
      <c r="S31" s="123"/>
    </row>
    <row r="32" spans="2:20" ht="19.5" customHeight="1" x14ac:dyDescent="0.2">
      <c r="B32" s="158" t="s">
        <v>122</v>
      </c>
      <c r="C32" s="159"/>
      <c r="D32" s="46">
        <v>1</v>
      </c>
      <c r="F32" s="50" t="s">
        <v>123</v>
      </c>
      <c r="G32" s="124">
        <f>AVERAGE((10^-2.0024*(C14/12)^1.5315*(((C16+C17)/2)/12)^0.2526*(C13/12)^0.1009*G26^1.0206),IF(G11="Fwd-Car",(0.1425*(G26*4.448/9.81)*(C14/(12*3.2808))*((C11)/(12*3.2808)))/1.356,IF(G11="Rwd-Car",(0.0733*(G26*4.448/9.81)*((C11/(12*3.2808))^2+(C13/(12*3.2808))^2))/1.356,IF(G11="Pickup",(0.952*(G26*4.448/9.81)*(G29/(12*3.2808))*((C14-G29)/(12*3.2808)))/1.356,IF(G11="SUV",(0.1561*(G26*4.448/9.81)*(C14/(12*3.2808))*(C11/(12*3.2808)))/1.356,IF(G11="Van",(0.1508*(G26*4.448/9.81)*(C14/(12*3.2808))*(C11/(12*3.2808)))/1.356,""))))))</f>
        <v>1959.0114406803946</v>
      </c>
      <c r="H32" s="125">
        <f>D36</f>
        <v>5</v>
      </c>
      <c r="K32" s="106">
        <v>5</v>
      </c>
      <c r="L32" s="111">
        <v>44.4</v>
      </c>
      <c r="M32" s="112">
        <v>43.8</v>
      </c>
      <c r="P32" s="96" t="s">
        <v>124</v>
      </c>
      <c r="Q32" s="134">
        <f>G30-Q27</f>
        <v>16.480587499999999</v>
      </c>
      <c r="R32" s="120"/>
      <c r="S32" s="135"/>
    </row>
    <row r="33" spans="2:19" ht="19.5" customHeight="1" thickBot="1" x14ac:dyDescent="0.25">
      <c r="B33" s="160" t="s">
        <v>125</v>
      </c>
      <c r="C33" s="161"/>
      <c r="D33" s="136">
        <v>2</v>
      </c>
      <c r="F33" s="53" t="s">
        <v>126</v>
      </c>
      <c r="G33" s="109">
        <f>AVERAGE((10^-1.7797*(C14/12)^1.4316*(((C16+C17)/2)/12)^0.3811*(C13/12)^0.0188*G26^0.98),IF(G11="Fwd-Car",(0.1478*(G26*4.448/9.81)*(C14/(12*3.2808))*((C11)/(12*3.2808)))/1.356,IF(G11="Rwd-Car",1.015*((2*(1-G28)*(G26*4.448/9.81)*(C11/(12*3.2808))^2/12)+(((2*G28)-1)*(G26*4.448/9.81)*(C14/(12*3.2808))^2/4))/1.356,IF(G11="Pickup",(0.958*(G26*4.448/9.81)*(G29/(12*3.2808))*((C14-G29)/(12*3.2808)))/1.356,IF(G11="SUV",(0.4622*(G26*4.448/9.81)*(((C16+C17)/2)/(12*3.2808))*(C14/(12*3.2808)))/1.356,IF(G11="Van",(0.1525*(G26*4.448/9.81)*(C14/(12*3.2808))*(C11/(12*3.2808)))/1.356,""))))))</f>
        <v>2040.4506492119394</v>
      </c>
      <c r="H33" s="137">
        <f>D36</f>
        <v>5</v>
      </c>
      <c r="K33" s="106">
        <v>6</v>
      </c>
      <c r="L33" s="111">
        <v>50.8</v>
      </c>
      <c r="M33" s="112">
        <v>49</v>
      </c>
      <c r="P33" s="113" t="s">
        <v>127</v>
      </c>
      <c r="Q33" s="138">
        <f>-(C13-G30)</f>
        <v>-34.769412500000001</v>
      </c>
      <c r="R33" s="120"/>
      <c r="S33" s="135"/>
    </row>
    <row r="34" spans="2:19" ht="19.5" customHeight="1" x14ac:dyDescent="0.15">
      <c r="B34" s="160" t="s">
        <v>128</v>
      </c>
      <c r="C34" s="161"/>
      <c r="D34" s="136">
        <v>3</v>
      </c>
      <c r="F34" s="139"/>
      <c r="G34" s="139"/>
      <c r="H34" s="139"/>
      <c r="K34" s="106">
        <v>7</v>
      </c>
      <c r="L34" s="111">
        <v>57.4</v>
      </c>
      <c r="M34" s="112">
        <v>53.9</v>
      </c>
      <c r="P34" s="140" t="s">
        <v>109</v>
      </c>
      <c r="Q34" s="141">
        <f>G26</f>
        <v>3298</v>
      </c>
      <c r="R34" s="120"/>
      <c r="S34" s="135"/>
    </row>
    <row r="35" spans="2:19" ht="19.5" customHeight="1" x14ac:dyDescent="0.15">
      <c r="B35" s="160" t="s">
        <v>129</v>
      </c>
      <c r="C35" s="161"/>
      <c r="D35" s="136">
        <v>4</v>
      </c>
      <c r="F35" s="139"/>
      <c r="G35" s="139"/>
      <c r="H35" s="139"/>
      <c r="K35" s="106">
        <v>8</v>
      </c>
      <c r="L35" s="111">
        <v>65.5</v>
      </c>
      <c r="M35" s="112">
        <v>63.3</v>
      </c>
      <c r="P35" s="96" t="s">
        <v>130</v>
      </c>
      <c r="Q35" s="142">
        <f>Q34/(32.17*12)</f>
        <v>8.5431561496218009</v>
      </c>
      <c r="R35" s="120"/>
      <c r="S35" s="135"/>
    </row>
    <row r="36" spans="2:19" ht="19.5" customHeight="1" thickBot="1" x14ac:dyDescent="0.2">
      <c r="B36" s="162" t="s">
        <v>131</v>
      </c>
      <c r="C36" s="163"/>
      <c r="D36" s="143">
        <v>5</v>
      </c>
      <c r="F36" s="139"/>
      <c r="G36" s="139"/>
      <c r="H36" s="139"/>
      <c r="K36" s="106">
        <v>9</v>
      </c>
      <c r="L36" s="111">
        <v>70.2</v>
      </c>
      <c r="M36" s="112">
        <v>75.5</v>
      </c>
      <c r="P36" s="96" t="s">
        <v>132</v>
      </c>
      <c r="Q36" s="142">
        <f>G31*12</f>
        <v>5002.778667900755</v>
      </c>
      <c r="R36" s="120"/>
      <c r="S36" s="135"/>
    </row>
    <row r="37" spans="2:19" ht="19.5" customHeight="1" x14ac:dyDescent="0.15">
      <c r="F37" s="139"/>
      <c r="G37" s="139"/>
      <c r="H37" s="139"/>
      <c r="K37" s="106">
        <v>10</v>
      </c>
      <c r="L37" s="111">
        <v>80.5</v>
      </c>
      <c r="M37" s="112">
        <v>85.3</v>
      </c>
      <c r="P37" s="96" t="s">
        <v>133</v>
      </c>
      <c r="Q37" s="142">
        <f>G32*12</f>
        <v>23508.137288164733</v>
      </c>
      <c r="R37" s="120"/>
      <c r="S37" s="135"/>
    </row>
    <row r="38" spans="2:19" ht="19.5" customHeight="1" thickBot="1" x14ac:dyDescent="0.2">
      <c r="F38" s="139"/>
      <c r="G38" s="139"/>
      <c r="H38" s="139"/>
      <c r="K38" s="106">
        <v>11</v>
      </c>
      <c r="L38" s="111">
        <v>100.9</v>
      </c>
      <c r="M38" s="112">
        <v>97</v>
      </c>
      <c r="P38" s="96" t="s">
        <v>134</v>
      </c>
      <c r="Q38" s="142">
        <f>G33*12</f>
        <v>24485.407790543271</v>
      </c>
      <c r="R38" s="120"/>
      <c r="S38" s="135"/>
    </row>
    <row r="39" spans="2:19" ht="19.5" customHeight="1" thickBot="1" x14ac:dyDescent="0.25">
      <c r="B39" s="164" t="s">
        <v>135</v>
      </c>
      <c r="C39" s="165"/>
      <c r="F39" s="139"/>
      <c r="G39" s="139"/>
      <c r="H39" s="139"/>
      <c r="K39" s="106">
        <v>12</v>
      </c>
      <c r="L39" s="111">
        <v>105</v>
      </c>
      <c r="M39" s="112">
        <v>112.2</v>
      </c>
      <c r="P39" s="113" t="s">
        <v>118</v>
      </c>
      <c r="Q39" s="144">
        <f>G30</f>
        <v>21.480587499999999</v>
      </c>
      <c r="R39" s="145"/>
      <c r="S39" s="146"/>
    </row>
    <row r="40" spans="2:19" ht="19.5" customHeight="1" x14ac:dyDescent="0.2">
      <c r="B40" s="147" t="s">
        <v>136</v>
      </c>
      <c r="C40" s="148">
        <f>C11</f>
        <v>187</v>
      </c>
      <c r="F40" s="139"/>
      <c r="G40" s="139"/>
      <c r="H40" s="139"/>
      <c r="K40" s="106">
        <v>13</v>
      </c>
      <c r="L40" s="111">
        <v>125.1</v>
      </c>
      <c r="M40" s="112">
        <v>113.2</v>
      </c>
    </row>
    <row r="41" spans="2:19" ht="19.5" customHeight="1" x14ac:dyDescent="0.2">
      <c r="B41" s="149" t="s">
        <v>137</v>
      </c>
      <c r="C41" s="150">
        <f t="shared" ref="C41:C42" si="0">C12</f>
        <v>70</v>
      </c>
      <c r="F41" s="139"/>
      <c r="G41" s="139"/>
      <c r="H41" s="139"/>
      <c r="K41" s="106">
        <v>14</v>
      </c>
      <c r="L41" s="111">
        <v>135.4</v>
      </c>
      <c r="M41" s="112">
        <v>118.5</v>
      </c>
    </row>
    <row r="42" spans="2:19" ht="19.5" customHeight="1" x14ac:dyDescent="0.2">
      <c r="B42" s="149" t="s">
        <v>138</v>
      </c>
      <c r="C42" s="150">
        <f t="shared" si="0"/>
        <v>56.25</v>
      </c>
      <c r="F42" s="139"/>
      <c r="G42" s="139"/>
      <c r="H42" s="139"/>
      <c r="K42" s="106">
        <v>15</v>
      </c>
      <c r="L42" s="111">
        <v>144.5</v>
      </c>
      <c r="M42" s="112">
        <v>128.1</v>
      </c>
      <c r="O42" s="120"/>
    </row>
    <row r="43" spans="2:19" ht="19.5" customHeight="1" x14ac:dyDescent="0.2">
      <c r="B43" s="149" t="s">
        <v>139</v>
      </c>
      <c r="C43" s="150">
        <f>G29+C15</f>
        <v>76.118859915100074</v>
      </c>
      <c r="F43" s="139"/>
      <c r="G43" s="139"/>
      <c r="H43" s="139"/>
      <c r="K43" s="106">
        <v>16</v>
      </c>
      <c r="L43" s="111">
        <v>151.4</v>
      </c>
      <c r="M43" s="112">
        <v>132.30000000000001</v>
      </c>
    </row>
    <row r="44" spans="2:19" ht="19.5" customHeight="1" x14ac:dyDescent="0.2">
      <c r="B44" s="149" t="s">
        <v>118</v>
      </c>
      <c r="C44" s="150">
        <f>G30</f>
        <v>21.480587499999999</v>
      </c>
      <c r="F44" s="139"/>
      <c r="G44" s="139"/>
      <c r="H44" s="139"/>
      <c r="K44" s="106">
        <v>17</v>
      </c>
      <c r="L44" s="111">
        <v>156.80000000000001</v>
      </c>
      <c r="M44" s="112">
        <v>133.80000000000001</v>
      </c>
    </row>
    <row r="45" spans="2:19" ht="19.5" customHeight="1" x14ac:dyDescent="0.2">
      <c r="B45" s="149" t="s">
        <v>72</v>
      </c>
      <c r="C45" s="150">
        <f>C15</f>
        <v>38</v>
      </c>
      <c r="F45" s="139"/>
      <c r="G45" s="139"/>
      <c r="H45" s="139"/>
      <c r="K45" s="106">
        <v>18</v>
      </c>
      <c r="L45" s="111">
        <v>168.5</v>
      </c>
      <c r="M45" s="112">
        <v>137</v>
      </c>
    </row>
    <row r="46" spans="2:19" ht="19.5" customHeight="1" x14ac:dyDescent="0.2">
      <c r="B46" s="149" t="s">
        <v>70</v>
      </c>
      <c r="C46" s="150">
        <f>C14</f>
        <v>106</v>
      </c>
      <c r="F46" s="139"/>
      <c r="G46" s="139"/>
      <c r="H46" s="139"/>
      <c r="K46" s="106">
        <v>19</v>
      </c>
      <c r="L46" s="111">
        <v>162.5</v>
      </c>
      <c r="M46" s="112">
        <v>137.9</v>
      </c>
    </row>
    <row r="47" spans="2:19" ht="19.5" customHeight="1" x14ac:dyDescent="0.2">
      <c r="B47" s="149" t="s">
        <v>140</v>
      </c>
      <c r="C47" s="150">
        <f>C22/2</f>
        <v>13.078740157480315</v>
      </c>
      <c r="F47" s="139"/>
      <c r="G47" s="139"/>
      <c r="H47" s="139"/>
      <c r="K47" s="106" t="s">
        <v>141</v>
      </c>
      <c r="L47" s="111">
        <v>177.8</v>
      </c>
      <c r="M47" s="112">
        <v>149.80000000000001</v>
      </c>
    </row>
    <row r="48" spans="2:19" ht="19.5" customHeight="1" x14ac:dyDescent="0.2">
      <c r="B48" s="149" t="s">
        <v>142</v>
      </c>
      <c r="C48" s="150">
        <f>C23</f>
        <v>8.4645669291338592</v>
      </c>
      <c r="F48" s="139"/>
      <c r="G48" s="139"/>
      <c r="H48" s="139"/>
      <c r="K48" s="106" t="s">
        <v>143</v>
      </c>
      <c r="L48" s="111">
        <v>190.8</v>
      </c>
      <c r="M48" s="112">
        <v>160.5</v>
      </c>
    </row>
    <row r="49" spans="2:13" ht="19.5" customHeight="1" x14ac:dyDescent="0.2">
      <c r="B49" s="149" t="s">
        <v>74</v>
      </c>
      <c r="C49" s="150">
        <f>C16</f>
        <v>60</v>
      </c>
      <c r="F49" s="139"/>
      <c r="G49" s="139"/>
      <c r="H49" s="139"/>
      <c r="K49" s="106" t="s">
        <v>144</v>
      </c>
      <c r="L49" s="111">
        <v>196.4</v>
      </c>
      <c r="M49" s="112">
        <v>164</v>
      </c>
    </row>
    <row r="50" spans="2:13" ht="19.5" customHeight="1" thickBot="1" x14ac:dyDescent="0.25">
      <c r="B50" s="151" t="s">
        <v>79</v>
      </c>
      <c r="C50" s="152">
        <f>C17</f>
        <v>59</v>
      </c>
      <c r="F50" s="139"/>
      <c r="G50" s="139"/>
      <c r="H50" s="139"/>
      <c r="K50" s="106" t="s">
        <v>145</v>
      </c>
      <c r="L50" s="111">
        <v>195.9</v>
      </c>
      <c r="M50" s="112">
        <v>167.4</v>
      </c>
    </row>
    <row r="51" spans="2:13" ht="19.5" customHeight="1" x14ac:dyDescent="0.15">
      <c r="F51" s="139"/>
      <c r="G51" s="139"/>
      <c r="H51" s="139"/>
      <c r="K51" s="106" t="s">
        <v>146</v>
      </c>
      <c r="L51" s="111">
        <v>195.3</v>
      </c>
      <c r="M51" s="112">
        <v>164.4</v>
      </c>
    </row>
    <row r="52" spans="2:13" ht="19.5" customHeight="1" x14ac:dyDescent="0.15">
      <c r="F52" s="139"/>
      <c r="G52" s="139"/>
      <c r="H52" s="139"/>
      <c r="K52" s="106" t="s">
        <v>147</v>
      </c>
      <c r="L52" s="111">
        <v>183.6</v>
      </c>
      <c r="M52" s="112">
        <v>158.5</v>
      </c>
    </row>
    <row r="53" spans="2:13" ht="19.5" customHeight="1" thickBot="1" x14ac:dyDescent="0.2">
      <c r="F53" s="139"/>
      <c r="G53" s="139"/>
      <c r="H53" s="139"/>
      <c r="K53" s="153" t="s">
        <v>148</v>
      </c>
      <c r="L53" s="154">
        <v>171.1</v>
      </c>
      <c r="M53" s="155">
        <v>141</v>
      </c>
    </row>
    <row r="54" spans="2:13" ht="19.5" customHeight="1" x14ac:dyDescent="0.15">
      <c r="F54" s="139"/>
      <c r="G54" s="139"/>
      <c r="H54" s="139"/>
    </row>
    <row r="55" spans="2:13" ht="19.5" customHeight="1" x14ac:dyDescent="0.15">
      <c r="F55" s="139"/>
      <c r="G55" s="139"/>
      <c r="H55" s="139"/>
    </row>
    <row r="56" spans="2:13" ht="19.5" customHeight="1" x14ac:dyDescent="0.15">
      <c r="F56" s="139"/>
      <c r="G56" s="139"/>
      <c r="H56" s="139"/>
    </row>
    <row r="57" spans="2:13" ht="19.5" customHeight="1" x14ac:dyDescent="0.15">
      <c r="F57" s="139"/>
      <c r="G57" s="139"/>
      <c r="H57" s="139"/>
    </row>
    <row r="58" spans="2:13" ht="19.5" customHeight="1" x14ac:dyDescent="0.15">
      <c r="F58" s="139"/>
      <c r="G58" s="139"/>
      <c r="H58" s="139"/>
    </row>
    <row r="59" spans="2:13" ht="19.5" customHeight="1" x14ac:dyDescent="0.15">
      <c r="F59" s="139"/>
      <c r="G59" s="139"/>
      <c r="H59" s="139"/>
    </row>
    <row r="60" spans="2:13" ht="19.5" customHeight="1" x14ac:dyDescent="0.15">
      <c r="F60" s="139"/>
      <c r="G60" s="139"/>
      <c r="H60" s="139"/>
    </row>
    <row r="61" spans="2:13" ht="19.5" customHeight="1" x14ac:dyDescent="0.15">
      <c r="F61" s="139"/>
      <c r="G61" s="139"/>
      <c r="H61" s="139"/>
    </row>
    <row r="62" spans="2:13" ht="19.5" customHeight="1" x14ac:dyDescent="0.15">
      <c r="F62" s="139"/>
      <c r="G62" s="139"/>
      <c r="H62" s="139"/>
    </row>
    <row r="63" spans="2:13" ht="19.5" customHeight="1" x14ac:dyDescent="0.15">
      <c r="F63" s="139"/>
      <c r="G63" s="139"/>
      <c r="H63" s="139"/>
    </row>
    <row r="64" spans="2:13" ht="19.5" customHeight="1" x14ac:dyDescent="0.15">
      <c r="F64" s="139"/>
      <c r="G64" s="139"/>
      <c r="H64" s="139"/>
    </row>
    <row r="65" spans="6:19" ht="19.5" customHeight="1" x14ac:dyDescent="0.15">
      <c r="F65" s="139"/>
      <c r="G65" s="139"/>
      <c r="H65" s="139"/>
    </row>
    <row r="66" spans="6:19" ht="19.5" customHeight="1" x14ac:dyDescent="0.15">
      <c r="F66" s="139"/>
      <c r="G66" s="139"/>
      <c r="H66" s="139"/>
    </row>
    <row r="67" spans="6:19" ht="19.5" customHeight="1" x14ac:dyDescent="0.15">
      <c r="F67" s="139"/>
      <c r="G67" s="139"/>
      <c r="H67" s="139"/>
    </row>
    <row r="68" spans="6:19" ht="19.5" customHeight="1" x14ac:dyDescent="0.15">
      <c r="F68" s="139"/>
      <c r="G68" s="139"/>
      <c r="H68" s="139"/>
    </row>
    <row r="69" spans="6:19" ht="19.5" customHeight="1" x14ac:dyDescent="0.15">
      <c r="F69" s="139"/>
      <c r="G69" s="139"/>
      <c r="H69" s="139"/>
    </row>
    <row r="70" spans="6:19" ht="19.5" customHeight="1" x14ac:dyDescent="0.15">
      <c r="F70" s="139"/>
      <c r="G70" s="139"/>
      <c r="H70" s="139"/>
    </row>
    <row r="71" spans="6:19" ht="19.5" customHeight="1" x14ac:dyDescent="0.15">
      <c r="F71" s="139"/>
      <c r="G71" s="139"/>
      <c r="H71" s="139"/>
    </row>
    <row r="72" spans="6:19" ht="19.5" customHeight="1" x14ac:dyDescent="0.15">
      <c r="F72" s="139"/>
      <c r="G72" s="139"/>
      <c r="H72" s="139"/>
    </row>
    <row r="73" spans="6:19" ht="19.5" customHeight="1" x14ac:dyDescent="0.15">
      <c r="F73" s="139"/>
      <c r="G73" s="139"/>
      <c r="H73" s="139"/>
    </row>
    <row r="74" spans="6:19" ht="19.5" customHeight="1" x14ac:dyDescent="0.15">
      <c r="F74" s="139"/>
      <c r="G74" s="139"/>
      <c r="H74" s="139"/>
    </row>
    <row r="75" spans="6:19" ht="19.5" customHeight="1" x14ac:dyDescent="0.15">
      <c r="F75" s="139"/>
      <c r="G75" s="139"/>
      <c r="H75" s="139"/>
    </row>
    <row r="76" spans="6:19" ht="19.5" customHeight="1" x14ac:dyDescent="0.15">
      <c r="F76" s="139"/>
      <c r="G76" s="139"/>
      <c r="H76" s="139"/>
      <c r="S76" s="70"/>
    </row>
    <row r="77" spans="6:19" ht="19.5" customHeight="1" x14ac:dyDescent="0.15">
      <c r="F77" s="139"/>
      <c r="G77" s="139"/>
      <c r="H77" s="139"/>
    </row>
    <row r="78" spans="6:19" ht="19.5" customHeight="1" x14ac:dyDescent="0.15">
      <c r="F78" s="139"/>
      <c r="G78" s="139"/>
      <c r="H78" s="139"/>
    </row>
    <row r="79" spans="6:19" ht="19.5" customHeight="1" x14ac:dyDescent="0.15">
      <c r="F79" s="139"/>
      <c r="G79" s="139"/>
      <c r="H79" s="139"/>
    </row>
    <row r="80" spans="6:19" ht="19.5" customHeight="1" x14ac:dyDescent="0.15">
      <c r="F80" s="139"/>
      <c r="G80" s="139"/>
      <c r="H80" s="139"/>
    </row>
    <row r="81" spans="6:17" ht="19.5" customHeight="1" x14ac:dyDescent="0.15">
      <c r="F81" s="139"/>
      <c r="G81" s="139"/>
      <c r="H81" s="139"/>
    </row>
    <row r="82" spans="6:17" ht="19.5" customHeight="1" x14ac:dyDescent="0.15">
      <c r="F82" s="139"/>
      <c r="G82" s="139"/>
      <c r="H82" s="139"/>
    </row>
    <row r="83" spans="6:17" ht="19.5" customHeight="1" x14ac:dyDescent="0.15">
      <c r="F83" s="139"/>
      <c r="G83" s="139"/>
      <c r="H83" s="139"/>
      <c r="Q83" s="156"/>
    </row>
    <row r="84" spans="6:17" ht="19.5" customHeight="1" x14ac:dyDescent="0.15">
      <c r="F84" s="139"/>
      <c r="G84" s="139"/>
      <c r="H84" s="139"/>
    </row>
    <row r="85" spans="6:17" ht="19.5" customHeight="1" x14ac:dyDescent="0.15">
      <c r="F85" s="139"/>
      <c r="G85" s="139"/>
      <c r="H85" s="139"/>
    </row>
    <row r="86" spans="6:17" ht="19.5" customHeight="1" x14ac:dyDescent="0.15">
      <c r="F86" s="139"/>
      <c r="G86" s="139"/>
      <c r="H86" s="139"/>
    </row>
    <row r="87" spans="6:17" ht="19.5" customHeight="1" x14ac:dyDescent="0.15">
      <c r="F87" s="139"/>
      <c r="G87" s="139"/>
      <c r="H87" s="139"/>
    </row>
    <row r="88" spans="6:17" ht="19.5" customHeight="1" x14ac:dyDescent="0.15">
      <c r="F88" s="139"/>
      <c r="G88" s="139"/>
      <c r="H88" s="139"/>
    </row>
    <row r="89" spans="6:17" ht="19.5" customHeight="1" x14ac:dyDescent="0.15">
      <c r="F89" s="139"/>
      <c r="G89" s="139"/>
      <c r="H89" s="139"/>
    </row>
    <row r="90" spans="6:17" ht="19.5" customHeight="1" x14ac:dyDescent="0.15">
      <c r="F90" s="139"/>
      <c r="G90" s="139"/>
      <c r="H90" s="139"/>
    </row>
    <row r="91" spans="6:17" ht="19.5" customHeight="1" x14ac:dyDescent="0.15">
      <c r="F91" s="139"/>
      <c r="G91" s="139"/>
      <c r="H91" s="139"/>
    </row>
    <row r="92" spans="6:17" ht="19.5" customHeight="1" x14ac:dyDescent="0.15">
      <c r="F92" s="139"/>
      <c r="G92" s="139"/>
      <c r="H92" s="139"/>
    </row>
    <row r="93" spans="6:17" ht="19.5" customHeight="1" x14ac:dyDescent="0.15">
      <c r="F93" s="139"/>
      <c r="G93" s="139"/>
      <c r="H93" s="139"/>
    </row>
    <row r="94" spans="6:17" ht="19.5" customHeight="1" x14ac:dyDescent="0.15">
      <c r="F94" s="139"/>
      <c r="G94" s="139"/>
      <c r="H94" s="139"/>
    </row>
    <row r="95" spans="6:17" ht="19.5" customHeight="1" x14ac:dyDescent="0.15">
      <c r="F95" s="139"/>
      <c r="G95" s="139"/>
      <c r="H95" s="139"/>
    </row>
    <row r="96" spans="6:17" ht="19.5" customHeight="1" x14ac:dyDescent="0.15">
      <c r="F96" s="139"/>
      <c r="G96" s="139"/>
      <c r="H96" s="139"/>
    </row>
    <row r="97" spans="6:8" ht="19.5" customHeight="1" x14ac:dyDescent="0.15">
      <c r="F97" s="139"/>
      <c r="G97" s="139"/>
      <c r="H97" s="139"/>
    </row>
    <row r="98" spans="6:8" ht="19.5" customHeight="1" x14ac:dyDescent="0.15">
      <c r="F98" s="139"/>
      <c r="G98" s="139"/>
      <c r="H98" s="139"/>
    </row>
    <row r="99" spans="6:8" ht="19.5" customHeight="1" x14ac:dyDescent="0.15">
      <c r="F99" s="139"/>
      <c r="G99" s="139"/>
      <c r="H99" s="139"/>
    </row>
    <row r="100" spans="6:8" ht="19.5" customHeight="1" x14ac:dyDescent="0.15">
      <c r="F100" s="139"/>
      <c r="G100" s="139"/>
      <c r="H100" s="139"/>
    </row>
    <row r="101" spans="6:8" ht="19.5" customHeight="1" x14ac:dyDescent="0.15">
      <c r="F101" s="139"/>
      <c r="G101" s="139"/>
      <c r="H101" s="139"/>
    </row>
  </sheetData>
  <mergeCells count="24">
    <mergeCell ref="L11:N11"/>
    <mergeCell ref="B2:H2"/>
    <mergeCell ref="K2:N2"/>
    <mergeCell ref="P2:T2"/>
    <mergeCell ref="B3:H3"/>
    <mergeCell ref="B4:H4"/>
    <mergeCell ref="B5:H5"/>
    <mergeCell ref="B6:H6"/>
    <mergeCell ref="B7:H7"/>
    <mergeCell ref="B9:D9"/>
    <mergeCell ref="F9:H9"/>
    <mergeCell ref="K10:N10"/>
    <mergeCell ref="B39:C39"/>
    <mergeCell ref="K15:N15"/>
    <mergeCell ref="P18:S18"/>
    <mergeCell ref="P19:S19"/>
    <mergeCell ref="K22:M22"/>
    <mergeCell ref="P26:Q26"/>
    <mergeCell ref="B31:D31"/>
    <mergeCell ref="B32:C32"/>
    <mergeCell ref="B33:C33"/>
    <mergeCell ref="B34:C34"/>
    <mergeCell ref="B35:C35"/>
    <mergeCell ref="B36:C36"/>
  </mergeCells>
  <dataValidations count="1">
    <dataValidation type="list" allowBlank="1" showInputMessage="1" showErrorMessage="1" sqref="G11" xr:uid="{8B73DCD5-E3A9-4DCE-8476-C0A45F451077}">
      <formula1>"Select One,Fwd-Car,Rwd-Car,Pickup,SUV,Van"</formula1>
    </dataValidation>
  </dataValidations>
  <pageMargins left="0.7" right="0.7" top="0.75" bottom="0.75" header="0.3" footer="0.3"/>
  <pageSetup scale="67" orientation="landscape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71D3-4AFF-4AD1-A367-EE4CAA2912B7}">
  <dimension ref="A4:AK91"/>
  <sheetViews>
    <sheetView view="pageBreakPreview" zoomScale="115" zoomScaleNormal="70" zoomScaleSheetLayoutView="115" workbookViewId="0">
      <selection activeCell="C7" sqref="C7"/>
    </sheetView>
  </sheetViews>
  <sheetFormatPr baseColWidth="10" defaultColWidth="8.83203125" defaultRowHeight="13" x14ac:dyDescent="0.15"/>
  <cols>
    <col min="1" max="1" width="13.5" style="1" customWidth="1"/>
    <col min="2" max="2" width="40.6640625" style="2" customWidth="1"/>
    <col min="3" max="3" width="40" style="23" customWidth="1"/>
    <col min="4" max="6" width="13.6640625" style="2" customWidth="1"/>
    <col min="7" max="11" width="13.6640625" style="1" customWidth="1"/>
    <col min="12" max="21" width="15.6640625" style="1" customWidth="1"/>
    <col min="22" max="16384" width="8.83203125" style="1"/>
  </cols>
  <sheetData>
    <row r="4" spans="1:11" ht="18" customHeight="1" x14ac:dyDescent="0.15"/>
    <row r="5" spans="1:11" ht="18" customHeight="1" x14ac:dyDescent="0.2">
      <c r="A5" s="198" t="s">
        <v>41</v>
      </c>
      <c r="B5" s="198"/>
      <c r="C5" s="198"/>
      <c r="D5" s="198"/>
      <c r="E5" s="22"/>
      <c r="F5" s="22"/>
      <c r="G5" s="22"/>
      <c r="H5" s="22"/>
      <c r="I5" s="22"/>
    </row>
    <row r="6" spans="1:11" ht="18" customHeight="1" x14ac:dyDescent="0.2">
      <c r="E6"/>
      <c r="F6"/>
      <c r="G6"/>
      <c r="H6"/>
      <c r="I6"/>
      <c r="J6"/>
      <c r="K6"/>
    </row>
    <row r="7" spans="1:11" ht="18" customHeight="1" thickBot="1" x14ac:dyDescent="0.25">
      <c r="B7"/>
      <c r="C7"/>
      <c r="D7"/>
      <c r="E7"/>
      <c r="F7"/>
      <c r="G7"/>
      <c r="H7"/>
      <c r="I7"/>
      <c r="J7"/>
      <c r="K7"/>
    </row>
    <row r="8" spans="1:11" ht="18" customHeight="1" x14ac:dyDescent="0.2">
      <c r="B8" s="21" t="s">
        <v>39</v>
      </c>
      <c r="C8" s="20">
        <v>43371</v>
      </c>
      <c r="D8"/>
      <c r="E8"/>
      <c r="F8"/>
      <c r="G8"/>
      <c r="H8"/>
      <c r="I8"/>
      <c r="J8"/>
      <c r="K8"/>
    </row>
    <row r="9" spans="1:11" ht="18" customHeight="1" x14ac:dyDescent="0.2">
      <c r="B9" s="13" t="s">
        <v>38</v>
      </c>
      <c r="C9" s="19" t="s">
        <v>37</v>
      </c>
      <c r="D9"/>
      <c r="E9"/>
      <c r="F9"/>
      <c r="G9"/>
      <c r="H9"/>
      <c r="I9"/>
      <c r="J9"/>
      <c r="K9"/>
    </row>
    <row r="10" spans="1:11" ht="18" customHeight="1" x14ac:dyDescent="0.2">
      <c r="B10" s="13" t="s">
        <v>36</v>
      </c>
      <c r="C10" s="16">
        <v>3298</v>
      </c>
      <c r="D10"/>
      <c r="E10"/>
      <c r="F10"/>
      <c r="G10"/>
      <c r="H10"/>
      <c r="I10"/>
      <c r="J10"/>
      <c r="K10"/>
    </row>
    <row r="11" spans="1:11" ht="18" customHeight="1" x14ac:dyDescent="0.2">
      <c r="B11" s="13" t="s">
        <v>35</v>
      </c>
      <c r="C11" s="24">
        <f>C12/C10</f>
        <v>0.64038811400848994</v>
      </c>
      <c r="D11"/>
      <c r="E11"/>
      <c r="F11"/>
      <c r="G11"/>
      <c r="H11"/>
      <c r="I11"/>
      <c r="J11"/>
      <c r="K11"/>
    </row>
    <row r="12" spans="1:11" ht="18" customHeight="1" x14ac:dyDescent="0.2">
      <c r="B12" s="13" t="s">
        <v>34</v>
      </c>
      <c r="C12" s="16">
        <f>1080+1032</f>
        <v>2112</v>
      </c>
      <c r="D12"/>
      <c r="E12"/>
      <c r="F12"/>
      <c r="G12"/>
      <c r="H12"/>
      <c r="I12"/>
      <c r="J12"/>
      <c r="K12"/>
    </row>
    <row r="13" spans="1:11" ht="18" customHeight="1" x14ac:dyDescent="0.2">
      <c r="B13" s="13" t="s">
        <v>33</v>
      </c>
      <c r="C13" s="18">
        <v>187</v>
      </c>
      <c r="D13"/>
      <c r="E13"/>
      <c r="F13"/>
      <c r="G13"/>
      <c r="H13"/>
      <c r="I13"/>
      <c r="J13"/>
      <c r="K13"/>
    </row>
    <row r="14" spans="1:11" ht="18" customHeight="1" x14ac:dyDescent="0.2">
      <c r="B14" s="13" t="s">
        <v>32</v>
      </c>
      <c r="C14" s="18">
        <v>70</v>
      </c>
      <c r="D14"/>
      <c r="E14"/>
      <c r="F14"/>
      <c r="G14"/>
      <c r="H14"/>
      <c r="I14"/>
      <c r="J14"/>
      <c r="K14"/>
    </row>
    <row r="15" spans="1:11" ht="18" customHeight="1" x14ac:dyDescent="0.2">
      <c r="B15" s="13" t="s">
        <v>31</v>
      </c>
      <c r="C15" s="18">
        <f>4*12+8.25</f>
        <v>56.25</v>
      </c>
      <c r="D15"/>
      <c r="E15"/>
      <c r="F15"/>
      <c r="G15"/>
      <c r="H15"/>
      <c r="I15"/>
      <c r="J15"/>
      <c r="K15"/>
    </row>
    <row r="16" spans="1:11" ht="18" customHeight="1" x14ac:dyDescent="0.2">
      <c r="B16" s="13" t="s">
        <v>30</v>
      </c>
      <c r="C16" s="18">
        <v>106</v>
      </c>
      <c r="D16"/>
      <c r="E16"/>
      <c r="F16"/>
      <c r="G16"/>
      <c r="H16"/>
      <c r="I16"/>
      <c r="J16"/>
      <c r="K16"/>
    </row>
    <row r="17" spans="2:13" ht="18" customHeight="1" x14ac:dyDescent="0.2">
      <c r="B17" s="13" t="s">
        <v>29</v>
      </c>
      <c r="C17" s="18">
        <v>38</v>
      </c>
      <c r="D17"/>
      <c r="E17"/>
      <c r="F17"/>
      <c r="G17"/>
      <c r="H17"/>
      <c r="I17"/>
      <c r="J17"/>
      <c r="K17"/>
    </row>
    <row r="18" spans="2:13" ht="18" customHeight="1" x14ac:dyDescent="0.2">
      <c r="B18" s="13" t="s">
        <v>28</v>
      </c>
      <c r="C18" s="18">
        <v>60</v>
      </c>
      <c r="D18"/>
      <c r="F18" s="17"/>
      <c r="G18" s="17"/>
    </row>
    <row r="19" spans="2:13" ht="18" customHeight="1" x14ac:dyDescent="0.2">
      <c r="B19" s="13" t="s">
        <v>27</v>
      </c>
      <c r="C19" s="18">
        <v>59</v>
      </c>
      <c r="D19"/>
      <c r="E19" s="1"/>
      <c r="F19" s="17"/>
      <c r="G19" s="17"/>
    </row>
    <row r="20" spans="2:13" ht="18" customHeight="1" x14ac:dyDescent="0.2">
      <c r="B20" s="13" t="s">
        <v>26</v>
      </c>
      <c r="C20" s="16" t="s">
        <v>25</v>
      </c>
      <c r="D20"/>
      <c r="E20" s="1"/>
      <c r="F20" s="17"/>
      <c r="G20" s="17"/>
    </row>
    <row r="21" spans="2:13" ht="18" customHeight="1" x14ac:dyDescent="0.2">
      <c r="B21" s="13" t="s">
        <v>24</v>
      </c>
      <c r="C21" s="16"/>
      <c r="D21"/>
      <c r="E21" s="1"/>
      <c r="F21" s="17"/>
      <c r="G21" s="17"/>
    </row>
    <row r="22" spans="2:13" ht="18" customHeight="1" x14ac:dyDescent="0.2">
      <c r="B22" s="13" t="s">
        <v>22</v>
      </c>
      <c r="C22" s="25">
        <v>0.76600000000000001</v>
      </c>
      <c r="D22"/>
      <c r="E22" s="1"/>
      <c r="F22" s="17"/>
      <c r="G22" s="17"/>
    </row>
    <row r="23" spans="2:13" ht="18" customHeight="1" x14ac:dyDescent="0.2">
      <c r="B23" s="13" t="s">
        <v>21</v>
      </c>
      <c r="C23" s="25">
        <v>0.48799999999999999</v>
      </c>
      <c r="D23"/>
      <c r="E23" s="1"/>
      <c r="F23" s="1"/>
      <c r="G23" s="17"/>
    </row>
    <row r="24" spans="2:13" ht="18" customHeight="1" x14ac:dyDescent="0.2">
      <c r="B24" s="13" t="s">
        <v>20</v>
      </c>
      <c r="C24" s="26">
        <f>C23/C22</f>
        <v>0.63707571801566576</v>
      </c>
      <c r="D24"/>
      <c r="E24" s="1"/>
      <c r="F24" s="1"/>
    </row>
    <row r="25" spans="2:13" s="2" customFormat="1" ht="18" customHeight="1" x14ac:dyDescent="0.2">
      <c r="B25" s="13" t="s">
        <v>19</v>
      </c>
      <c r="C25" s="27"/>
      <c r="D25"/>
    </row>
    <row r="26" spans="2:13" s="2" customFormat="1" ht="18" customHeight="1" x14ac:dyDescent="0.2">
      <c r="B26" s="13" t="s">
        <v>18</v>
      </c>
      <c r="C26" s="27"/>
      <c r="D26"/>
    </row>
    <row r="27" spans="2:13" ht="18" customHeight="1" x14ac:dyDescent="0.2">
      <c r="B27" s="13" t="s">
        <v>17</v>
      </c>
      <c r="C27" s="27"/>
      <c r="D27"/>
      <c r="E27" s="1"/>
      <c r="F27" s="1"/>
    </row>
    <row r="28" spans="2:13" ht="18" customHeight="1" x14ac:dyDescent="0.2">
      <c r="B28" s="13" t="s">
        <v>16</v>
      </c>
      <c r="C28" s="16">
        <v>215</v>
      </c>
      <c r="D28"/>
      <c r="E28" s="14"/>
      <c r="F28" s="14"/>
      <c r="G28" s="14"/>
      <c r="H28" s="14"/>
      <c r="I28" s="14"/>
      <c r="J28" s="14"/>
      <c r="K28" s="14"/>
      <c r="L28" s="14"/>
      <c r="M28" s="14"/>
    </row>
    <row r="29" spans="2:13" ht="18" customHeight="1" x14ac:dyDescent="0.2">
      <c r="B29" s="13" t="s">
        <v>15</v>
      </c>
      <c r="C29" s="16">
        <v>60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2:13" ht="18" customHeight="1" x14ac:dyDescent="0.2">
      <c r="B30" s="13" t="s">
        <v>14</v>
      </c>
      <c r="C30" s="16">
        <v>16</v>
      </c>
      <c r="D30"/>
      <c r="E30" s="14"/>
      <c r="F30" s="14"/>
      <c r="G30" s="14"/>
      <c r="H30" s="14"/>
      <c r="I30" s="14"/>
      <c r="J30" s="14"/>
      <c r="K30" s="14"/>
      <c r="L30" s="14"/>
      <c r="M30" s="14"/>
    </row>
    <row r="31" spans="2:13" ht="18" customHeight="1" x14ac:dyDescent="0.2">
      <c r="B31" s="15" t="s">
        <v>13</v>
      </c>
      <c r="C31" s="12">
        <f>(C28*0.0394)*(C29/100)*2+C30</f>
        <v>26.165199999999999</v>
      </c>
      <c r="D31"/>
      <c r="E31" s="14"/>
      <c r="F31" s="14"/>
      <c r="G31" s="14"/>
      <c r="H31" s="14"/>
      <c r="I31" s="14"/>
      <c r="J31" s="14"/>
      <c r="K31" s="14"/>
      <c r="L31" s="14"/>
      <c r="M31" s="14"/>
    </row>
    <row r="32" spans="2:13" ht="18" customHeight="1" x14ac:dyDescent="0.2">
      <c r="B32" s="15" t="s">
        <v>12</v>
      </c>
      <c r="C32" s="12">
        <f>C28*0.03936996</f>
        <v>8.4645413999999999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8" ht="18" customHeight="1" x14ac:dyDescent="0.2">
      <c r="B33" s="13" t="s">
        <v>11</v>
      </c>
      <c r="C33" s="12">
        <f>(1-C11)*C16</f>
        <v>38.118859915100067</v>
      </c>
      <c r="D33" s="1"/>
      <c r="E33" s="1"/>
      <c r="F33" s="1"/>
    </row>
    <row r="34" spans="1:18" ht="18" customHeight="1" thickBot="1" x14ac:dyDescent="0.25">
      <c r="B34" s="11" t="s">
        <v>10</v>
      </c>
      <c r="C34" s="10"/>
      <c r="D34" s="1"/>
      <c r="E34" s="1"/>
      <c r="F34" s="1"/>
    </row>
    <row r="35" spans="1:18" ht="18" customHeight="1" x14ac:dyDescent="0.2">
      <c r="B35"/>
      <c r="C35" s="6"/>
      <c r="J35" s="9"/>
      <c r="K35" s="9"/>
      <c r="L35" s="9"/>
      <c r="M35" s="9"/>
      <c r="N35" s="9"/>
      <c r="O35" s="9"/>
      <c r="P35" s="9"/>
      <c r="Q35" s="9"/>
      <c r="R35" s="9"/>
    </row>
    <row r="36" spans="1:18" ht="18" customHeight="1" x14ac:dyDescent="0.2">
      <c r="C36" s="6"/>
      <c r="D36"/>
      <c r="E36"/>
      <c r="F36"/>
      <c r="G3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ht="18" customHeight="1" x14ac:dyDescent="0.2">
      <c r="A37"/>
      <c r="B37" s="4" t="s">
        <v>9</v>
      </c>
      <c r="C37" s="6">
        <v>1080</v>
      </c>
      <c r="D37"/>
      <c r="E37"/>
      <c r="F37"/>
      <c r="G37"/>
      <c r="H37"/>
      <c r="I37"/>
      <c r="J37"/>
      <c r="K37"/>
      <c r="L37" s="8"/>
      <c r="M37" s="8"/>
      <c r="N37" s="8"/>
      <c r="O37" s="8"/>
      <c r="P37" s="8"/>
      <c r="Q37" s="8"/>
      <c r="R37" s="8"/>
    </row>
    <row r="38" spans="1:18" ht="18" customHeight="1" x14ac:dyDescent="0.2">
      <c r="A38"/>
      <c r="B38" s="4" t="s">
        <v>8</v>
      </c>
      <c r="C38" s="6">
        <v>1032</v>
      </c>
      <c r="D38"/>
      <c r="E38"/>
      <c r="F38"/>
      <c r="G38"/>
      <c r="H38"/>
      <c r="I38"/>
      <c r="J38"/>
      <c r="K38"/>
      <c r="L38" s="8"/>
      <c r="M38" s="8"/>
      <c r="N38" s="8"/>
      <c r="O38" s="8"/>
      <c r="P38" s="8"/>
      <c r="Q38" s="8"/>
      <c r="R38" s="8"/>
    </row>
    <row r="39" spans="1:18" ht="18" customHeight="1" x14ac:dyDescent="0.2">
      <c r="A39"/>
      <c r="B39" s="4" t="s">
        <v>7</v>
      </c>
      <c r="C39" s="6">
        <v>636</v>
      </c>
      <c r="D39"/>
      <c r="E39"/>
      <c r="F39"/>
      <c r="G39"/>
      <c r="H39"/>
      <c r="I39"/>
      <c r="J39"/>
      <c r="K39"/>
      <c r="L39" s="8"/>
      <c r="M39" s="8"/>
      <c r="N39" s="8"/>
      <c r="O39" s="8"/>
      <c r="P39" s="8"/>
      <c r="Q39" s="8"/>
      <c r="R39" s="8"/>
    </row>
    <row r="40" spans="1:18" ht="18" customHeight="1" x14ac:dyDescent="0.2">
      <c r="A40"/>
      <c r="B40" s="4" t="s">
        <v>6</v>
      </c>
      <c r="C40" s="6">
        <v>550</v>
      </c>
      <c r="D40"/>
      <c r="E40"/>
      <c r="F40"/>
      <c r="G40"/>
      <c r="H40"/>
      <c r="I40"/>
      <c r="J40"/>
      <c r="K40"/>
      <c r="L40" s="8"/>
      <c r="M40" s="8"/>
      <c r="N40" s="8"/>
      <c r="O40" s="8"/>
      <c r="P40" s="8"/>
      <c r="Q40" s="8"/>
      <c r="R40" s="8"/>
    </row>
    <row r="41" spans="1:18" ht="15" x14ac:dyDescent="0.2">
      <c r="A41"/>
      <c r="B41" s="7"/>
      <c r="C41" s="6"/>
      <c r="D41"/>
      <c r="E41"/>
      <c r="F41"/>
      <c r="G41"/>
      <c r="H41"/>
      <c r="I41"/>
      <c r="J41"/>
      <c r="K41"/>
    </row>
    <row r="42" spans="1:18" ht="17" customHeight="1" x14ac:dyDescent="0.2">
      <c r="A42"/>
      <c r="B42" s="4" t="s">
        <v>5</v>
      </c>
      <c r="C42" s="6">
        <f>C37+C38</f>
        <v>2112</v>
      </c>
      <c r="D42"/>
      <c r="E42"/>
      <c r="F42"/>
      <c r="G42"/>
      <c r="H42"/>
      <c r="I42"/>
      <c r="J42"/>
      <c r="K42"/>
    </row>
    <row r="43" spans="1:18" ht="15" x14ac:dyDescent="0.2">
      <c r="A43"/>
      <c r="B43" s="4" t="s">
        <v>4</v>
      </c>
      <c r="C43" s="6">
        <f>C39+C40</f>
        <v>1186</v>
      </c>
      <c r="D43"/>
      <c r="E43"/>
      <c r="F43"/>
      <c r="G43"/>
      <c r="H43"/>
      <c r="I43"/>
      <c r="J43"/>
      <c r="K43"/>
    </row>
    <row r="44" spans="1:18" ht="15" x14ac:dyDescent="0.2">
      <c r="A44"/>
      <c r="B44" s="7"/>
      <c r="C44" s="6"/>
      <c r="D44"/>
      <c r="E44"/>
      <c r="F44"/>
      <c r="G44"/>
      <c r="H44"/>
      <c r="I44"/>
      <c r="J44"/>
      <c r="K44"/>
    </row>
    <row r="45" spans="1:18" ht="15" x14ac:dyDescent="0.2">
      <c r="A45"/>
      <c r="B45" s="4" t="s">
        <v>3</v>
      </c>
      <c r="C45" s="5">
        <f>(C18/2)-C37/C42*C18</f>
        <v>-0.68181818181817988</v>
      </c>
      <c r="D45"/>
      <c r="E45"/>
      <c r="F45"/>
      <c r="G45"/>
      <c r="H45"/>
      <c r="I45"/>
      <c r="J45"/>
      <c r="K45"/>
    </row>
    <row r="46" spans="1:18" ht="15" x14ac:dyDescent="0.2">
      <c r="A46"/>
      <c r="B46" s="4" t="s">
        <v>2</v>
      </c>
      <c r="C46" s="5">
        <f>(C19/2)-C39/C43*C19</f>
        <v>-2.1391231028667796</v>
      </c>
      <c r="D46" t="s">
        <v>1</v>
      </c>
      <c r="E46"/>
      <c r="F46"/>
      <c r="G46"/>
      <c r="H46"/>
      <c r="I46"/>
      <c r="J46"/>
      <c r="K46"/>
    </row>
    <row r="47" spans="1:18" ht="15" x14ac:dyDescent="0.2">
      <c r="A47"/>
      <c r="B47" s="4" t="s">
        <v>0</v>
      </c>
      <c r="C47" s="5">
        <f>(C45*C42+C46*C43)/SUM(C42:C43)</f>
        <v>-1.2058823529411753</v>
      </c>
      <c r="D47" s="3">
        <f>AVERAGE(C47:C47)</f>
        <v>-1.2058823529411753</v>
      </c>
      <c r="E47"/>
      <c r="F47"/>
      <c r="G47"/>
      <c r="H47"/>
      <c r="I47"/>
      <c r="J47"/>
      <c r="K47"/>
    </row>
    <row r="48" spans="1:18" ht="15" x14ac:dyDescent="0.2">
      <c r="A48"/>
      <c r="B48"/>
      <c r="C48" s="6"/>
      <c r="D48"/>
      <c r="E48"/>
      <c r="F48"/>
      <c r="G48"/>
      <c r="H48"/>
      <c r="I48"/>
      <c r="J48"/>
      <c r="K48"/>
    </row>
    <row r="49" spans="1:11" ht="15" x14ac:dyDescent="0.2">
      <c r="A49"/>
      <c r="B49"/>
      <c r="C49" s="6"/>
      <c r="D49"/>
      <c r="E49"/>
      <c r="F49"/>
      <c r="G49"/>
      <c r="H49"/>
      <c r="I49"/>
      <c r="J49"/>
      <c r="K49"/>
    </row>
    <row r="50" spans="1:11" ht="15" x14ac:dyDescent="0.2">
      <c r="A50"/>
      <c r="B50"/>
      <c r="C50" s="6"/>
      <c r="D50"/>
      <c r="E50"/>
      <c r="F50"/>
      <c r="G50"/>
      <c r="H50"/>
      <c r="I50"/>
      <c r="J50"/>
      <c r="K50"/>
    </row>
    <row r="51" spans="1:11" ht="15" x14ac:dyDescent="0.2">
      <c r="A51"/>
      <c r="B51"/>
      <c r="C51" s="6"/>
      <c r="D51"/>
      <c r="E51"/>
      <c r="F51"/>
      <c r="G51"/>
      <c r="H51"/>
      <c r="I51"/>
      <c r="J51"/>
      <c r="K51"/>
    </row>
    <row r="52" spans="1:11" ht="15" x14ac:dyDescent="0.2">
      <c r="A52"/>
      <c r="B52"/>
      <c r="C52" s="6"/>
      <c r="D52"/>
      <c r="E52"/>
      <c r="F52"/>
      <c r="G52"/>
      <c r="H52"/>
      <c r="I52"/>
      <c r="J52"/>
      <c r="K52"/>
    </row>
    <row r="53" spans="1:11" ht="15" x14ac:dyDescent="0.2">
      <c r="A53"/>
      <c r="B53"/>
      <c r="C53" s="6"/>
      <c r="D53"/>
      <c r="E53"/>
      <c r="F53"/>
      <c r="G53"/>
      <c r="H53"/>
      <c r="I53"/>
      <c r="J53"/>
      <c r="K53"/>
    </row>
    <row r="54" spans="1:11" ht="15" x14ac:dyDescent="0.2">
      <c r="A54"/>
      <c r="B54"/>
      <c r="C54" s="6"/>
      <c r="D54"/>
      <c r="E54"/>
      <c r="F54"/>
      <c r="G54"/>
      <c r="H54"/>
      <c r="I54"/>
      <c r="J54"/>
      <c r="K54"/>
    </row>
    <row r="55" spans="1:11" ht="15" x14ac:dyDescent="0.2">
      <c r="A55"/>
      <c r="B55"/>
      <c r="C55" s="6"/>
      <c r="D55"/>
      <c r="E55"/>
      <c r="F55"/>
      <c r="G55"/>
      <c r="H55"/>
      <c r="I55"/>
      <c r="J55"/>
      <c r="K55"/>
    </row>
    <row r="56" spans="1:11" ht="15" x14ac:dyDescent="0.2">
      <c r="A56"/>
      <c r="B56"/>
      <c r="C56" s="6"/>
      <c r="D56"/>
      <c r="E56"/>
      <c r="F56"/>
      <c r="G56"/>
      <c r="H56"/>
      <c r="I56"/>
      <c r="J56"/>
      <c r="K56"/>
    </row>
    <row r="57" spans="1:11" ht="15" x14ac:dyDescent="0.2">
      <c r="A57"/>
      <c r="B57"/>
      <c r="C57" s="6"/>
      <c r="D57"/>
      <c r="E57"/>
      <c r="F57"/>
      <c r="G57"/>
      <c r="H57"/>
      <c r="I57"/>
      <c r="J57"/>
      <c r="K57"/>
    </row>
    <row r="58" spans="1:11" ht="15" x14ac:dyDescent="0.2">
      <c r="A58"/>
      <c r="B58"/>
      <c r="C58" s="6"/>
      <c r="D58"/>
      <c r="E58"/>
      <c r="F58"/>
      <c r="G58"/>
      <c r="H58"/>
      <c r="I58"/>
      <c r="J58"/>
      <c r="K58"/>
    </row>
    <row r="59" spans="1:11" ht="15" x14ac:dyDescent="0.2">
      <c r="A59"/>
      <c r="B59"/>
      <c r="C59" s="6"/>
      <c r="D59"/>
      <c r="E59"/>
      <c r="F59"/>
      <c r="G59"/>
      <c r="H59"/>
      <c r="I59"/>
      <c r="J59"/>
      <c r="K59"/>
    </row>
    <row r="60" spans="1:11" ht="15" x14ac:dyDescent="0.2">
      <c r="A60"/>
      <c r="B60"/>
      <c r="C60" s="6"/>
      <c r="D60"/>
      <c r="E60"/>
      <c r="F60"/>
      <c r="G60"/>
      <c r="H60"/>
      <c r="I60"/>
      <c r="J60"/>
      <c r="K60"/>
    </row>
    <row r="61" spans="1:11" ht="15" x14ac:dyDescent="0.2">
      <c r="A61"/>
      <c r="B61"/>
      <c r="C61" s="6"/>
      <c r="D61"/>
      <c r="E61"/>
      <c r="F61"/>
      <c r="G61"/>
      <c r="H61"/>
      <c r="I61"/>
      <c r="J61"/>
      <c r="K61"/>
    </row>
    <row r="62" spans="1:11" ht="15" x14ac:dyDescent="0.2">
      <c r="A62"/>
      <c r="B62"/>
      <c r="C62" s="6"/>
      <c r="D62"/>
      <c r="E62"/>
      <c r="F62"/>
      <c r="G62"/>
      <c r="H62"/>
      <c r="I62"/>
      <c r="J62"/>
      <c r="K62"/>
    </row>
    <row r="63" spans="1:11" ht="15" x14ac:dyDescent="0.2">
      <c r="A63"/>
      <c r="B63"/>
      <c r="C63" s="6"/>
      <c r="D63"/>
      <c r="E63"/>
      <c r="F63"/>
      <c r="G63"/>
      <c r="H63"/>
      <c r="I63"/>
      <c r="J63"/>
      <c r="K63"/>
    </row>
    <row r="64" spans="1:11" ht="16.5" customHeight="1" x14ac:dyDescent="0.2">
      <c r="A64"/>
      <c r="B64"/>
      <c r="C64" s="6"/>
      <c r="D64"/>
      <c r="E64"/>
      <c r="F64"/>
      <c r="G64"/>
      <c r="H64"/>
      <c r="I64"/>
      <c r="J64"/>
      <c r="K64"/>
    </row>
    <row r="65" spans="1:37" ht="15" x14ac:dyDescent="0.2">
      <c r="A65"/>
      <c r="B65"/>
      <c r="C65" s="6"/>
      <c r="D65"/>
      <c r="E65"/>
      <c r="F65"/>
      <c r="G65"/>
      <c r="H65"/>
      <c r="I65"/>
      <c r="J65"/>
      <c r="K65"/>
    </row>
    <row r="66" spans="1:37" ht="15" x14ac:dyDescent="0.2">
      <c r="A66"/>
      <c r="B66"/>
      <c r="C66" s="6"/>
      <c r="D66"/>
      <c r="E66"/>
      <c r="F66"/>
      <c r="G66"/>
      <c r="H66"/>
      <c r="I66"/>
      <c r="J66"/>
      <c r="K66"/>
    </row>
    <row r="67" spans="1:37" ht="15" x14ac:dyDescent="0.2">
      <c r="A67"/>
      <c r="B67"/>
      <c r="C67" s="6"/>
      <c r="D67"/>
      <c r="E67"/>
      <c r="F67"/>
      <c r="G67"/>
      <c r="H67"/>
      <c r="I67"/>
      <c r="J67"/>
      <c r="K67"/>
    </row>
    <row r="68" spans="1:37" ht="15" x14ac:dyDescent="0.2">
      <c r="A68"/>
      <c r="B68"/>
      <c r="C68" s="6"/>
      <c r="D68"/>
      <c r="E68"/>
      <c r="F68"/>
      <c r="G68"/>
      <c r="H68"/>
      <c r="I68"/>
      <c r="J68"/>
      <c r="K68"/>
    </row>
    <row r="69" spans="1:37" ht="15" x14ac:dyDescent="0.2">
      <c r="A69"/>
      <c r="B69"/>
      <c r="C69" s="6"/>
      <c r="D69"/>
      <c r="E69"/>
      <c r="F69"/>
      <c r="G69"/>
      <c r="H69"/>
      <c r="I69"/>
      <c r="J69"/>
      <c r="K69"/>
    </row>
    <row r="70" spans="1:37" ht="15" x14ac:dyDescent="0.2">
      <c r="A70"/>
      <c r="B70"/>
      <c r="C70" s="6"/>
      <c r="D70"/>
      <c r="E70"/>
      <c r="F70"/>
      <c r="G70"/>
      <c r="H70"/>
      <c r="I70"/>
      <c r="J70"/>
      <c r="K70"/>
    </row>
    <row r="71" spans="1:37" ht="15" x14ac:dyDescent="0.2">
      <c r="A71"/>
      <c r="B71"/>
      <c r="C71" s="6"/>
      <c r="D71"/>
      <c r="E71"/>
      <c r="F71"/>
      <c r="G71"/>
      <c r="H71"/>
      <c r="I71"/>
      <c r="J71"/>
      <c r="K71"/>
    </row>
    <row r="72" spans="1:37" ht="15" x14ac:dyDescent="0.2">
      <c r="A72"/>
      <c r="B72"/>
      <c r="C72" s="6"/>
      <c r="D72"/>
      <c r="E72"/>
      <c r="F72"/>
      <c r="G72"/>
      <c r="H72"/>
      <c r="I72"/>
      <c r="J72"/>
      <c r="K72"/>
    </row>
    <row r="73" spans="1:37" ht="15" x14ac:dyDescent="0.2">
      <c r="A73"/>
      <c r="B73"/>
      <c r="C73" s="6"/>
      <c r="D73"/>
      <c r="E73"/>
      <c r="F73"/>
      <c r="G73"/>
      <c r="H73"/>
      <c r="I73"/>
      <c r="J73"/>
      <c r="K73"/>
    </row>
    <row r="74" spans="1:37" ht="15" x14ac:dyDescent="0.2">
      <c r="A74"/>
      <c r="B74"/>
      <c r="C74" s="6"/>
      <c r="D74"/>
      <c r="E74"/>
      <c r="F74"/>
      <c r="G74"/>
      <c r="H74"/>
      <c r="I74"/>
      <c r="J74"/>
      <c r="K74"/>
    </row>
    <row r="75" spans="1:37" ht="15" x14ac:dyDescent="0.2">
      <c r="A75"/>
      <c r="B75"/>
      <c r="C75" s="6"/>
      <c r="D75"/>
      <c r="E75"/>
      <c r="F75"/>
      <c r="G75"/>
      <c r="H75"/>
      <c r="I75"/>
      <c r="J75"/>
      <c r="K75"/>
    </row>
    <row r="76" spans="1:37" ht="15" x14ac:dyDescent="0.2">
      <c r="A76"/>
      <c r="B76"/>
      <c r="C76" s="6"/>
      <c r="D76"/>
      <c r="E76"/>
      <c r="F76"/>
      <c r="G76"/>
      <c r="H76"/>
      <c r="I76"/>
      <c r="J76"/>
      <c r="K76"/>
    </row>
    <row r="77" spans="1:37" ht="15" x14ac:dyDescent="0.2">
      <c r="A77"/>
      <c r="B77"/>
      <c r="C77" s="6"/>
      <c r="D77"/>
      <c r="E77"/>
      <c r="F77"/>
      <c r="G77"/>
      <c r="H77"/>
      <c r="I77"/>
      <c r="J77"/>
      <c r="K77"/>
    </row>
    <row r="78" spans="1:37" ht="15" x14ac:dyDescent="0.2">
      <c r="A78"/>
      <c r="B78"/>
      <c r="C78" s="6"/>
      <c r="D78"/>
      <c r="E78"/>
      <c r="F78"/>
      <c r="G78"/>
      <c r="H78"/>
      <c r="I78"/>
      <c r="J78"/>
      <c r="K78"/>
    </row>
    <row r="79" spans="1:37" s="2" customFormat="1" ht="15" x14ac:dyDescent="0.2">
      <c r="A79"/>
      <c r="B79"/>
      <c r="C79" s="6"/>
      <c r="D79"/>
      <c r="E79"/>
      <c r="F79"/>
      <c r="G79"/>
      <c r="H79"/>
      <c r="I79"/>
      <c r="J79"/>
      <c r="K7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" x14ac:dyDescent="0.2">
      <c r="A80"/>
      <c r="B80"/>
      <c r="C80" s="6"/>
      <c r="D80"/>
      <c r="E80"/>
      <c r="F80"/>
      <c r="G80"/>
      <c r="H80"/>
      <c r="I80"/>
      <c r="J80"/>
      <c r="K80"/>
    </row>
    <row r="81" spans="1:11" ht="15" x14ac:dyDescent="0.2">
      <c r="A81"/>
      <c r="B81"/>
      <c r="C81" s="6"/>
      <c r="D81"/>
      <c r="E81"/>
      <c r="F81"/>
      <c r="G81"/>
      <c r="H81"/>
      <c r="I81"/>
      <c r="J81"/>
      <c r="K81"/>
    </row>
    <row r="82" spans="1:11" ht="15" x14ac:dyDescent="0.2">
      <c r="A82"/>
      <c r="B82"/>
      <c r="C82" s="6"/>
      <c r="D82"/>
      <c r="E82"/>
      <c r="F82"/>
      <c r="G82"/>
      <c r="H82"/>
      <c r="I82"/>
      <c r="J82"/>
      <c r="K82"/>
    </row>
    <row r="83" spans="1:11" ht="15" x14ac:dyDescent="0.2">
      <c r="A83"/>
      <c r="B83"/>
      <c r="C83" s="6"/>
      <c r="D83"/>
      <c r="E83"/>
      <c r="F83"/>
      <c r="G83"/>
      <c r="H83"/>
      <c r="I83"/>
      <c r="J83"/>
      <c r="K83"/>
    </row>
    <row r="84" spans="1:11" ht="15" x14ac:dyDescent="0.2">
      <c r="A84"/>
      <c r="B84"/>
      <c r="C84" s="6"/>
      <c r="D84"/>
      <c r="E84"/>
      <c r="F84"/>
      <c r="G84"/>
      <c r="H84"/>
      <c r="I84"/>
      <c r="J84"/>
      <c r="K84"/>
    </row>
    <row r="85" spans="1:11" ht="15" x14ac:dyDescent="0.2">
      <c r="A85"/>
      <c r="B85"/>
      <c r="C85" s="6"/>
      <c r="D85"/>
      <c r="E85"/>
      <c r="F85"/>
      <c r="G85"/>
      <c r="H85"/>
      <c r="I85"/>
      <c r="J85"/>
      <c r="K85"/>
    </row>
    <row r="86" spans="1:11" ht="15" x14ac:dyDescent="0.2">
      <c r="A86"/>
      <c r="B86"/>
      <c r="C86" s="6"/>
      <c r="D86"/>
      <c r="E86"/>
      <c r="F86"/>
      <c r="G86"/>
      <c r="H86"/>
      <c r="I86"/>
      <c r="J86"/>
      <c r="K86"/>
    </row>
    <row r="87" spans="1:11" ht="15" x14ac:dyDescent="0.2">
      <c r="B87"/>
      <c r="C87" s="6"/>
    </row>
    <row r="88" spans="1:11" ht="15" x14ac:dyDescent="0.2">
      <c r="B88"/>
      <c r="C88" s="6"/>
    </row>
    <row r="89" spans="1:11" ht="15" x14ac:dyDescent="0.2">
      <c r="B89"/>
      <c r="C89" s="6"/>
    </row>
    <row r="90" spans="1:11" ht="15" x14ac:dyDescent="0.2">
      <c r="B90"/>
      <c r="C90" s="6"/>
    </row>
    <row r="91" spans="1:11" ht="15" x14ac:dyDescent="0.2">
      <c r="B91"/>
      <c r="C91" s="6"/>
    </row>
  </sheetData>
  <mergeCells count="1">
    <mergeCell ref="A5:D5"/>
  </mergeCells>
  <printOptions horizontalCentered="1" verticalCentered="1"/>
  <pageMargins left="0.5" right="0.5" top="0.37" bottom="0.74" header="0.28000000000000003" footer="0.43"/>
  <pageSetup scale="55" fitToHeight="2" orientation="landscape" r:id="rId1"/>
  <headerFooter alignWithMargins="0"/>
  <rowBreaks count="1" manualBreakCount="1">
    <brk id="58" max="7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HVE</vt:lpstr>
      <vt:lpstr>IPs From 2019 SAE Pub</vt:lpstr>
      <vt:lpstr>'For HVE'!Print_Area</vt:lpstr>
      <vt:lpstr>'IPs From 2019 SAE Pub'!Print_Area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Microsoft Office User</cp:lastModifiedBy>
  <dcterms:created xsi:type="dcterms:W3CDTF">2020-07-31T15:56:42Z</dcterms:created>
  <dcterms:modified xsi:type="dcterms:W3CDTF">2021-01-20T08:11:22Z</dcterms:modified>
</cp:coreProperties>
</file>