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Default Extension="jpg" ContentType="image/jpeg"/>
  <Default Extension="jpeg" ContentType="image/jpeg"/>
  <Default Extension="tiff" ContentType="image/tiff"/>
  <Default Extension="gif" ContentType="image/gif"/>
  <Default Extension="wmf" ContentType="image/x-wmf"/>
  <Default Extension="emf" ContentType="image/x-emf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app.xml" ContentType="application/vnd.openxmlformats-officedocument.extended-propertie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624"/>
  <workbookPr filterPrivacy="1"/>
  <xr:revisionPtr revIDLastSave="862" documentId="114_{70085BDB-D37E-456D-95B5-671D63DF5AD5}" xr6:coauthVersionLast="45" xr6:coauthVersionMax="45" xr10:uidLastSave="{F7650020-8D4B-4243-9E96-39F5D20CD8E4}"/>
  <bookViews>
    <workbookView activeTab="0" windowHeight="21220" windowWidth="38620" xWindow="-110" xr2:uid="{00000000-000D-0000-FFFF-FFFF00000000}" yWindow="-110"/>
  </bookViews>
  <sheets>
    <sheet name="vehicles" sheetId="2" r:id="rId1"/>
    <sheet name="v1_input" sheetId="1" r:id="rId2"/>
    <sheet name="v2_input" sheetId="9" r:id="rId3"/>
    <sheet name="v1_post" sheetId="11" r:id="rId4"/>
    <sheet name="v2_post" sheetId="12" r:id="rId5"/>
    <sheet name="tire" sheetId="10" r:id="rId6"/>
    <sheet name="vehicles (2)" sheetId="3" r:id="rId7"/>
    <sheet name="processed_path" sheetId="4" r:id="rId8"/>
    <sheet name="Heading" sheetId="5" r:id="rId9"/>
    <sheet name="X-Y" sheetId="6" r:id="rId10"/>
    <sheet name="draw_columns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<sst xmlns="http://schemas.openxmlformats.org/spreadsheetml/2006/main" count="306" uniqueCount="196">
  <si>
    <t>sw_angle</t>
  </si>
  <si>
    <t>brake</t>
  </si>
  <si>
    <t>make</t>
  </si>
  <si>
    <t>model</t>
  </si>
  <si>
    <t>izz</t>
  </si>
  <si>
    <t>Dodge</t>
  </si>
  <si>
    <t>Journey</t>
  </si>
  <si>
    <t>inputs</t>
  </si>
  <si>
    <t>v1</t>
  </si>
  <si>
    <t>v2</t>
  </si>
  <si>
    <t>oz</t>
  </si>
  <si>
    <t>t</t>
  </si>
  <si>
    <t>v</t>
  </si>
  <si>
    <t>initial yaw (deg/s)</t>
  </si>
  <si>
    <t>initial x position (ft)</t>
  </si>
  <si>
    <t>weight (lb)</t>
  </si>
  <si>
    <t>initial y position (ft)</t>
  </si>
  <si>
    <t>vehicle width (ft)</t>
  </si>
  <si>
    <t>vehicle length (ft)</t>
  </si>
  <si>
    <t>wheelbase (ft)</t>
  </si>
  <si>
    <t>front overhang (ft)</t>
  </si>
  <si>
    <t>rear overhang (ft)</t>
  </si>
  <si>
    <t>tire diameter (ft)</t>
  </si>
  <si>
    <t>tire width (ft)</t>
  </si>
  <si>
    <t>steering ratio</t>
  </si>
  <si>
    <t>cg to front axle (ft)</t>
  </si>
  <si>
    <t>Draw Vehicle</t>
  </si>
  <si>
    <t>x</t>
  </si>
  <si>
    <t>y</t>
  </si>
  <si>
    <t>forward</t>
  </si>
  <si>
    <t>cg</t>
  </si>
  <si>
    <t>left front corner</t>
  </si>
  <si>
    <t>right front corner</t>
  </si>
  <si>
    <t>Right rear corner</t>
  </si>
  <si>
    <t>left rear corner</t>
  </si>
  <si>
    <t>cg to rear axle (ft)</t>
  </si>
  <si>
    <t>left front wheel</t>
  </si>
  <si>
    <t>right front wheel</t>
  </si>
  <si>
    <t>right rear wheel</t>
  </si>
  <si>
    <t>left rear wheel</t>
  </si>
  <si>
    <t>left front wheel a</t>
  </si>
  <si>
    <t>left front wheel b</t>
  </si>
  <si>
    <t>left front wheel c</t>
  </si>
  <si>
    <t>left front wheel d</t>
  </si>
  <si>
    <t>right front wheel a</t>
  </si>
  <si>
    <t>right front wheel b</t>
  </si>
  <si>
    <t>right front wheel c</t>
  </si>
  <si>
    <t>right front wheel d</t>
  </si>
  <si>
    <t>right rear wheel a</t>
  </si>
  <si>
    <t>right rear wheel b</t>
  </si>
  <si>
    <t>right rear wheel c</t>
  </si>
  <si>
    <t>right rear wheel d</t>
  </si>
  <si>
    <t>left rear wheel a</t>
  </si>
  <si>
    <t>left rear wheel b</t>
  </si>
  <si>
    <t>left rear wheel c</t>
  </si>
  <si>
    <t>left rear wheel d</t>
  </si>
  <si>
    <t>left</t>
  </si>
  <si>
    <t>vx</t>
  </si>
  <si>
    <t>vy</t>
  </si>
  <si>
    <t>delta</t>
  </si>
  <si>
    <t>index</t>
  </si>
  <si>
    <t>Make</t>
  </si>
  <si>
    <t>Model</t>
  </si>
  <si>
    <t>Variable</t>
  </si>
  <si>
    <t>cg height (ft)</t>
  </si>
  <si>
    <t>Calculations</t>
  </si>
  <si>
    <t>dx</t>
  </si>
  <si>
    <t>dy</t>
  </si>
  <si>
    <t>vehicle frame</t>
  </si>
  <si>
    <t>turning radius (ft)</t>
  </si>
  <si>
    <t>wheel base</t>
  </si>
  <si>
    <t>velocity_angle</t>
  </si>
  <si>
    <t>caculate time zero using initial velocity over a single time step</t>
  </si>
  <si>
    <t>Speed (fps)</t>
  </si>
  <si>
    <t>sector_angle</t>
  </si>
  <si>
    <t>heading_angle</t>
  </si>
  <si>
    <t>inc_dist (ft)</t>
  </si>
  <si>
    <t>global frame</t>
  </si>
  <si>
    <t>DX</t>
  </si>
  <si>
    <t>DY</t>
  </si>
  <si>
    <t>h_angle</t>
  </si>
  <si>
    <t>deg</t>
  </si>
  <si>
    <t>rad</t>
  </si>
  <si>
    <t>Total_dist</t>
  </si>
  <si>
    <t>omega</t>
  </si>
  <si>
    <t>steer_angle</t>
  </si>
  <si>
    <t>Body</t>
  </si>
  <si>
    <t>LF</t>
  </si>
  <si>
    <t>RF</t>
  </si>
  <si>
    <t>RR</t>
  </si>
  <si>
    <t>LR</t>
  </si>
  <si>
    <t>X-axis</t>
  </si>
  <si>
    <t>Y-axis</t>
  </si>
  <si>
    <t>Velocity Vector</t>
  </si>
  <si>
    <t>Velocity</t>
  </si>
  <si>
    <t>Velocity Angle</t>
  </si>
  <si>
    <t>raw integration</t>
  </si>
  <si>
    <t>dist_raw (ft)</t>
  </si>
  <si>
    <t>dist_raw_cum (ft)</t>
  </si>
  <si>
    <t>Total_DX</t>
  </si>
  <si>
    <t>Total_DY</t>
  </si>
  <si>
    <t>centrip_acc</t>
  </si>
  <si>
    <t>ft/s/s</t>
  </si>
  <si>
    <t>g</t>
  </si>
  <si>
    <t>slip_angle</t>
  </si>
  <si>
    <t>heading angle (deg)</t>
  </si>
  <si>
    <t>input_t</t>
  </si>
  <si>
    <t>heading angle (deg</t>
  </si>
  <si>
    <t>b_lfc</t>
  </si>
  <si>
    <t>b_rfc</t>
  </si>
  <si>
    <t>b_rrc</t>
  </si>
  <si>
    <t>b_lrc</t>
  </si>
  <si>
    <t>lfw</t>
  </si>
  <si>
    <t>lfw_a</t>
  </si>
  <si>
    <t>lfw_b</t>
  </si>
  <si>
    <t>rfw</t>
  </si>
  <si>
    <t>rfw_a</t>
  </si>
  <si>
    <t>rfw_b</t>
  </si>
  <si>
    <t>rrw</t>
  </si>
  <si>
    <t>rrw_a</t>
  </si>
  <si>
    <t>rrw_b</t>
  </si>
  <si>
    <t>lrw</t>
  </si>
  <si>
    <t>lrw_a</t>
  </si>
  <si>
    <t>lrw_b</t>
  </si>
  <si>
    <t>xaxis</t>
  </si>
  <si>
    <t>yaxis</t>
  </si>
  <si>
    <t>vel_v</t>
  </si>
  <si>
    <t>v - vehicle speed in mph</t>
  </si>
  <si>
    <t>oz - omega z - yaw rate</t>
  </si>
  <si>
    <t>brake - binary yes/no</t>
  </si>
  <si>
    <t>sw_angle - steering wheel angle</t>
  </si>
  <si>
    <t>abs</t>
  </si>
  <si>
    <t>throttle</t>
  </si>
  <si>
    <t>throttle - percent throttle</t>
  </si>
  <si>
    <t>abs - ABS active yes/no</t>
  </si>
  <si>
    <t>lfw_c</t>
  </si>
  <si>
    <t>lfw_d</t>
  </si>
  <si>
    <t>rfw_c</t>
  </si>
  <si>
    <t>rfw_d</t>
  </si>
  <si>
    <t>rrw_c</t>
  </si>
  <si>
    <t>rrw_d</t>
  </si>
  <si>
    <t>lrw_c</t>
  </si>
  <si>
    <t>lrw_d</t>
  </si>
  <si>
    <t>weight</t>
  </si>
  <si>
    <t>head_angle</t>
  </si>
  <si>
    <t>label</t>
  </si>
  <si>
    <t>steer_ratio</t>
  </si>
  <si>
    <t>init_x_pos</t>
  </si>
  <si>
    <t>init_y_pos</t>
  </si>
  <si>
    <t>v_width</t>
  </si>
  <si>
    <t>v_length</t>
  </si>
  <si>
    <t>lcgf</t>
  </si>
  <si>
    <t>lcgr</t>
  </si>
  <si>
    <t>wb</t>
  </si>
  <si>
    <t>f_hang</t>
  </si>
  <si>
    <t>r_hang</t>
  </si>
  <si>
    <t>tire_d</t>
  </si>
  <si>
    <t>tire_w</t>
  </si>
  <si>
    <t>hcg</t>
  </si>
  <si>
    <t>track width (ft)</t>
  </si>
  <si>
    <t>track</t>
  </si>
  <si>
    <t>front wheel drive</t>
  </si>
  <si>
    <t>fwd</t>
  </si>
  <si>
    <t>rear wheel drive</t>
  </si>
  <si>
    <t>all wheel drive</t>
  </si>
  <si>
    <t>rwd</t>
  </si>
  <si>
    <t>awd</t>
  </si>
  <si>
    <t>throttle_edr</t>
  </si>
  <si>
    <t>brake_edr</t>
  </si>
  <si>
    <t>vx_edr</t>
  </si>
  <si>
    <t>vy_edr</t>
  </si>
  <si>
    <t>v_edr</t>
  </si>
  <si>
    <t>oz_edr</t>
  </si>
  <si>
    <t>sw_angle_edr</t>
  </si>
  <si>
    <t>R</t>
  </si>
  <si>
    <t>Wheel Dimensions</t>
  </si>
  <si>
    <t>Radius (in)</t>
  </si>
  <si>
    <t>Diameter (in)</t>
  </si>
  <si>
    <t>Width (in)</t>
  </si>
  <si>
    <t>Sidewall Height (in)</t>
  </si>
  <si>
    <t>izz (slug - ft^2)</t>
  </si>
  <si>
    <t>mass (kg)</t>
  </si>
  <si>
    <t>Izz (kg-m^2)</t>
  </si>
  <si>
    <t>Izz (slug-ft^2)</t>
  </si>
  <si>
    <t>wheelbase (m)</t>
  </si>
  <si>
    <t>Convert to metric for Heydinger relationship</t>
  </si>
  <si>
    <t>Heydinger Chart</t>
  </si>
  <si>
    <t>mm</t>
  </si>
  <si>
    <t>in</t>
  </si>
  <si>
    <t>ft</t>
  </si>
  <si>
    <t>Chrysler</t>
  </si>
  <si>
    <t>Pacifica</t>
  </si>
  <si>
    <t>A</t>
  </si>
  <si>
    <t>B</t>
  </si>
  <si>
    <t>Initial Velocity (mph)</t>
  </si>
  <si>
    <t>v_initial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</si>
</sst>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count="2" mc:Ignorable="x14ac x16r2 xr">
  <numFmts count="10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64" formatCode="0.0"/>
    <numFmt numFmtId="165" formatCode="0.000"/>
  </numFmts>
  <fonts count="4">
    <font>
      <name val="Calibri"/>
      <family val="2"/>
      <color rgb="FF0000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b/>
      <color rgb="FF000000"/>
      <sz val="11"/>
      <scheme val="minor"/>
    </font>
    <font>
      <name val="Calibri"/>
      <family val="2"/>
      <color rgb="FF3F3F76"/>
      <sz val="1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 style="none">
        <color rgb="FF000000"/>
      </left>
      <right style="thin">
        <color rgb="FF7F7F7F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n"/>
      <diagonal style="none">
        <color rgb="FF000000"/>
      </diagonal>
    </border>
  </borders>
  <cellStyleXfs count="3">
    <xf numFmtId="0" fontId="0" fillId="0" borderId="0" xfId="0"/>
    <xf numFmtId="0" fontId="1" fillId="2" borderId="0" xfId="0" applyFont="1" applyFill="1"/>
    <xf numFmtId="0" fontId="3" fillId="3" borderId="1" xfId="0" applyFont="1" applyFill="1" applyBorder="1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" fillId="2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64" fontId="3" fillId="3" borderId="1" xfId="0" applyNumberFormat="1" applyFont="1" applyFill="1" applyBorder="1"/>
    <xf numFmtId="0" fontId="3" fillId="3" borderId="1" xfId="0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10" Type="http://schemas.openxmlformats.org/officeDocument/2006/relationships/chartsheet" Target="chartsheets/sheet2.xml" TargetMode="Internal"/><Relationship Id="rId11" Type="http://schemas.openxmlformats.org/officeDocument/2006/relationships/worksheet" Target="worksheets/sheet9.xml" TargetMode="Internal"/><Relationship Id="rId12" Type="http://schemas.openxmlformats.org/officeDocument/2006/relationships/theme" Target="theme/theme1.xml" TargetMode="Internal"/><Relationship Id="rId13" Type="http://schemas.openxmlformats.org/officeDocument/2006/relationships/styles" Target="styles.xml" TargetMode="Internal"/><Relationship Id="rId14" Type="http://schemas.openxmlformats.org/officeDocument/2006/relationships/sharedStrings" Target="sharedStrings.xml" TargetMode="Internal"/><Relationship Id="rId15" Type="http://schemas.openxmlformats.org/officeDocument/2006/relationships/calcChain" Target="calcChain.xml" TargetMode="Internal"/><Relationship Id="rId2" Type="http://schemas.openxmlformats.org/officeDocument/2006/relationships/worksheet" Target="worksheets/sheet2.xml" TargetMode="Internal"/><Relationship Id="rId3" Type="http://schemas.openxmlformats.org/officeDocument/2006/relationships/worksheet" Target="worksheets/sheet3.xml" TargetMode="Internal"/><Relationship Id="rId4" Type="http://schemas.openxmlformats.org/officeDocument/2006/relationships/worksheet" Target="worksheets/sheet4.xml" TargetMode="Internal"/><Relationship Id="rId5" Type="http://schemas.openxmlformats.org/officeDocument/2006/relationships/worksheet" Target="worksheets/sheet5.xml" TargetMode="Internal"/><Relationship Id="rId6" Type="http://schemas.openxmlformats.org/officeDocument/2006/relationships/worksheet" Target="worksheets/sheet6.xml" TargetMode="Internal"/><Relationship Id="rId7" Type="http://schemas.openxmlformats.org/officeDocument/2006/relationships/worksheet" Target="worksheets/sheet7.xml" TargetMode="Internal"/><Relationship Id="rId8" Type="http://schemas.openxmlformats.org/officeDocument/2006/relationships/worksheet" Target="worksheets/sheet8.xml" TargetMode="Internal"/><Relationship Id="rId9" Type="http://schemas.openxmlformats.org/officeDocument/2006/relationships/chartsheet" Target="chartsheets/sheet1.xml" TargetMode="Interna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0"/>
          <c:order val="0"/>
          <c:tx>
            <c:strRef>
              <c:f>'vehicles (2)'!$G$1:$I$1</c:f>
              <c:strCache>
                <c:ptCount val="1"/>
                <c:pt idx="0">
                  <c:v>Draw Vehicle</c:v>
                </c:pt>
              </c:strCache>
            </c:strRef>
          </c:tx>
          <c:marker>
            <c:symbol val="none"/>
            <c:size val="9"/>
          </c:marker>
          <c:xVal>
            <c:numRef>
              <c:f>'vehicles (2)'!$H$9:$H$13</c:f>
              <c:numCache>
                <c:formatCode>0.0</c:formatCode>
                <c:ptCount val="5"/>
                <c:pt idx="0">
                  <c:v>7.3999999999999995</c:v>
                </c:pt>
                <c:pt idx="1">
                  <c:v>7.3999999999999995</c:v>
                </c:pt>
                <c:pt idx="2">
                  <c:v>-8.6000000000000014</c:v>
                </c:pt>
                <c:pt idx="3">
                  <c:v>-8.6000000000000014</c:v>
                </c:pt>
                <c:pt idx="4">
                  <c:v>7.3999999999999995</c:v>
                </c:pt>
              </c:numCache>
            </c:numRef>
          </c:xVal>
          <c:yVal>
            <c:numRef>
              <c:f>'vehicles (2)'!$I$9:$I$13</c:f>
              <c:numCache>
                <c:formatCode>General</c:formatCode>
                <c:ptCount val="5"/>
                <c:pt idx="0">
                  <c:v>3</c:v>
                </c:pt>
                <c:pt idx="1">
                  <c:v>-3</c:v>
                </c:pt>
                <c:pt idx="2">
                  <c:v>-3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952-4A58-B322-433764A05068}"/>
            </c:ext>
          </c:extLst>
        </c:ser>
        <c:ser>
          <c:idx val="11"/>
          <c:order val="1"/>
          <c:tx>
            <c:strRef>
              <c:f>'vehicles (2)'!$F$15</c:f>
              <c:strCache>
                <c:ptCount val="1"/>
                <c:pt idx="0">
                  <c:v>LF</c:v>
                </c:pt>
              </c:strCache>
            </c:strRef>
          </c:tx>
          <c:marker>
            <c:symbol val="none"/>
            <c:size val="9"/>
          </c:marker>
          <c:xVal>
            <c:numRef>
              <c:f>'vehicles (2)'!$H$15:$H$19</c:f>
              <c:numCache>
                <c:formatCode>0.0</c:formatCode>
                <c:ptCount val="5"/>
                <c:pt idx="0">
                  <c:v>5.2764672400060482</c:v>
                </c:pt>
                <c:pt idx="1">
                  <c:v>5.2974640901477956</c:v>
                </c:pt>
                <c:pt idx="2">
                  <c:v>2.9235327599939502</c:v>
                </c:pt>
                <c:pt idx="3">
                  <c:v>2.9025359098522037</c:v>
                </c:pt>
                <c:pt idx="4">
                  <c:v>5.2764672400060482</c:v>
                </c:pt>
              </c:numCache>
            </c:numRef>
          </c:xVal>
          <c:yVal>
            <c:numRef>
              <c:f>'vehicles (2)'!$I$15:$I$19</c:f>
              <c:numCache>
                <c:formatCode>0.0</c:formatCode>
                <c:ptCount val="5"/>
                <c:pt idx="0">
                  <c:v>3.0354621683026091</c:v>
                </c:pt>
                <c:pt idx="1">
                  <c:v>2.3357771446783175</c:v>
                </c:pt>
                <c:pt idx="2">
                  <c:v>2.2645378316973908</c:v>
                </c:pt>
                <c:pt idx="3">
                  <c:v>2.9642228553216823</c:v>
                </c:pt>
                <c:pt idx="4">
                  <c:v>3.0354621683026091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952-4A58-B322-433764A05068}"/>
            </c:ext>
          </c:extLst>
        </c:ser>
        <c:ser>
          <c:idx val="12"/>
          <c:order val="2"/>
          <c:tx>
            <c:strRef>
              <c:f>'vehicles (2)'!$F$21</c:f>
              <c:strCache>
                <c:ptCount val="1"/>
              </c:strCache>
            </c:strRef>
          </c:tx>
          <c:marker>
            <c:symbol val="none"/>
            <c:size val="9"/>
          </c:marker>
          <c:xVal>
            <c:numRef>
              <c:f>'vehicles (2)'!$H$21:$H$25</c:f>
              <c:numCache>
                <c:formatCode>0.0</c:formatCode>
                <c:ptCount val="5"/>
                <c:pt idx="0">
                  <c:v>5.2764672400060482</c:v>
                </c:pt>
                <c:pt idx="1">
                  <c:v>5.2974640901477956</c:v>
                </c:pt>
                <c:pt idx="2">
                  <c:v>2.9235327599939502</c:v>
                </c:pt>
                <c:pt idx="3">
                  <c:v>2.9025359098522037</c:v>
                </c:pt>
                <c:pt idx="4">
                  <c:v>5.2764672400060482</c:v>
                </c:pt>
              </c:numCache>
            </c:numRef>
          </c:xVal>
          <c:yVal>
            <c:numRef>
              <c:f>'vehicles (2)'!$I$21:$I$25</c:f>
              <c:numCache>
                <c:formatCode>0.0</c:formatCode>
                <c:ptCount val="5"/>
                <c:pt idx="0">
                  <c:v>-2.2645378316973908</c:v>
                </c:pt>
                <c:pt idx="1">
                  <c:v>-2.9642228553216818</c:v>
                </c:pt>
                <c:pt idx="2">
                  <c:v>-3.0354621683026091</c:v>
                </c:pt>
                <c:pt idx="3">
                  <c:v>-2.3357771446783175</c:v>
                </c:pt>
                <c:pt idx="4">
                  <c:v>-2.2645378316973908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952-4A58-B322-433764A05068}"/>
            </c:ext>
          </c:extLst>
        </c:ser>
        <c:ser>
          <c:idx val="13"/>
          <c:order val="3"/>
          <c:tx>
            <c:strRef>
              <c:f>'vehicles (2)'!$F$27</c:f>
              <c:strCache>
                <c:ptCount val="1"/>
              </c:strCache>
            </c:strRef>
          </c:tx>
          <c:marker>
            <c:symbol val="none"/>
            <c:size val="9"/>
          </c:marker>
          <c:xVal>
            <c:numRef>
              <c:f>'vehicles (2)'!$H$27:$H$31</c:f>
              <c:numCache>
                <c:formatCode>0.0</c:formatCode>
                <c:ptCount val="5"/>
                <c:pt idx="0">
                  <c:v>-4.2125000000000004</c:v>
                </c:pt>
                <c:pt idx="1">
                  <c:v>-4.2125000000000004</c:v>
                </c:pt>
                <c:pt idx="2">
                  <c:v>-6.5875000000000004</c:v>
                </c:pt>
                <c:pt idx="3">
                  <c:v>-6.5875000000000004</c:v>
                </c:pt>
                <c:pt idx="4">
                  <c:v>-4.2125000000000004</c:v>
                </c:pt>
              </c:numCache>
            </c:numRef>
          </c:xVal>
          <c:yVal>
            <c:numRef>
              <c:f>'vehicles (2)'!$I$27:$I$31</c:f>
              <c:numCache>
                <c:formatCode>0.0</c:formatCode>
                <c:ptCount val="5"/>
                <c:pt idx="0">
                  <c:v>-2.2999999999999998</c:v>
                </c:pt>
                <c:pt idx="1">
                  <c:v>-3</c:v>
                </c:pt>
                <c:pt idx="2">
                  <c:v>-3</c:v>
                </c:pt>
                <c:pt idx="3">
                  <c:v>-2.2999999999999998</c:v>
                </c:pt>
                <c:pt idx="4">
                  <c:v>-2.2999999999999998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952-4A58-B322-433764A05068}"/>
            </c:ext>
          </c:extLst>
        </c:ser>
        <c:ser>
          <c:idx val="14"/>
          <c:order val="4"/>
          <c:tx>
            <c:strRef>
              <c:f>'vehicles (2)'!$F$33</c:f>
              <c:strCache>
                <c:ptCount val="1"/>
              </c:strCache>
            </c:strRef>
          </c:tx>
          <c:marker>
            <c:symbol val="none"/>
            <c:size val="9"/>
          </c:marker>
          <c:xVal>
            <c:numRef>
              <c:f>'vehicles (2)'!$H$33:$H$37</c:f>
              <c:numCache>
                <c:formatCode>0.0</c:formatCode>
                <c:ptCount val="5"/>
                <c:pt idx="0">
                  <c:v>-4.2125000000000004</c:v>
                </c:pt>
                <c:pt idx="1">
                  <c:v>-4.2125000000000004</c:v>
                </c:pt>
                <c:pt idx="2">
                  <c:v>-6.5875000000000004</c:v>
                </c:pt>
                <c:pt idx="3">
                  <c:v>-6.5875000000000004</c:v>
                </c:pt>
                <c:pt idx="4">
                  <c:v>-4.2125000000000004</c:v>
                </c:pt>
              </c:numCache>
            </c:numRef>
          </c:xVal>
          <c:yVal>
            <c:numRef>
              <c:f>'vehicles (2)'!$I$33:$I$37</c:f>
              <c:numCache>
                <c:formatCode>General</c:formatCode>
                <c:ptCount val="5"/>
                <c:pt idx="0">
                  <c:v>3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952-4A58-B322-433764A05068}"/>
            </c:ext>
          </c:extLst>
        </c:ser>
        <c:ser>
          <c:idx val="15"/>
          <c:order val="5"/>
          <c:tx>
            <c:strRef>
              <c:f>'vehicles (2)'!$G$8</c:f>
              <c:strCache>
                <c:ptCount val="1"/>
                <c:pt idx="0">
                  <c:v>cg</c:v>
                </c:pt>
              </c:strCache>
            </c:strRef>
          </c:tx>
          <c:marker>
            <c:symbol val="none"/>
            <c:size val="9"/>
          </c:marker>
          <c:xVal>
            <c:numRef>
              <c:f>'vehicles (2)'!$H$8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'vehicles (2)'!$I$8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952-4A58-B322-433764A05068}"/>
            </c:ext>
          </c:extLst>
        </c:ser>
        <c:ser>
          <c:idx val="16"/>
          <c:order val="6"/>
          <c:tx>
            <c:strRef>
              <c:f>'vehicles (2)'!$G$14</c:f>
              <c:strCache>
                <c:ptCount val="1"/>
                <c:pt idx="0">
                  <c:v>left front wheel</c:v>
                </c:pt>
              </c:strCache>
            </c:strRef>
          </c:tx>
          <c:marker>
            <c:symbol val="none"/>
            <c:size val="9"/>
          </c:marker>
          <c:xVal>
            <c:numRef>
              <c:f>'vehicles (2)'!$H$14</c:f>
              <c:numCache>
                <c:formatCode>0.0</c:formatCode>
                <c:ptCount val="1"/>
                <c:pt idx="0">
                  <c:v>4.0999999999999996</c:v>
                </c:pt>
              </c:numCache>
            </c:numRef>
          </c:xVal>
          <c:yVal>
            <c:numRef>
              <c:f>'vehicles (2)'!$I$14</c:f>
              <c:numCache>
                <c:formatCode>0.0</c:formatCode>
                <c:ptCount val="1"/>
                <c:pt idx="0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952-4A58-B322-433764A05068}"/>
            </c:ext>
          </c:extLst>
        </c:ser>
        <c:ser>
          <c:idx val="17"/>
          <c:order val="7"/>
          <c:tx>
            <c:strRef>
              <c:f>'vehicles (2)'!$G$20</c:f>
              <c:strCache>
                <c:ptCount val="1"/>
                <c:pt idx="0">
                  <c:v>right front wheel</c:v>
                </c:pt>
              </c:strCache>
            </c:strRef>
          </c:tx>
          <c:marker>
            <c:symbol val="none"/>
            <c:size val="9"/>
          </c:marker>
          <c:xVal>
            <c:numRef>
              <c:f>'vehicles (2)'!$H$20</c:f>
              <c:numCache>
                <c:formatCode>0.0</c:formatCode>
                <c:ptCount val="1"/>
                <c:pt idx="0">
                  <c:v>4.0999999999999996</c:v>
                </c:pt>
              </c:numCache>
            </c:numRef>
          </c:xVal>
          <c:yVal>
            <c:numRef>
              <c:f>'vehicles (2)'!$I$20</c:f>
              <c:numCache>
                <c:formatCode>0.0</c:formatCode>
                <c:ptCount val="1"/>
                <c:pt idx="0">
                  <c:v>-2.65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952-4A58-B322-433764A05068}"/>
            </c:ext>
          </c:extLst>
        </c:ser>
        <c:ser>
          <c:idx val="18"/>
          <c:order val="8"/>
          <c:tx>
            <c:strRef>
              <c:f>'vehicles (2)'!$G$26</c:f>
              <c:strCache>
                <c:ptCount val="1"/>
                <c:pt idx="0">
                  <c:v>right rear wheel</c:v>
                </c:pt>
              </c:strCache>
            </c:strRef>
          </c:tx>
          <c:marker>
            <c:symbol val="none"/>
            <c:size val="9"/>
          </c:marker>
          <c:xVal>
            <c:numRef>
              <c:f>'vehicles (2)'!$H$26</c:f>
              <c:numCache>
                <c:formatCode>0.0</c:formatCode>
                <c:ptCount val="1"/>
                <c:pt idx="0">
                  <c:v>-5.4</c:v>
                </c:pt>
              </c:numCache>
            </c:numRef>
          </c:xVal>
          <c:yVal>
            <c:numRef>
              <c:f>'vehicles (2)'!$I$26</c:f>
              <c:numCache>
                <c:formatCode>0.0</c:formatCode>
                <c:ptCount val="1"/>
                <c:pt idx="0">
                  <c:v>-2.65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952-4A58-B322-433764A05068}"/>
            </c:ext>
          </c:extLst>
        </c:ser>
        <c:ser>
          <c:idx val="19"/>
          <c:order val="9"/>
          <c:tx>
            <c:strRef>
              <c:f>'vehicles (2)'!$G$32</c:f>
              <c:strCache>
                <c:ptCount val="1"/>
                <c:pt idx="0">
                  <c:v>left rear wheel</c:v>
                </c:pt>
              </c:strCache>
            </c:strRef>
          </c:tx>
          <c:marker>
            <c:symbol val="none"/>
            <c:size val="9"/>
          </c:marker>
          <c:xVal>
            <c:numRef>
              <c:f>'vehicles (2)'!$H$32</c:f>
              <c:numCache>
                <c:formatCode>0.0</c:formatCode>
                <c:ptCount val="1"/>
                <c:pt idx="0">
                  <c:v>-5.4</c:v>
                </c:pt>
              </c:numCache>
            </c:numRef>
          </c:xVal>
          <c:yVal>
            <c:numRef>
              <c:f>'vehicles (2)'!$I$32</c:f>
              <c:numCache>
                <c:formatCode>0.0</c:formatCode>
                <c:ptCount val="1"/>
                <c:pt idx="0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952-4A58-B322-433764A05068}"/>
            </c:ext>
          </c:extLst>
        </c:ser>
        <c:ser>
          <c:idx val="1"/>
          <c:order val="10"/>
          <c:tx>
            <c:strRef>
              <c:f>'vehicles (2)'!$G$1:$I$1</c:f>
              <c:strCache>
                <c:ptCount val="1"/>
                <c:pt idx="0">
                  <c:v>Draw Vehicle</c:v>
                </c:pt>
              </c:strCache>
            </c:strRef>
          </c:tx>
          <c:spPr>
            <a:ln cap="rnd" w="19050">
              <a:solidFill>
                <a:schemeClr val="accent2"/>
              </a:solidFill>
              <a:round/>
            </a:ln>
            <a:effectLst/>
          </c:spPr>
          <c:marker>
            <c:symbol val="none"/>
            <c:size val="9"/>
          </c:marker>
          <c:xVal>
            <c:numRef>
              <c:f>'vehicles (2)'!$H$9:$H$13</c:f>
              <c:numCache>
                <c:formatCode>0.0</c:formatCode>
                <c:ptCount val="5"/>
                <c:pt idx="0">
                  <c:v>7.3999999999999995</c:v>
                </c:pt>
                <c:pt idx="1">
                  <c:v>7.3999999999999995</c:v>
                </c:pt>
                <c:pt idx="2">
                  <c:v>-8.6000000000000014</c:v>
                </c:pt>
                <c:pt idx="3">
                  <c:v>-8.6000000000000014</c:v>
                </c:pt>
                <c:pt idx="4">
                  <c:v>7.3999999999999995</c:v>
                </c:pt>
              </c:numCache>
            </c:numRef>
          </c:xVal>
          <c:yVal>
            <c:numRef>
              <c:f>'vehicles (2)'!$I$9:$I$13</c:f>
              <c:numCache>
                <c:formatCode>General</c:formatCode>
                <c:ptCount val="5"/>
                <c:pt idx="0">
                  <c:v>3</c:v>
                </c:pt>
                <c:pt idx="1">
                  <c:v>-3</c:v>
                </c:pt>
                <c:pt idx="2">
                  <c:v>-3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952-4A58-B322-433764A05068}"/>
            </c:ext>
          </c:extLst>
        </c:ser>
        <c:ser>
          <c:idx val="8"/>
          <c:order val="11"/>
          <c:tx>
            <c:strRef>
              <c:f>'vehicles (2)'!$F$15</c:f>
              <c:strCache>
                <c:ptCount val="1"/>
                <c:pt idx="0">
                  <c:v>LF</c:v>
                </c:pt>
              </c:strCache>
            </c:strRef>
          </c:tx>
          <c:spPr>
            <a:ln cap="rnd" w="19050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  <c:size val="9"/>
          </c:marker>
          <c:xVal>
            <c:numRef>
              <c:f>'vehicles (2)'!$H$15:$H$19</c:f>
              <c:numCache>
                <c:formatCode>0.0</c:formatCode>
                <c:ptCount val="5"/>
                <c:pt idx="0">
                  <c:v>5.2764672400060482</c:v>
                </c:pt>
                <c:pt idx="1">
                  <c:v>5.2974640901477956</c:v>
                </c:pt>
                <c:pt idx="2">
                  <c:v>2.9235327599939502</c:v>
                </c:pt>
                <c:pt idx="3">
                  <c:v>2.9025359098522037</c:v>
                </c:pt>
                <c:pt idx="4">
                  <c:v>5.2764672400060482</c:v>
                </c:pt>
              </c:numCache>
            </c:numRef>
          </c:xVal>
          <c:yVal>
            <c:numRef>
              <c:f>'vehicles (2)'!$I$15:$I$19</c:f>
              <c:numCache>
                <c:formatCode>0.0</c:formatCode>
                <c:ptCount val="5"/>
                <c:pt idx="0">
                  <c:v>3.0354621683026091</c:v>
                </c:pt>
                <c:pt idx="1">
                  <c:v>2.3357771446783175</c:v>
                </c:pt>
                <c:pt idx="2">
                  <c:v>2.2645378316973908</c:v>
                </c:pt>
                <c:pt idx="3">
                  <c:v>2.9642228553216823</c:v>
                </c:pt>
                <c:pt idx="4">
                  <c:v>3.0354621683026091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952-4A58-B322-433764A05068}"/>
            </c:ext>
          </c:extLst>
        </c:ser>
        <c:ser>
          <c:idx val="0"/>
          <c:order val="12"/>
          <c:tx>
            <c:strRef>
              <c:f>'vehicles (2)'!$F$21</c:f>
              <c:strCache>
                <c:ptCount val="1"/>
              </c:strCache>
            </c:strRef>
          </c:tx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none"/>
            <c:size val="9"/>
          </c:marker>
          <c:xVal>
            <c:numRef>
              <c:f>'vehicles (2)'!$H$21:$H$25</c:f>
              <c:numCache>
                <c:formatCode>0.0</c:formatCode>
                <c:ptCount val="5"/>
                <c:pt idx="0">
                  <c:v>5.2764672400060482</c:v>
                </c:pt>
                <c:pt idx="1">
                  <c:v>5.2974640901477956</c:v>
                </c:pt>
                <c:pt idx="2">
                  <c:v>2.9235327599939502</c:v>
                </c:pt>
                <c:pt idx="3">
                  <c:v>2.9025359098522037</c:v>
                </c:pt>
                <c:pt idx="4">
                  <c:v>5.2764672400060482</c:v>
                </c:pt>
              </c:numCache>
            </c:numRef>
          </c:xVal>
          <c:yVal>
            <c:numRef>
              <c:f>'vehicles (2)'!$I$21:$I$25</c:f>
              <c:numCache>
                <c:formatCode>0.0</c:formatCode>
                <c:ptCount val="5"/>
                <c:pt idx="0">
                  <c:v>-2.2645378316973908</c:v>
                </c:pt>
                <c:pt idx="1">
                  <c:v>-2.9642228553216818</c:v>
                </c:pt>
                <c:pt idx="2">
                  <c:v>-3.0354621683026091</c:v>
                </c:pt>
                <c:pt idx="3">
                  <c:v>-2.3357771446783175</c:v>
                </c:pt>
                <c:pt idx="4">
                  <c:v>-2.2645378316973908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952-4A58-B322-433764A05068}"/>
            </c:ext>
          </c:extLst>
        </c:ser>
        <c:ser>
          <c:idx val="2"/>
          <c:order val="13"/>
          <c:tx>
            <c:strRef>
              <c:f>'vehicles (2)'!$F$27</c:f>
              <c:strCache>
                <c:ptCount val="1"/>
              </c:strCache>
            </c:strRef>
          </c:tx>
          <c:spPr>
            <a:ln cap="rnd" w="19050">
              <a:solidFill>
                <a:schemeClr val="accent3"/>
              </a:solidFill>
              <a:round/>
            </a:ln>
            <a:effectLst/>
          </c:spPr>
          <c:marker>
            <c:symbol val="none"/>
            <c:size val="9"/>
          </c:marker>
          <c:xVal>
            <c:numRef>
              <c:f>'vehicles (2)'!$H$27:$H$31</c:f>
              <c:numCache>
                <c:formatCode>0.0</c:formatCode>
                <c:ptCount val="5"/>
                <c:pt idx="0">
                  <c:v>-4.2125000000000004</c:v>
                </c:pt>
                <c:pt idx="1">
                  <c:v>-4.2125000000000004</c:v>
                </c:pt>
                <c:pt idx="2">
                  <c:v>-6.5875000000000004</c:v>
                </c:pt>
                <c:pt idx="3">
                  <c:v>-6.5875000000000004</c:v>
                </c:pt>
                <c:pt idx="4">
                  <c:v>-4.2125000000000004</c:v>
                </c:pt>
              </c:numCache>
            </c:numRef>
          </c:xVal>
          <c:yVal>
            <c:numRef>
              <c:f>'vehicles (2)'!$I$27:$I$31</c:f>
              <c:numCache>
                <c:formatCode>0.0</c:formatCode>
                <c:ptCount val="5"/>
                <c:pt idx="0">
                  <c:v>-2.2999999999999998</c:v>
                </c:pt>
                <c:pt idx="1">
                  <c:v>-3</c:v>
                </c:pt>
                <c:pt idx="2">
                  <c:v>-3</c:v>
                </c:pt>
                <c:pt idx="3">
                  <c:v>-2.2999999999999998</c:v>
                </c:pt>
                <c:pt idx="4">
                  <c:v>-2.2999999999999998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952-4A58-B322-433764A05068}"/>
            </c:ext>
          </c:extLst>
        </c:ser>
        <c:ser>
          <c:idx val="3"/>
          <c:order val="14"/>
          <c:tx>
            <c:strRef>
              <c:f>'vehicles (2)'!$F$33</c:f>
              <c:strCache>
                <c:ptCount val="1"/>
              </c:strCache>
            </c:strRef>
          </c:tx>
          <c:spPr>
            <a:ln cap="rnd" w="19050">
              <a:solidFill>
                <a:schemeClr val="accent4"/>
              </a:solidFill>
              <a:round/>
            </a:ln>
            <a:effectLst/>
          </c:spPr>
          <c:marker>
            <c:symbol val="none"/>
            <c:size val="9"/>
          </c:marker>
          <c:xVal>
            <c:numRef>
              <c:f>'vehicles (2)'!$H$33:$H$37</c:f>
              <c:numCache>
                <c:formatCode>0.0</c:formatCode>
                <c:ptCount val="5"/>
                <c:pt idx="0">
                  <c:v>-4.2125000000000004</c:v>
                </c:pt>
                <c:pt idx="1">
                  <c:v>-4.2125000000000004</c:v>
                </c:pt>
                <c:pt idx="2">
                  <c:v>-6.5875000000000004</c:v>
                </c:pt>
                <c:pt idx="3">
                  <c:v>-6.5875000000000004</c:v>
                </c:pt>
                <c:pt idx="4">
                  <c:v>-4.2125000000000004</c:v>
                </c:pt>
              </c:numCache>
            </c:numRef>
          </c:xVal>
          <c:yVal>
            <c:numRef>
              <c:f>'vehicles (2)'!$I$33:$I$37</c:f>
              <c:numCache>
                <c:formatCode>General</c:formatCode>
                <c:ptCount val="5"/>
                <c:pt idx="0">
                  <c:v>3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952-4A58-B322-433764A05068}"/>
            </c:ext>
          </c:extLst>
        </c:ser>
        <c:ser>
          <c:idx val="4"/>
          <c:order val="15"/>
          <c:tx>
            <c:strRef>
              <c:f>'vehicles (2)'!$G$8</c:f>
              <c:strCache>
                <c:ptCount val="1"/>
                <c:pt idx="0">
                  <c:v>cg</c:v>
                </c:pt>
              </c:strCache>
            </c:strRef>
          </c:tx>
          <c:spPr>
            <a:ln cap="rnd" w="19050">
              <a:solidFill>
                <a:schemeClr val="accent5"/>
              </a:solidFill>
              <a:round/>
            </a:ln>
            <a:effectLst/>
          </c:spPr>
          <c:marker>
            <c:symbol val="none"/>
            <c:size val="9"/>
          </c:marker>
          <c:xVal>
            <c:numRef>
              <c:f>'vehicles (2)'!$H$8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'vehicles (2)'!$I$8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952-4A58-B322-433764A05068}"/>
            </c:ext>
          </c:extLst>
        </c:ser>
        <c:ser>
          <c:idx val="5"/>
          <c:order val="16"/>
          <c:tx>
            <c:strRef>
              <c:f>'vehicles (2)'!$G$14</c:f>
              <c:strCache>
                <c:ptCount val="1"/>
                <c:pt idx="0">
                  <c:v>left front wheel</c:v>
                </c:pt>
              </c:strCache>
            </c:strRef>
          </c:tx>
          <c:spPr>
            <a:ln cap="rnd" w="19050">
              <a:solidFill>
                <a:schemeClr val="accent6"/>
              </a:solidFill>
              <a:round/>
            </a:ln>
            <a:effectLst/>
          </c:spPr>
          <c:marker>
            <c:symbol val="none"/>
            <c:size val="9"/>
          </c:marker>
          <c:xVal>
            <c:numRef>
              <c:f>'vehicles (2)'!$H$14</c:f>
              <c:numCache>
                <c:formatCode>0.0</c:formatCode>
                <c:ptCount val="1"/>
                <c:pt idx="0">
                  <c:v>4.0999999999999996</c:v>
                </c:pt>
              </c:numCache>
            </c:numRef>
          </c:xVal>
          <c:yVal>
            <c:numRef>
              <c:f>'vehicles (2)'!$I$14</c:f>
              <c:numCache>
                <c:formatCode>0.0</c:formatCode>
                <c:ptCount val="1"/>
                <c:pt idx="0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952-4A58-B322-433764A05068}"/>
            </c:ext>
          </c:extLst>
        </c:ser>
        <c:ser>
          <c:idx val="6"/>
          <c:order val="17"/>
          <c:tx>
            <c:strRef>
              <c:f>'vehicles (2)'!$G$20</c:f>
              <c:strCache>
                <c:ptCount val="1"/>
                <c:pt idx="0">
                  <c:v>right front wheel</c:v>
                </c:pt>
              </c:strCache>
            </c:strRef>
          </c:tx>
          <c:spPr>
            <a:ln cap="rnd" w="19050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  <c:size val="9"/>
          </c:marker>
          <c:xVal>
            <c:numRef>
              <c:f>'vehicles (2)'!$H$20</c:f>
              <c:numCache>
                <c:formatCode>0.0</c:formatCode>
                <c:ptCount val="1"/>
                <c:pt idx="0">
                  <c:v>4.0999999999999996</c:v>
                </c:pt>
              </c:numCache>
            </c:numRef>
          </c:xVal>
          <c:yVal>
            <c:numRef>
              <c:f>'vehicles (2)'!$I$20</c:f>
              <c:numCache>
                <c:formatCode>0.0</c:formatCode>
                <c:ptCount val="1"/>
                <c:pt idx="0">
                  <c:v>-2.65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952-4A58-B322-433764A05068}"/>
            </c:ext>
          </c:extLst>
        </c:ser>
        <c:ser>
          <c:idx val="7"/>
          <c:order val="18"/>
          <c:tx>
            <c:strRef>
              <c:f>'vehicles (2)'!$G$26</c:f>
              <c:strCache>
                <c:ptCount val="1"/>
                <c:pt idx="0">
                  <c:v>right rear wheel</c:v>
                </c:pt>
              </c:strCache>
            </c:strRef>
          </c:tx>
          <c:spPr>
            <a:ln cap="rnd" w="19050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  <c:size val="9"/>
          </c:marker>
          <c:xVal>
            <c:numRef>
              <c:f>'vehicles (2)'!$H$26</c:f>
              <c:numCache>
                <c:formatCode>0.0</c:formatCode>
                <c:ptCount val="1"/>
                <c:pt idx="0">
                  <c:v>-5.4</c:v>
                </c:pt>
              </c:numCache>
            </c:numRef>
          </c:xVal>
          <c:yVal>
            <c:numRef>
              <c:f>'vehicles (2)'!$I$26</c:f>
              <c:numCache>
                <c:formatCode>0.0</c:formatCode>
                <c:ptCount val="1"/>
                <c:pt idx="0">
                  <c:v>-2.65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952-4A58-B322-433764A05068}"/>
            </c:ext>
          </c:extLst>
        </c:ser>
        <c:ser>
          <c:idx val="9"/>
          <c:order val="19"/>
          <c:tx>
            <c:strRef>
              <c:f>'vehicles (2)'!$G$32</c:f>
              <c:strCache>
                <c:ptCount val="1"/>
                <c:pt idx="0">
                  <c:v>left rear wheel</c:v>
                </c:pt>
              </c:strCache>
            </c:strRef>
          </c:tx>
          <c:spPr>
            <a:ln cap="rnd" w="19050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  <c:size val="9"/>
          </c:marker>
          <c:xVal>
            <c:numRef>
              <c:f>'vehicles (2)'!$H$32</c:f>
              <c:numCache>
                <c:formatCode>0.0</c:formatCode>
                <c:ptCount val="1"/>
                <c:pt idx="0">
                  <c:v>-5.4</c:v>
                </c:pt>
              </c:numCache>
            </c:numRef>
          </c:xVal>
          <c:yVal>
            <c:numRef>
              <c:f>'vehicles (2)'!$I$32</c:f>
              <c:numCache>
                <c:formatCode>0.0</c:formatCode>
                <c:ptCount val="1"/>
                <c:pt idx="0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952-4A58-B322-433764A05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388568"/>
        <c:axId val="735381024"/>
      </c:scatterChart>
      <c:valAx>
        <c:axId val="73538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81024"/>
        <c:crosses val="autoZero"/>
        <c:crossBetween val="midCat"/>
      </c:valAx>
      <c:valAx>
        <c:axId val="7353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885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5"/>
          <c:order val="0"/>
          <c:tx>
            <c:strRef>
              <c:f>'vehicles (2)'!$G$8</c:f>
              <c:strCache>
                <c:ptCount val="1"/>
                <c:pt idx="0">
                  <c:v>cg</c:v>
                </c:pt>
              </c:strCache>
            </c:strRef>
          </c:tx>
          <c:marker>
            <c:symbol val="none"/>
            <c:size val="9"/>
          </c:marker>
          <c:xVal>
            <c:numRef>
              <c:f>'vehicles (2)'!$H$8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'vehicles (2)'!$I$8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BC-4BD6-BC70-AC5CA8A8AF08}"/>
            </c:ext>
          </c:extLst>
        </c:ser>
        <c:ser>
          <c:idx val="16"/>
          <c:order val="1"/>
          <c:tx>
            <c:strRef>
              <c:f>'vehicles (2)'!$G$14</c:f>
              <c:strCache>
                <c:ptCount val="1"/>
                <c:pt idx="0">
                  <c:v>left front wheel</c:v>
                </c:pt>
              </c:strCache>
            </c:strRef>
          </c:tx>
          <c:marker>
            <c:symbol val="none"/>
            <c:size val="9"/>
          </c:marker>
          <c:xVal>
            <c:numRef>
              <c:f>'vehicles (2)'!$H$14</c:f>
              <c:numCache>
                <c:formatCode>0.0</c:formatCode>
                <c:ptCount val="1"/>
                <c:pt idx="0">
                  <c:v>4.0999999999999996</c:v>
                </c:pt>
              </c:numCache>
            </c:numRef>
          </c:xVal>
          <c:yVal>
            <c:numRef>
              <c:f>'vehicles (2)'!$I$14</c:f>
              <c:numCache>
                <c:formatCode>0.0</c:formatCode>
                <c:ptCount val="1"/>
                <c:pt idx="0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BC-4BD6-BC70-AC5CA8A8AF08}"/>
            </c:ext>
          </c:extLst>
        </c:ser>
        <c:ser>
          <c:idx val="17"/>
          <c:order val="2"/>
          <c:tx>
            <c:strRef>
              <c:f>'vehicles (2)'!$G$20</c:f>
              <c:strCache>
                <c:ptCount val="1"/>
                <c:pt idx="0">
                  <c:v>right front wheel</c:v>
                </c:pt>
              </c:strCache>
            </c:strRef>
          </c:tx>
          <c:marker>
            <c:symbol val="none"/>
            <c:size val="9"/>
          </c:marker>
          <c:xVal>
            <c:numRef>
              <c:f>'vehicles (2)'!$H$20</c:f>
              <c:numCache>
                <c:formatCode>0.0</c:formatCode>
                <c:ptCount val="1"/>
                <c:pt idx="0">
                  <c:v>4.0999999999999996</c:v>
                </c:pt>
              </c:numCache>
            </c:numRef>
          </c:xVal>
          <c:yVal>
            <c:numRef>
              <c:f>'vehicles (2)'!$I$20</c:f>
              <c:numCache>
                <c:formatCode>0.0</c:formatCode>
                <c:ptCount val="1"/>
                <c:pt idx="0">
                  <c:v>-2.65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BC-4BD6-BC70-AC5CA8A8AF08}"/>
            </c:ext>
          </c:extLst>
        </c:ser>
        <c:ser>
          <c:idx val="18"/>
          <c:order val="3"/>
          <c:tx>
            <c:strRef>
              <c:f>'vehicles (2)'!$G$26</c:f>
              <c:strCache>
                <c:ptCount val="1"/>
                <c:pt idx="0">
                  <c:v>right rear wheel</c:v>
                </c:pt>
              </c:strCache>
            </c:strRef>
          </c:tx>
          <c:marker>
            <c:symbol val="none"/>
            <c:size val="9"/>
          </c:marker>
          <c:xVal>
            <c:numRef>
              <c:f>'vehicles (2)'!$H$26</c:f>
              <c:numCache>
                <c:formatCode>0.0</c:formatCode>
                <c:ptCount val="1"/>
                <c:pt idx="0">
                  <c:v>-5.4</c:v>
                </c:pt>
              </c:numCache>
            </c:numRef>
          </c:xVal>
          <c:yVal>
            <c:numRef>
              <c:f>'vehicles (2)'!$I$26</c:f>
              <c:numCache>
                <c:formatCode>0.0</c:formatCode>
                <c:ptCount val="1"/>
                <c:pt idx="0">
                  <c:v>-2.65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BC-4BD6-BC70-AC5CA8A8AF08}"/>
            </c:ext>
          </c:extLst>
        </c:ser>
        <c:ser>
          <c:idx val="19"/>
          <c:order val="4"/>
          <c:tx>
            <c:strRef>
              <c:f>'vehicles (2)'!$G$32</c:f>
              <c:strCache>
                <c:ptCount val="1"/>
                <c:pt idx="0">
                  <c:v>left rear wheel</c:v>
                </c:pt>
              </c:strCache>
            </c:strRef>
          </c:tx>
          <c:marker>
            <c:symbol val="none"/>
            <c:size val="9"/>
          </c:marker>
          <c:xVal>
            <c:numRef>
              <c:f>'vehicles (2)'!$H$32</c:f>
              <c:numCache>
                <c:formatCode>0.0</c:formatCode>
                <c:ptCount val="1"/>
                <c:pt idx="0">
                  <c:v>-5.4</c:v>
                </c:pt>
              </c:numCache>
            </c:numRef>
          </c:xVal>
          <c:yVal>
            <c:numRef>
              <c:f>'vehicles (2)'!$I$32</c:f>
              <c:numCache>
                <c:formatCode>0.0</c:formatCode>
                <c:ptCount val="1"/>
                <c:pt idx="0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BC-4BD6-BC70-AC5CA8A8AF08}"/>
            </c:ext>
          </c:extLst>
        </c:ser>
        <c:ser>
          <c:idx val="1"/>
          <c:order val="5"/>
          <c:tx>
            <c:strRef>
              <c:f>'vehicles (2)'!$G$1:$I$1</c:f>
              <c:strCache>
                <c:ptCount val="1"/>
                <c:pt idx="0">
                  <c:v>Draw Vehicle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  <c:size val="9"/>
          </c:marker>
          <c:xVal>
            <c:numRef>
              <c:f>'vehicles (2)'!$Q$7:$Q$11</c:f>
              <c:numCache>
                <c:formatCode>0.0</c:formatCode>
                <c:ptCount val="5"/>
                <c:pt idx="0">
                  <c:v>10.239332583900371</c:v>
                </c:pt>
                <c:pt idx="1">
                  <c:v>10.541844363277335</c:v>
                </c:pt>
                <c:pt idx="2">
                  <c:v>-5.4378063904282925</c:v>
                </c:pt>
                <c:pt idx="3">
                  <c:v>-5.7403181698052599</c:v>
                </c:pt>
                <c:pt idx="4">
                  <c:v>10.239332583900371</c:v>
                </c:pt>
              </c:numCache>
            </c:numRef>
          </c:xVal>
          <c:yVal>
            <c:numRef>
              <c:f>'vehicles (2)'!$R$7:$R$11</c:f>
              <c:numCache>
                <c:formatCode>0.0</c:formatCode>
                <c:ptCount val="5"/>
                <c:pt idx="0">
                  <c:v>6.3692823775513974</c:v>
                </c:pt>
                <c:pt idx="1">
                  <c:v>0.3769133449117863</c:v>
                </c:pt>
                <c:pt idx="2">
                  <c:v>-0.42978473342679102</c:v>
                </c:pt>
                <c:pt idx="3">
                  <c:v>5.56258429921282</c:v>
                </c:pt>
                <c:pt idx="4">
                  <c:v>6.3692823775513974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4BC-4BD6-BC70-AC5CA8A8AF08}"/>
            </c:ext>
          </c:extLst>
        </c:ser>
        <c:ser>
          <c:idx val="8"/>
          <c:order val="6"/>
          <c:tx>
            <c:strRef>
              <c:f>'vehicles (2)'!$M$13</c:f>
              <c:strCache>
                <c:ptCount val="1"/>
                <c:pt idx="0">
                  <c:v>LF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  <c:size val="9"/>
          </c:marker>
          <c:xVal>
            <c:numRef>
              <c:f>'vehicles (2)'!$Q$13:$Q$17</c:f>
              <c:numCache>
                <c:formatCode>0.0</c:formatCode>
                <c:ptCount val="5"/>
                <c:pt idx="0">
                  <c:v>8.1167126381641594</c:v>
                </c:pt>
                <c:pt idx="1">
                  <c:v>8.172959944176224</c:v>
                </c:pt>
                <c:pt idx="2">
                  <c:v>5.8056396346603201</c:v>
                </c:pt>
                <c:pt idx="3">
                  <c:v>5.7493923286482582</c:v>
                </c:pt>
                <c:pt idx="4">
                  <c:v>8.1167126381641594</c:v>
                </c:pt>
              </c:numCache>
            </c:numRef>
          </c:xVal>
          <c:yVal>
            <c:numRef>
              <c:f>'vehicles (2)'!$R$13:$R$17</c:f>
              <c:numCache>
                <c:formatCode>0.0</c:formatCode>
                <c:ptCount val="5"/>
                <c:pt idx="0">
                  <c:v>6.2976338317806899</c:v>
                </c:pt>
                <c:pt idx="1">
                  <c:v>5.5998973195023192</c:v>
                </c:pt>
                <c:pt idx="2">
                  <c:v>5.4090582455328198</c:v>
                </c:pt>
                <c:pt idx="3">
                  <c:v>6.1067947578111905</c:v>
                </c:pt>
                <c:pt idx="4">
                  <c:v>6.2976338317806899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4BC-4BD6-BC70-AC5CA8A8AF08}"/>
            </c:ext>
          </c:extLst>
        </c:ser>
        <c:ser>
          <c:idx val="0"/>
          <c:order val="7"/>
          <c:tx>
            <c:strRef>
              <c:f>'vehicles (2)'!$M$19</c:f>
              <c:strCache>
                <c:ptCount val="1"/>
                <c:pt idx="0">
                  <c:v>RF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  <c:size val="9"/>
          </c:marker>
          <c:xVal>
            <c:numRef>
              <c:f>'vehicles (2)'!$Q$19:$Q$23</c:f>
              <c:numCache>
                <c:formatCode>0.0</c:formatCode>
                <c:ptCount val="5"/>
                <c:pt idx="0">
                  <c:v>8.3839313766138126</c:v>
                </c:pt>
                <c:pt idx="1">
                  <c:v>8.4401786826258771</c:v>
                </c:pt>
                <c:pt idx="2">
                  <c:v>6.0728583731099741</c:v>
                </c:pt>
                <c:pt idx="3">
                  <c:v>6.0166110670979123</c:v>
                </c:pt>
                <c:pt idx="4">
                  <c:v>8.3839313766138126</c:v>
                </c:pt>
              </c:numCache>
            </c:numRef>
          </c:xVal>
          <c:yVal>
            <c:numRef>
              <c:f>'vehicles (2)'!$R$19:$R$23</c:f>
              <c:numCache>
                <c:formatCode>0.0</c:formatCode>
                <c:ptCount val="5"/>
                <c:pt idx="0">
                  <c:v>1.004374519615701</c:v>
                </c:pt>
                <c:pt idx="1">
                  <c:v>0.30663800733733027</c:v>
                </c:pt>
                <c:pt idx="2">
                  <c:v>0.11579893336783043</c:v>
                </c:pt>
                <c:pt idx="3">
                  <c:v>0.81353544564620162</c:v>
                </c:pt>
                <c:pt idx="4">
                  <c:v>1.004374519615701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4BC-4BD6-BC70-AC5CA8A8AF08}"/>
            </c:ext>
          </c:extLst>
        </c:ser>
        <c:ser>
          <c:idx val="2"/>
          <c:order val="8"/>
          <c:tx>
            <c:strRef>
              <c:f>'vehicles (2)'!$M$25</c:f>
              <c:strCache>
                <c:ptCount val="1"/>
                <c:pt idx="0">
                  <c:v>RR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  <c:size val="9"/>
          </c:marker>
          <c:xVal>
            <c:numRef>
              <c:f>'vehicles (2)'!$Q$25:$Q$29</c:f>
              <c:numCache>
                <c:formatCode>0.0</c:formatCode>
                <c:ptCount val="5"/>
                <c:pt idx="0">
                  <c:v>-1.0911795762378897</c:v>
                </c:pt>
                <c:pt idx="1">
                  <c:v>-1.0558865353105773</c:v>
                </c:pt>
                <c:pt idx="2">
                  <c:v>-3.4278659440637567</c:v>
                </c:pt>
                <c:pt idx="3">
                  <c:v>-3.4631589849910691</c:v>
                </c:pt>
                <c:pt idx="4">
                  <c:v>-1.0911795762378897</c:v>
                </c:pt>
              </c:numCache>
            </c:numRef>
          </c:xVal>
          <c:yVal>
            <c:numRef>
              <c:f>'vehicles (2)'!$R$25:$R$29</c:f>
              <c:numCache>
                <c:formatCode>0.0</c:formatCode>
                <c:ptCount val="5"/>
                <c:pt idx="0">
                  <c:v>0.4905367257172375</c:v>
                </c:pt>
                <c:pt idx="1">
                  <c:v>-0.20857299475738422</c:v>
                </c:pt>
                <c:pt idx="2">
                  <c:v>-0.32831724076076663</c:v>
                </c:pt>
                <c:pt idx="3">
                  <c:v>0.37079247971385509</c:v>
                </c:pt>
                <c:pt idx="4">
                  <c:v>0.4905367257172375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4BC-4BD6-BC70-AC5CA8A8AF08}"/>
            </c:ext>
          </c:extLst>
        </c:ser>
        <c:ser>
          <c:idx val="3"/>
          <c:order val="9"/>
          <c:tx>
            <c:strRef>
              <c:f>'vehicles (2)'!$M$31</c:f>
              <c:strCache>
                <c:ptCount val="1"/>
                <c:pt idx="0">
                  <c:v>LR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  <c:size val="9"/>
          </c:marker>
          <c:xVal>
            <c:numRef>
              <c:f>'vehicles (2)'!$Q$31:$Q$35</c:f>
              <c:numCache>
                <c:formatCode>0.0</c:formatCode>
                <c:ptCount val="5"/>
                <c:pt idx="0">
                  <c:v>-1.3583983146875429</c:v>
                </c:pt>
                <c:pt idx="1">
                  <c:v>-1.3231052737602305</c:v>
                </c:pt>
                <c:pt idx="2">
                  <c:v>-3.6950846825134098</c:v>
                </c:pt>
                <c:pt idx="3">
                  <c:v>-3.7303777234407223</c:v>
                </c:pt>
                <c:pt idx="4">
                  <c:v>-1.3583983146875429</c:v>
                </c:pt>
              </c:numCache>
            </c:numRef>
          </c:xVal>
          <c:yVal>
            <c:numRef>
              <c:f>'vehicles (2)'!$R$31:$R$35</c:f>
              <c:numCache>
                <c:formatCode>0.0</c:formatCode>
                <c:ptCount val="5"/>
                <c:pt idx="0">
                  <c:v>5.7837960378822268</c:v>
                </c:pt>
                <c:pt idx="1">
                  <c:v>5.0846863174076056</c:v>
                </c:pt>
                <c:pt idx="2">
                  <c:v>4.9649420714042227</c:v>
                </c:pt>
                <c:pt idx="3">
                  <c:v>5.664051791878844</c:v>
                </c:pt>
                <c:pt idx="4">
                  <c:v>5.7837960378822268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4BC-4BD6-BC70-AC5CA8A8AF08}"/>
            </c:ext>
          </c:extLst>
        </c:ser>
        <c:ser>
          <c:idx val="4"/>
          <c:order val="10"/>
          <c:tx>
            <c:strRef>
              <c:f>'vehicles (2)'!$N$6</c:f>
              <c:strCache>
                <c:ptCount val="1"/>
                <c:pt idx="0">
                  <c:v>cg</c:v>
                </c:pt>
              </c:strCache>
            </c:strRef>
          </c:tx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'vehicles (2)'!$O$6</c:f>
              <c:numCache>
                <c:formatCode>0.0</c:formatCode>
                <c:ptCount val="1"/>
                <c:pt idx="0">
                  <c:v>3</c:v>
                </c:pt>
              </c:numCache>
            </c:numRef>
          </c:xVal>
          <c:yVal>
            <c:numRef>
              <c:f>'vehicles (2)'!$P$6</c:f>
              <c:numCache>
                <c:formatCode>0.00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4BC-4BD6-BC70-AC5CA8A8AF08}"/>
            </c:ext>
          </c:extLst>
        </c:ser>
        <c:ser>
          <c:idx val="5"/>
          <c:order val="11"/>
          <c:tx>
            <c:strRef>
              <c:f>'vehicles (2)'!$N$12</c:f>
              <c:strCache>
                <c:ptCount val="1"/>
                <c:pt idx="0">
                  <c:v>left front wheel</c:v>
                </c:pt>
              </c:strCache>
            </c:strRef>
          </c:tx>
          <c:marker>
            <c:symbol val="squar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'vehicles (2)'!$Q$12</c:f>
              <c:numCache>
                <c:formatCode>0.0</c:formatCode>
                <c:ptCount val="1"/>
                <c:pt idx="0">
                  <c:v>6.9611761364122398</c:v>
                </c:pt>
              </c:numCache>
            </c:numRef>
          </c:xVal>
          <c:yVal>
            <c:numRef>
              <c:f>'vehicles (2)'!$R$12</c:f>
              <c:numCache>
                <c:formatCode>0.0</c:formatCode>
                <c:ptCount val="1"/>
                <c:pt idx="0">
                  <c:v>5.8533460386567553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4BC-4BD6-BC70-AC5CA8A8AF08}"/>
            </c:ext>
          </c:extLst>
        </c:ser>
        <c:ser>
          <c:idx val="6"/>
          <c:order val="12"/>
          <c:tx>
            <c:strRef>
              <c:f>'vehicles (2)'!$N$18</c:f>
              <c:strCache>
                <c:ptCount val="1"/>
                <c:pt idx="0">
                  <c:v>right front wheel</c:v>
                </c:pt>
              </c:strCache>
            </c:strRef>
          </c:tx>
          <c:marker>
            <c:symbol val="squar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'vehicles (2)'!$Q$18</c:f>
              <c:numCache>
                <c:formatCode>0.0</c:formatCode>
                <c:ptCount val="1"/>
                <c:pt idx="0">
                  <c:v>7.2283948748618938</c:v>
                </c:pt>
              </c:numCache>
            </c:numRef>
          </c:xVal>
          <c:yVal>
            <c:numRef>
              <c:f>'vehicles (2)'!$R$18</c:f>
              <c:numCache>
                <c:formatCode>0.0</c:formatCode>
                <c:ptCount val="1"/>
                <c:pt idx="0">
                  <c:v>0.5600867264917655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4BC-4BD6-BC70-AC5CA8A8AF08}"/>
            </c:ext>
          </c:extLst>
        </c:ser>
        <c:ser>
          <c:idx val="7"/>
          <c:order val="13"/>
          <c:tx>
            <c:strRef>
              <c:f>'vehicles (2)'!$N$24</c:f>
              <c:strCache>
                <c:ptCount val="1"/>
                <c:pt idx="0">
                  <c:v>right rear wheel</c:v>
                </c:pt>
              </c:strCache>
            </c:strRef>
          </c:tx>
          <c:marker>
            <c:symbol val="squar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'vehicles (2)'!$Q$24</c:f>
              <c:numCache>
                <c:formatCode>0.0</c:formatCode>
                <c:ptCount val="1"/>
                <c:pt idx="0">
                  <c:v>-2.2595227601508237</c:v>
                </c:pt>
              </c:numCache>
            </c:numRef>
          </c:xVal>
          <c:yVal>
            <c:numRef>
              <c:f>'vehicles (2)'!$R$24</c:f>
              <c:numCache>
                <c:formatCode>0.0</c:formatCode>
                <c:ptCount val="1"/>
                <c:pt idx="0">
                  <c:v>8.1109742478235436E-2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4BC-4BD6-BC70-AC5CA8A8AF08}"/>
            </c:ext>
          </c:extLst>
        </c:ser>
        <c:ser>
          <c:idx val="9"/>
          <c:order val="14"/>
          <c:tx>
            <c:strRef>
              <c:f>'vehicles (2)'!$N$30</c:f>
              <c:strCache>
                <c:ptCount val="1"/>
                <c:pt idx="0">
                  <c:v>left rear wheel</c:v>
                </c:pt>
              </c:strCache>
            </c:strRef>
          </c:tx>
          <c:marker>
            <c:symbol val="squar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'vehicles (2)'!$Q$30</c:f>
              <c:numCache>
                <c:formatCode>0.0</c:formatCode>
                <c:ptCount val="1"/>
                <c:pt idx="0">
                  <c:v>-2.5267414986004768</c:v>
                </c:pt>
              </c:numCache>
            </c:numRef>
          </c:xVal>
          <c:yVal>
            <c:numRef>
              <c:f>'vehicles (2)'!$R$30</c:f>
              <c:numCache>
                <c:formatCode>0.0</c:formatCode>
                <c:ptCount val="1"/>
                <c:pt idx="0">
                  <c:v>5.3743690546432248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4BC-4BD6-BC70-AC5CA8A8AF08}"/>
            </c:ext>
          </c:extLst>
        </c:ser>
        <c:ser>
          <c:idx val="10"/>
          <c:order val="15"/>
          <c:tx>
            <c:strRef>
              <c:f>'vehicles (2)'!$N$36</c:f>
              <c:strCache>
                <c:ptCount val="1"/>
                <c:pt idx="0">
                  <c:v>X-axis</c:v>
                </c:pt>
              </c:strCache>
            </c:strRef>
          </c:tx>
          <c:spPr>
            <a:ln w="25400">
              <a:solidFill>
                <a:schemeClr val="accent5"/>
              </a:solidFill>
            </a:ln>
          </c:spPr>
          <c:marker>
            <c:symbol val="none"/>
            <c:size val="9"/>
          </c:marker>
          <c:dPt>
            <c:idx val="1"/>
            <c:bubble3D val="0"/>
            <c:spPr>
              <a:ln w="25400">
                <a:solidFill>
                  <a:schemeClr val="accent5"/>
                </a:solidFill>
                <a:tailEnd type="triangle" w="lg" len="med"/>
              </a:ln>
            </c:spPr>
            <c:extLst>
              <c:ext xmlns:c16="http://schemas.microsoft.com/office/drawing/2014/chart" uri="{C3380CC4-5D6E-409C-BE32-E72D297353CC}">
                <c16:uniqueId val="{00000000-4D80-4E4B-AFEC-BC3A476A0FCB}"/>
              </c:ext>
            </c:extLst>
          </c:dPt>
          <c:xVal>
            <c:numRef>
              <c:f>'vehicles (2)'!$Q$36:$Q$37</c:f>
              <c:numCache>
                <c:formatCode>0.0</c:formatCode>
                <c:ptCount val="2"/>
                <c:pt idx="0">
                  <c:v>3</c:v>
                </c:pt>
                <c:pt idx="1">
                  <c:v>10.989825376852814</c:v>
                </c:pt>
              </c:numCache>
            </c:numRef>
          </c:xVal>
          <c:yVal>
            <c:numRef>
              <c:f>'vehicles (2)'!$R$36:$R$37</c:f>
              <c:numCache>
                <c:formatCode>0.0</c:formatCode>
                <c:ptCount val="2"/>
                <c:pt idx="0">
                  <c:v>3</c:v>
                </c:pt>
                <c:pt idx="1">
                  <c:v>3.4033490391692887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4BC-4BD6-BC70-AC5CA8A8AF08}"/>
            </c:ext>
          </c:extLst>
        </c:ser>
        <c:ser>
          <c:idx val="11"/>
          <c:order val="16"/>
          <c:tx>
            <c:strRef>
              <c:f>'vehicles (2)'!$N$38</c:f>
              <c:strCache>
                <c:ptCount val="1"/>
                <c:pt idx="0">
                  <c:v>Y-axis</c:v>
                </c:pt>
              </c:strCache>
            </c:strRef>
          </c:tx>
          <c:spPr>
            <a:ln w="25400">
              <a:solidFill>
                <a:srgbClr val="00B050"/>
              </a:solidFill>
              <a:tailEnd type="triangle" w="lg" len="med"/>
            </a:ln>
          </c:spPr>
          <c:marker>
            <c:symbol val="none"/>
            <c:size val="9"/>
          </c:marker>
          <c:xVal>
            <c:numRef>
              <c:f>'vehicles (2)'!$Q$38:$Q$39</c:f>
              <c:numCache>
                <c:formatCode>0.0</c:formatCode>
                <c:ptCount val="2"/>
                <c:pt idx="0">
                  <c:v>3</c:v>
                </c:pt>
                <c:pt idx="1">
                  <c:v>2.7983254804153557</c:v>
                </c:pt>
              </c:numCache>
            </c:numRef>
          </c:xVal>
          <c:yVal>
            <c:numRef>
              <c:f>'vehicles (2)'!$R$38:$R$39</c:f>
              <c:numCache>
                <c:formatCode>0.0</c:formatCode>
                <c:ptCount val="2"/>
                <c:pt idx="0">
                  <c:v>3</c:v>
                </c:pt>
                <c:pt idx="1">
                  <c:v>6.9949126884264068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4BC-4BD6-BC70-AC5CA8A8AF08}"/>
            </c:ext>
          </c:extLst>
        </c:ser>
        <c:ser>
          <c:idx val="12"/>
          <c:order val="17"/>
          <c:tx>
            <c:strRef>
              <c:f>'vehicles (2)'!$N$40</c:f>
              <c:strCache>
                <c:ptCount val="1"/>
                <c:pt idx="0">
                  <c:v>Velocity Vector</c:v>
                </c:pt>
              </c:strCache>
            </c:strRef>
          </c:tx>
          <c:spPr>
            <a:ln w="25400">
              <a:solidFill>
                <a:srgbClr val="FF0000"/>
              </a:solidFill>
              <a:headEnd w="med" len="lg"/>
              <a:tailEnd type="stealth" w="lg" len="lg"/>
            </a:ln>
          </c:spPr>
          <c:marker>
            <c:symbol val="none"/>
            <c:size val="9"/>
          </c:marker>
          <c:xVal>
            <c:numRef>
              <c:f>'vehicles (2)'!$Q$40:$Q$41</c:f>
              <c:numCache>
                <c:formatCode>0.0</c:formatCode>
                <c:ptCount val="2"/>
                <c:pt idx="0">
                  <c:v>3</c:v>
                </c:pt>
                <c:pt idx="1">
                  <c:v>7.9935967859209311</c:v>
                </c:pt>
              </c:numCache>
            </c:numRef>
          </c:xVal>
          <c:yVal>
            <c:numRef>
              <c:f>'vehicles (2)'!$R$40:$R$41</c:f>
              <c:numCache>
                <c:formatCode>0.0</c:formatCode>
                <c:ptCount val="2"/>
                <c:pt idx="0">
                  <c:v>3</c:v>
                </c:pt>
                <c:pt idx="1">
                  <c:v>3.2529647003835667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4BC-4BD6-BC70-AC5CA8A8A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388568"/>
        <c:axId val="735381024"/>
      </c:scatterChart>
      <c:valAx>
        <c:axId val="73538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81024"/>
        <c:crosses val="autoZero"/>
        <c:crossBetween val="midCat"/>
      </c:valAx>
      <c:valAx>
        <c:axId val="7353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885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none"/>
            <c:size val="9"/>
          </c:marker>
          <c:xVal>
            <c:numRef>
              <c:f>processed_path!$A$6:$A$55</c:f>
              <c:numCache>
                <c:formatCode>General</c:formatCode>
                <c:ptCount val="50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-1.0000000000000009</c:v>
                </c:pt>
                <c:pt idx="41">
                  <c:v>-0.90000000000000091</c:v>
                </c:pt>
                <c:pt idx="42">
                  <c:v>-0.80000000000000093</c:v>
                </c:pt>
                <c:pt idx="43">
                  <c:v>-0.70000000000000095</c:v>
                </c:pt>
                <c:pt idx="44">
                  <c:v>-0.60000000000000098</c:v>
                </c:pt>
                <c:pt idx="45">
                  <c:v>-0.500000000000001</c:v>
                </c:pt>
                <c:pt idx="46">
                  <c:v>-0.40000000000000102</c:v>
                </c:pt>
                <c:pt idx="47">
                  <c:v>-0.30000000000000104</c:v>
                </c:pt>
                <c:pt idx="48">
                  <c:v>-0.20000000000000104</c:v>
                </c:pt>
                <c:pt idx="49">
                  <c:v>-0.10000000000000103</c:v>
                </c:pt>
              </c:numCache>
            </c:numRef>
          </c:xVal>
          <c:yVal>
            <c:numRef>
              <c:f>processed_path!$Y$6:$Y$55</c:f>
              <c:numCache>
                <c:formatCode>0.00</c:formatCode>
                <c:ptCount val="50"/>
                <c:pt idx="0" formatCode="General">
                  <c:v>0</c:v>
                </c:pt>
                <c:pt idx="1">
                  <c:v>1.4698680340909036</c:v>
                </c:pt>
                <c:pt idx="2">
                  <c:v>2.8852965113636255</c:v>
                </c:pt>
                <c:pt idx="3">
                  <c:v>4.3007249886363477</c:v>
                </c:pt>
                <c:pt idx="4">
                  <c:v>5.730596613636342</c:v>
                </c:pt>
                <c:pt idx="5">
                  <c:v>7.1604682386363372</c:v>
                </c:pt>
                <c:pt idx="6">
                  <c:v>8.6453349261363321</c:v>
                </c:pt>
                <c:pt idx="7">
                  <c:v>10.185196676136327</c:v>
                </c:pt>
                <c:pt idx="8">
                  <c:v>11.835048551136321</c:v>
                </c:pt>
                <c:pt idx="9">
                  <c:v>13.779318437499949</c:v>
                </c:pt>
                <c:pt idx="10">
                  <c:v>15.890240028409032</c:v>
                </c:pt>
                <c:pt idx="11">
                  <c:v>18.001161619318125</c:v>
                </c:pt>
                <c:pt idx="12">
                  <c:v>20.133192426136308</c:v>
                </c:pt>
                <c:pt idx="13">
                  <c:v>22.26522323295449</c:v>
                </c:pt>
                <c:pt idx="14">
                  <c:v>24.453360113636311</c:v>
                </c:pt>
                <c:pt idx="15">
                  <c:v>26.80981521590904</c:v>
                </c:pt>
                <c:pt idx="16">
                  <c:v>29.642894193181771</c:v>
                </c:pt>
                <c:pt idx="17">
                  <c:v>32.815942647727226</c:v>
                </c:pt>
                <c:pt idx="18">
                  <c:v>36.158975840909044</c:v>
                </c:pt>
                <c:pt idx="19">
                  <c:v>39.502009034090861</c:v>
                </c:pt>
                <c:pt idx="20">
                  <c:v>42.924479539772683</c:v>
                </c:pt>
                <c:pt idx="21">
                  <c:v>46.683586488636323</c:v>
                </c:pt>
                <c:pt idx="22">
                  <c:v>50.627676829545415</c:v>
                </c:pt>
                <c:pt idx="23">
                  <c:v>54.571767170454507</c:v>
                </c:pt>
                <c:pt idx="24">
                  <c:v>58.349205806818148</c:v>
                </c:pt>
                <c:pt idx="25">
                  <c:v>62.126644443181789</c:v>
                </c:pt>
                <c:pt idx="26">
                  <c:v>66.070734784090888</c:v>
                </c:pt>
                <c:pt idx="27">
                  <c:v>56.07163251136361</c:v>
                </c:pt>
                <c:pt idx="28">
                  <c:v>46.072530238636332</c:v>
                </c:pt>
                <c:pt idx="29">
                  <c:v>35.973436943181781</c:v>
                </c:pt>
                <c:pt idx="30">
                  <c:v>25.974334670454503</c:v>
                </c:pt>
                <c:pt idx="31">
                  <c:v>15.975232397727224</c:v>
                </c:pt>
                <c:pt idx="32">
                  <c:v>5.9761301249999441</c:v>
                </c:pt>
                <c:pt idx="33">
                  <c:v>8.4759056931817636</c:v>
                </c:pt>
                <c:pt idx="34">
                  <c:v>10.309074443181764</c:v>
                </c:pt>
                <c:pt idx="35">
                  <c:v>11.463970755681766</c:v>
                </c:pt>
                <c:pt idx="36">
                  <c:v>12.013921380681767</c:v>
                </c:pt>
                <c:pt idx="37">
                  <c:v>12.233901630681768</c:v>
                </c:pt>
                <c:pt idx="38">
                  <c:v>12.618867068181768</c:v>
                </c:pt>
                <c:pt idx="39">
                  <c:v>13.108823079545404</c:v>
                </c:pt>
                <c:pt idx="40">
                  <c:v>13.598779090909041</c:v>
                </c:pt>
                <c:pt idx="41">
                  <c:v>14.299271755681769</c:v>
                </c:pt>
                <c:pt idx="42">
                  <c:v>15.045871392045406</c:v>
                </c:pt>
                <c:pt idx="43">
                  <c:v>15.620264267045405</c:v>
                </c:pt>
                <c:pt idx="44">
                  <c:v>15.978009926136314</c:v>
                </c:pt>
                <c:pt idx="45">
                  <c:v>16.227987482954497</c:v>
                </c:pt>
                <c:pt idx="46">
                  <c:v>16.179658488636314</c:v>
                </c:pt>
                <c:pt idx="47">
                  <c:v>16.036338022727222</c:v>
                </c:pt>
                <c:pt idx="48">
                  <c:v>15.753030124999949</c:v>
                </c:pt>
                <c:pt idx="49">
                  <c:v>15.660816181818131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2-4BEC-AD42-845A95236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02784"/>
        <c:axId val="259003440"/>
      </c:scatterChart>
      <c:valAx>
        <c:axId val="2590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03440"/>
        <c:crosses val="autoZero"/>
        <c:crossBetween val="midCat"/>
      </c:valAx>
      <c:valAx>
        <c:axId val="2590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processed_path!$Y$2</c:f>
              <c:strCache>
                <c:ptCount val="1"/>
                <c:pt idx="0">
                  <c:v>global frame</c:v>
                </c:pt>
              </c:strCache>
            </c:strRef>
          </c:tx>
          <c:spPr>
            <a:ln cap="rnd" w="2540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processed_path!$AC$6:$AC$55</c:f>
              <c:numCache>
                <c:formatCode>0.00</c:formatCode>
                <c:ptCount val="50"/>
                <c:pt idx="0" formatCode="General">
                  <c:v>0</c:v>
                </c:pt>
                <c:pt idx="1">
                  <c:v>14.361009496594255</c:v>
                </c:pt>
                <c:pt idx="2">
                  <c:v>28.704437791872174</c:v>
                </c:pt>
                <c:pt idx="3">
                  <c:v>43.021242114505036</c:v>
                </c:pt>
                <c:pt idx="4">
                  <c:v>57.447791877979789</c:v>
                </c:pt>
                <c:pt idx="5">
                  <c:v>71.829180261554782</c:v>
                </c:pt>
                <c:pt idx="6">
                  <c:v>86.153027100788819</c:v>
                </c:pt>
                <c:pt idx="7">
                  <c:v>100.40671051600013</c:v>
                </c:pt>
                <c:pt idx="8">
                  <c:v>114.5719373987999</c:v>
                </c:pt>
                <c:pt idx="9">
                  <c:v>128.75322940567884</c:v>
                </c:pt>
                <c:pt idx="10">
                  <c:v>142.78103713777693</c:v>
                </c:pt>
                <c:pt idx="11">
                  <c:v>156.64188879029228</c:v>
                </c:pt>
                <c:pt idx="12">
                  <c:v>170.45074953277651</c:v>
                </c:pt>
                <c:pt idx="13">
                  <c:v>184.05079952401778</c:v>
                </c:pt>
                <c:pt idx="14">
                  <c:v>197.41380066552648</c:v>
                </c:pt>
                <c:pt idx="15">
                  <c:v>210.49255260215321</c:v>
                </c:pt>
                <c:pt idx="16">
                  <c:v>223.30532022358128</c:v>
                </c:pt>
                <c:pt idx="17">
                  <c:v>235.64596900132506</c:v>
                </c:pt>
                <c:pt idx="18">
                  <c:v>247.45907000599283</c:v>
                </c:pt>
                <c:pt idx="19">
                  <c:v>258.71714102492882</c:v>
                </c:pt>
                <c:pt idx="20">
                  <c:v>269.25562141782598</c:v>
                </c:pt>
                <c:pt idx="21">
                  <c:v>279.05636282595805</c:v>
                </c:pt>
                <c:pt idx="22">
                  <c:v>287.96204003641071</c:v>
                </c:pt>
                <c:pt idx="23">
                  <c:v>296.04543920542068</c:v>
                </c:pt>
                <c:pt idx="24">
                  <c:v>303.32399268729642</c:v>
                </c:pt>
                <c:pt idx="25">
                  <c:v>309.74816063981757</c:v>
                </c:pt>
                <c:pt idx="26">
                  <c:v>315.23066072490764</c:v>
                </c:pt>
                <c:pt idx="27">
                  <c:v>324.43382968593971</c:v>
                </c:pt>
                <c:pt idx="28">
                  <c:v>335.47562129578483</c:v>
                </c:pt>
                <c:pt idx="29">
                  <c:v>348.16566651106513</c:v>
                </c:pt>
                <c:pt idx="30">
                  <c:v>361.84189121902375</c:v>
                </c:pt>
                <c:pt idx="31">
                  <c:v>376.22072072500123</c:v>
                </c:pt>
                <c:pt idx="32">
                  <c:v>390.86533981003049</c:v>
                </c:pt>
                <c:pt idx="33">
                  <c:v>405.31876592679845</c:v>
                </c:pt>
                <c:pt idx="34">
                  <c:v>419.70292597475344</c:v>
                </c:pt>
                <c:pt idx="35">
                  <c:v>433.90192789487122</c:v>
                </c:pt>
                <c:pt idx="36">
                  <c:v>448.08790070908316</c:v>
                </c:pt>
                <c:pt idx="37">
                  <c:v>462.27094664611599</c:v>
                </c:pt>
                <c:pt idx="38">
                  <c:v>476.42818007690988</c:v>
                </c:pt>
                <c:pt idx="39">
                  <c:v>490.41159528985372</c:v>
                </c:pt>
                <c:pt idx="40">
                  <c:v>504.366114186559</c:v>
                </c:pt>
                <c:pt idx="41">
                  <c:v>518.12896417509921</c:v>
                </c:pt>
                <c:pt idx="42">
                  <c:v>531.70086110038699</c:v>
                </c:pt>
                <c:pt idx="43">
                  <c:v>544.95833023890225</c:v>
                </c:pt>
                <c:pt idx="44">
                  <c:v>557.91753777156646</c:v>
                </c:pt>
                <c:pt idx="45">
                  <c:v>570.58238960804579</c:v>
                </c:pt>
                <c:pt idx="46">
                  <c:v>582.83739797949704</c:v>
                </c:pt>
                <c:pt idx="47">
                  <c:v>594.9631613950047</c:v>
                </c:pt>
                <c:pt idx="48">
                  <c:v>606.96883206276925</c:v>
                </c:pt>
                <c:pt idx="49">
                  <c:v>618.69183646512465</c:v>
                </c:pt>
              </c:numCache>
            </c:numRef>
          </c:xVal>
          <c:yVal>
            <c:numRef>
              <c:f>processed_path!$AD$6:$AD$55</c:f>
              <c:numCache>
                <c:formatCode>0.00</c:formatCode>
                <c:ptCount val="50"/>
                <c:pt idx="0" formatCode="General">
                  <c:v>0</c:v>
                </c:pt>
                <c:pt idx="1">
                  <c:v>0.55289973511319457</c:v>
                </c:pt>
                <c:pt idx="2">
                  <c:v>1.4535551521502843</c:v>
                </c:pt>
                <c:pt idx="3">
                  <c:v>2.7082381517396326</c:v>
                </c:pt>
                <c:pt idx="4">
                  <c:v>4.3380449099924814</c:v>
                </c:pt>
                <c:pt idx="5">
                  <c:v>6.3273353131348724</c:v>
                </c:pt>
                <c:pt idx="6">
                  <c:v>8.6954911732177482</c:v>
                </c:pt>
                <c:pt idx="7">
                  <c:v>11.454543454654825</c:v>
                </c:pt>
                <c:pt idx="8">
                  <c:v>14.636418773819821</c:v>
                </c:pt>
                <c:pt idx="9">
                  <c:v>18.370426037815466</c:v>
                </c:pt>
                <c:pt idx="10">
                  <c:v>22.644624696059459</c:v>
                </c:pt>
                <c:pt idx="11">
                  <c:v>27.432625887142251</c:v>
                </c:pt>
                <c:pt idx="12">
                  <c:v>32.788510338580117</c:v>
                </c:pt>
                <c:pt idx="13">
                  <c:v>38.654409544858204</c:v>
                </c:pt>
                <c:pt idx="14">
                  <c:v>45.041817779142285</c:v>
                </c:pt>
                <c:pt idx="15">
                  <c:v>51.992412826679612</c:v>
                </c:pt>
                <c:pt idx="16">
                  <c:v>59.70920089940747</c:v>
                </c:pt>
                <c:pt idx="17">
                  <c:v>68.159799924716552</c:v>
                </c:pt>
                <c:pt idx="18">
                  <c:v>77.333054016860444</c:v>
                </c:pt>
                <c:pt idx="19">
                  <c:v>87.179565222262639</c:v>
                </c:pt>
                <c:pt idx="20">
                  <c:v>97.584883644658234</c:v>
                </c:pt>
                <c:pt idx="21">
                  <c:v>108.68723598997092</c:v>
                </c:pt>
                <c:pt idx="22">
                  <c:v>120.33526111148596</c:v>
                </c:pt>
                <c:pt idx="23">
                  <c:v>132.56825885049787</c:v>
                </c:pt>
                <c:pt idx="24">
                  <c:v>145.29685886378508</c:v>
                </c:pt>
                <c:pt idx="25">
                  <c:v>158.47732415164879</c:v>
                </c:pt>
                <c:pt idx="26">
                  <c:v>172.07621265862642</c:v>
                </c:pt>
                <c:pt idx="27">
                  <c:v>183.47045974579635</c:v>
                </c:pt>
                <c:pt idx="28">
                  <c:v>193.09366210538218</c:v>
                </c:pt>
                <c:pt idx="29">
                  <c:v>200.69568585648869</c:v>
                </c:pt>
                <c:pt idx="30">
                  <c:v>205.93859185852676</c:v>
                </c:pt>
                <c:pt idx="31">
                  <c:v>208.72722013185674</c:v>
                </c:pt>
                <c:pt idx="32">
                  <c:v>208.9768547912721</c:v>
                </c:pt>
                <c:pt idx="33">
                  <c:v>211.45412144923708</c:v>
                </c:pt>
                <c:pt idx="34">
                  <c:v>214.30895665290504</c:v>
                </c:pt>
                <c:pt idx="35">
                  <c:v>217.33777748684577</c:v>
                </c:pt>
                <c:pt idx="36">
                  <c:v>220.42794010631584</c:v>
                </c:pt>
                <c:pt idx="37">
                  <c:v>223.53172764238474</c:v>
                </c:pt>
                <c:pt idx="38">
                  <c:v>226.75112147478231</c:v>
                </c:pt>
                <c:pt idx="39">
                  <c:v>230.0705280892567</c:v>
                </c:pt>
                <c:pt idx="40">
                  <c:v>233.50938889645752</c:v>
                </c:pt>
                <c:pt idx="41">
                  <c:v>237.10704730197074</c:v>
                </c:pt>
                <c:pt idx="42">
                  <c:v>240.850256698707</c:v>
                </c:pt>
                <c:pt idx="43">
                  <c:v>244.62861258020052</c:v>
                </c:pt>
                <c:pt idx="44">
                  <c:v>248.38303727474968</c:v>
                </c:pt>
                <c:pt idx="45">
                  <c:v>252.09921394215536</c:v>
                </c:pt>
                <c:pt idx="46">
                  <c:v>255.64930243625503</c:v>
                </c:pt>
                <c:pt idx="47">
                  <c:v>259.11822052610569</c:v>
                </c:pt>
                <c:pt idx="48">
                  <c:v>262.47283372143147</c:v>
                </c:pt>
                <c:pt idx="49">
                  <c:v>265.74919978615077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F-4C4A-93F0-C9BFBE3E3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03112"/>
        <c:axId val="259003440"/>
      </c:scatterChart>
      <c:valAx>
        <c:axId val="259003112"/>
        <c:scaling>
          <c:max val="500.00000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03440"/>
        <c:crosses val="autoZero"/>
        <c:crossBetween val="midCat"/>
      </c:valAx>
      <c:valAx>
        <c:axId val="2590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0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 TargetMode="Interna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 TargetMode="Internal"/></Relationships>
</file>

<file path=xl/chartsheets/sheet1.xml><?xml version="1.0" encoding="utf-8"?>
<chart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3="http://schemas.microsoft.com/office/spreadsheetml/2016/revision3" mc:Ignorable="xr xr3 x14ac" xr:uid="{F8112389-011A-41B0-BEB0-DBF233B71D8B}">
  <sheetPr/>
  <sheetViews>
    <sheetView zoomScale="116" workbookViewId="0" zoomToFit="1">
      <selection pane="topLeft" activeCell="A1"/>
    </sheetView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3="http://schemas.microsoft.com/office/spreadsheetml/2016/revision3" mc:Ignorable="xr xr3 x14ac" xr:uid="{F67FBF3A-34A5-444B-A3B6-83396D7EB455}">
  <sheetPr/>
  <sheetViews>
    <sheetView zoomScale="116" workbookViewId="0" zoomToFit="1">
      <selection pane="topLeft" activeCell="A1"/>
    </sheetView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449282</xdr:colOff>
      <xdr:row>0</xdr:row>
      <xdr:rowOff>142875</xdr:rowOff>
    </xdr:from>
    <xdr:to>
      <xdr:col>22</xdr:col>
      <xdr:colOff>275294</xdr:colOff>
      <xdr:row>20</xdr:row>
      <xdr:rowOff>104182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B19221-0EC5-4CAE-B8B2-A74C15DB7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7632" y="142875"/>
          <a:ext cx="5922012" cy="37713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2393950</xdr:colOff>
      <xdr:row>45</xdr:row>
      <xdr:rowOff>127000</xdr:rowOff>
    </xdr:from>
    <xdr:to>
      <xdr:col>12</xdr:col>
      <xdr:colOff>463549</xdr:colOff>
      <xdr:row>78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FFD83-FA18-4CD1-A1E7-8699E3552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603250</xdr:colOff>
      <xdr:row>3</xdr:row>
      <xdr:rowOff>82550</xdr:rowOff>
    </xdr:from>
    <xdr:to>
      <xdr:col>34</xdr:col>
      <xdr:colOff>50800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3AA5C4-9DB8-4754-BEE0-D2A09B61A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8C450-7A38-4BB5-81C2-3247700F3D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47B64-EE8D-4BAE-A72B-E021AD77E4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 TargetMode="Internal"/><Relationship Id="rId2" Type="http://schemas.openxmlformats.org/officeDocument/2006/relationships/drawing" Target="../drawings/drawing1.xml" TargetMode="In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 TargetMode="Internal"/><Relationship Id="rId2" Type="http://schemas.openxmlformats.org/officeDocument/2006/relationships/drawing" Target="../drawings/drawing2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3E80-131B-4595-A0AA-E8B1F80CBB65}">
  <sheetPr>
    <tabColor theme="9"/>
  </sheetPr>
  <sheetViews>
    <sheetView workbookViewId="0">
      <selection pane="topLeft" activeCell="D16" sqref="D16"/>
    </sheetView>
  </sheetViews>
  <sheetFormatPr baseColWidth="8" defaultRowHeight="14"/>
  <cols>
    <col min="1" max="1" width="36.7265625" style="4" bestFit="1" customWidth="1"/>
    <col min="2" max="2" width="13.54296875" customWidth="1"/>
    <col min="3" max="3" width="11.26953125" customWidth="1"/>
    <col min="4" max="4" width="11.453125" customWidth="1"/>
    <col min="10" max="10" width="19.453125" customWidth="1"/>
    <col min="11" max="11" width="12.1796875" customWidth="1"/>
    <col min="12" max="12" width="9.453125" customWidth="1"/>
  </cols>
  <sheetData>
    <row r="1" spans="1:12" x14ac:dyDescent="0.35">
      <c r="A1" s="6" t="s">
        <v>63</v>
      </c>
      <c r="B1" s="5" t="s">
        <v>8</v>
      </c>
      <c r="C1" s="5" t="s">
        <v>9</v>
      </c>
      <c r="D1" s="19" t="s">
        <v>145</v>
      </c>
      <c r="E1" s="5" t="s">
        <v>60</v>
      </c>
    </row>
    <row r="2" spans="1:12" x14ac:dyDescent="0.35">
      <c r="A2" s="4" t="s">
        <v>61</v>
      </c>
      <c r="B2" s="8" t="s">
        <v>190</v>
      </c>
      <c r="C2" s="35" t="s">
        <v>190</v>
      </c>
      <c r="D2" t="s">
        <v>2</v>
      </c>
      <c r="E2">
        <v>0</v>
      </c>
    </row>
    <row r="3" spans="1:12" x14ac:dyDescent="0.35">
      <c r="A3" s="4" t="s">
        <v>62</v>
      </c>
      <c r="B3" s="8" t="s">
        <v>191</v>
      </c>
      <c r="C3" s="35" t="s">
        <v>191</v>
      </c>
      <c r="D3" t="s">
        <v>3</v>
      </c>
      <c r="E3">
        <v>1</v>
      </c>
      <c r="J3" s="36" t="s">
        <v>185</v>
      </c>
      <c r="K3" s="36"/>
      <c r="L3" s="36"/>
    </row>
    <row r="4" spans="1:12" x14ac:dyDescent="0.35">
      <c r="A4" s="4" t="s">
        <v>15</v>
      </c>
      <c r="B4" s="21">
        <v>4305</v>
      </c>
      <c r="C4" s="21">
        <v>4305</v>
      </c>
      <c r="D4" t="s">
        <v>143</v>
      </c>
      <c r="E4">
        <v>2</v>
      </c>
      <c r="K4" s="26" t="s">
        <v>8</v>
      </c>
      <c r="L4" s="26" t="s">
        <v>9</v>
      </c>
    </row>
    <row r="5" spans="1:12" x14ac:dyDescent="0.35">
      <c r="A5" s="4" t="s">
        <v>24</v>
      </c>
      <c r="B5">
        <v>16.5</v>
      </c>
      <c r="C5">
        <v>16.9</v>
      </c>
      <c r="D5" t="s">
        <v>146</v>
      </c>
      <c r="E5">
        <v>3</v>
      </c>
      <c r="J5" s="4" t="s">
        <v>186</v>
      </c>
      <c r="K5" s="27">
        <v>0.9</v>
      </c>
      <c r="L5" s="27">
        <v>0.9</v>
      </c>
    </row>
    <row r="6" spans="1:12" x14ac:dyDescent="0.35">
      <c r="A6" s="4" t="s">
        <v>14</v>
      </c>
      <c r="B6">
        <v>0</v>
      </c>
      <c r="C6">
        <v>0</v>
      </c>
      <c r="D6" t="s">
        <v>147</v>
      </c>
      <c r="E6">
        <v>4</v>
      </c>
      <c r="J6" s="4" t="s">
        <v>181</v>
      </c>
      <c r="K6" s="12">
        <f>B4*0.453592</f>
        <v>1952.71356</v>
      </c>
      <c r="L6" s="12">
        <f>C4*0.453592</f>
        <v>1952.71356</v>
      </c>
    </row>
    <row r="7" spans="1:12" x14ac:dyDescent="0.35">
      <c r="A7" s="4" t="s">
        <v>16</v>
      </c>
      <c r="B7">
        <v>0</v>
      </c>
      <c r="C7">
        <v>0</v>
      </c>
      <c r="D7" t="s">
        <v>148</v>
      </c>
      <c r="E7">
        <v>5</v>
      </c>
      <c r="J7" s="4" t="s">
        <v>184</v>
      </c>
      <c r="K7" s="12">
        <f>0.3048*B14</f>
        <v>3.096768</v>
      </c>
      <c r="L7" s="12">
        <f>0.3048*C14</f>
        <v>3.096768</v>
      </c>
    </row>
    <row r="8" spans="1:12" x14ac:dyDescent="0.35">
      <c r="A8" s="4" t="s">
        <v>105</v>
      </c>
      <c r="B8">
        <v>0</v>
      </c>
      <c r="C8">
        <v>0</v>
      </c>
      <c r="D8" t="s">
        <v>144</v>
      </c>
      <c r="E8">
        <v>6</v>
      </c>
      <c r="J8" s="4" t="s">
        <v>182</v>
      </c>
      <c r="K8" s="12">
        <f>K5*K6*(K7/2)^2</f>
        <v>4213.45540212783</v>
      </c>
      <c r="L8" s="12">
        <f>L5*L6*(L7/2)^2</f>
        <v>4213.45540212783</v>
      </c>
    </row>
    <row r="9" spans="1:12" x14ac:dyDescent="0.35">
      <c r="A9" s="4" t="s">
        <v>17</v>
      </c>
      <c r="B9" s="0">
        <f>72/12</f>
        <v>6</v>
      </c>
      <c r="C9" s="21">
        <f>92.8/12</f>
        <v>7.73333333333333</v>
      </c>
      <c r="D9" t="s">
        <v>149</v>
      </c>
      <c r="E9">
        <v>7</v>
      </c>
      <c r="J9" s="4" t="s">
        <v>183</v>
      </c>
      <c r="K9" s="12">
        <f>0.7375621419*K8</f>
        <v>3107.68519119353</v>
      </c>
      <c r="L9" s="12">
        <f>0.7375621419*L8</f>
        <v>3107.68519119353</v>
      </c>
    </row>
    <row r="10" spans="1:12" x14ac:dyDescent="0.35">
      <c r="A10" s="4" t="s">
        <v>18</v>
      </c>
      <c r="B10" s="7">
        <v>16.94</v>
      </c>
      <c r="C10" s="7">
        <v>16.94</v>
      </c>
      <c r="D10" t="s">
        <v>150</v>
      </c>
      <c r="E10">
        <v>8</v>
      </c>
      <c r="K10" s="27"/>
      <c r="L10" s="27"/>
    </row>
    <row r="11" spans="1:12" x14ac:dyDescent="0.35">
      <c r="A11" s="4" t="s">
        <v>64</v>
      </c>
      <c r="B11">
        <v>2</v>
      </c>
      <c r="C11">
        <v>2</v>
      </c>
      <c r="D11" t="s">
        <v>158</v>
      </c>
      <c r="E11">
        <v>9</v>
      </c>
      <c r="K11" s="27"/>
      <c r="L11" s="27"/>
    </row>
    <row r="12" spans="1:12" x14ac:dyDescent="0.35">
      <c r="A12" s="4" t="s">
        <v>25</v>
      </c>
      <c r="B12" s="22">
        <v>4.56</v>
      </c>
      <c r="C12" s="22">
        <v>4.56</v>
      </c>
      <c r="D12" t="s">
        <v>151</v>
      </c>
      <c r="E12">
        <v>10</v>
      </c>
    </row>
    <row r="13" spans="1:12" x14ac:dyDescent="0.35">
      <c r="A13" s="4" t="s">
        <v>35</v>
      </c>
      <c r="B13" s="7">
        <f>B14-B12</f>
        <v>5.6</v>
      </c>
      <c r="C13" s="7">
        <f>C14-C12</f>
        <v>5.6</v>
      </c>
      <c r="D13" t="s">
        <v>152</v>
      </c>
      <c r="E13">
        <v>11</v>
      </c>
    </row>
    <row r="14" spans="1:12" x14ac:dyDescent="0.35">
      <c r="A14" s="4" t="s">
        <v>19</v>
      </c>
      <c r="B14" s="7">
        <v>10.16</v>
      </c>
      <c r="C14" s="7">
        <v>10.16</v>
      </c>
      <c r="D14" t="s">
        <v>153</v>
      </c>
      <c r="E14">
        <v>12</v>
      </c>
      <c r="J14" s="31" t="s">
        <v>187</v>
      </c>
      <c r="K14" s="31" t="s">
        <v>188</v>
      </c>
      <c r="L14" t="s">
        <v>189</v>
      </c>
    </row>
    <row r="15" spans="1:12" x14ac:dyDescent="0.35">
      <c r="A15" s="4" t="s">
        <v>159</v>
      </c>
      <c r="B15" s="7">
        <v>5.64</v>
      </c>
      <c r="C15" s="7">
        <v>5.6</v>
      </c>
      <c r="D15" s="0" t="s">
        <v>160</v>
      </c>
      <c r="E15">
        <v>13</v>
      </c>
      <c r="J15" s="9">
        <v>1430</v>
      </c>
      <c r="K15" s="0">
        <f>0.0393701*J15</f>
        <v>56.299243</v>
      </c>
      <c r="L15" s="0">
        <f>K15/12</f>
        <v>4.69160358333333</v>
      </c>
    </row>
    <row r="16" spans="1:12" x14ac:dyDescent="0.35">
      <c r="A16" s="4" t="s">
        <v>20</v>
      </c>
      <c r="B16" s="7">
        <v>3.11</v>
      </c>
      <c r="C16" s="7">
        <v>3.1</v>
      </c>
      <c r="D16" t="s">
        <v>154</v>
      </c>
      <c r="E16">
        <v>14</v>
      </c>
      <c r="J16" s="12"/>
    </row>
    <row r="17" spans="1:15" x14ac:dyDescent="0.35">
      <c r="A17" s="4" t="s">
        <v>21</v>
      </c>
      <c r="B17" s="7">
        <v>3.6647</v>
      </c>
      <c r="C17" s="7">
        <v>3.7</v>
      </c>
      <c r="D17" t="s">
        <v>155</v>
      </c>
      <c r="E17">
        <v>15</v>
      </c>
      <c r="J17" s="12"/>
    </row>
    <row r="18" spans="1:15" x14ac:dyDescent="0.35">
      <c r="A18" s="4" t="s">
        <v>22</v>
      </c>
      <c r="B18" s="7">
        <f>29/12</f>
        <v>2.41666666666667</v>
      </c>
      <c r="C18" s="7">
        <v>2.4</v>
      </c>
      <c r="D18" t="s">
        <v>156</v>
      </c>
      <c r="E18">
        <v>16</v>
      </c>
      <c r="J18" s="12"/>
      <c r="K18" s="31" t="s">
        <v>188</v>
      </c>
      <c r="L18" t="s">
        <v>189</v>
      </c>
    </row>
    <row r="19" spans="1:15" x14ac:dyDescent="0.35">
      <c r="A19" s="4" t="s">
        <v>23</v>
      </c>
      <c r="B19" s="7">
        <f>9.3/12</f>
        <v>0.775</v>
      </c>
      <c r="C19" s="7">
        <f>9.3/12</f>
        <v>0.775</v>
      </c>
      <c r="D19" t="s">
        <v>157</v>
      </c>
      <c r="E19">
        <v>17</v>
      </c>
      <c r="K19">
        <v>67.7</v>
      </c>
      <c r="L19" s="0">
        <f>K19/12</f>
        <v>5.64166666666667</v>
      </c>
      <c r="M19" s="25"/>
      <c r="N19" s="25"/>
      <c r="O19" s="25"/>
    </row>
    <row r="20" spans="1:15" x14ac:dyDescent="0.35">
      <c r="A20" s="4" t="s">
        <v>180</v>
      </c>
      <c r="B20" s="21">
        <f>K9</f>
        <v>3107.68519119353</v>
      </c>
      <c r="C20" s="21">
        <f>L9</f>
        <v>3107.68519119353</v>
      </c>
      <c r="D20" t="s">
        <v>4</v>
      </c>
      <c r="E20">
        <v>18</v>
      </c>
      <c r="M20" s="9"/>
      <c r="N20" s="9"/>
      <c r="O20" s="9"/>
    </row>
    <row r="21" spans="1:15" x14ac:dyDescent="0.35">
      <c r="A21" s="4" t="s">
        <v>161</v>
      </c>
      <c r="B21">
        <v>1</v>
      </c>
      <c r="C21">
        <v>1</v>
      </c>
      <c r="D21" t="s">
        <v>162</v>
      </c>
      <c r="E21">
        <v>19</v>
      </c>
      <c r="H21" s="4"/>
    </row>
    <row r="22" spans="1:15" x14ac:dyDescent="0.35">
      <c r="A22" s="4" t="s">
        <v>163</v>
      </c>
      <c r="B22">
        <v>0</v>
      </c>
      <c r="C22">
        <v>0</v>
      </c>
      <c r="D22" t="s">
        <v>165</v>
      </c>
      <c r="E22">
        <v>20</v>
      </c>
      <c r="H22" s="4"/>
    </row>
    <row r="23" spans="1:15" x14ac:dyDescent="0.35">
      <c r="A23" s="4" t="s">
        <v>164</v>
      </c>
      <c r="B23">
        <v>0</v>
      </c>
      <c r="C23">
        <v>0</v>
      </c>
      <c r="D23" t="s">
        <v>166</v>
      </c>
      <c r="E23">
        <v>21</v>
      </c>
    </row>
    <row r="24" spans="1:15" x14ac:dyDescent="0.35">
      <c r="A24" s="4" t="s">
        <v>192</v>
      </c>
      <c r="B24" s="21">
        <v>680.85513830324</v>
      </c>
      <c r="C24">
        <v>347</v>
      </c>
      <c r="D24" t="s">
        <v>192</v>
      </c>
    </row>
    <row r="25" spans="1:15" x14ac:dyDescent="0.35">
      <c r="A25" s="4" t="s">
        <v>193</v>
      </c>
      <c r="B25" s="21">
        <v>280.796645309421</v>
      </c>
      <c r="C25">
        <v>136</v>
      </c>
      <c r="D25" t="s">
        <v>193</v>
      </c>
    </row>
    <row r="26" spans="1:15" x14ac:dyDescent="0.35">
      <c r="A26" s="4" t="s">
        <v>194</v>
      </c>
      <c r="B26">
        <v>10</v>
      </c>
      <c r="C26">
        <v>0</v>
      </c>
      <c r="D26" t="s">
        <v>195</v>
      </c>
    </row>
  </sheetData>
  <mergeCells count="1">
    <mergeCell ref="J3:L3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sheetViews>
    <sheetView workbookViewId="0" tabSelected="1">
      <selection pane="topLeft" activeCell="G14" sqref="G14"/>
    </sheetView>
  </sheetViews>
  <sheetFormatPr baseColWidth="8" defaultColWidth="9" defaultRowHeight="14"/>
  <cols>
    <col min="1" max="1" width="8.81640625" style="2" customWidth="1"/>
    <col min="2" max="2" width="11.1796875" style="2" bestFit="1" customWidth="1"/>
    <col min="3" max="4" width="11.1796875" style="2" customWidth="1"/>
    <col min="5" max="5" width="14.54296875" style="2" bestFit="1" customWidth="1"/>
    <col min="6" max="6" width="14.54296875" style="2" customWidth="1"/>
    <col min="7" max="7" width="10" style="2" bestFit="1" customWidth="1"/>
    <col min="8" max="8" width="5.26953125" style="2" customWidth="1"/>
    <col min="9" max="9" width="15.1796875" style="2" customWidth="1"/>
    <col min="10" max="10" width="13.1796875" style="2" bestFit="1" customWidth="1"/>
    <col min="11" max="14" width="9" style="2" customWidth="1"/>
    <col min="15" max="15" width="30.1796875" style="2" bestFit="1" customWidth="1"/>
    <col min="16" max="18" width="9" style="2" customWidth="1"/>
    <col min="20" max="16384" width="9" style="2" customWidth="1"/>
  </cols>
  <sheetData>
    <row r="1" spans="1:20" x14ac:dyDescent="0.35">
      <c r="A1" s="1" t="s">
        <v>106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167</v>
      </c>
      <c r="G1" s="1" t="s">
        <v>168</v>
      </c>
      <c r="H1" s="1" t="s">
        <v>131</v>
      </c>
      <c r="I1" s="1" t="s">
        <v>173</v>
      </c>
      <c r="J1" s="1" t="s">
        <v>0</v>
      </c>
      <c r="K1" s="1" t="s">
        <v>132</v>
      </c>
      <c r="L1" s="1" t="s">
        <v>1</v>
      </c>
      <c r="M1" s="1"/>
      <c r="N1" s="1"/>
      <c r="T1" s="1"/>
    </row>
    <row r="2" spans="1:20" x14ac:dyDescent="0.35">
      <c r="A2" s="30">
        <v>-5</v>
      </c>
      <c r="B2">
        <v>10</v>
      </c>
      <c r="C2">
        <v>0</v>
      </c>
      <c r="D2">
        <v>10</v>
      </c>
      <c r="E2" s="2">
        <v>0</v>
      </c>
      <c r="F2">
        <v>0</v>
      </c>
      <c r="G2" s="24">
        <v>1</v>
      </c>
      <c r="H2">
        <v>0</v>
      </c>
      <c r="I2" s="2">
        <v>-20.5</v>
      </c>
      <c r="J2" s="2">
        <v>0</v>
      </c>
      <c r="K2" s="2">
        <v>0</v>
      </c>
      <c r="L2" s="33">
        <v>0</v>
      </c>
      <c r="O2" s="2" t="s">
        <v>127</v>
      </c>
      <c r="Q2" s="34">
        <v>0.2</v>
      </c>
      <c r="R2" s="31"/>
    </row>
    <row r="3" spans="1:20" x14ac:dyDescent="0.35">
      <c r="A3" s="30">
        <v>-4.5</v>
      </c>
      <c r="B3">
        <v>0</v>
      </c>
      <c r="C3">
        <v>0</v>
      </c>
      <c r="D3">
        <v>0</v>
      </c>
      <c r="E3" s="2">
        <v>0</v>
      </c>
      <c r="F3">
        <v>0</v>
      </c>
      <c r="G3" s="32">
        <v>1</v>
      </c>
      <c r="H3">
        <v>0</v>
      </c>
      <c r="I3" s="2">
        <v>-39.7</v>
      </c>
      <c r="J3" s="2">
        <v>30</v>
      </c>
      <c r="K3" s="2">
        <v>0</v>
      </c>
      <c r="L3" s="33">
        <v>0</v>
      </c>
      <c r="O3" s="2" t="s">
        <v>128</v>
      </c>
      <c r="Q3" s="34">
        <v>0.2</v>
      </c>
      <c r="R3" s="31"/>
    </row>
    <row r="4" spans="1:20" x14ac:dyDescent="0.35">
      <c r="A4" s="30">
        <v>-4</v>
      </c>
      <c r="B4">
        <v>0</v>
      </c>
      <c r="C4">
        <v>0</v>
      </c>
      <c r="D4">
        <v>0</v>
      </c>
      <c r="E4" s="2">
        <v>0</v>
      </c>
      <c r="F4">
        <v>0</v>
      </c>
      <c r="G4" s="32">
        <v>1</v>
      </c>
      <c r="H4">
        <v>0</v>
      </c>
      <c r="I4" s="2">
        <v>-75.6</v>
      </c>
      <c r="J4" s="2">
        <f>J3+30</f>
        <v>60</v>
      </c>
      <c r="K4" s="2">
        <v>0</v>
      </c>
      <c r="L4" s="33">
        <v>0</v>
      </c>
      <c r="O4" s="2" t="s">
        <v>133</v>
      </c>
      <c r="Q4" s="34">
        <v>0.2</v>
      </c>
      <c r="R4" s="31"/>
    </row>
    <row r="5" spans="1:20" x14ac:dyDescent="0.35">
      <c r="A5" s="30">
        <v>-3.5</v>
      </c>
      <c r="B5">
        <v>0</v>
      </c>
      <c r="C5">
        <v>0</v>
      </c>
      <c r="D5">
        <v>0</v>
      </c>
      <c r="E5" s="2">
        <v>0</v>
      </c>
      <c r="F5">
        <v>0</v>
      </c>
      <c r="G5" s="32">
        <v>1</v>
      </c>
      <c r="H5">
        <v>0</v>
      </c>
      <c r="I5" s="2">
        <v>-105.6</v>
      </c>
      <c r="J5" s="2">
        <f>J4+30</f>
        <v>90</v>
      </c>
      <c r="K5" s="2">
        <v>0</v>
      </c>
      <c r="L5" s="33">
        <v>0</v>
      </c>
      <c r="O5" s="2" t="s">
        <v>129</v>
      </c>
      <c r="Q5" s="34">
        <v>0.05</v>
      </c>
      <c r="R5" s="31"/>
    </row>
    <row r="6" spans="1:20" x14ac:dyDescent="0.35">
      <c r="A6" s="30">
        <v>-3</v>
      </c>
      <c r="B6">
        <v>0</v>
      </c>
      <c r="C6">
        <v>0</v>
      </c>
      <c r="D6">
        <v>0</v>
      </c>
      <c r="E6" s="2">
        <v>0</v>
      </c>
      <c r="F6">
        <v>0</v>
      </c>
      <c r="G6" s="32">
        <v>1</v>
      </c>
      <c r="H6">
        <v>0</v>
      </c>
      <c r="I6" s="2">
        <v>-138.2</v>
      </c>
      <c r="J6" s="2">
        <f>J5+30</f>
        <v>120</v>
      </c>
      <c r="K6" s="2">
        <v>0</v>
      </c>
      <c r="L6" s="29">
        <v>0</v>
      </c>
      <c r="O6" s="2" t="s">
        <v>134</v>
      </c>
      <c r="Q6" s="34">
        <v>0</v>
      </c>
      <c r="R6" s="31"/>
    </row>
    <row r="7" spans="1:20" x14ac:dyDescent="0.35">
      <c r="A7" s="30">
        <v>-2.5</v>
      </c>
      <c r="B7">
        <v>0</v>
      </c>
      <c r="C7">
        <v>0</v>
      </c>
      <c r="D7">
        <v>0</v>
      </c>
      <c r="E7" s="2">
        <v>0</v>
      </c>
      <c r="F7">
        <v>0</v>
      </c>
      <c r="G7" s="32">
        <v>1</v>
      </c>
      <c r="H7">
        <v>0</v>
      </c>
      <c r="I7" s="2">
        <v>-178.4</v>
      </c>
      <c r="J7" s="2">
        <f>J6+30</f>
        <v>150</v>
      </c>
      <c r="K7" s="2">
        <v>0</v>
      </c>
      <c r="L7" s="32">
        <v>0</v>
      </c>
      <c r="O7" s="2" t="s">
        <v>130</v>
      </c>
      <c r="Q7" s="34">
        <v>0</v>
      </c>
      <c r="R7" s="31"/>
    </row>
    <row r="8" spans="1:20" x14ac:dyDescent="0.35">
      <c r="A8" s="30">
        <v>-2</v>
      </c>
      <c r="B8">
        <v>0</v>
      </c>
      <c r="C8">
        <v>0</v>
      </c>
      <c r="D8">
        <v>0</v>
      </c>
      <c r="E8" s="2">
        <v>0</v>
      </c>
      <c r="F8">
        <v>0</v>
      </c>
      <c r="G8" s="32">
        <v>1</v>
      </c>
      <c r="H8">
        <v>0</v>
      </c>
      <c r="I8" s="2">
        <v>-205</v>
      </c>
      <c r="J8" s="2">
        <f>J7+30</f>
        <v>180</v>
      </c>
      <c r="K8" s="2">
        <v>0</v>
      </c>
      <c r="L8" s="29">
        <v>0</v>
      </c>
      <c r="Q8" s="34">
        <v>0</v>
      </c>
      <c r="R8" s="31"/>
    </row>
    <row r="9" spans="1:20" x14ac:dyDescent="0.35">
      <c r="A9" s="30">
        <v>-1.5</v>
      </c>
      <c r="B9">
        <v>0</v>
      </c>
      <c r="C9">
        <v>0</v>
      </c>
      <c r="D9">
        <v>0</v>
      </c>
      <c r="E9" s="2">
        <v>0</v>
      </c>
      <c r="F9">
        <v>0</v>
      </c>
      <c r="G9" s="32">
        <v>1</v>
      </c>
      <c r="H9">
        <v>0</v>
      </c>
      <c r="I9" s="2">
        <v>-183.9</v>
      </c>
      <c r="J9" s="2">
        <f>J8+30</f>
        <v>210</v>
      </c>
      <c r="K9" s="2">
        <v>0</v>
      </c>
      <c r="L9" s="29">
        <v>0</v>
      </c>
      <c r="Q9" s="34">
        <v>0</v>
      </c>
      <c r="R9" s="31"/>
    </row>
    <row r="10" spans="1:20" x14ac:dyDescent="0.35">
      <c r="A10" s="30">
        <v>-1</v>
      </c>
      <c r="B10">
        <v>0</v>
      </c>
      <c r="C10">
        <v>0</v>
      </c>
      <c r="D10">
        <v>0</v>
      </c>
      <c r="E10" s="2">
        <v>0</v>
      </c>
      <c r="F10">
        <v>7.6</v>
      </c>
      <c r="G10" s="29">
        <v>0</v>
      </c>
      <c r="H10">
        <v>0</v>
      </c>
      <c r="I10" s="2">
        <v>-196.1</v>
      </c>
      <c r="J10" s="2">
        <f>J9+30</f>
        <v>240</v>
      </c>
      <c r="K10" s="2">
        <v>0</v>
      </c>
      <c r="L10" s="29">
        <v>0</v>
      </c>
      <c r="Q10" s="34">
        <v>0</v>
      </c>
      <c r="R10" s="31"/>
    </row>
    <row r="11" spans="1:20" x14ac:dyDescent="0.35">
      <c r="A11" s="30">
        <v>-0.5</v>
      </c>
      <c r="B11">
        <v>0</v>
      </c>
      <c r="C11">
        <v>0</v>
      </c>
      <c r="D11">
        <v>0</v>
      </c>
      <c r="E11" s="2">
        <v>0</v>
      </c>
      <c r="F11">
        <v>53.1</v>
      </c>
      <c r="G11" s="29">
        <v>0</v>
      </c>
      <c r="H11">
        <v>0</v>
      </c>
      <c r="I11" s="2">
        <v>-220.6</v>
      </c>
      <c r="J11" s="2">
        <f>J10+30</f>
        <v>270</v>
      </c>
      <c r="K11" s="2">
        <v>0</v>
      </c>
      <c r="L11" s="29">
        <v>0</v>
      </c>
      <c r="Q11" s="34">
        <v>0</v>
      </c>
      <c r="R11" s="31"/>
    </row>
    <row r="12" spans="1:20" x14ac:dyDescent="0.35">
      <c r="A12" s="30">
        <v>0</v>
      </c>
      <c r="B12">
        <v>0</v>
      </c>
      <c r="C12">
        <v>0</v>
      </c>
      <c r="D12">
        <v>0</v>
      </c>
      <c r="E12" s="2">
        <v>0</v>
      </c>
      <c r="F12">
        <v>20.5</v>
      </c>
      <c r="G12" s="30">
        <v>0</v>
      </c>
      <c r="H12">
        <v>0</v>
      </c>
      <c r="I12" s="2">
        <v>-199.2</v>
      </c>
      <c r="J12" s="2">
        <f>J11+30</f>
        <v>300</v>
      </c>
      <c r="K12" s="2">
        <v>0</v>
      </c>
      <c r="L12" s="30">
        <v>0</v>
      </c>
      <c r="Q12" s="34">
        <v>0</v>
      </c>
      <c r="R12" s="31"/>
    </row>
    <row r="13" spans="1:20" x14ac:dyDescent="0.35">
      <c r="A13" s="30"/>
      <c r="B13"/>
      <c r="C13"/>
      <c r="D13"/>
      <c r="F13"/>
      <c r="G13" s="30"/>
      <c r="H13"/>
      <c r="I13"/>
      <c r="L13" s="30"/>
      <c r="Q13"/>
    </row>
    <row r="14" spans="1:20" x14ac:dyDescent="0.35">
      <c r="A14" s="30"/>
      <c r="B14"/>
      <c r="C14"/>
      <c r="D14"/>
      <c r="F14"/>
      <c r="G14" s="30"/>
      <c r="H14"/>
      <c r="I14"/>
      <c r="L14" s="30"/>
      <c r="Q14"/>
    </row>
    <row r="15" spans="1:20" x14ac:dyDescent="0.35">
      <c r="A15" s="30"/>
      <c r="B15"/>
      <c r="C15"/>
      <c r="D15"/>
      <c r="F15"/>
      <c r="G15" s="30"/>
      <c r="H15"/>
      <c r="I15"/>
      <c r="L15" s="30"/>
      <c r="Q15"/>
    </row>
    <row r="16" spans="1:20" x14ac:dyDescent="0.35">
      <c r="A16" s="30"/>
      <c r="B16"/>
      <c r="C16"/>
      <c r="D16"/>
      <c r="F16"/>
      <c r="G16" s="30"/>
      <c r="H16"/>
      <c r="I16"/>
      <c r="L16" s="30"/>
      <c r="Q16"/>
    </row>
    <row r="17" spans="1:17" x14ac:dyDescent="0.35">
      <c r="A17" s="30"/>
      <c r="B17"/>
      <c r="C17"/>
      <c r="D17"/>
      <c r="F17"/>
      <c r="G17" s="30"/>
      <c r="H17"/>
      <c r="I17"/>
      <c r="L17" s="30"/>
      <c r="Q17"/>
    </row>
    <row r="18" spans="1:17" x14ac:dyDescent="0.35">
      <c r="A18" s="30"/>
      <c r="B18"/>
      <c r="C18"/>
      <c r="D18"/>
      <c r="F18"/>
      <c r="G18" s="30"/>
      <c r="H18"/>
      <c r="I18"/>
      <c r="L18" s="30"/>
      <c r="Q18"/>
    </row>
    <row r="19" spans="1:17" x14ac:dyDescent="0.35">
      <c r="A19" s="30"/>
      <c r="B19"/>
      <c r="C19"/>
      <c r="D19"/>
      <c r="F19"/>
      <c r="G19" s="30"/>
      <c r="H19"/>
      <c r="I19"/>
      <c r="L19" s="30"/>
      <c r="Q19"/>
    </row>
    <row r="20" spans="1:17" x14ac:dyDescent="0.35">
      <c r="A20" s="30"/>
      <c r="B20"/>
      <c r="C20"/>
      <c r="D20"/>
      <c r="F20"/>
      <c r="G20" s="30"/>
      <c r="H20"/>
      <c r="I20"/>
      <c r="L20" s="30"/>
      <c r="Q20"/>
    </row>
    <row r="21" spans="1:17" x14ac:dyDescent="0.35">
      <c r="A21" s="30"/>
      <c r="B21"/>
      <c r="C21"/>
      <c r="D21"/>
      <c r="F21"/>
      <c r="G21" s="30"/>
      <c r="H21"/>
      <c r="I21"/>
      <c r="L21" s="30"/>
      <c r="Q21"/>
    </row>
    <row r="22" spans="1:17" x14ac:dyDescent="0.35">
      <c r="A22" s="18"/>
      <c r="B22"/>
      <c r="C22"/>
      <c r="D22"/>
      <c r="E22"/>
      <c r="F22"/>
      <c r="G22"/>
      <c r="H22"/>
      <c r="I22"/>
      <c r="Q22"/>
    </row>
    <row r="23" spans="1:17" x14ac:dyDescent="0.35">
      <c r="A23" s="18"/>
      <c r="B23"/>
      <c r="C23"/>
      <c r="D23"/>
      <c r="E23"/>
      <c r="F23"/>
      <c r="G23"/>
      <c r="H23"/>
      <c r="I23"/>
      <c r="Q23"/>
    </row>
    <row r="24" spans="1:17" x14ac:dyDescent="0.35">
      <c r="A24" s="18"/>
      <c r="B24"/>
      <c r="C24"/>
      <c r="D24"/>
      <c r="E24"/>
      <c r="F24"/>
      <c r="G24"/>
      <c r="H24"/>
      <c r="I24"/>
      <c r="Q24"/>
    </row>
    <row r="25" spans="1:17" x14ac:dyDescent="0.35">
      <c r="A25" s="18"/>
      <c r="B25"/>
      <c r="C25"/>
      <c r="D25"/>
      <c r="E25"/>
      <c r="F25"/>
      <c r="G25"/>
      <c r="H25"/>
      <c r="I25"/>
      <c r="Q25"/>
    </row>
    <row r="26" spans="1:17" x14ac:dyDescent="0.35">
      <c r="A26" s="18"/>
      <c r="B26"/>
      <c r="C26"/>
      <c r="D26"/>
      <c r="E26"/>
      <c r="F26"/>
      <c r="G26"/>
      <c r="H26"/>
      <c r="I26"/>
      <c r="Q26"/>
    </row>
    <row r="27" spans="1:17" x14ac:dyDescent="0.35">
      <c r="A27" s="18"/>
      <c r="B27"/>
      <c r="C27"/>
      <c r="D27"/>
      <c r="E27"/>
      <c r="F27"/>
      <c r="G27"/>
      <c r="H27"/>
      <c r="I27"/>
      <c r="Q27"/>
    </row>
    <row r="28" spans="1:17" x14ac:dyDescent="0.35">
      <c r="A28" s="18"/>
      <c r="B28"/>
      <c r="C28"/>
      <c r="D28"/>
      <c r="E28"/>
      <c r="F28"/>
      <c r="G28"/>
      <c r="H28"/>
      <c r="I28"/>
      <c r="Q28"/>
    </row>
    <row r="29" spans="1:17" x14ac:dyDescent="0.35">
      <c r="A29" s="18"/>
      <c r="B29"/>
      <c r="C29"/>
      <c r="D29"/>
      <c r="E29"/>
      <c r="F29"/>
      <c r="G29"/>
      <c r="H29"/>
      <c r="I29"/>
      <c r="Q29"/>
    </row>
    <row r="30" spans="1:17" x14ac:dyDescent="0.35">
      <c r="A30" s="18"/>
      <c r="B30"/>
      <c r="C30"/>
      <c r="D30"/>
      <c r="E30"/>
      <c r="F30"/>
      <c r="G30"/>
      <c r="H30"/>
      <c r="I30"/>
      <c r="Q30"/>
    </row>
    <row r="31" spans="1:17" x14ac:dyDescent="0.35">
      <c r="A31" s="18"/>
      <c r="B31"/>
      <c r="C31"/>
      <c r="D31"/>
      <c r="E31"/>
      <c r="F31"/>
      <c r="G31"/>
      <c r="H31"/>
      <c r="I31"/>
      <c r="Q31"/>
    </row>
    <row r="32" spans="1:17" x14ac:dyDescent="0.35">
      <c r="A32" s="18"/>
      <c r="B32"/>
      <c r="C32"/>
      <c r="D32"/>
      <c r="E32"/>
      <c r="F32"/>
      <c r="G32"/>
      <c r="H32"/>
      <c r="I32"/>
      <c r="Q32"/>
    </row>
    <row r="33" spans="1:17" x14ac:dyDescent="0.35">
      <c r="A33" s="18"/>
      <c r="B33"/>
      <c r="C33"/>
      <c r="D33"/>
      <c r="E33"/>
      <c r="F33"/>
      <c r="G33"/>
      <c r="H33"/>
      <c r="I33"/>
      <c r="Q33"/>
    </row>
    <row r="34" spans="1:17" x14ac:dyDescent="0.35">
      <c r="A34" s="18"/>
      <c r="B34"/>
      <c r="C34"/>
      <c r="D34"/>
      <c r="E34"/>
      <c r="F34"/>
      <c r="G34"/>
      <c r="H34"/>
      <c r="I34"/>
      <c r="Q34"/>
    </row>
    <row r="35" spans="1:17" x14ac:dyDescent="0.35">
      <c r="A35" s="18"/>
      <c r="B35"/>
      <c r="C35"/>
      <c r="D35"/>
      <c r="E35"/>
      <c r="F35"/>
      <c r="G35"/>
      <c r="H35"/>
      <c r="I35"/>
      <c r="Q35"/>
    </row>
    <row r="36" spans="1:17" x14ac:dyDescent="0.35">
      <c r="A36" s="18"/>
      <c r="B36"/>
      <c r="C36"/>
      <c r="D36"/>
      <c r="E36"/>
      <c r="F36"/>
      <c r="G36"/>
      <c r="H36"/>
      <c r="I36"/>
      <c r="Q36"/>
    </row>
    <row r="37" spans="1:17" x14ac:dyDescent="0.35">
      <c r="A37" s="18"/>
      <c r="B37"/>
      <c r="C37"/>
      <c r="D37"/>
      <c r="E37"/>
      <c r="F37"/>
      <c r="G37"/>
      <c r="H37"/>
      <c r="I37"/>
      <c r="Q37"/>
    </row>
    <row r="38" spans="1:17" x14ac:dyDescent="0.35">
      <c r="A38" s="18"/>
      <c r="B38"/>
      <c r="C38"/>
      <c r="D38"/>
      <c r="E38"/>
      <c r="F38"/>
      <c r="G38"/>
      <c r="H38"/>
      <c r="I38"/>
      <c r="Q38"/>
    </row>
    <row r="39" spans="1:17" x14ac:dyDescent="0.35">
      <c r="A39" s="18"/>
      <c r="B39"/>
      <c r="C39"/>
      <c r="D39"/>
      <c r="E39"/>
      <c r="F39"/>
      <c r="G39"/>
      <c r="H39"/>
      <c r="I39"/>
      <c r="Q39"/>
    </row>
    <row r="40" spans="1:17" x14ac:dyDescent="0.35">
      <c r="A40" s="18"/>
      <c r="B40"/>
      <c r="C40"/>
      <c r="D40"/>
      <c r="E40"/>
      <c r="F40"/>
      <c r="G40"/>
      <c r="H40"/>
      <c r="I40"/>
      <c r="Q40"/>
    </row>
    <row r="41" spans="1:17" x14ac:dyDescent="0.35">
      <c r="A41" s="18"/>
      <c r="B41"/>
      <c r="C41"/>
      <c r="D41"/>
      <c r="E41"/>
      <c r="F41"/>
      <c r="G41"/>
      <c r="H41"/>
      <c r="I41"/>
      <c r="Q41"/>
    </row>
    <row r="42" spans="1:17" x14ac:dyDescent="0.35">
      <c r="A42" s="18"/>
      <c r="B42"/>
      <c r="C42"/>
      <c r="D42"/>
      <c r="E42"/>
      <c r="F42"/>
      <c r="G42"/>
      <c r="H42"/>
      <c r="I42"/>
    </row>
    <row r="43" spans="1:17" x14ac:dyDescent="0.35">
      <c r="A43" s="18"/>
      <c r="B43"/>
      <c r="C43"/>
      <c r="D43"/>
      <c r="E43"/>
      <c r="F43"/>
      <c r="G43"/>
      <c r="H43"/>
      <c r="I43"/>
    </row>
    <row r="44" spans="1:17" x14ac:dyDescent="0.35">
      <c r="A44" s="18"/>
      <c r="B44"/>
      <c r="C44"/>
      <c r="D44"/>
      <c r="E44"/>
      <c r="F44"/>
      <c r="G44"/>
      <c r="H44"/>
      <c r="I44"/>
    </row>
    <row r="45" spans="1:17" x14ac:dyDescent="0.35">
      <c r="A45" s="18"/>
      <c r="B45"/>
      <c r="C45"/>
      <c r="D45"/>
      <c r="E45"/>
      <c r="F45"/>
      <c r="G45"/>
      <c r="H45"/>
      <c r="I45"/>
    </row>
    <row r="46" spans="1:17" x14ac:dyDescent="0.35">
      <c r="A46" s="18"/>
      <c r="B46"/>
      <c r="C46"/>
      <c r="D46"/>
      <c r="E46"/>
      <c r="F46"/>
      <c r="G46"/>
      <c r="H46"/>
      <c r="I46"/>
    </row>
    <row r="47" spans="1:17" x14ac:dyDescent="0.35">
      <c r="A47" s="18"/>
      <c r="B47"/>
      <c r="C47"/>
      <c r="D47"/>
      <c r="E47"/>
      <c r="F47"/>
      <c r="G47"/>
      <c r="H47"/>
      <c r="I47"/>
    </row>
    <row r="48" spans="1:17" x14ac:dyDescent="0.35">
      <c r="A48" s="18"/>
      <c r="B48"/>
      <c r="C48"/>
      <c r="D48"/>
      <c r="E48"/>
      <c r="F48"/>
      <c r="G48"/>
      <c r="H48"/>
      <c r="I48"/>
    </row>
    <row r="49" spans="1:9" x14ac:dyDescent="0.35">
      <c r="A49" s="18"/>
      <c r="B49"/>
      <c r="C49"/>
      <c r="D49"/>
      <c r="E49"/>
      <c r="F49"/>
      <c r="G49"/>
      <c r="H49"/>
      <c r="I49"/>
    </row>
    <row r="50" spans="1:9" x14ac:dyDescent="0.35">
      <c r="A50" s="18"/>
      <c r="B50"/>
      <c r="C50"/>
      <c r="D50"/>
      <c r="E50"/>
      <c r="F50"/>
      <c r="G50"/>
      <c r="H50"/>
      <c r="I50"/>
    </row>
    <row r="51" spans="1:9" x14ac:dyDescent="0.35">
      <c r="A51" s="18"/>
      <c r="B51"/>
      <c r="C51"/>
      <c r="D51"/>
      <c r="E51"/>
      <c r="F51"/>
      <c r="G51"/>
      <c r="H51"/>
      <c r="I51"/>
    </row>
    <row r="52" spans="1:9" x14ac:dyDescent="0.35">
      <c r="A52" s="18"/>
      <c r="B52"/>
      <c r="C52"/>
      <c r="D52"/>
      <c r="E52"/>
      <c r="F52"/>
      <c r="G52"/>
      <c r="H52"/>
      <c r="I52"/>
    </row>
    <row r="53" spans="1:9" x14ac:dyDescent="0.35">
      <c r="A53" s="18"/>
      <c r="B53"/>
      <c r="C53"/>
      <c r="D53"/>
      <c r="E53"/>
      <c r="F53"/>
      <c r="G53"/>
      <c r="H53"/>
      <c r="I53"/>
    </row>
    <row r="54" spans="1:9" x14ac:dyDescent="0.35">
      <c r="A54" s="18"/>
      <c r="B54"/>
      <c r="C54"/>
      <c r="D54"/>
      <c r="E54"/>
      <c r="F54"/>
      <c r="G54"/>
      <c r="H54"/>
      <c r="I54"/>
    </row>
    <row r="55" spans="1:9" x14ac:dyDescent="0.35">
      <c r="A55" s="18"/>
      <c r="B55"/>
      <c r="C55"/>
      <c r="D55"/>
      <c r="E55"/>
      <c r="F55"/>
      <c r="G55"/>
      <c r="H55"/>
      <c r="I55"/>
    </row>
    <row r="56" spans="1:9" x14ac:dyDescent="0.35">
      <c r="A56" s="18"/>
      <c r="B56"/>
      <c r="C56"/>
      <c r="D56"/>
      <c r="E56"/>
      <c r="F56"/>
      <c r="G56"/>
      <c r="H56"/>
      <c r="I56"/>
    </row>
    <row r="57" spans="1:9" x14ac:dyDescent="0.35">
      <c r="A57" s="18"/>
      <c r="B57"/>
      <c r="C57"/>
      <c r="D57"/>
      <c r="E57"/>
      <c r="F57"/>
      <c r="G57"/>
      <c r="H57"/>
      <c r="I57"/>
    </row>
    <row r="58" spans="1:9" x14ac:dyDescent="0.35">
      <c r="A58" s="18"/>
      <c r="B58"/>
      <c r="C58"/>
      <c r="D58"/>
      <c r="E58"/>
      <c r="F58"/>
      <c r="G58"/>
      <c r="H58"/>
      <c r="I58"/>
    </row>
    <row r="59" spans="1:9" x14ac:dyDescent="0.35">
      <c r="A59" s="18"/>
      <c r="B59"/>
      <c r="C59"/>
      <c r="D59"/>
      <c r="E59"/>
      <c r="F59"/>
      <c r="G59"/>
      <c r="H59"/>
      <c r="I59"/>
    </row>
    <row r="60" spans="1:9" x14ac:dyDescent="0.35">
      <c r="A60" s="18"/>
      <c r="B60"/>
      <c r="C60"/>
      <c r="D60"/>
      <c r="E60"/>
      <c r="F60"/>
      <c r="G60"/>
      <c r="H60"/>
      <c r="I60"/>
    </row>
    <row r="61" spans="1:9" x14ac:dyDescent="0.35">
      <c r="A61" s="18"/>
      <c r="B61"/>
      <c r="C61"/>
      <c r="D61"/>
      <c r="E61"/>
      <c r="F61"/>
      <c r="G61"/>
      <c r="H61"/>
      <c r="I61"/>
    </row>
    <row r="62" spans="1:9" x14ac:dyDescent="0.35">
      <c r="A62" s="18"/>
      <c r="B62"/>
      <c r="C62"/>
      <c r="D62"/>
      <c r="E62"/>
      <c r="F62"/>
      <c r="G62"/>
      <c r="H62"/>
      <c r="I62"/>
    </row>
    <row r="63" spans="1:9" x14ac:dyDescent="0.35">
      <c r="A63" s="18"/>
      <c r="B63"/>
      <c r="C63"/>
      <c r="D63"/>
      <c r="E63"/>
      <c r="F63"/>
      <c r="G63"/>
      <c r="H63"/>
      <c r="I63"/>
    </row>
    <row r="64" spans="1:9" x14ac:dyDescent="0.35">
      <c r="A64" s="18"/>
      <c r="B64"/>
      <c r="C64"/>
      <c r="D64"/>
      <c r="E64"/>
      <c r="F64"/>
      <c r="G64"/>
      <c r="H64"/>
      <c r="I64"/>
    </row>
    <row r="65" spans="1:9" x14ac:dyDescent="0.35">
      <c r="A65" s="18"/>
      <c r="B65"/>
      <c r="C65"/>
      <c r="D65"/>
      <c r="E65"/>
      <c r="F65"/>
      <c r="G65"/>
      <c r="H65"/>
      <c r="I65"/>
    </row>
    <row r="66" spans="1:9" x14ac:dyDescent="0.35">
      <c r="A66" s="18"/>
      <c r="B66"/>
      <c r="C66"/>
      <c r="D66"/>
      <c r="E66"/>
      <c r="F66"/>
      <c r="G66"/>
      <c r="H66"/>
      <c r="I66"/>
    </row>
    <row r="67" spans="1:9" x14ac:dyDescent="0.35">
      <c r="A67" s="18"/>
      <c r="B67"/>
      <c r="C67"/>
      <c r="D67"/>
      <c r="E67"/>
      <c r="F67"/>
      <c r="G67"/>
      <c r="H67"/>
      <c r="I67"/>
    </row>
    <row r="68" spans="1:9" x14ac:dyDescent="0.35">
      <c r="A68" s="18"/>
      <c r="B68"/>
      <c r="C68"/>
      <c r="D68"/>
      <c r="E68"/>
      <c r="F68"/>
      <c r="G68"/>
      <c r="H68"/>
      <c r="I68"/>
    </row>
    <row r="69" spans="1:9" x14ac:dyDescent="0.35">
      <c r="A69" s="18"/>
      <c r="B69"/>
      <c r="C69"/>
      <c r="D69"/>
      <c r="E69"/>
      <c r="F69"/>
      <c r="G69"/>
      <c r="H69"/>
      <c r="I69"/>
    </row>
    <row r="70" spans="1:9" x14ac:dyDescent="0.35">
      <c r="A70" s="18"/>
      <c r="B70"/>
      <c r="C70"/>
      <c r="D70"/>
      <c r="E70"/>
      <c r="F70"/>
      <c r="G70"/>
      <c r="H70"/>
      <c r="I70"/>
    </row>
    <row r="71" spans="1:9" x14ac:dyDescent="0.35">
      <c r="A71" s="18"/>
      <c r="B71"/>
      <c r="C71"/>
      <c r="D71"/>
      <c r="E71"/>
      <c r="F71"/>
      <c r="G71"/>
      <c r="H71"/>
      <c r="I71"/>
    </row>
    <row r="72" spans="1:9" x14ac:dyDescent="0.35">
      <c r="A72" s="18"/>
      <c r="B72"/>
      <c r="C72"/>
      <c r="D72"/>
      <c r="E72"/>
      <c r="F72"/>
      <c r="G72"/>
      <c r="H72"/>
      <c r="I72"/>
    </row>
    <row r="73" spans="1:9" x14ac:dyDescent="0.35">
      <c r="A73" s="18"/>
      <c r="B73"/>
      <c r="C73"/>
      <c r="D73"/>
      <c r="E73"/>
      <c r="F73"/>
      <c r="G73"/>
      <c r="H73"/>
      <c r="I73"/>
    </row>
    <row r="74" spans="1:9" x14ac:dyDescent="0.35">
      <c r="A74" s="18"/>
      <c r="B74"/>
      <c r="C74"/>
      <c r="D74"/>
      <c r="E74"/>
      <c r="F74"/>
      <c r="G74"/>
      <c r="H74"/>
      <c r="I74"/>
    </row>
    <row r="75" spans="1:9" x14ac:dyDescent="0.35">
      <c r="A75" s="18"/>
      <c r="B75"/>
      <c r="C75"/>
      <c r="D75"/>
      <c r="E75"/>
      <c r="F75"/>
      <c r="G75"/>
      <c r="H75"/>
      <c r="I75"/>
    </row>
    <row r="76" spans="1:9" x14ac:dyDescent="0.35">
      <c r="A76" s="18"/>
      <c r="B76"/>
      <c r="C76"/>
      <c r="D76"/>
      <c r="E76"/>
      <c r="F76"/>
      <c r="G76"/>
      <c r="H76"/>
      <c r="I76"/>
    </row>
    <row r="77" spans="1:9" x14ac:dyDescent="0.35">
      <c r="A77" s="18"/>
      <c r="B77"/>
      <c r="C77"/>
      <c r="D77"/>
      <c r="E77"/>
      <c r="F77"/>
      <c r="G77"/>
      <c r="H77"/>
      <c r="I77"/>
    </row>
    <row r="78" spans="1:9" x14ac:dyDescent="0.35">
      <c r="A78" s="18"/>
      <c r="B78"/>
      <c r="C78"/>
      <c r="D78"/>
      <c r="E78"/>
      <c r="F78"/>
      <c r="G78"/>
      <c r="H78"/>
      <c r="I78"/>
    </row>
    <row r="79" spans="1:9" x14ac:dyDescent="0.35">
      <c r="A79" s="18"/>
      <c r="B79"/>
      <c r="C79"/>
      <c r="D79"/>
      <c r="E79"/>
      <c r="F79"/>
      <c r="G79"/>
      <c r="H79"/>
      <c r="I79"/>
    </row>
    <row r="80" spans="1:9" x14ac:dyDescent="0.35">
      <c r="A80" s="18"/>
      <c r="B80"/>
      <c r="C80"/>
      <c r="D80"/>
      <c r="E80"/>
      <c r="F80"/>
      <c r="G80"/>
      <c r="H80"/>
      <c r="I80"/>
    </row>
    <row r="81" spans="1:9" x14ac:dyDescent="0.35">
      <c r="A81" s="18"/>
      <c r="B81"/>
      <c r="C81"/>
      <c r="D81"/>
      <c r="E81"/>
      <c r="F81"/>
      <c r="G81"/>
      <c r="H81"/>
      <c r="I81"/>
    </row>
    <row r="82" spans="1:9" x14ac:dyDescent="0.35">
      <c r="A82" s="18"/>
      <c r="B82"/>
      <c r="C82"/>
      <c r="D82"/>
      <c r="E82"/>
      <c r="F82"/>
      <c r="G82"/>
      <c r="H82"/>
      <c r="I82"/>
    </row>
    <row r="83" spans="1:9" x14ac:dyDescent="0.35">
      <c r="A83" s="18"/>
      <c r="B83"/>
      <c r="C83"/>
      <c r="D83"/>
      <c r="E83"/>
      <c r="F83"/>
      <c r="G83"/>
      <c r="H83"/>
      <c r="I83"/>
    </row>
    <row r="84" spans="1:9" x14ac:dyDescent="0.35">
      <c r="A84" s="18"/>
      <c r="B84"/>
      <c r="C84"/>
      <c r="D84"/>
      <c r="E84"/>
      <c r="F84"/>
      <c r="G84"/>
      <c r="H84"/>
      <c r="I84"/>
    </row>
    <row r="85" spans="1:9" x14ac:dyDescent="0.35">
      <c r="A85" s="18"/>
      <c r="B85"/>
      <c r="C85"/>
      <c r="D85"/>
      <c r="E85"/>
      <c r="F85"/>
      <c r="G85"/>
      <c r="H85"/>
      <c r="I85"/>
    </row>
    <row r="86" spans="1:9" x14ac:dyDescent="0.35">
      <c r="A86" s="18"/>
      <c r="B86"/>
      <c r="C86"/>
      <c r="D86"/>
      <c r="E86"/>
      <c r="F86"/>
      <c r="G86"/>
      <c r="H86"/>
      <c r="I86"/>
    </row>
    <row r="87" spans="1:9" x14ac:dyDescent="0.35">
      <c r="A87" s="18"/>
      <c r="B87"/>
      <c r="C87"/>
      <c r="D87"/>
      <c r="E87"/>
      <c r="F87"/>
      <c r="G87"/>
      <c r="H87"/>
      <c r="I87"/>
    </row>
    <row r="88" spans="1:9" x14ac:dyDescent="0.35">
      <c r="A88" s="18"/>
      <c r="B88"/>
      <c r="C88"/>
      <c r="D88"/>
      <c r="E88"/>
      <c r="F88"/>
      <c r="G88"/>
      <c r="H88"/>
      <c r="I88"/>
    </row>
    <row r="89" spans="1:9" x14ac:dyDescent="0.35">
      <c r="A89" s="18"/>
      <c r="B89"/>
      <c r="C89"/>
      <c r="D89"/>
      <c r="E89"/>
      <c r="F89"/>
      <c r="G89"/>
      <c r="H89"/>
      <c r="I89"/>
    </row>
    <row r="90" spans="1:9" x14ac:dyDescent="0.35">
      <c r="A90" s="18"/>
      <c r="B90"/>
      <c r="C90"/>
      <c r="D90"/>
      <c r="E90"/>
      <c r="F90"/>
      <c r="G90"/>
      <c r="H90"/>
      <c r="I90"/>
    </row>
    <row r="91" spans="1:9" x14ac:dyDescent="0.35">
      <c r="A91" s="18"/>
      <c r="B91"/>
      <c r="C91"/>
      <c r="D91"/>
      <c r="E91"/>
      <c r="F91"/>
      <c r="G91"/>
      <c r="H91"/>
      <c r="I91"/>
    </row>
    <row r="92" spans="1:9" x14ac:dyDescent="0.35">
      <c r="A92" s="18"/>
      <c r="B92"/>
      <c r="C92"/>
      <c r="D92"/>
      <c r="E92"/>
      <c r="F92"/>
      <c r="G92"/>
      <c r="H92"/>
      <c r="I92"/>
    </row>
    <row r="93" spans="1:9" x14ac:dyDescent="0.35">
      <c r="A93" s="18"/>
      <c r="B93"/>
      <c r="C93"/>
      <c r="D93"/>
      <c r="E93"/>
      <c r="F93"/>
      <c r="G93"/>
      <c r="H93"/>
      <c r="I93"/>
    </row>
    <row r="94" spans="1:9" x14ac:dyDescent="0.35">
      <c r="A94" s="18"/>
      <c r="B94"/>
      <c r="C94"/>
      <c r="D94"/>
      <c r="E94"/>
      <c r="F94"/>
      <c r="G94"/>
      <c r="H94"/>
      <c r="I94"/>
    </row>
    <row r="95" spans="1:9" x14ac:dyDescent="0.35">
      <c r="A95" s="18"/>
      <c r="B95"/>
      <c r="C95"/>
      <c r="D95"/>
      <c r="E95"/>
      <c r="F95"/>
      <c r="G95"/>
      <c r="H95"/>
      <c r="I95"/>
    </row>
    <row r="96" spans="1:9" x14ac:dyDescent="0.35">
      <c r="A96" s="18"/>
      <c r="B96"/>
      <c r="C96"/>
      <c r="D96"/>
      <c r="E96"/>
      <c r="F96"/>
      <c r="G96"/>
      <c r="H96"/>
      <c r="I96"/>
    </row>
    <row r="97" spans="1:9" x14ac:dyDescent="0.35">
      <c r="A97" s="18"/>
      <c r="B97"/>
      <c r="C97"/>
      <c r="D97"/>
      <c r="E97"/>
      <c r="F97"/>
      <c r="G97"/>
      <c r="H97"/>
      <c r="I97"/>
    </row>
    <row r="98" spans="1:9" x14ac:dyDescent="0.35">
      <c r="A98" s="18"/>
      <c r="B98"/>
      <c r="C98"/>
      <c r="D98"/>
      <c r="E98"/>
      <c r="F98"/>
      <c r="G98"/>
      <c r="H98"/>
      <c r="I98"/>
    </row>
    <row r="99" spans="1:9" x14ac:dyDescent="0.35">
      <c r="A99" s="18"/>
      <c r="B99"/>
      <c r="C99"/>
      <c r="D99"/>
      <c r="E99"/>
      <c r="F99"/>
      <c r="G99"/>
      <c r="H99"/>
      <c r="I99"/>
    </row>
    <row r="100" spans="1:9" x14ac:dyDescent="0.35">
      <c r="A100" s="18"/>
      <c r="B100"/>
      <c r="C100"/>
      <c r="D100"/>
      <c r="E100"/>
      <c r="F100"/>
      <c r="G100"/>
      <c r="H100"/>
      <c r="I100"/>
    </row>
    <row r="101" spans="1:9" x14ac:dyDescent="0.35">
      <c r="A101" s="18"/>
      <c r="B101"/>
      <c r="C101"/>
      <c r="D101"/>
      <c r="E101"/>
      <c r="F101"/>
      <c r="G101"/>
      <c r="H101"/>
      <c r="I101"/>
    </row>
    <row r="102" spans="1:9" x14ac:dyDescent="0.35">
      <c r="A102" s="18"/>
      <c r="B102"/>
      <c r="C102"/>
      <c r="D102"/>
      <c r="E102"/>
      <c r="F102"/>
      <c r="G102"/>
      <c r="H102"/>
      <c r="I102"/>
    </row>
    <row r="103" spans="1:9" x14ac:dyDescent="0.35">
      <c r="A103" s="18"/>
      <c r="B103"/>
      <c r="C103"/>
      <c r="D103"/>
      <c r="E103"/>
      <c r="F103"/>
      <c r="G103"/>
      <c r="H103"/>
      <c r="I103"/>
    </row>
    <row r="104" spans="1:9" x14ac:dyDescent="0.35">
      <c r="A104" s="18"/>
      <c r="B104"/>
      <c r="C104"/>
      <c r="D104"/>
      <c r="E104"/>
      <c r="F104"/>
      <c r="G104"/>
      <c r="H104"/>
      <c r="I104"/>
    </row>
    <row r="105" spans="1:9" x14ac:dyDescent="0.35">
      <c r="A105" s="18"/>
      <c r="B105"/>
      <c r="C105"/>
      <c r="D105"/>
      <c r="E105"/>
      <c r="F105"/>
      <c r="G105"/>
      <c r="H105"/>
      <c r="I105"/>
    </row>
    <row r="106" spans="1:9" x14ac:dyDescent="0.35">
      <c r="A106" s="18"/>
      <c r="B106"/>
      <c r="C106"/>
      <c r="D106"/>
      <c r="E106"/>
      <c r="F106"/>
      <c r="G106"/>
      <c r="H106"/>
      <c r="I106"/>
    </row>
    <row r="107" spans="1:9" x14ac:dyDescent="0.35">
      <c r="A107" s="18"/>
      <c r="B107"/>
      <c r="C107"/>
      <c r="D107"/>
      <c r="E107"/>
      <c r="F107"/>
      <c r="G107"/>
      <c r="H107"/>
      <c r="I107"/>
    </row>
    <row r="108" spans="1:9" x14ac:dyDescent="0.35">
      <c r="A108" s="18"/>
      <c r="B108"/>
      <c r="C108"/>
      <c r="D108"/>
      <c r="E108"/>
      <c r="F108"/>
      <c r="G108"/>
      <c r="H108"/>
      <c r="I108"/>
    </row>
    <row r="109" spans="1:9" x14ac:dyDescent="0.35">
      <c r="A109" s="18"/>
      <c r="B109"/>
      <c r="C109"/>
      <c r="D109"/>
      <c r="E109"/>
      <c r="F109"/>
      <c r="G109"/>
      <c r="H109"/>
      <c r="I109"/>
    </row>
    <row r="110" spans="1:9" x14ac:dyDescent="0.35">
      <c r="A110" s="18"/>
      <c r="B110"/>
      <c r="C110"/>
      <c r="D110"/>
      <c r="E110"/>
      <c r="F110"/>
      <c r="G110"/>
      <c r="H110"/>
      <c r="I110"/>
    </row>
    <row r="111" spans="1:9" x14ac:dyDescent="0.35">
      <c r="A111" s="18"/>
      <c r="B111"/>
      <c r="C111"/>
      <c r="D111"/>
      <c r="E111"/>
      <c r="F111"/>
      <c r="G111"/>
      <c r="H111"/>
      <c r="I111"/>
    </row>
    <row r="112" spans="1:9" x14ac:dyDescent="0.35">
      <c r="A112" s="18"/>
      <c r="B112"/>
      <c r="C112"/>
      <c r="D112"/>
      <c r="E112"/>
      <c r="F112"/>
      <c r="G112"/>
      <c r="H112"/>
      <c r="I112"/>
    </row>
    <row r="113" spans="1:9" x14ac:dyDescent="0.35">
      <c r="A113" s="18"/>
      <c r="B113"/>
      <c r="C113"/>
      <c r="D113"/>
      <c r="E113"/>
      <c r="F113"/>
      <c r="G113"/>
      <c r="H113"/>
      <c r="I113"/>
    </row>
    <row r="114" spans="1:9" x14ac:dyDescent="0.35">
      <c r="A114" s="18"/>
      <c r="B114"/>
      <c r="C114"/>
      <c r="D114"/>
      <c r="E114"/>
      <c r="F114"/>
      <c r="G114"/>
      <c r="H114"/>
      <c r="I114"/>
    </row>
    <row r="115" spans="1:9" x14ac:dyDescent="0.35">
      <c r="A115" s="18"/>
      <c r="B115"/>
      <c r="C115"/>
      <c r="D115"/>
      <c r="E115"/>
      <c r="F115"/>
      <c r="G115"/>
      <c r="H115"/>
      <c r="I115"/>
    </row>
    <row r="116" spans="1:9" x14ac:dyDescent="0.35">
      <c r="A116" s="18"/>
      <c r="B116"/>
      <c r="C116"/>
      <c r="D116"/>
      <c r="E116"/>
      <c r="F116"/>
      <c r="G116"/>
      <c r="H116"/>
      <c r="I116"/>
    </row>
    <row r="117" spans="1:9" x14ac:dyDescent="0.35">
      <c r="A117" s="18"/>
      <c r="B117"/>
      <c r="C117"/>
      <c r="D117"/>
      <c r="E117"/>
      <c r="F117"/>
      <c r="G117"/>
      <c r="H117"/>
      <c r="I117"/>
    </row>
    <row r="118" spans="1:9" x14ac:dyDescent="0.35">
      <c r="A118" s="18"/>
      <c r="B118"/>
      <c r="C118"/>
      <c r="D118"/>
      <c r="E118"/>
      <c r="F118"/>
      <c r="G118"/>
      <c r="H118"/>
      <c r="I118"/>
    </row>
    <row r="119" spans="1:9" x14ac:dyDescent="0.35">
      <c r="A119" s="18"/>
      <c r="B119"/>
      <c r="C119"/>
      <c r="D119"/>
      <c r="E119"/>
      <c r="F119"/>
      <c r="G119"/>
      <c r="H119"/>
      <c r="I119"/>
    </row>
    <row r="120" spans="1:9" x14ac:dyDescent="0.35">
      <c r="A120" s="18"/>
      <c r="B120"/>
      <c r="C120"/>
      <c r="D120"/>
      <c r="E120"/>
      <c r="F120"/>
      <c r="G120"/>
      <c r="H120"/>
      <c r="I120"/>
    </row>
    <row r="121" spans="1:9" x14ac:dyDescent="0.35">
      <c r="A121" s="18"/>
      <c r="B121"/>
      <c r="C121"/>
      <c r="D121"/>
      <c r="E121"/>
      <c r="F121"/>
      <c r="G121"/>
      <c r="H121"/>
      <c r="I121"/>
    </row>
    <row r="122" spans="1:9" x14ac:dyDescent="0.35">
      <c r="A122" s="18"/>
      <c r="B122"/>
      <c r="C122"/>
      <c r="D122"/>
      <c r="E122"/>
      <c r="F122"/>
      <c r="G122"/>
      <c r="H122"/>
      <c r="I122"/>
    </row>
    <row r="123" spans="1:9" x14ac:dyDescent="0.35">
      <c r="A123" s="18"/>
      <c r="B123"/>
      <c r="C123"/>
      <c r="D123"/>
      <c r="E123"/>
      <c r="F123"/>
      <c r="G123"/>
      <c r="H123"/>
      <c r="I123"/>
    </row>
    <row r="124" spans="1:9" x14ac:dyDescent="0.35">
      <c r="A124" s="18"/>
      <c r="B124"/>
      <c r="C124"/>
      <c r="D124"/>
      <c r="E124"/>
      <c r="F124"/>
      <c r="G124"/>
      <c r="H124"/>
      <c r="I124"/>
    </row>
    <row r="125" spans="1:9" x14ac:dyDescent="0.35">
      <c r="A125" s="18"/>
      <c r="B125"/>
      <c r="C125"/>
      <c r="D125"/>
      <c r="E125"/>
      <c r="F125"/>
      <c r="G125"/>
      <c r="H125"/>
      <c r="I125"/>
    </row>
    <row r="126" spans="1:9" x14ac:dyDescent="0.35">
      <c r="A126" s="18"/>
      <c r="B126"/>
      <c r="C126"/>
      <c r="D126"/>
      <c r="E126"/>
      <c r="F126"/>
      <c r="G126"/>
      <c r="H126"/>
      <c r="I126"/>
    </row>
    <row r="127" spans="1:9" x14ac:dyDescent="0.35">
      <c r="A127" s="18"/>
      <c r="B127"/>
      <c r="C127"/>
      <c r="D127"/>
      <c r="E127"/>
      <c r="F127"/>
      <c r="G127"/>
      <c r="H127"/>
      <c r="I127"/>
    </row>
    <row r="128" spans="1:9" x14ac:dyDescent="0.35">
      <c r="A128" s="18"/>
      <c r="B128"/>
      <c r="C128"/>
      <c r="D128"/>
      <c r="E128"/>
      <c r="F128"/>
      <c r="G128"/>
      <c r="H128"/>
      <c r="I128"/>
    </row>
    <row r="129" spans="1:9" x14ac:dyDescent="0.35">
      <c r="A129" s="18"/>
      <c r="B129"/>
      <c r="C129"/>
      <c r="D129"/>
      <c r="E129"/>
      <c r="F129"/>
      <c r="G129"/>
      <c r="H129"/>
      <c r="I129"/>
    </row>
    <row r="130" spans="1:9" x14ac:dyDescent="0.35">
      <c r="A130" s="18"/>
      <c r="B130"/>
      <c r="C130"/>
      <c r="D130"/>
      <c r="E130"/>
      <c r="F130"/>
      <c r="G130"/>
      <c r="H130"/>
      <c r="I130"/>
    </row>
    <row r="131" spans="1:9" x14ac:dyDescent="0.35">
      <c r="A131" s="18"/>
      <c r="B131"/>
      <c r="C131"/>
      <c r="D131"/>
      <c r="E131"/>
      <c r="F131"/>
      <c r="G131"/>
      <c r="H131"/>
      <c r="I131"/>
    </row>
    <row r="132" spans="1:9" x14ac:dyDescent="0.35">
      <c r="A132" s="18"/>
      <c r="B132"/>
      <c r="C132"/>
      <c r="D132"/>
      <c r="E132"/>
      <c r="F132"/>
      <c r="G132"/>
      <c r="H132"/>
      <c r="I132"/>
    </row>
    <row r="133" spans="1:9" x14ac:dyDescent="0.35">
      <c r="A133" s="18"/>
      <c r="B133"/>
      <c r="C133"/>
      <c r="D133"/>
      <c r="E133"/>
      <c r="F133"/>
      <c r="G133"/>
      <c r="H133"/>
      <c r="I133"/>
    </row>
    <row r="134" spans="1:9" x14ac:dyDescent="0.35">
      <c r="A134" s="18"/>
      <c r="B134"/>
      <c r="C134"/>
      <c r="D134"/>
      <c r="E134"/>
      <c r="F134"/>
      <c r="G134"/>
      <c r="H134"/>
      <c r="I134"/>
    </row>
    <row r="135" spans="1:9" x14ac:dyDescent="0.35">
      <c r="A135" s="18"/>
      <c r="B135"/>
      <c r="C135"/>
      <c r="D135"/>
      <c r="E135"/>
      <c r="F135"/>
      <c r="G135"/>
      <c r="H135"/>
      <c r="I135"/>
    </row>
    <row r="136" spans="1:9" x14ac:dyDescent="0.35">
      <c r="A136" s="18"/>
      <c r="B136"/>
      <c r="C136"/>
      <c r="D136"/>
      <c r="E136"/>
      <c r="F136"/>
      <c r="G136"/>
      <c r="H136"/>
      <c r="I136"/>
    </row>
    <row r="137" spans="1:9" x14ac:dyDescent="0.35">
      <c r="A137" s="18"/>
      <c r="B137"/>
      <c r="C137"/>
      <c r="D137"/>
      <c r="E137"/>
      <c r="F137"/>
      <c r="G137"/>
      <c r="H137"/>
      <c r="I137"/>
    </row>
    <row r="138" spans="1:9" x14ac:dyDescent="0.35">
      <c r="A138" s="18"/>
      <c r="B138"/>
      <c r="C138"/>
      <c r="D138"/>
      <c r="E138"/>
      <c r="F138"/>
      <c r="G138"/>
      <c r="H138"/>
      <c r="I138"/>
    </row>
    <row r="139" spans="1:9" x14ac:dyDescent="0.35">
      <c r="A139" s="18"/>
      <c r="B139"/>
      <c r="C139"/>
      <c r="D139"/>
      <c r="E139"/>
      <c r="F139"/>
      <c r="G139"/>
      <c r="H139"/>
      <c r="I139"/>
    </row>
    <row r="140" spans="1:9" x14ac:dyDescent="0.35">
      <c r="A140" s="18"/>
      <c r="B140"/>
      <c r="C140"/>
      <c r="D140"/>
      <c r="E140"/>
      <c r="F140"/>
      <c r="G140"/>
      <c r="H140"/>
      <c r="I140"/>
    </row>
    <row r="141" spans="1:9" x14ac:dyDescent="0.35">
      <c r="A141" s="18"/>
      <c r="B141"/>
      <c r="C141"/>
      <c r="D141"/>
      <c r="E141"/>
      <c r="F141"/>
      <c r="G141"/>
      <c r="H141"/>
      <c r="I141"/>
    </row>
    <row r="142" spans="1:9" x14ac:dyDescent="0.35">
      <c r="A142" s="18"/>
      <c r="B142"/>
      <c r="C142"/>
      <c r="D142"/>
      <c r="E142"/>
      <c r="F142"/>
      <c r="G142"/>
      <c r="H142"/>
      <c r="I142"/>
    </row>
    <row r="143" spans="1:9" x14ac:dyDescent="0.35">
      <c r="A143" s="18"/>
      <c r="B143"/>
      <c r="C143"/>
      <c r="D143"/>
      <c r="E143"/>
      <c r="F143"/>
      <c r="G143"/>
      <c r="H143"/>
      <c r="I143"/>
    </row>
    <row r="144" spans="1:9" x14ac:dyDescent="0.35">
      <c r="A144" s="18"/>
      <c r="B144"/>
      <c r="C144"/>
      <c r="D144"/>
      <c r="E144"/>
      <c r="F144"/>
      <c r="G144"/>
      <c r="H144"/>
      <c r="I144"/>
    </row>
    <row r="145" spans="1:9" x14ac:dyDescent="0.35">
      <c r="A145" s="18"/>
      <c r="B145"/>
      <c r="C145"/>
      <c r="D145"/>
      <c r="E145"/>
      <c r="F145"/>
      <c r="G145"/>
      <c r="H145"/>
      <c r="I145"/>
    </row>
    <row r="146" spans="1:9" x14ac:dyDescent="0.35">
      <c r="A146" s="18"/>
      <c r="B146"/>
      <c r="C146"/>
      <c r="D146"/>
      <c r="E146"/>
      <c r="F146"/>
      <c r="G146"/>
      <c r="H146"/>
      <c r="I146"/>
    </row>
    <row r="147" spans="1:9" x14ac:dyDescent="0.35">
      <c r="A147" s="18"/>
      <c r="B147"/>
      <c r="C147"/>
      <c r="D147"/>
      <c r="E147"/>
      <c r="F147"/>
      <c r="G147"/>
      <c r="H147"/>
      <c r="I147"/>
    </row>
    <row r="148" spans="1:9" x14ac:dyDescent="0.35">
      <c r="A148" s="18"/>
      <c r="B148"/>
      <c r="C148"/>
      <c r="D148"/>
      <c r="E148"/>
      <c r="F148"/>
      <c r="G148"/>
      <c r="H148"/>
      <c r="I148"/>
    </row>
    <row r="149" spans="1:9" x14ac:dyDescent="0.35">
      <c r="A149" s="18"/>
      <c r="B149"/>
      <c r="C149"/>
      <c r="D149"/>
      <c r="E149"/>
      <c r="F149"/>
      <c r="G149"/>
      <c r="H149"/>
      <c r="I149"/>
    </row>
    <row r="150" spans="1:9" x14ac:dyDescent="0.35">
      <c r="A150" s="18"/>
      <c r="B150"/>
      <c r="C150"/>
      <c r="D150"/>
      <c r="E150"/>
      <c r="F150"/>
      <c r="G150"/>
      <c r="H150"/>
      <c r="I150"/>
    </row>
    <row r="151" spans="1:9" x14ac:dyDescent="0.35">
      <c r="A151" s="18"/>
      <c r="B151"/>
      <c r="C151"/>
      <c r="D151"/>
      <c r="E151"/>
      <c r="F151"/>
      <c r="G151"/>
      <c r="H151"/>
      <c r="I151"/>
    </row>
    <row r="152" spans="1:9" x14ac:dyDescent="0.35">
      <c r="A152" s="18"/>
      <c r="B152"/>
      <c r="C152"/>
      <c r="D152"/>
      <c r="E152"/>
      <c r="F152"/>
      <c r="G152"/>
      <c r="H152"/>
      <c r="I152"/>
    </row>
    <row r="153" spans="1:9" x14ac:dyDescent="0.35">
      <c r="A153" s="18"/>
      <c r="B153"/>
      <c r="C153"/>
      <c r="D153"/>
      <c r="E153"/>
      <c r="F153"/>
      <c r="G153"/>
      <c r="H153"/>
      <c r="I153"/>
    </row>
    <row r="154" spans="1:9" x14ac:dyDescent="0.35">
      <c r="A154" s="18"/>
      <c r="B154"/>
      <c r="C154"/>
      <c r="D154"/>
      <c r="E154"/>
      <c r="F154"/>
      <c r="G154"/>
      <c r="H154"/>
      <c r="I154"/>
    </row>
    <row r="155" spans="1:9" x14ac:dyDescent="0.35">
      <c r="A155" s="18"/>
      <c r="B155"/>
      <c r="C155"/>
      <c r="D155"/>
      <c r="E155"/>
      <c r="F155"/>
      <c r="G155"/>
      <c r="H155"/>
      <c r="I155"/>
    </row>
    <row r="156" spans="1:9" x14ac:dyDescent="0.35">
      <c r="A156" s="18"/>
      <c r="B156"/>
      <c r="C156"/>
      <c r="D156"/>
      <c r="E156"/>
      <c r="F156"/>
      <c r="G156"/>
      <c r="H156"/>
      <c r="I156"/>
    </row>
    <row r="157" spans="1:9" x14ac:dyDescent="0.35">
      <c r="A157" s="18"/>
      <c r="B157"/>
      <c r="C157"/>
      <c r="D157"/>
      <c r="E157"/>
      <c r="F157"/>
      <c r="G157"/>
      <c r="H157"/>
      <c r="I157"/>
    </row>
    <row r="158" spans="1:9" x14ac:dyDescent="0.35">
      <c r="A158" s="18"/>
      <c r="B158"/>
      <c r="C158"/>
      <c r="D158"/>
      <c r="E158"/>
      <c r="F158"/>
      <c r="G158"/>
      <c r="H158"/>
      <c r="I158"/>
    </row>
    <row r="159" spans="1:9" x14ac:dyDescent="0.35">
      <c r="A159" s="18"/>
      <c r="B159"/>
      <c r="C159"/>
      <c r="D159"/>
      <c r="E159"/>
      <c r="F159"/>
      <c r="G159"/>
      <c r="H159"/>
      <c r="I159"/>
    </row>
    <row r="160" spans="1:9" x14ac:dyDescent="0.35">
      <c r="A160" s="18"/>
      <c r="B160"/>
      <c r="C160"/>
      <c r="D160"/>
      <c r="E160"/>
      <c r="F160"/>
      <c r="G160"/>
      <c r="H160"/>
      <c r="I160"/>
    </row>
    <row r="161" spans="1:9" x14ac:dyDescent="0.35">
      <c r="A161" s="18"/>
      <c r="B161"/>
      <c r="C161"/>
      <c r="D161"/>
      <c r="E161"/>
      <c r="F161"/>
      <c r="G161"/>
      <c r="H161"/>
      <c r="I161"/>
    </row>
    <row r="162" spans="1:9" x14ac:dyDescent="0.35">
      <c r="A162" s="18"/>
      <c r="B162"/>
      <c r="C162"/>
      <c r="D162"/>
      <c r="E162"/>
      <c r="F162"/>
      <c r="G162"/>
      <c r="H162"/>
      <c r="I162"/>
    </row>
    <row r="163" spans="1:9" x14ac:dyDescent="0.35">
      <c r="A163" s="18"/>
      <c r="B163"/>
      <c r="C163"/>
      <c r="D163"/>
      <c r="E163"/>
      <c r="F163"/>
      <c r="G163"/>
      <c r="H163"/>
      <c r="I163"/>
    </row>
    <row r="164" spans="1:9" x14ac:dyDescent="0.35">
      <c r="A164" s="18"/>
      <c r="B164"/>
      <c r="C164"/>
      <c r="D164"/>
      <c r="E164"/>
      <c r="F164"/>
      <c r="G164"/>
      <c r="H164"/>
      <c r="I164"/>
    </row>
    <row r="165" spans="1:9" x14ac:dyDescent="0.35">
      <c r="A165" s="18"/>
      <c r="B165"/>
      <c r="C165"/>
      <c r="D165"/>
      <c r="E165"/>
      <c r="F165"/>
      <c r="G165"/>
      <c r="H165"/>
      <c r="I165"/>
    </row>
    <row r="166" spans="1:9" x14ac:dyDescent="0.35">
      <c r="A166" s="18"/>
      <c r="B166"/>
      <c r="C166"/>
      <c r="D166"/>
      <c r="E166"/>
      <c r="F166"/>
      <c r="G166"/>
      <c r="H166"/>
      <c r="I166"/>
    </row>
    <row r="167" spans="1:9" x14ac:dyDescent="0.35">
      <c r="A167" s="18"/>
      <c r="B167"/>
      <c r="C167"/>
      <c r="D167"/>
      <c r="E167"/>
      <c r="F167"/>
      <c r="G167"/>
      <c r="H167"/>
      <c r="I167"/>
    </row>
    <row r="168" spans="1:9" x14ac:dyDescent="0.35">
      <c r="A168" s="18"/>
      <c r="B168"/>
      <c r="C168"/>
      <c r="D168"/>
      <c r="E168"/>
      <c r="F168"/>
      <c r="G168"/>
      <c r="H168"/>
      <c r="I168"/>
    </row>
    <row r="169" spans="1:9" x14ac:dyDescent="0.35">
      <c r="A169" s="18"/>
      <c r="B169"/>
      <c r="C169"/>
      <c r="D169"/>
      <c r="E169"/>
      <c r="F169"/>
      <c r="G169"/>
      <c r="H169"/>
      <c r="I169"/>
    </row>
    <row r="170" spans="1:9" x14ac:dyDescent="0.35">
      <c r="A170" s="18"/>
      <c r="B170"/>
      <c r="C170"/>
      <c r="D170"/>
      <c r="E170"/>
      <c r="F170"/>
      <c r="G170"/>
      <c r="H170"/>
      <c r="I170"/>
    </row>
    <row r="171" spans="1:9" x14ac:dyDescent="0.35">
      <c r="A171" s="18"/>
      <c r="B171"/>
      <c r="C171"/>
      <c r="D171"/>
      <c r="E171"/>
      <c r="F171"/>
      <c r="G171"/>
      <c r="H171"/>
      <c r="I171"/>
    </row>
    <row r="172" spans="1:9" x14ac:dyDescent="0.35">
      <c r="A172" s="18"/>
      <c r="B172"/>
      <c r="C172"/>
      <c r="D172"/>
      <c r="E172"/>
      <c r="F172"/>
      <c r="G172"/>
      <c r="H172"/>
      <c r="I172"/>
    </row>
    <row r="173" spans="1:9" x14ac:dyDescent="0.35">
      <c r="A173" s="18"/>
      <c r="B173"/>
      <c r="C173"/>
      <c r="D173"/>
      <c r="E173"/>
      <c r="F173"/>
      <c r="G173"/>
      <c r="H173"/>
      <c r="I173"/>
    </row>
    <row r="174" spans="1:9" x14ac:dyDescent="0.35">
      <c r="A174" s="18"/>
      <c r="B174"/>
      <c r="C174"/>
      <c r="D174"/>
      <c r="E174"/>
      <c r="F174"/>
      <c r="G174"/>
      <c r="H174"/>
      <c r="I174"/>
    </row>
    <row r="175" spans="1:9" x14ac:dyDescent="0.35">
      <c r="A175" s="18"/>
      <c r="B175"/>
      <c r="C175"/>
      <c r="D175"/>
      <c r="E175"/>
      <c r="F175"/>
      <c r="G175"/>
      <c r="H175"/>
      <c r="I175"/>
    </row>
    <row r="176" spans="1:9" x14ac:dyDescent="0.35">
      <c r="A176" s="18"/>
      <c r="B176"/>
      <c r="C176"/>
      <c r="D176"/>
      <c r="E176"/>
      <c r="F176"/>
      <c r="G176"/>
      <c r="H176"/>
      <c r="I176"/>
    </row>
    <row r="177" spans="1:9" x14ac:dyDescent="0.35">
      <c r="A177" s="18"/>
      <c r="B177"/>
      <c r="C177"/>
      <c r="D177"/>
      <c r="E177"/>
      <c r="F177"/>
      <c r="G177"/>
      <c r="H177"/>
      <c r="I177"/>
    </row>
    <row r="178" spans="1:9" x14ac:dyDescent="0.35">
      <c r="A178" s="18"/>
      <c r="B178"/>
      <c r="C178"/>
      <c r="D178"/>
      <c r="E178"/>
      <c r="F178"/>
      <c r="G178"/>
      <c r="H178"/>
      <c r="I178"/>
    </row>
    <row r="179" spans="1:9" x14ac:dyDescent="0.35">
      <c r="A179" s="18"/>
      <c r="B179"/>
      <c r="C179"/>
      <c r="D179"/>
      <c r="E179"/>
      <c r="F179"/>
      <c r="G179"/>
      <c r="H179"/>
      <c r="I179"/>
    </row>
    <row r="180" spans="1:9" x14ac:dyDescent="0.35">
      <c r="A180" s="18"/>
      <c r="B180"/>
      <c r="C180"/>
      <c r="D180"/>
      <c r="E180"/>
      <c r="F180"/>
      <c r="G180"/>
      <c r="H180"/>
      <c r="I180"/>
    </row>
    <row r="181" spans="1:9" x14ac:dyDescent="0.35">
      <c r="A181" s="18"/>
      <c r="B181"/>
      <c r="C181"/>
      <c r="D181"/>
      <c r="E181"/>
      <c r="F181"/>
      <c r="G181"/>
      <c r="H181"/>
      <c r="I181"/>
    </row>
    <row r="182" spans="1:9" x14ac:dyDescent="0.35">
      <c r="A182" s="18"/>
      <c r="B182"/>
      <c r="C182"/>
      <c r="D182"/>
      <c r="E182"/>
      <c r="F182"/>
      <c r="G182"/>
      <c r="H182"/>
      <c r="I182"/>
    </row>
    <row r="183" spans="1:9" x14ac:dyDescent="0.35">
      <c r="A183" s="18"/>
      <c r="B183"/>
      <c r="C183"/>
      <c r="D183"/>
      <c r="E183"/>
      <c r="F183"/>
      <c r="G183"/>
      <c r="H183"/>
      <c r="I183"/>
    </row>
    <row r="184" spans="1:9" x14ac:dyDescent="0.35">
      <c r="A184" s="18"/>
      <c r="B184"/>
      <c r="C184"/>
      <c r="D184"/>
      <c r="E184"/>
      <c r="F184"/>
      <c r="G184"/>
      <c r="H184"/>
      <c r="I184"/>
    </row>
    <row r="185" spans="1:9" x14ac:dyDescent="0.35">
      <c r="A185" s="18"/>
      <c r="B185"/>
      <c r="C185"/>
      <c r="D185"/>
      <c r="E185"/>
      <c r="F185"/>
      <c r="G185"/>
      <c r="H185"/>
      <c r="I185"/>
    </row>
    <row r="186" spans="1:9" x14ac:dyDescent="0.35">
      <c r="A186" s="18"/>
      <c r="B186"/>
      <c r="C186"/>
      <c r="D186"/>
      <c r="E186"/>
      <c r="F186"/>
      <c r="G186"/>
      <c r="H186"/>
      <c r="I186"/>
    </row>
    <row r="187" spans="1:9" x14ac:dyDescent="0.35">
      <c r="A187" s="18"/>
      <c r="B187"/>
      <c r="C187"/>
      <c r="D187"/>
      <c r="E187"/>
      <c r="F187"/>
      <c r="G187"/>
      <c r="H187"/>
      <c r="I187"/>
    </row>
    <row r="188" spans="1:9" x14ac:dyDescent="0.35">
      <c r="A188" s="18"/>
      <c r="B188"/>
      <c r="C188"/>
      <c r="D188"/>
      <c r="E188"/>
      <c r="F188"/>
      <c r="G188"/>
      <c r="H188"/>
      <c r="I188"/>
    </row>
    <row r="189" spans="1:9" x14ac:dyDescent="0.35">
      <c r="A189" s="18"/>
      <c r="B189"/>
      <c r="C189"/>
      <c r="D189"/>
      <c r="E189"/>
      <c r="F189"/>
      <c r="G189"/>
      <c r="H189"/>
      <c r="I189"/>
    </row>
    <row r="190" spans="1:9" x14ac:dyDescent="0.35">
      <c r="A190" s="18"/>
      <c r="B190"/>
      <c r="C190"/>
      <c r="D190"/>
      <c r="E190"/>
      <c r="F190"/>
      <c r="G190"/>
      <c r="H190"/>
      <c r="I190"/>
    </row>
    <row r="191" spans="1:9" x14ac:dyDescent="0.35">
      <c r="A191" s="18"/>
      <c r="B191"/>
      <c r="C191"/>
      <c r="D191"/>
      <c r="E191"/>
      <c r="F191"/>
      <c r="G191"/>
      <c r="H191"/>
      <c r="I191"/>
    </row>
    <row r="192" spans="1:9" x14ac:dyDescent="0.35">
      <c r="A192" s="18"/>
      <c r="B192"/>
      <c r="C192"/>
      <c r="D192"/>
      <c r="E192"/>
      <c r="F192"/>
      <c r="G192"/>
      <c r="H192"/>
      <c r="I192"/>
    </row>
    <row r="193" spans="1:9" x14ac:dyDescent="0.35">
      <c r="A193" s="18"/>
      <c r="B193"/>
      <c r="C193"/>
      <c r="D193"/>
      <c r="E193"/>
      <c r="F193"/>
      <c r="G193"/>
      <c r="H193"/>
      <c r="I193"/>
    </row>
    <row r="194" spans="1:9" x14ac:dyDescent="0.35">
      <c r="A194" s="18"/>
      <c r="B194"/>
      <c r="C194"/>
      <c r="D194"/>
      <c r="E194"/>
      <c r="F194"/>
      <c r="G194"/>
      <c r="H194"/>
      <c r="I194"/>
    </row>
    <row r="195" spans="1:9" x14ac:dyDescent="0.35">
      <c r="A195" s="18"/>
      <c r="B195"/>
      <c r="C195"/>
      <c r="D195"/>
      <c r="E195"/>
      <c r="F195"/>
      <c r="G195"/>
      <c r="H195"/>
      <c r="I195"/>
    </row>
    <row r="196" spans="1:9" x14ac:dyDescent="0.35">
      <c r="A196" s="18"/>
      <c r="B196"/>
      <c r="C196"/>
      <c r="D196"/>
      <c r="E196"/>
      <c r="F196"/>
      <c r="G196"/>
      <c r="H196"/>
      <c r="I196"/>
    </row>
    <row r="197" spans="1:9" x14ac:dyDescent="0.35">
      <c r="A197" s="18"/>
      <c r="B197"/>
      <c r="C197"/>
      <c r="D197"/>
      <c r="E197"/>
      <c r="F197"/>
      <c r="G197"/>
      <c r="H197"/>
      <c r="I197"/>
    </row>
    <row r="198" spans="1:9" x14ac:dyDescent="0.35">
      <c r="A198" s="18"/>
      <c r="B198"/>
      <c r="C198"/>
      <c r="D198"/>
      <c r="E198"/>
      <c r="F198"/>
      <c r="G198"/>
      <c r="H198"/>
      <c r="I198"/>
    </row>
    <row r="199" spans="1:9" x14ac:dyDescent="0.35">
      <c r="A199" s="18"/>
      <c r="B199"/>
      <c r="C199"/>
      <c r="D199"/>
      <c r="E199"/>
      <c r="F199"/>
      <c r="G199"/>
      <c r="H199"/>
      <c r="I199"/>
    </row>
    <row r="200" spans="1:9" x14ac:dyDescent="0.35">
      <c r="A200" s="18"/>
      <c r="B200"/>
      <c r="C200"/>
      <c r="D200"/>
      <c r="E200"/>
      <c r="F200"/>
      <c r="G200"/>
      <c r="H200"/>
      <c r="I200"/>
    </row>
    <row r="201" spans="1:9" x14ac:dyDescent="0.35">
      <c r="A201" s="18"/>
      <c r="B201"/>
      <c r="C201"/>
      <c r="D201"/>
      <c r="E201"/>
      <c r="F201"/>
      <c r="G201"/>
      <c r="H201"/>
      <c r="I201"/>
    </row>
    <row r="202" spans="1:9" x14ac:dyDescent="0.35">
      <c r="A202" s="18"/>
      <c r="B202"/>
      <c r="C202"/>
      <c r="D202"/>
      <c r="E202"/>
      <c r="F202"/>
      <c r="G202"/>
      <c r="H202"/>
      <c r="I202"/>
    </row>
    <row r="203" spans="1:9" x14ac:dyDescent="0.35">
      <c r="A203" s="18"/>
      <c r="B203"/>
      <c r="C203"/>
      <c r="D203"/>
      <c r="E203"/>
      <c r="F203"/>
      <c r="G203"/>
      <c r="H203"/>
      <c r="I203"/>
    </row>
    <row r="204" spans="1:9" x14ac:dyDescent="0.35">
      <c r="A204" s="18"/>
      <c r="B204"/>
      <c r="C204"/>
      <c r="D204"/>
      <c r="E204"/>
      <c r="F204"/>
      <c r="G204"/>
      <c r="H204"/>
      <c r="I204"/>
    </row>
    <row r="205" spans="1:9" x14ac:dyDescent="0.35">
      <c r="A205" s="18"/>
      <c r="B205"/>
      <c r="C205"/>
      <c r="D205"/>
      <c r="E205"/>
      <c r="F205"/>
      <c r="G205"/>
      <c r="H205"/>
      <c r="I205"/>
    </row>
    <row r="206" spans="1:9" x14ac:dyDescent="0.35">
      <c r="A206" s="18"/>
      <c r="B206"/>
      <c r="C206"/>
      <c r="D206"/>
      <c r="E206"/>
      <c r="F206"/>
      <c r="G206"/>
      <c r="H206"/>
      <c r="I206"/>
    </row>
    <row r="207" spans="1:9" x14ac:dyDescent="0.35">
      <c r="A207" s="18"/>
      <c r="B207"/>
      <c r="C207"/>
      <c r="D207"/>
      <c r="E207"/>
      <c r="F207"/>
      <c r="G207"/>
      <c r="H207"/>
      <c r="I207"/>
    </row>
    <row r="208" spans="1:9" x14ac:dyDescent="0.35">
      <c r="A208" s="18"/>
      <c r="B208"/>
      <c r="C208"/>
      <c r="D208"/>
      <c r="E208"/>
      <c r="F208"/>
      <c r="G208"/>
      <c r="H208"/>
      <c r="I208"/>
    </row>
    <row r="209" spans="1:9" x14ac:dyDescent="0.35">
      <c r="A209" s="18"/>
      <c r="B209"/>
      <c r="C209"/>
      <c r="D209"/>
      <c r="E209"/>
      <c r="F209"/>
      <c r="G209"/>
      <c r="H209"/>
      <c r="I209"/>
    </row>
    <row r="210" spans="1:9" x14ac:dyDescent="0.35">
      <c r="A210" s="18"/>
      <c r="B210"/>
      <c r="C210"/>
      <c r="D210"/>
      <c r="E210"/>
      <c r="F210"/>
      <c r="G210"/>
      <c r="H210"/>
      <c r="I210"/>
    </row>
    <row r="211" spans="1:9" x14ac:dyDescent="0.35">
      <c r="A211" s="18"/>
      <c r="B211"/>
      <c r="C211"/>
      <c r="D211"/>
      <c r="E211"/>
      <c r="F211"/>
      <c r="G211"/>
      <c r="H211"/>
      <c r="I211"/>
    </row>
    <row r="212" spans="1:9" x14ac:dyDescent="0.35">
      <c r="A212" s="18"/>
      <c r="B212"/>
      <c r="C212"/>
      <c r="D212"/>
      <c r="E212"/>
      <c r="F212"/>
      <c r="G212"/>
      <c r="H212"/>
      <c r="I212"/>
    </row>
    <row r="213" spans="1:9" x14ac:dyDescent="0.35">
      <c r="A213" s="18"/>
      <c r="B213"/>
      <c r="C213"/>
      <c r="D213"/>
      <c r="E213"/>
      <c r="F213"/>
      <c r="G213"/>
      <c r="H213"/>
      <c r="I213"/>
    </row>
    <row r="214" spans="1:9" x14ac:dyDescent="0.35">
      <c r="A214" s="18"/>
      <c r="B214"/>
      <c r="C214"/>
      <c r="D214"/>
      <c r="E214"/>
      <c r="F214"/>
      <c r="G214"/>
      <c r="H214"/>
      <c r="I214"/>
    </row>
    <row r="215" spans="1:9" x14ac:dyDescent="0.35">
      <c r="A215" s="18"/>
      <c r="B215"/>
      <c r="C215"/>
      <c r="D215"/>
      <c r="E215"/>
      <c r="F215"/>
      <c r="G215"/>
      <c r="H215"/>
      <c r="I215"/>
    </row>
    <row r="216" spans="1:9" x14ac:dyDescent="0.35">
      <c r="A216" s="18"/>
      <c r="B216"/>
      <c r="C216"/>
      <c r="D216"/>
      <c r="E216"/>
      <c r="F216"/>
      <c r="G216"/>
      <c r="H216"/>
      <c r="I216"/>
    </row>
    <row r="217" spans="1:9" x14ac:dyDescent="0.35">
      <c r="A217" s="18"/>
      <c r="B217"/>
      <c r="C217"/>
      <c r="D217"/>
      <c r="E217"/>
      <c r="F217"/>
      <c r="G217"/>
      <c r="H217"/>
      <c r="I217"/>
    </row>
    <row r="218" spans="1:9" x14ac:dyDescent="0.35">
      <c r="A218" s="18"/>
      <c r="B218"/>
      <c r="C218"/>
      <c r="D218"/>
      <c r="E218"/>
      <c r="F218"/>
      <c r="G218"/>
      <c r="H218"/>
      <c r="I218"/>
    </row>
    <row r="219" spans="1:9" x14ac:dyDescent="0.35">
      <c r="A219" s="18"/>
      <c r="B219"/>
      <c r="C219"/>
      <c r="D219"/>
      <c r="E219"/>
      <c r="F219"/>
      <c r="G219"/>
      <c r="H219"/>
      <c r="I219"/>
    </row>
    <row r="220" spans="1:9" x14ac:dyDescent="0.35">
      <c r="A220" s="18"/>
      <c r="B220"/>
      <c r="C220"/>
      <c r="D220"/>
      <c r="E220"/>
      <c r="F220"/>
      <c r="G220"/>
      <c r="H220"/>
      <c r="I220"/>
    </row>
    <row r="221" spans="1:9" x14ac:dyDescent="0.35">
      <c r="A221" s="18"/>
      <c r="B221"/>
      <c r="C221"/>
      <c r="D221"/>
      <c r="E221"/>
      <c r="F221"/>
      <c r="G221"/>
      <c r="H221"/>
      <c r="I221"/>
    </row>
    <row r="222" spans="1:9" x14ac:dyDescent="0.35">
      <c r="A222" s="18"/>
      <c r="B222"/>
      <c r="C222"/>
      <c r="D222"/>
      <c r="E222"/>
      <c r="F222"/>
      <c r="G222"/>
      <c r="H222"/>
      <c r="I222"/>
    </row>
    <row r="223" spans="1:9" x14ac:dyDescent="0.35">
      <c r="A223" s="18"/>
      <c r="B223"/>
      <c r="C223"/>
      <c r="D223"/>
      <c r="E223"/>
      <c r="F223"/>
      <c r="G223"/>
      <c r="H223"/>
      <c r="I223"/>
    </row>
    <row r="224" spans="1:9" x14ac:dyDescent="0.35">
      <c r="A224" s="18"/>
      <c r="B224"/>
      <c r="C224"/>
      <c r="D224"/>
      <c r="E224"/>
      <c r="F224"/>
      <c r="G224"/>
      <c r="H224"/>
      <c r="I224"/>
    </row>
    <row r="225" spans="1:9" x14ac:dyDescent="0.35">
      <c r="A225" s="18"/>
      <c r="B225"/>
      <c r="C225"/>
      <c r="D225"/>
      <c r="E225"/>
      <c r="F225"/>
      <c r="G225"/>
      <c r="H225"/>
      <c r="I225"/>
    </row>
    <row r="226" spans="1:9" x14ac:dyDescent="0.35">
      <c r="A226" s="18"/>
      <c r="B226"/>
      <c r="C226"/>
      <c r="D226"/>
      <c r="E226"/>
      <c r="F226"/>
      <c r="G226"/>
      <c r="H226"/>
      <c r="I226"/>
    </row>
    <row r="227" spans="1:9" x14ac:dyDescent="0.35">
      <c r="A227" s="18"/>
      <c r="B227"/>
      <c r="C227"/>
      <c r="D227"/>
      <c r="E227"/>
      <c r="F227"/>
      <c r="G227"/>
      <c r="H227"/>
      <c r="I227"/>
    </row>
    <row r="228" spans="1:9" x14ac:dyDescent="0.35">
      <c r="A228" s="18"/>
      <c r="B228"/>
      <c r="C228"/>
      <c r="D228"/>
      <c r="E228"/>
      <c r="F228"/>
      <c r="G228"/>
      <c r="H228"/>
      <c r="I228"/>
    </row>
    <row r="229" spans="1:9" x14ac:dyDescent="0.35">
      <c r="A229" s="18"/>
      <c r="B229"/>
      <c r="C229"/>
      <c r="D229"/>
      <c r="E229"/>
      <c r="F229"/>
      <c r="G229"/>
      <c r="H229"/>
      <c r="I229"/>
    </row>
    <row r="230" spans="1:9" x14ac:dyDescent="0.35">
      <c r="A230" s="18"/>
      <c r="B230"/>
      <c r="C230"/>
      <c r="D230"/>
      <c r="E230"/>
      <c r="F230"/>
      <c r="G230"/>
      <c r="H230"/>
      <c r="I230"/>
    </row>
    <row r="231" spans="1:9" x14ac:dyDescent="0.35">
      <c r="A231" s="18"/>
      <c r="B231"/>
      <c r="C231"/>
      <c r="D231"/>
      <c r="E231"/>
      <c r="F231"/>
      <c r="G231"/>
      <c r="H231"/>
      <c r="I231"/>
    </row>
    <row r="232" spans="1:9" x14ac:dyDescent="0.35">
      <c r="A232" s="18"/>
      <c r="B232"/>
      <c r="C232"/>
      <c r="D232"/>
      <c r="E232"/>
      <c r="F232"/>
      <c r="G232"/>
      <c r="H232"/>
      <c r="I232"/>
    </row>
    <row r="233" spans="1:9" x14ac:dyDescent="0.35">
      <c r="A233" s="18"/>
      <c r="B233"/>
      <c r="C233"/>
      <c r="D233"/>
      <c r="E233"/>
      <c r="F233"/>
      <c r="G233"/>
      <c r="H233"/>
      <c r="I233"/>
    </row>
    <row r="234" spans="1:9" x14ac:dyDescent="0.35">
      <c r="A234" s="18"/>
      <c r="B234"/>
      <c r="C234"/>
      <c r="D234"/>
      <c r="E234"/>
      <c r="F234"/>
      <c r="G234"/>
      <c r="H234"/>
      <c r="I234"/>
    </row>
    <row r="235" spans="1:9" x14ac:dyDescent="0.35">
      <c r="A235" s="18"/>
      <c r="B235"/>
      <c r="C235"/>
      <c r="D235"/>
      <c r="E235"/>
      <c r="F235"/>
      <c r="G235"/>
      <c r="H235"/>
      <c r="I235"/>
    </row>
    <row r="236" spans="1:9" x14ac:dyDescent="0.35">
      <c r="A236" s="18"/>
      <c r="B236"/>
      <c r="C236"/>
      <c r="D236"/>
      <c r="E236"/>
      <c r="F236"/>
      <c r="G236"/>
      <c r="H236"/>
      <c r="I236"/>
    </row>
    <row r="237" spans="1:9" x14ac:dyDescent="0.35">
      <c r="A237" s="18"/>
      <c r="B237"/>
      <c r="C237"/>
      <c r="D237"/>
      <c r="E237"/>
      <c r="F237"/>
      <c r="G237"/>
      <c r="H237"/>
      <c r="I237"/>
    </row>
    <row r="238" spans="1:9" x14ac:dyDescent="0.35">
      <c r="A238" s="18"/>
      <c r="B238"/>
      <c r="C238"/>
      <c r="D238"/>
      <c r="E238"/>
      <c r="F238"/>
      <c r="G238"/>
      <c r="H238"/>
      <c r="I238"/>
    </row>
    <row r="239" spans="1:9" x14ac:dyDescent="0.35">
      <c r="A239" s="18"/>
      <c r="B239"/>
      <c r="C239"/>
      <c r="D239"/>
      <c r="E239"/>
      <c r="F239"/>
      <c r="G239"/>
      <c r="H239"/>
      <c r="I239"/>
    </row>
    <row r="240" spans="1:9" x14ac:dyDescent="0.35">
      <c r="A240" s="18"/>
      <c r="B240"/>
      <c r="C240"/>
      <c r="D240"/>
      <c r="E240"/>
      <c r="F240"/>
      <c r="G240"/>
      <c r="H240"/>
      <c r="I240"/>
    </row>
    <row r="241" spans="1:9" x14ac:dyDescent="0.35">
      <c r="A241" s="18"/>
      <c r="B241"/>
      <c r="C241"/>
      <c r="D241"/>
      <c r="E241"/>
      <c r="F241"/>
      <c r="G241"/>
      <c r="H241"/>
      <c r="I241"/>
    </row>
    <row r="242" spans="1:9" x14ac:dyDescent="0.35">
      <c r="A242" s="18"/>
      <c r="B242"/>
      <c r="C242"/>
      <c r="D242"/>
      <c r="E242"/>
      <c r="F242"/>
      <c r="G242"/>
      <c r="H242"/>
      <c r="I242"/>
    </row>
    <row r="243" spans="1:9" x14ac:dyDescent="0.35">
      <c r="A243" s="18"/>
      <c r="B243"/>
      <c r="C243"/>
      <c r="D243"/>
      <c r="E243"/>
      <c r="F243"/>
      <c r="G243"/>
      <c r="H243"/>
      <c r="I243"/>
    </row>
    <row r="244" spans="1:9" x14ac:dyDescent="0.35">
      <c r="A244" s="18"/>
      <c r="B244"/>
      <c r="C244"/>
      <c r="D244"/>
      <c r="E244"/>
      <c r="F244"/>
      <c r="G244"/>
      <c r="H244"/>
      <c r="I244"/>
    </row>
    <row r="245" spans="1:9" x14ac:dyDescent="0.35">
      <c r="A245" s="18"/>
      <c r="B245"/>
      <c r="C245"/>
      <c r="D245"/>
      <c r="E245"/>
      <c r="F245"/>
      <c r="G245"/>
      <c r="H245"/>
      <c r="I245"/>
    </row>
    <row r="246" spans="1:9" x14ac:dyDescent="0.35">
      <c r="A246" s="18"/>
      <c r="B246"/>
      <c r="C246"/>
      <c r="D246"/>
      <c r="E246"/>
      <c r="F246"/>
      <c r="G246"/>
      <c r="H246"/>
      <c r="I246"/>
    </row>
    <row r="247" spans="1:9" x14ac:dyDescent="0.35">
      <c r="A247" s="18"/>
      <c r="B247"/>
      <c r="C247"/>
      <c r="D247"/>
      <c r="E247"/>
      <c r="F247"/>
      <c r="G247"/>
      <c r="H247"/>
      <c r="I247"/>
    </row>
    <row r="248" spans="1:9" x14ac:dyDescent="0.35">
      <c r="A248" s="18"/>
      <c r="B248"/>
      <c r="C248"/>
      <c r="D248"/>
      <c r="E248"/>
      <c r="F248"/>
      <c r="G248"/>
      <c r="H248"/>
      <c r="I248"/>
    </row>
    <row r="249" spans="1:9" x14ac:dyDescent="0.35">
      <c r="A249" s="18"/>
      <c r="B249"/>
      <c r="C249"/>
      <c r="D249"/>
      <c r="E249"/>
      <c r="F249"/>
      <c r="G249"/>
      <c r="H249"/>
      <c r="I249"/>
    </row>
    <row r="250" spans="1:9" x14ac:dyDescent="0.35">
      <c r="A250" s="18"/>
      <c r="B250"/>
      <c r="C250"/>
      <c r="D250"/>
      <c r="E250"/>
      <c r="F250"/>
      <c r="G250"/>
      <c r="H250"/>
      <c r="I250"/>
    </row>
    <row r="251" spans="1:9" x14ac:dyDescent="0.35">
      <c r="A251" s="18"/>
      <c r="B251"/>
      <c r="C251"/>
      <c r="D251"/>
      <c r="E251"/>
      <c r="F251"/>
      <c r="G251"/>
      <c r="H251"/>
      <c r="I251"/>
    </row>
    <row r="252" spans="1:9" x14ac:dyDescent="0.35">
      <c r="A252" s="18"/>
      <c r="B252"/>
      <c r="C252"/>
      <c r="D252"/>
      <c r="E252"/>
      <c r="F252"/>
      <c r="G252"/>
      <c r="H252"/>
      <c r="I252"/>
    </row>
    <row r="253" spans="1:9" x14ac:dyDescent="0.35">
      <c r="A253" s="18"/>
      <c r="B253"/>
      <c r="C253"/>
      <c r="D253"/>
      <c r="E253"/>
      <c r="F253"/>
      <c r="G253"/>
      <c r="H253"/>
      <c r="I253"/>
    </row>
    <row r="254" spans="1:9" x14ac:dyDescent="0.35">
      <c r="A254" s="18"/>
      <c r="B254"/>
      <c r="C254"/>
      <c r="D254"/>
      <c r="E254"/>
      <c r="F254"/>
      <c r="G254"/>
      <c r="H254"/>
      <c r="I254"/>
    </row>
    <row r="255" spans="1:9" x14ac:dyDescent="0.35">
      <c r="A255" s="18"/>
      <c r="B255"/>
      <c r="C255"/>
      <c r="D255"/>
      <c r="E255"/>
      <c r="F255"/>
      <c r="G255"/>
      <c r="H255"/>
      <c r="I255"/>
    </row>
    <row r="256" spans="1:9" x14ac:dyDescent="0.35">
      <c r="A256" s="18"/>
      <c r="B256"/>
      <c r="C256"/>
      <c r="D256"/>
      <c r="E256"/>
      <c r="F256"/>
      <c r="G256"/>
      <c r="H256"/>
      <c r="I256"/>
    </row>
    <row r="257" spans="1:9" x14ac:dyDescent="0.35">
      <c r="A257" s="18"/>
      <c r="B257"/>
      <c r="C257"/>
      <c r="D257"/>
      <c r="E257"/>
      <c r="F257"/>
      <c r="G257"/>
      <c r="H257"/>
      <c r="I257"/>
    </row>
    <row r="258" spans="1:9" x14ac:dyDescent="0.35">
      <c r="A258" s="18"/>
      <c r="B258"/>
      <c r="C258"/>
      <c r="D258"/>
      <c r="E258"/>
      <c r="F258"/>
      <c r="G258"/>
      <c r="H258"/>
      <c r="I258"/>
    </row>
    <row r="259" spans="1:9" x14ac:dyDescent="0.35">
      <c r="A259" s="18"/>
      <c r="B259"/>
      <c r="C259"/>
      <c r="D259"/>
      <c r="E259"/>
      <c r="F259"/>
      <c r="G259"/>
      <c r="H259"/>
      <c r="I259"/>
    </row>
    <row r="260" spans="1:9" x14ac:dyDescent="0.35">
      <c r="A260" s="18"/>
      <c r="B260"/>
      <c r="C260"/>
      <c r="D260"/>
      <c r="E260"/>
      <c r="F260"/>
      <c r="G260"/>
      <c r="H260"/>
      <c r="I260"/>
    </row>
    <row r="261" spans="1:9" x14ac:dyDescent="0.35">
      <c r="A261" s="18"/>
      <c r="B261"/>
      <c r="C261"/>
      <c r="D261"/>
      <c r="E261"/>
      <c r="F261"/>
      <c r="G261"/>
      <c r="H261"/>
      <c r="I261"/>
    </row>
    <row r="262" spans="1:9" x14ac:dyDescent="0.35">
      <c r="A262" s="18"/>
      <c r="B262"/>
      <c r="C262"/>
      <c r="D262"/>
      <c r="E262"/>
      <c r="F262"/>
      <c r="G262"/>
      <c r="H262"/>
      <c r="I262"/>
    </row>
    <row r="263" spans="1:9" x14ac:dyDescent="0.35">
      <c r="A263" s="18"/>
      <c r="B263"/>
      <c r="C263"/>
      <c r="D263"/>
      <c r="E263"/>
      <c r="F263"/>
      <c r="G263"/>
      <c r="H263"/>
      <c r="I263"/>
    </row>
    <row r="264" spans="1:9" x14ac:dyDescent="0.35">
      <c r="A264" s="18"/>
      <c r="B264"/>
      <c r="C264"/>
      <c r="D264"/>
      <c r="E264"/>
      <c r="F264"/>
      <c r="G264"/>
      <c r="H264"/>
      <c r="I264"/>
    </row>
    <row r="265" spans="1:9" x14ac:dyDescent="0.35">
      <c r="A265" s="18"/>
      <c r="B265"/>
      <c r="C265"/>
      <c r="D265"/>
      <c r="E265"/>
      <c r="F265"/>
      <c r="G265"/>
      <c r="H265"/>
      <c r="I265"/>
    </row>
    <row r="266" spans="1:9" x14ac:dyDescent="0.35">
      <c r="A266" s="18"/>
      <c r="B266"/>
      <c r="C266"/>
      <c r="D266"/>
      <c r="E266"/>
      <c r="F266"/>
      <c r="G266"/>
      <c r="H266"/>
      <c r="I266"/>
    </row>
    <row r="267" spans="1:9" x14ac:dyDescent="0.35">
      <c r="A267" s="18"/>
      <c r="B267"/>
      <c r="C267"/>
      <c r="D267"/>
      <c r="E267"/>
      <c r="F267"/>
      <c r="G267"/>
      <c r="H267"/>
      <c r="I267"/>
    </row>
    <row r="268" spans="1:9" x14ac:dyDescent="0.35">
      <c r="A268" s="18"/>
      <c r="B268"/>
      <c r="C268"/>
      <c r="D268"/>
      <c r="E268"/>
      <c r="F268"/>
      <c r="G268"/>
      <c r="H268"/>
      <c r="I268"/>
    </row>
    <row r="269" spans="1:9" x14ac:dyDescent="0.35">
      <c r="A269" s="18"/>
      <c r="B269"/>
      <c r="C269"/>
      <c r="D269"/>
      <c r="E269"/>
      <c r="F269"/>
      <c r="G269"/>
      <c r="H269"/>
      <c r="I269"/>
    </row>
    <row r="270" spans="1:9" x14ac:dyDescent="0.35">
      <c r="A270" s="18"/>
      <c r="B270"/>
      <c r="C270"/>
      <c r="D270"/>
      <c r="E270"/>
      <c r="F270"/>
      <c r="G270"/>
      <c r="H270"/>
      <c r="I270"/>
    </row>
    <row r="271" spans="1:9" x14ac:dyDescent="0.35">
      <c r="A271" s="18"/>
      <c r="B271"/>
      <c r="C271"/>
      <c r="D271"/>
      <c r="E271"/>
      <c r="F271"/>
      <c r="G271"/>
      <c r="H271"/>
      <c r="I271"/>
    </row>
    <row r="272" spans="1:9" x14ac:dyDescent="0.35">
      <c r="A272" s="18"/>
      <c r="B272"/>
      <c r="C272"/>
      <c r="D272"/>
      <c r="E272"/>
      <c r="F272"/>
      <c r="G272"/>
      <c r="H272"/>
      <c r="I272"/>
    </row>
    <row r="273" spans="1:9" x14ac:dyDescent="0.35">
      <c r="A273" s="18"/>
      <c r="B273"/>
      <c r="C273"/>
      <c r="D273"/>
      <c r="E273"/>
      <c r="F273"/>
      <c r="G273"/>
      <c r="H273"/>
      <c r="I273"/>
    </row>
    <row r="274" spans="1:9" x14ac:dyDescent="0.35">
      <c r="A274" s="18"/>
      <c r="B274"/>
      <c r="C274"/>
      <c r="D274"/>
      <c r="E274"/>
      <c r="F274"/>
      <c r="G274"/>
      <c r="H274"/>
      <c r="I274"/>
    </row>
    <row r="275" spans="1:9" x14ac:dyDescent="0.35">
      <c r="A275" s="18"/>
      <c r="B275"/>
      <c r="C275"/>
      <c r="D275"/>
      <c r="E275"/>
      <c r="F275"/>
      <c r="G275"/>
      <c r="H275"/>
      <c r="I275"/>
    </row>
    <row r="276" spans="1:9" x14ac:dyDescent="0.35">
      <c r="A276" s="18"/>
      <c r="B276"/>
      <c r="C276"/>
      <c r="D276"/>
      <c r="E276"/>
      <c r="F276"/>
      <c r="G276"/>
      <c r="H276"/>
      <c r="I276"/>
    </row>
    <row r="277" spans="1:9" x14ac:dyDescent="0.35">
      <c r="A277" s="18"/>
      <c r="B277"/>
      <c r="C277"/>
      <c r="D277"/>
      <c r="E277"/>
      <c r="F277"/>
      <c r="G277"/>
      <c r="H277"/>
      <c r="I277"/>
    </row>
    <row r="278" spans="1:9" x14ac:dyDescent="0.35">
      <c r="A278" s="18"/>
      <c r="B278"/>
      <c r="C278"/>
      <c r="D278"/>
      <c r="E278"/>
      <c r="F278"/>
      <c r="G278"/>
      <c r="H278"/>
      <c r="I278"/>
    </row>
    <row r="279" spans="1:9" x14ac:dyDescent="0.35">
      <c r="A279" s="18"/>
      <c r="B279"/>
      <c r="C279"/>
      <c r="D279"/>
      <c r="E279"/>
      <c r="F279"/>
      <c r="G279"/>
      <c r="H279"/>
      <c r="I279"/>
    </row>
    <row r="280" spans="1:9" x14ac:dyDescent="0.35">
      <c r="A280" s="18"/>
      <c r="B280"/>
      <c r="C280"/>
      <c r="D280"/>
      <c r="E280"/>
      <c r="F280"/>
      <c r="G280"/>
      <c r="H280"/>
      <c r="I280"/>
    </row>
    <row r="281" spans="1:9" x14ac:dyDescent="0.35">
      <c r="A281" s="18"/>
      <c r="B281"/>
      <c r="C281"/>
      <c r="D281"/>
      <c r="E281"/>
      <c r="F281"/>
      <c r="G281"/>
      <c r="H281"/>
      <c r="I281"/>
    </row>
    <row r="282" spans="1:9" x14ac:dyDescent="0.35">
      <c r="A282" s="18"/>
      <c r="B282"/>
      <c r="C282"/>
      <c r="D282"/>
      <c r="E282"/>
      <c r="F282"/>
      <c r="G282"/>
      <c r="H282"/>
      <c r="I282"/>
    </row>
    <row r="283" spans="1:9" x14ac:dyDescent="0.35">
      <c r="A283" s="18"/>
      <c r="B283"/>
      <c r="C283"/>
      <c r="D283"/>
      <c r="E283"/>
      <c r="F283"/>
      <c r="G283"/>
      <c r="H283"/>
      <c r="I283"/>
    </row>
    <row r="284" spans="1:9" x14ac:dyDescent="0.35">
      <c r="A284" s="18"/>
      <c r="B284"/>
      <c r="C284"/>
      <c r="D284"/>
      <c r="E284"/>
      <c r="F284"/>
      <c r="G284"/>
      <c r="H284"/>
      <c r="I284"/>
    </row>
    <row r="285" spans="1:9" x14ac:dyDescent="0.35">
      <c r="A285" s="18"/>
      <c r="B285"/>
      <c r="C285"/>
      <c r="D285"/>
      <c r="E285"/>
      <c r="F285"/>
      <c r="G285"/>
      <c r="H285"/>
      <c r="I285"/>
    </row>
    <row r="286" spans="1:9" x14ac:dyDescent="0.35">
      <c r="A286" s="18"/>
      <c r="B286"/>
      <c r="C286"/>
      <c r="D286"/>
      <c r="E286"/>
      <c r="F286"/>
      <c r="G286"/>
      <c r="H286"/>
      <c r="I286"/>
    </row>
    <row r="287" spans="1:9" x14ac:dyDescent="0.35">
      <c r="A287" s="18"/>
      <c r="B287"/>
      <c r="C287"/>
      <c r="D287"/>
      <c r="E287"/>
      <c r="F287"/>
      <c r="G287"/>
      <c r="H287"/>
      <c r="I287"/>
    </row>
    <row r="288" spans="1:9" x14ac:dyDescent="0.35">
      <c r="A288" s="18"/>
      <c r="B288"/>
      <c r="C288"/>
      <c r="D288"/>
      <c r="E288"/>
      <c r="F288"/>
      <c r="G288"/>
      <c r="H288"/>
      <c r="I288"/>
    </row>
    <row r="289" spans="1:9" x14ac:dyDescent="0.35">
      <c r="A289" s="18"/>
      <c r="B289"/>
      <c r="C289"/>
      <c r="D289"/>
      <c r="E289"/>
      <c r="F289"/>
      <c r="G289"/>
      <c r="H289"/>
      <c r="I289"/>
    </row>
    <row r="290" spans="1:9" x14ac:dyDescent="0.35">
      <c r="A290" s="18"/>
      <c r="B290"/>
      <c r="C290"/>
      <c r="D290"/>
      <c r="E290"/>
      <c r="F290"/>
      <c r="G290"/>
      <c r="H290"/>
      <c r="I290"/>
    </row>
    <row r="291" spans="1:9" x14ac:dyDescent="0.35">
      <c r="A291" s="18"/>
      <c r="B291"/>
      <c r="C291"/>
      <c r="D291"/>
      <c r="E291"/>
      <c r="F291"/>
      <c r="G291"/>
      <c r="H291"/>
      <c r="I291"/>
    </row>
    <row r="292" spans="1:9" x14ac:dyDescent="0.35">
      <c r="A292" s="18"/>
      <c r="B292"/>
      <c r="C292"/>
      <c r="D292"/>
      <c r="E292"/>
      <c r="F292"/>
      <c r="G292"/>
      <c r="H292"/>
      <c r="I292"/>
    </row>
    <row r="293" spans="1:9" x14ac:dyDescent="0.35">
      <c r="A293" s="18"/>
      <c r="B293"/>
      <c r="C293"/>
      <c r="D293"/>
      <c r="E293"/>
      <c r="F293"/>
      <c r="G293"/>
      <c r="H293"/>
      <c r="I293"/>
    </row>
    <row r="294" spans="1:9" x14ac:dyDescent="0.35">
      <c r="A294" s="18"/>
      <c r="B294"/>
      <c r="C294"/>
      <c r="D294"/>
      <c r="E294"/>
      <c r="F294"/>
      <c r="G294"/>
      <c r="H294"/>
      <c r="I294"/>
    </row>
    <row r="295" spans="1:9" x14ac:dyDescent="0.35">
      <c r="A295" s="18"/>
      <c r="B295"/>
      <c r="C295"/>
      <c r="D295"/>
      <c r="E295"/>
      <c r="F295"/>
      <c r="G295"/>
      <c r="H295"/>
      <c r="I295"/>
    </row>
    <row r="296" spans="1:9" x14ac:dyDescent="0.35">
      <c r="A296" s="18"/>
      <c r="B296"/>
      <c r="C296"/>
      <c r="D296"/>
      <c r="E296"/>
      <c r="F296"/>
      <c r="G296"/>
      <c r="H296"/>
      <c r="I296"/>
    </row>
    <row r="297" spans="1:9" x14ac:dyDescent="0.35">
      <c r="A297" s="18"/>
      <c r="B297"/>
      <c r="C297"/>
      <c r="D297"/>
      <c r="E297"/>
      <c r="F297"/>
      <c r="G297"/>
      <c r="H297"/>
      <c r="I297"/>
    </row>
    <row r="298" spans="1:9" x14ac:dyDescent="0.35">
      <c r="A298" s="18"/>
      <c r="B298"/>
      <c r="C298"/>
      <c r="D298"/>
      <c r="E298"/>
      <c r="F298"/>
      <c r="G298"/>
      <c r="H298"/>
      <c r="I298"/>
    </row>
    <row r="299" spans="1:9" x14ac:dyDescent="0.35">
      <c r="A299" s="18"/>
      <c r="B299"/>
      <c r="C299"/>
      <c r="D299"/>
      <c r="E299"/>
      <c r="F299"/>
      <c r="G299"/>
      <c r="H299"/>
      <c r="I299"/>
    </row>
    <row r="300" spans="1:9" x14ac:dyDescent="0.35">
      <c r="A300" s="18"/>
      <c r="B300"/>
      <c r="C300"/>
      <c r="D300"/>
      <c r="E300"/>
      <c r="F300"/>
      <c r="G300"/>
      <c r="H300"/>
      <c r="I300"/>
    </row>
    <row r="301" spans="1:9" x14ac:dyDescent="0.35">
      <c r="A301" s="18"/>
      <c r="B301"/>
      <c r="C301"/>
      <c r="D301"/>
      <c r="E301"/>
      <c r="F301"/>
      <c r="G301"/>
      <c r="H301"/>
      <c r="I301"/>
    </row>
    <row r="302" spans="1:9" x14ac:dyDescent="0.35">
      <c r="A302" s="18"/>
      <c r="B302"/>
      <c r="C302"/>
      <c r="D302"/>
      <c r="E302"/>
      <c r="F302"/>
      <c r="G302"/>
      <c r="H302"/>
      <c r="I302"/>
    </row>
    <row r="303" spans="1:9" x14ac:dyDescent="0.35">
      <c r="A303" s="18"/>
      <c r="B303"/>
      <c r="C303"/>
      <c r="D303"/>
      <c r="E303"/>
      <c r="F303"/>
      <c r="G303"/>
      <c r="H303"/>
      <c r="I303"/>
    </row>
    <row r="304" spans="1:9" x14ac:dyDescent="0.35">
      <c r="A304" s="18"/>
      <c r="B304"/>
      <c r="C304"/>
      <c r="D304"/>
      <c r="E304"/>
      <c r="F304"/>
      <c r="G304"/>
      <c r="H304"/>
      <c r="I304"/>
    </row>
    <row r="305" spans="1:9" x14ac:dyDescent="0.35">
      <c r="A305" s="18"/>
      <c r="B305"/>
      <c r="C305"/>
      <c r="D305"/>
      <c r="E305"/>
      <c r="F305"/>
      <c r="G305"/>
      <c r="H305"/>
      <c r="I305"/>
    </row>
    <row r="306" spans="1:9" x14ac:dyDescent="0.35">
      <c r="A306" s="18"/>
      <c r="B306"/>
      <c r="C306"/>
      <c r="D306"/>
      <c r="E306"/>
      <c r="F306"/>
      <c r="G306"/>
      <c r="H306"/>
      <c r="I306"/>
    </row>
    <row r="307" spans="1:9" x14ac:dyDescent="0.35">
      <c r="A307" s="18"/>
      <c r="B307"/>
      <c r="C307"/>
      <c r="D307"/>
      <c r="E307"/>
      <c r="F307"/>
      <c r="G307"/>
      <c r="H307"/>
      <c r="I307"/>
    </row>
    <row r="308" spans="1:9" x14ac:dyDescent="0.35">
      <c r="A308" s="18"/>
      <c r="B308"/>
      <c r="C308"/>
      <c r="D308"/>
      <c r="E308"/>
      <c r="F308"/>
      <c r="G308"/>
      <c r="H308"/>
      <c r="I308"/>
    </row>
    <row r="309" spans="1:9" x14ac:dyDescent="0.35">
      <c r="A309" s="18"/>
      <c r="B309"/>
      <c r="C309"/>
      <c r="D309"/>
      <c r="E309"/>
      <c r="F309"/>
      <c r="G309"/>
      <c r="H309"/>
      <c r="I309"/>
    </row>
    <row r="310" spans="1:9" x14ac:dyDescent="0.35">
      <c r="A310" s="18"/>
      <c r="B310"/>
      <c r="C310"/>
      <c r="D310"/>
      <c r="E310"/>
      <c r="F310"/>
      <c r="G310"/>
      <c r="H310"/>
      <c r="I310"/>
    </row>
    <row r="311" spans="1:9" x14ac:dyDescent="0.35">
      <c r="A311" s="18"/>
      <c r="B311"/>
      <c r="C311"/>
      <c r="D311"/>
      <c r="E311"/>
      <c r="F311"/>
      <c r="G311"/>
      <c r="H311"/>
      <c r="I311"/>
    </row>
    <row r="312" spans="1:9" x14ac:dyDescent="0.35">
      <c r="A312" s="18"/>
      <c r="B312"/>
      <c r="C312"/>
      <c r="D312"/>
      <c r="E312"/>
      <c r="F312"/>
      <c r="G312"/>
      <c r="H312"/>
      <c r="I312"/>
    </row>
    <row r="313" spans="1:9" x14ac:dyDescent="0.35">
      <c r="A313" s="18"/>
      <c r="B313"/>
      <c r="C313"/>
      <c r="D313"/>
      <c r="E313"/>
      <c r="F313"/>
      <c r="G313"/>
      <c r="H313"/>
      <c r="I313"/>
    </row>
    <row r="314" spans="1:9" x14ac:dyDescent="0.35">
      <c r="A314" s="18"/>
      <c r="B314"/>
      <c r="C314"/>
      <c r="D314"/>
      <c r="E314"/>
      <c r="F314"/>
      <c r="G314"/>
      <c r="H314"/>
      <c r="I314"/>
    </row>
    <row r="315" spans="1:9" x14ac:dyDescent="0.35">
      <c r="A315" s="18"/>
      <c r="B315"/>
      <c r="C315"/>
      <c r="D315"/>
      <c r="E315"/>
      <c r="F315"/>
      <c r="G315"/>
      <c r="H315"/>
      <c r="I315"/>
    </row>
    <row r="316" spans="1:9" x14ac:dyDescent="0.35">
      <c r="A316" s="18"/>
      <c r="B316"/>
      <c r="C316"/>
      <c r="D316"/>
      <c r="E316"/>
      <c r="F316"/>
      <c r="G316"/>
      <c r="H316"/>
      <c r="I316"/>
    </row>
    <row r="317" spans="1:9" x14ac:dyDescent="0.35">
      <c r="A317" s="18"/>
      <c r="B317"/>
      <c r="C317"/>
      <c r="D317"/>
      <c r="E317"/>
      <c r="F317"/>
      <c r="G317"/>
      <c r="H317"/>
      <c r="I317"/>
    </row>
    <row r="318" spans="1:9" x14ac:dyDescent="0.35">
      <c r="A318" s="18"/>
      <c r="B318"/>
      <c r="C318"/>
      <c r="D318"/>
      <c r="E318"/>
      <c r="F318"/>
      <c r="G318"/>
      <c r="H318"/>
      <c r="I318"/>
    </row>
    <row r="319" spans="1:9" x14ac:dyDescent="0.35">
      <c r="A319" s="18"/>
      <c r="B319"/>
      <c r="C319"/>
      <c r="D319"/>
      <c r="E319"/>
      <c r="F319"/>
      <c r="G319"/>
      <c r="H319"/>
      <c r="I319"/>
    </row>
    <row r="320" spans="1:9" x14ac:dyDescent="0.35">
      <c r="A320" s="18"/>
      <c r="B320"/>
      <c r="C320"/>
      <c r="D320"/>
      <c r="E320"/>
      <c r="F320"/>
      <c r="G320"/>
      <c r="H320"/>
      <c r="I320"/>
    </row>
    <row r="321" spans="1:9" x14ac:dyDescent="0.35">
      <c r="A321" s="18"/>
      <c r="B321"/>
      <c r="C321"/>
      <c r="D321"/>
      <c r="E321"/>
      <c r="F321"/>
      <c r="G321"/>
      <c r="H321"/>
      <c r="I321"/>
    </row>
    <row r="322" spans="1:9" x14ac:dyDescent="0.35">
      <c r="A322" s="18"/>
      <c r="B322"/>
      <c r="C322"/>
      <c r="D322"/>
      <c r="E322"/>
      <c r="F322"/>
      <c r="G322"/>
      <c r="H322"/>
      <c r="I322"/>
    </row>
    <row r="323" spans="1:9" x14ac:dyDescent="0.35">
      <c r="A323" s="18"/>
      <c r="B323"/>
      <c r="C323"/>
      <c r="D323"/>
      <c r="E323"/>
      <c r="F323"/>
      <c r="G323"/>
      <c r="H323"/>
      <c r="I323"/>
    </row>
    <row r="324" spans="1:9" x14ac:dyDescent="0.35">
      <c r="A324" s="18"/>
      <c r="B324"/>
      <c r="C324"/>
      <c r="D324"/>
      <c r="E324"/>
      <c r="F324"/>
      <c r="G324"/>
      <c r="H324"/>
      <c r="I324"/>
    </row>
    <row r="325" spans="1:9" x14ac:dyDescent="0.35">
      <c r="A325" s="18"/>
      <c r="B325"/>
      <c r="C325"/>
      <c r="D325"/>
      <c r="E325"/>
      <c r="F325"/>
      <c r="G325"/>
      <c r="H325"/>
      <c r="I325"/>
    </row>
    <row r="326" spans="1:9" x14ac:dyDescent="0.35">
      <c r="A326" s="18"/>
      <c r="B326"/>
      <c r="C326"/>
      <c r="D326"/>
      <c r="E326"/>
      <c r="F326"/>
      <c r="G326"/>
      <c r="H326"/>
      <c r="I326"/>
    </row>
    <row r="327" spans="1:9" x14ac:dyDescent="0.35">
      <c r="A327" s="18"/>
      <c r="B327"/>
      <c r="C327"/>
      <c r="D327"/>
      <c r="E327"/>
      <c r="F327"/>
      <c r="G327"/>
      <c r="H327"/>
      <c r="I327"/>
    </row>
    <row r="328" spans="1:9" x14ac:dyDescent="0.35">
      <c r="A328" s="18"/>
      <c r="B328"/>
      <c r="C328"/>
      <c r="D328"/>
      <c r="E328"/>
      <c r="F328"/>
      <c r="G328"/>
      <c r="H328"/>
      <c r="I328"/>
    </row>
    <row r="329" spans="1:9" x14ac:dyDescent="0.35">
      <c r="A329" s="18"/>
      <c r="B329"/>
      <c r="C329"/>
      <c r="D329"/>
      <c r="E329"/>
      <c r="F329"/>
      <c r="G329"/>
      <c r="H329"/>
      <c r="I329"/>
    </row>
    <row r="330" spans="1:9" x14ac:dyDescent="0.35">
      <c r="A330" s="18"/>
      <c r="B330"/>
      <c r="C330"/>
      <c r="D330"/>
      <c r="E330"/>
      <c r="F330"/>
      <c r="G330"/>
      <c r="H330"/>
      <c r="I330"/>
    </row>
    <row r="331" spans="1:9" x14ac:dyDescent="0.35">
      <c r="A331" s="18"/>
      <c r="B331"/>
      <c r="C331"/>
      <c r="D331"/>
      <c r="E331"/>
      <c r="F331"/>
      <c r="G331"/>
      <c r="H331"/>
      <c r="I331"/>
    </row>
    <row r="332" spans="1:9" x14ac:dyDescent="0.35">
      <c r="A332" s="18"/>
      <c r="B332"/>
      <c r="C332"/>
      <c r="D332"/>
      <c r="E332"/>
      <c r="F332"/>
      <c r="G332"/>
      <c r="H332"/>
      <c r="I332"/>
    </row>
    <row r="333" spans="1:9" x14ac:dyDescent="0.35">
      <c r="A333" s="18"/>
      <c r="B333"/>
      <c r="C333"/>
      <c r="D333"/>
      <c r="E333"/>
      <c r="F333"/>
      <c r="G333"/>
      <c r="H333"/>
      <c r="I333"/>
    </row>
    <row r="334" spans="1:9" x14ac:dyDescent="0.35">
      <c r="A334" s="18"/>
      <c r="B334"/>
      <c r="C334"/>
      <c r="D334"/>
      <c r="E334"/>
      <c r="F334"/>
      <c r="G334"/>
      <c r="H334"/>
      <c r="I334"/>
    </row>
    <row r="335" spans="1:9" x14ac:dyDescent="0.35">
      <c r="A335" s="18"/>
      <c r="B335"/>
      <c r="C335"/>
      <c r="D335"/>
      <c r="E335"/>
      <c r="F335"/>
      <c r="G335"/>
      <c r="H335"/>
      <c r="I335"/>
    </row>
    <row r="336" spans="1:9" x14ac:dyDescent="0.35">
      <c r="A336" s="18"/>
      <c r="B336"/>
      <c r="C336"/>
      <c r="D336"/>
      <c r="E336"/>
      <c r="F336"/>
      <c r="G336"/>
      <c r="H336"/>
      <c r="I336"/>
    </row>
    <row r="337" spans="1:9" x14ac:dyDescent="0.35">
      <c r="A337" s="18"/>
      <c r="B337"/>
      <c r="C337"/>
      <c r="D337"/>
      <c r="E337"/>
      <c r="F337"/>
      <c r="G337"/>
      <c r="H337"/>
      <c r="I337"/>
    </row>
    <row r="338" spans="1:9" x14ac:dyDescent="0.35">
      <c r="A338" s="18"/>
      <c r="B338"/>
      <c r="C338"/>
      <c r="D338"/>
      <c r="E338"/>
      <c r="F338"/>
      <c r="G338"/>
      <c r="H338"/>
      <c r="I338"/>
    </row>
    <row r="339" spans="1:9" x14ac:dyDescent="0.35">
      <c r="A339" s="18"/>
      <c r="B339"/>
      <c r="C339"/>
      <c r="D339"/>
      <c r="E339"/>
      <c r="F339"/>
      <c r="G339"/>
      <c r="H339"/>
      <c r="I339"/>
    </row>
    <row r="340" spans="1:9" x14ac:dyDescent="0.35">
      <c r="A340" s="18"/>
      <c r="B340"/>
      <c r="C340"/>
      <c r="D340"/>
      <c r="E340"/>
      <c r="F340"/>
      <c r="G340"/>
      <c r="H340"/>
      <c r="I340"/>
    </row>
    <row r="341" spans="1:9" x14ac:dyDescent="0.35">
      <c r="A341" s="18"/>
      <c r="B341"/>
      <c r="C341"/>
      <c r="D341"/>
      <c r="E341"/>
      <c r="F341"/>
      <c r="G341"/>
      <c r="H341"/>
      <c r="I341"/>
    </row>
    <row r="342" spans="1:9" x14ac:dyDescent="0.35">
      <c r="A342" s="18"/>
      <c r="B342"/>
      <c r="C342"/>
      <c r="D342"/>
      <c r="E342"/>
      <c r="F342"/>
      <c r="G342"/>
      <c r="H342"/>
      <c r="I342"/>
    </row>
    <row r="343" spans="1:9" x14ac:dyDescent="0.35">
      <c r="A343" s="18"/>
      <c r="B343"/>
      <c r="C343"/>
      <c r="D343"/>
      <c r="E343"/>
      <c r="F343"/>
      <c r="G343"/>
      <c r="H343"/>
      <c r="I343"/>
    </row>
    <row r="344" spans="1:9" x14ac:dyDescent="0.35">
      <c r="A344" s="18"/>
      <c r="B344"/>
      <c r="C344"/>
      <c r="D344"/>
      <c r="E344"/>
      <c r="F344"/>
      <c r="G344"/>
      <c r="H344"/>
      <c r="I344"/>
    </row>
    <row r="345" spans="1:9" x14ac:dyDescent="0.35">
      <c r="A345" s="18"/>
      <c r="B345"/>
      <c r="C345"/>
      <c r="D345"/>
      <c r="E345"/>
      <c r="F345"/>
      <c r="G345"/>
      <c r="H345"/>
      <c r="I345"/>
    </row>
    <row r="346" spans="1:9" x14ac:dyDescent="0.35">
      <c r="A346" s="18"/>
      <c r="B346"/>
      <c r="C346"/>
      <c r="D346"/>
      <c r="E346"/>
      <c r="F346"/>
      <c r="G346"/>
      <c r="H346"/>
      <c r="I346"/>
    </row>
    <row r="347" spans="1:9" x14ac:dyDescent="0.35">
      <c r="A347" s="18"/>
      <c r="B347"/>
      <c r="C347"/>
      <c r="D347"/>
      <c r="E347"/>
      <c r="F347"/>
      <c r="G347"/>
      <c r="H347"/>
      <c r="I347"/>
    </row>
    <row r="348" spans="1:9" x14ac:dyDescent="0.35">
      <c r="A348" s="18"/>
      <c r="B348"/>
      <c r="C348"/>
      <c r="D348"/>
      <c r="E348"/>
      <c r="F348"/>
      <c r="G348"/>
      <c r="H348"/>
      <c r="I348"/>
    </row>
    <row r="349" spans="1:9" x14ac:dyDescent="0.35">
      <c r="A349" s="18"/>
      <c r="B349"/>
      <c r="C349"/>
      <c r="D349"/>
      <c r="E349"/>
      <c r="F349"/>
      <c r="G349"/>
      <c r="H349"/>
      <c r="I349"/>
    </row>
    <row r="350" spans="1:9" x14ac:dyDescent="0.35">
      <c r="A350" s="18"/>
      <c r="B350"/>
      <c r="C350"/>
      <c r="D350"/>
      <c r="E350"/>
      <c r="F350"/>
      <c r="G350"/>
      <c r="H350"/>
      <c r="I350"/>
    </row>
    <row r="351" spans="1:9" x14ac:dyDescent="0.35">
      <c r="A351" s="18"/>
      <c r="B351"/>
      <c r="C351"/>
      <c r="D351"/>
      <c r="E351"/>
      <c r="F351"/>
      <c r="G351"/>
      <c r="H351"/>
      <c r="I351"/>
    </row>
    <row r="352" spans="1:9" x14ac:dyDescent="0.35">
      <c r="A352" s="18"/>
      <c r="B352"/>
      <c r="C352"/>
      <c r="D352"/>
      <c r="E352"/>
      <c r="F352"/>
      <c r="G352"/>
      <c r="H352"/>
      <c r="I352"/>
    </row>
    <row r="353" spans="1:9" x14ac:dyDescent="0.35">
      <c r="A353" s="18"/>
      <c r="B353"/>
      <c r="C353"/>
      <c r="D353"/>
      <c r="E353"/>
      <c r="F353"/>
      <c r="G353"/>
      <c r="H353"/>
      <c r="I353"/>
    </row>
    <row r="354" spans="1:9" x14ac:dyDescent="0.35">
      <c r="A354" s="18"/>
      <c r="B354"/>
      <c r="C354"/>
      <c r="D354"/>
      <c r="E354"/>
      <c r="F354"/>
      <c r="G354"/>
      <c r="H354"/>
      <c r="I354"/>
    </row>
    <row r="355" spans="1:9" x14ac:dyDescent="0.35">
      <c r="A355" s="18"/>
      <c r="B355"/>
      <c r="C355"/>
      <c r="D355"/>
      <c r="E355"/>
      <c r="F355"/>
      <c r="G355"/>
      <c r="H355"/>
      <c r="I355"/>
    </row>
    <row r="356" spans="1:9" x14ac:dyDescent="0.35">
      <c r="A356" s="18"/>
      <c r="B356"/>
      <c r="C356"/>
      <c r="D356"/>
      <c r="E356"/>
      <c r="F356"/>
      <c r="G356"/>
      <c r="H356"/>
      <c r="I356"/>
    </row>
    <row r="357" spans="1:9" x14ac:dyDescent="0.35">
      <c r="A357" s="18"/>
      <c r="B357"/>
      <c r="C357"/>
      <c r="D357"/>
      <c r="E357"/>
      <c r="F357"/>
      <c r="G357"/>
      <c r="H357"/>
      <c r="I357"/>
    </row>
    <row r="358" spans="1:9" x14ac:dyDescent="0.35">
      <c r="A358" s="18"/>
      <c r="B358"/>
      <c r="C358"/>
      <c r="D358"/>
      <c r="E358"/>
      <c r="F358"/>
      <c r="G358"/>
      <c r="H358"/>
      <c r="I358"/>
    </row>
    <row r="359" spans="1:9" x14ac:dyDescent="0.35">
      <c r="A359" s="18"/>
      <c r="B359"/>
      <c r="C359"/>
      <c r="D359"/>
      <c r="E359"/>
      <c r="F359"/>
      <c r="G359"/>
      <c r="H359"/>
      <c r="I359"/>
    </row>
    <row r="360" spans="1:9" x14ac:dyDescent="0.35">
      <c r="A360" s="18"/>
      <c r="B360"/>
      <c r="C360"/>
      <c r="D360"/>
      <c r="E360"/>
      <c r="F360"/>
      <c r="G360"/>
      <c r="H360"/>
      <c r="I360"/>
    </row>
    <row r="361" spans="1:9" x14ac:dyDescent="0.35">
      <c r="A361" s="18"/>
      <c r="B361"/>
      <c r="C361"/>
      <c r="D361"/>
      <c r="E361"/>
      <c r="F361"/>
      <c r="G361"/>
      <c r="H361"/>
      <c r="I361"/>
    </row>
    <row r="362" spans="1:9" x14ac:dyDescent="0.35">
      <c r="A362" s="18"/>
      <c r="B362"/>
      <c r="C362"/>
      <c r="D362"/>
      <c r="E362"/>
      <c r="F362"/>
      <c r="G362"/>
      <c r="H362"/>
      <c r="I362"/>
    </row>
    <row r="363" spans="1:9" x14ac:dyDescent="0.35">
      <c r="A363" s="18"/>
      <c r="B363"/>
      <c r="C363"/>
      <c r="D363"/>
      <c r="E363"/>
      <c r="F363"/>
      <c r="G363"/>
      <c r="H363"/>
      <c r="I363"/>
    </row>
    <row r="364" spans="1:9" x14ac:dyDescent="0.35">
      <c r="A364" s="18"/>
      <c r="B364"/>
      <c r="C364"/>
      <c r="D364"/>
      <c r="E364"/>
      <c r="F364"/>
      <c r="G364"/>
      <c r="H364"/>
      <c r="I364"/>
    </row>
    <row r="365" spans="1:9" x14ac:dyDescent="0.35">
      <c r="A365" s="18"/>
      <c r="B365"/>
      <c r="C365"/>
      <c r="D365"/>
      <c r="E365"/>
      <c r="F365"/>
      <c r="G365"/>
      <c r="H365"/>
      <c r="I365"/>
    </row>
    <row r="366" spans="1:9" x14ac:dyDescent="0.35">
      <c r="A366" s="18"/>
      <c r="B366"/>
      <c r="C366"/>
      <c r="D366"/>
      <c r="E366"/>
      <c r="F366"/>
      <c r="G366"/>
      <c r="H366"/>
      <c r="I366"/>
    </row>
    <row r="367" spans="1:9" x14ac:dyDescent="0.35">
      <c r="A367" s="18"/>
      <c r="B367"/>
      <c r="C367"/>
      <c r="D367"/>
      <c r="E367"/>
      <c r="F367"/>
      <c r="G367"/>
      <c r="H367"/>
      <c r="I367"/>
    </row>
    <row r="368" spans="1:9" x14ac:dyDescent="0.35">
      <c r="A368" s="18"/>
      <c r="B368"/>
      <c r="C368"/>
      <c r="D368"/>
      <c r="E368"/>
      <c r="F368"/>
      <c r="G368"/>
      <c r="H368"/>
      <c r="I368"/>
    </row>
    <row r="369" spans="1:9" x14ac:dyDescent="0.35">
      <c r="A369" s="18"/>
      <c r="B369"/>
      <c r="C369"/>
      <c r="D369"/>
      <c r="E369"/>
      <c r="F369"/>
      <c r="G369"/>
      <c r="H369"/>
      <c r="I369"/>
    </row>
    <row r="370" spans="1:9" x14ac:dyDescent="0.35">
      <c r="A370" s="18"/>
      <c r="B370"/>
      <c r="C370"/>
      <c r="D370"/>
      <c r="E370"/>
      <c r="F370"/>
      <c r="G370"/>
      <c r="H370"/>
      <c r="I370"/>
    </row>
    <row r="371" spans="1:9" x14ac:dyDescent="0.35">
      <c r="A371" s="18"/>
      <c r="B371"/>
      <c r="C371"/>
      <c r="D371"/>
      <c r="E371"/>
      <c r="F371"/>
      <c r="G371"/>
      <c r="H371"/>
      <c r="I371"/>
    </row>
    <row r="372" spans="1:9" x14ac:dyDescent="0.35">
      <c r="A372" s="18"/>
      <c r="B372"/>
      <c r="C372"/>
      <c r="D372"/>
      <c r="E372"/>
      <c r="F372"/>
      <c r="G372"/>
      <c r="H372"/>
      <c r="I372"/>
    </row>
    <row r="373" spans="1:9" x14ac:dyDescent="0.35">
      <c r="A373" s="18"/>
      <c r="B373"/>
      <c r="C373"/>
      <c r="D373"/>
      <c r="E373"/>
      <c r="F373"/>
      <c r="G373"/>
      <c r="H373"/>
      <c r="I373"/>
    </row>
    <row r="374" spans="1:9" x14ac:dyDescent="0.35">
      <c r="A374" s="18"/>
      <c r="B374"/>
      <c r="C374"/>
      <c r="D374"/>
      <c r="E374"/>
      <c r="F374"/>
      <c r="G374"/>
      <c r="H374"/>
      <c r="I37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67ACD-3549-4B39-831E-FD787EC20E48}">
  <sheetPr>
    <tabColor theme="9"/>
  </sheetPr>
  <sheetViews>
    <sheetView workbookViewId="0">
      <selection pane="topLeft" activeCell="G2" sqref="G2"/>
    </sheetView>
  </sheetViews>
  <sheetFormatPr baseColWidth="8" defaultColWidth="9" defaultRowHeight="14"/>
  <cols>
    <col min="1" max="1" width="7.1796875" style="2" bestFit="1" customWidth="1"/>
    <col min="2" max="2" width="11.1796875" style="2" bestFit="1" customWidth="1"/>
    <col min="3" max="4" width="11.1796875" style="2" customWidth="1"/>
    <col min="5" max="5" width="14.54296875" style="2" bestFit="1" customWidth="1"/>
    <col min="6" max="6" width="14.54296875" style="2" customWidth="1"/>
    <col min="7" max="7" width="10" style="2" bestFit="1" customWidth="1"/>
    <col min="8" max="8" width="5.26953125" style="2" customWidth="1"/>
    <col min="9" max="9" width="13.1796875" style="2" bestFit="1" customWidth="1"/>
    <col min="10" max="13" width="9" style="2" customWidth="1"/>
    <col min="14" max="14" width="30.1796875" style="2" bestFit="1" customWidth="1"/>
    <col min="15" max="16384" width="9" style="2" customWidth="1"/>
  </cols>
  <sheetData>
    <row r="1" spans="1:14" x14ac:dyDescent="0.35">
      <c r="A1" s="1" t="s">
        <v>106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167</v>
      </c>
      <c r="G1" s="1" t="s">
        <v>168</v>
      </c>
      <c r="H1" s="1" t="s">
        <v>131</v>
      </c>
      <c r="I1" s="1" t="s">
        <v>173</v>
      </c>
      <c r="J1" s="1" t="s">
        <v>0</v>
      </c>
      <c r="K1" s="1" t="s">
        <v>132</v>
      </c>
      <c r="L1" s="1" t="s">
        <v>1</v>
      </c>
      <c r="M1" s="1"/>
    </row>
    <row r="2" spans="1:14" x14ac:dyDescent="0.35">
      <c r="A2" s="29">
        <v>-1</v>
      </c>
      <c r="B2">
        <v>55</v>
      </c>
      <c r="C2">
        <v>0</v>
      </c>
      <c r="D2">
        <v>55</v>
      </c>
      <c r="E2">
        <v>0</v>
      </c>
      <c r="F2">
        <v>0</v>
      </c>
      <c r="G2">
        <v>0</v>
      </c>
      <c r="H2">
        <v>0</v>
      </c>
      <c r="I2" s="2">
        <v>0</v>
      </c>
      <c r="J2" s="2">
        <v>0</v>
      </c>
      <c r="K2" s="2">
        <v>0</v>
      </c>
      <c r="L2" s="2">
        <v>0</v>
      </c>
      <c r="N2" s="2" t="s">
        <v>127</v>
      </c>
    </row>
    <row r="3" spans="1:14" x14ac:dyDescent="0.35">
      <c r="A3" s="29">
        <v>-0.9</v>
      </c>
      <c r="B3">
        <v>55</v>
      </c>
      <c r="C3">
        <v>0</v>
      </c>
      <c r="D3">
        <v>55</v>
      </c>
      <c r="E3">
        <v>0</v>
      </c>
      <c r="F3">
        <v>0</v>
      </c>
      <c r="G3">
        <v>0</v>
      </c>
      <c r="H3">
        <v>0</v>
      </c>
      <c r="I3" s="2">
        <v>0</v>
      </c>
      <c r="J3" s="2">
        <v>0</v>
      </c>
      <c r="K3" s="2">
        <v>0</v>
      </c>
      <c r="L3" s="2">
        <v>0</v>
      </c>
      <c r="N3" s="2" t="s">
        <v>128</v>
      </c>
    </row>
    <row r="4" spans="1:14" x14ac:dyDescent="0.35">
      <c r="A4" s="29">
        <v>-0.8</v>
      </c>
      <c r="B4">
        <v>55</v>
      </c>
      <c r="C4">
        <v>0</v>
      </c>
      <c r="D4">
        <v>55</v>
      </c>
      <c r="E4">
        <v>0</v>
      </c>
      <c r="F4">
        <v>0</v>
      </c>
      <c r="G4">
        <v>0</v>
      </c>
      <c r="H4">
        <v>0</v>
      </c>
      <c r="I4" s="2">
        <v>0</v>
      </c>
      <c r="J4" s="2">
        <v>0</v>
      </c>
      <c r="K4" s="2">
        <v>0</v>
      </c>
      <c r="L4" s="2">
        <v>0</v>
      </c>
      <c r="N4" s="2" t="s">
        <v>133</v>
      </c>
    </row>
    <row r="5" spans="1:14" x14ac:dyDescent="0.35">
      <c r="A5" s="29">
        <v>-0.7</v>
      </c>
      <c r="B5">
        <v>55</v>
      </c>
      <c r="C5">
        <v>0</v>
      </c>
      <c r="D5">
        <v>55</v>
      </c>
      <c r="E5">
        <v>0</v>
      </c>
      <c r="F5">
        <v>0</v>
      </c>
      <c r="G5">
        <v>0</v>
      </c>
      <c r="H5">
        <v>0</v>
      </c>
      <c r="I5" s="2">
        <v>0</v>
      </c>
      <c r="J5" s="2">
        <v>0</v>
      </c>
      <c r="K5" s="2">
        <v>0</v>
      </c>
      <c r="L5" s="2">
        <v>0</v>
      </c>
      <c r="N5" s="2" t="s">
        <v>129</v>
      </c>
    </row>
    <row r="6" spans="1:14" x14ac:dyDescent="0.35">
      <c r="A6" s="29">
        <v>-0.6</v>
      </c>
      <c r="B6">
        <v>55</v>
      </c>
      <c r="C6">
        <v>0</v>
      </c>
      <c r="D6">
        <v>55</v>
      </c>
      <c r="E6">
        <v>0</v>
      </c>
      <c r="F6">
        <v>0</v>
      </c>
      <c r="G6">
        <v>0</v>
      </c>
      <c r="H6">
        <v>0</v>
      </c>
      <c r="I6" s="2">
        <v>0</v>
      </c>
      <c r="J6" s="2">
        <v>0</v>
      </c>
      <c r="K6" s="2">
        <v>0</v>
      </c>
      <c r="L6" s="2">
        <v>0</v>
      </c>
      <c r="N6" s="2" t="s">
        <v>134</v>
      </c>
    </row>
    <row r="7" spans="1:14" x14ac:dyDescent="0.35">
      <c r="A7" s="29">
        <v>-0.5</v>
      </c>
      <c r="B7">
        <v>55</v>
      </c>
      <c r="C7">
        <v>0</v>
      </c>
      <c r="D7">
        <v>55</v>
      </c>
      <c r="E7">
        <v>0</v>
      </c>
      <c r="F7">
        <v>0</v>
      </c>
      <c r="G7">
        <v>0</v>
      </c>
      <c r="H7">
        <v>0</v>
      </c>
      <c r="I7" s="2">
        <v>0</v>
      </c>
      <c r="J7" s="2">
        <v>0</v>
      </c>
      <c r="K7" s="2">
        <v>0</v>
      </c>
      <c r="L7" s="2">
        <v>0</v>
      </c>
      <c r="N7" s="2" t="s">
        <v>130</v>
      </c>
    </row>
    <row r="8" spans="1:14" x14ac:dyDescent="0.35">
      <c r="A8" s="29">
        <v>-0.4</v>
      </c>
      <c r="B8">
        <v>55</v>
      </c>
      <c r="C8">
        <v>0</v>
      </c>
      <c r="D8">
        <v>55</v>
      </c>
      <c r="E8">
        <v>0</v>
      </c>
      <c r="F8">
        <v>0</v>
      </c>
      <c r="G8">
        <v>0</v>
      </c>
      <c r="H8">
        <v>0</v>
      </c>
      <c r="I8" s="2">
        <v>0</v>
      </c>
      <c r="J8" s="2">
        <v>0</v>
      </c>
      <c r="K8" s="2">
        <v>0</v>
      </c>
      <c r="L8" s="2">
        <v>0</v>
      </c>
    </row>
    <row r="9" spans="1:14" x14ac:dyDescent="0.35">
      <c r="A9" s="29">
        <v>-0.3</v>
      </c>
      <c r="B9">
        <v>55</v>
      </c>
      <c r="C9">
        <v>0</v>
      </c>
      <c r="D9">
        <v>55</v>
      </c>
      <c r="E9">
        <v>0</v>
      </c>
      <c r="F9">
        <v>0</v>
      </c>
      <c r="G9">
        <v>0</v>
      </c>
      <c r="H9">
        <v>0</v>
      </c>
      <c r="I9" s="2">
        <v>0</v>
      </c>
      <c r="J9" s="2">
        <v>0</v>
      </c>
      <c r="K9" s="2">
        <v>0</v>
      </c>
      <c r="L9" s="2">
        <v>0</v>
      </c>
    </row>
    <row r="10" spans="1:14" x14ac:dyDescent="0.35">
      <c r="A10" s="29">
        <v>-0.2</v>
      </c>
      <c r="B10">
        <v>55</v>
      </c>
      <c r="C10">
        <v>0</v>
      </c>
      <c r="D10">
        <v>55</v>
      </c>
      <c r="E10">
        <v>0</v>
      </c>
      <c r="F10">
        <v>0</v>
      </c>
      <c r="G10">
        <v>0</v>
      </c>
      <c r="H10">
        <v>0</v>
      </c>
      <c r="I10" s="2">
        <v>0</v>
      </c>
      <c r="J10" s="2">
        <v>0</v>
      </c>
      <c r="K10" s="2">
        <v>0</v>
      </c>
      <c r="L10" s="2">
        <v>0</v>
      </c>
    </row>
    <row r="11" spans="1:14" x14ac:dyDescent="0.35">
      <c r="A11" s="29">
        <v>-0.1</v>
      </c>
      <c r="B11">
        <v>55</v>
      </c>
      <c r="C11">
        <v>0</v>
      </c>
      <c r="D11">
        <v>55</v>
      </c>
      <c r="E11">
        <v>0</v>
      </c>
      <c r="F11">
        <v>0</v>
      </c>
      <c r="G11">
        <v>0</v>
      </c>
      <c r="H11">
        <v>0</v>
      </c>
      <c r="I11" s="2">
        <v>0</v>
      </c>
      <c r="J11" s="2">
        <v>0</v>
      </c>
      <c r="K11" s="2">
        <v>0</v>
      </c>
      <c r="L11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8115C-8EC6-489D-BC69-27833C293D46}">
  <sheetPr>
    <tabColor theme="5"/>
  </sheetPr>
  <sheetViews>
    <sheetView workbookViewId="0">
      <selection pane="topLeft" activeCell="F34" sqref="F34"/>
    </sheetView>
  </sheetViews>
  <sheetFormatPr baseColWidth="8" defaultRowHeight="14"/>
  <cols>
    <col min="1" max="1" width="7.453125" bestFit="1" customWidth="1"/>
    <col min="2" max="2" width="9.81640625" customWidth="1"/>
    <col min="3" max="3" width="8.81640625" customWidth="1"/>
    <col min="4" max="4" width="7.26953125" customWidth="1"/>
  </cols>
  <sheetData>
    <row r="1" spans="1:4" x14ac:dyDescent="0.35">
      <c r="A1" s="28" t="s">
        <v>106</v>
      </c>
      <c r="B1" s="28" t="s">
        <v>0</v>
      </c>
      <c r="C1" s="28" t="s">
        <v>132</v>
      </c>
      <c r="D1" s="28" t="s">
        <v>1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f>A2+0.1</f>
        <v>0.1</v>
      </c>
      <c r="B3">
        <v>0</v>
      </c>
      <c r="C3">
        <v>0</v>
      </c>
      <c r="D3">
        <v>0</v>
      </c>
    </row>
    <row r="4" spans="1:4" x14ac:dyDescent="0.35">
      <c r="A4">
        <f>A3+0.1</f>
        <v>0.2</v>
      </c>
      <c r="B4">
        <v>0</v>
      </c>
      <c r="C4">
        <v>0</v>
      </c>
      <c r="D4">
        <v>0</v>
      </c>
    </row>
    <row r="5" spans="1:4" x14ac:dyDescent="0.35">
      <c r="A5">
        <f>A4+0.1</f>
        <v>0.3</v>
      </c>
      <c r="B5">
        <v>0</v>
      </c>
      <c r="C5">
        <v>0</v>
      </c>
      <c r="D5">
        <v>0</v>
      </c>
    </row>
    <row r="6" spans="1:4" x14ac:dyDescent="0.35">
      <c r="A6">
        <f>A5+0.1</f>
        <v>0.4</v>
      </c>
      <c r="B6">
        <v>0</v>
      </c>
      <c r="C6">
        <v>0</v>
      </c>
      <c r="D6">
        <v>0</v>
      </c>
    </row>
    <row r="7" spans="1:4" x14ac:dyDescent="0.35">
      <c r="A7">
        <f>A6+0.1</f>
        <v>0.5</v>
      </c>
      <c r="B7">
        <v>0</v>
      </c>
      <c r="C7">
        <v>0</v>
      </c>
      <c r="D7">
        <v>0</v>
      </c>
    </row>
    <row r="8" spans="1:4" x14ac:dyDescent="0.35">
      <c r="A8">
        <f>A7+0.1</f>
        <v>0.6</v>
      </c>
      <c r="B8">
        <v>0</v>
      </c>
      <c r="C8">
        <v>0</v>
      </c>
      <c r="D8">
        <v>0</v>
      </c>
    </row>
    <row r="9" spans="1:4" x14ac:dyDescent="0.35">
      <c r="A9">
        <f>A8+0.1</f>
        <v>0.7</v>
      </c>
      <c r="B9">
        <v>0</v>
      </c>
      <c r="C9">
        <v>0</v>
      </c>
      <c r="D9">
        <v>0</v>
      </c>
    </row>
    <row r="10" spans="1:4" x14ac:dyDescent="0.35">
      <c r="A10">
        <f>A9+0.1</f>
        <v>0.8</v>
      </c>
      <c r="B10">
        <v>0</v>
      </c>
      <c r="C10">
        <v>0</v>
      </c>
      <c r="D10">
        <v>0</v>
      </c>
    </row>
    <row r="11" spans="1:4" x14ac:dyDescent="0.35">
      <c r="A11">
        <f>A10+0.1</f>
        <v>0.9</v>
      </c>
      <c r="B11">
        <v>0</v>
      </c>
      <c r="C11">
        <v>0</v>
      </c>
      <c r="D11">
        <v>0</v>
      </c>
    </row>
    <row r="12" spans="1:4" x14ac:dyDescent="0.35">
      <c r="A12">
        <f>A11+0.1</f>
        <v>1</v>
      </c>
      <c r="B12">
        <v>0</v>
      </c>
      <c r="C12">
        <v>0</v>
      </c>
      <c r="D12">
        <v>0</v>
      </c>
    </row>
    <row r="13" spans="1:4" x14ac:dyDescent="0.35">
      <c r="A13">
        <f>A12+0.1</f>
        <v>1.1</v>
      </c>
      <c r="B13">
        <v>0</v>
      </c>
      <c r="C13">
        <v>0</v>
      </c>
      <c r="D13">
        <v>0</v>
      </c>
    </row>
    <row r="14" spans="1:4" x14ac:dyDescent="0.35">
      <c r="A14">
        <f>A13+0.1</f>
        <v>1.2</v>
      </c>
      <c r="B14">
        <v>0</v>
      </c>
      <c r="C14">
        <v>0</v>
      </c>
      <c r="D14">
        <v>0</v>
      </c>
    </row>
    <row r="15" spans="1:4" x14ac:dyDescent="0.35">
      <c r="A15">
        <f>A14+0.1</f>
        <v>1.3</v>
      </c>
      <c r="B15">
        <v>0</v>
      </c>
      <c r="C15">
        <v>0</v>
      </c>
      <c r="D15">
        <v>0</v>
      </c>
    </row>
    <row r="16" spans="1:4" x14ac:dyDescent="0.35">
      <c r="A16">
        <f>A15+0.1</f>
        <v>1.4</v>
      </c>
      <c r="B16">
        <v>0</v>
      </c>
      <c r="C16">
        <v>0</v>
      </c>
      <c r="D16">
        <v>0</v>
      </c>
    </row>
    <row r="17" spans="1:4" x14ac:dyDescent="0.35">
      <c r="A17">
        <f>A16+0.1</f>
        <v>1.5</v>
      </c>
      <c r="B17">
        <v>0</v>
      </c>
      <c r="C17">
        <v>0</v>
      </c>
      <c r="D17">
        <v>0</v>
      </c>
    </row>
    <row r="18" spans="1:4" x14ac:dyDescent="0.35">
      <c r="A18">
        <f>A17+0.1</f>
        <v>1.6</v>
      </c>
      <c r="B18">
        <v>0</v>
      </c>
      <c r="C18">
        <v>0</v>
      </c>
      <c r="D18">
        <v>0</v>
      </c>
    </row>
    <row r="19" spans="1:4" x14ac:dyDescent="0.35">
      <c r="A19">
        <f>A18+0.1</f>
        <v>1.7</v>
      </c>
      <c r="B19">
        <v>0</v>
      </c>
      <c r="C19">
        <v>0</v>
      </c>
      <c r="D19">
        <v>0</v>
      </c>
    </row>
    <row r="20" spans="1:4" x14ac:dyDescent="0.35">
      <c r="A20">
        <f>A19+0.1</f>
        <v>1.8</v>
      </c>
      <c r="B20">
        <v>0</v>
      </c>
      <c r="C20">
        <v>0</v>
      </c>
      <c r="D20">
        <v>0</v>
      </c>
    </row>
    <row r="21" spans="1:4" x14ac:dyDescent="0.35">
      <c r="A21">
        <f>A20+0.1</f>
        <v>1.9</v>
      </c>
      <c r="B21">
        <v>0</v>
      </c>
      <c r="C21">
        <v>0</v>
      </c>
      <c r="D21">
        <v>0</v>
      </c>
    </row>
    <row r="22" spans="1:4" x14ac:dyDescent="0.35">
      <c r="A22">
        <f>A21+0.1</f>
        <v>2</v>
      </c>
      <c r="B22">
        <v>0</v>
      </c>
      <c r="C22">
        <v>0</v>
      </c>
      <c r="D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D351-F767-4EBB-88B2-01FA4CA5CC32}">
  <sheetPr>
    <tabColor theme="5"/>
  </sheetPr>
  <sheetViews>
    <sheetView workbookViewId="0">
      <selection pane="topLeft" activeCell="G54" sqref="G54"/>
    </sheetView>
  </sheetViews>
  <sheetFormatPr baseColWidth="8" defaultRowHeight="14"/>
  <sheetData>
    <row r="1" spans="1:4" x14ac:dyDescent="0.35">
      <c r="A1" s="28" t="s">
        <v>106</v>
      </c>
      <c r="B1" s="28" t="s">
        <v>0</v>
      </c>
      <c r="C1" s="28" t="s">
        <v>132</v>
      </c>
      <c r="D1" s="28" t="s">
        <v>1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f>A2+0.1</f>
        <v>0.1</v>
      </c>
      <c r="B3">
        <v>0</v>
      </c>
      <c r="C3">
        <v>0</v>
      </c>
      <c r="D3">
        <v>0</v>
      </c>
    </row>
    <row r="4" spans="1:4" x14ac:dyDescent="0.35">
      <c r="A4">
        <f>A3+0.1</f>
        <v>0.2</v>
      </c>
      <c r="B4">
        <v>0</v>
      </c>
      <c r="C4">
        <v>0</v>
      </c>
      <c r="D4">
        <v>0</v>
      </c>
    </row>
    <row r="5" spans="1:4" x14ac:dyDescent="0.35">
      <c r="A5">
        <f>A4+0.1</f>
        <v>0.3</v>
      </c>
      <c r="B5">
        <v>0</v>
      </c>
      <c r="C5">
        <v>0</v>
      </c>
      <c r="D5">
        <v>0</v>
      </c>
    </row>
    <row r="6" spans="1:4" x14ac:dyDescent="0.35">
      <c r="A6">
        <f>A5+0.1</f>
        <v>0.4</v>
      </c>
      <c r="B6">
        <v>0</v>
      </c>
      <c r="C6">
        <v>0</v>
      </c>
      <c r="D6">
        <v>0</v>
      </c>
    </row>
    <row r="7" spans="1:4" x14ac:dyDescent="0.35">
      <c r="A7">
        <f>A6+0.1</f>
        <v>0.5</v>
      </c>
      <c r="B7">
        <v>0</v>
      </c>
      <c r="C7">
        <v>0</v>
      </c>
      <c r="D7">
        <v>0</v>
      </c>
    </row>
    <row r="8" spans="1:4" x14ac:dyDescent="0.35">
      <c r="A8">
        <f>A7+0.1</f>
        <v>0.6</v>
      </c>
      <c r="B8">
        <v>0</v>
      </c>
      <c r="C8">
        <v>0</v>
      </c>
      <c r="D8">
        <v>0</v>
      </c>
    </row>
    <row r="9" spans="1:4" x14ac:dyDescent="0.35">
      <c r="A9">
        <f>A8+0.1</f>
        <v>0.7</v>
      </c>
      <c r="B9">
        <v>0</v>
      </c>
      <c r="C9">
        <v>0</v>
      </c>
      <c r="D9">
        <v>0</v>
      </c>
    </row>
    <row r="10" spans="1:4" x14ac:dyDescent="0.35">
      <c r="A10">
        <f>A9+0.1</f>
        <v>0.8</v>
      </c>
      <c r="B10">
        <v>0</v>
      </c>
      <c r="C10">
        <v>0</v>
      </c>
      <c r="D10">
        <v>0</v>
      </c>
    </row>
    <row r="11" spans="1:4" x14ac:dyDescent="0.35">
      <c r="A11">
        <f>A10+0.1</f>
        <v>0.9</v>
      </c>
      <c r="B11">
        <v>0</v>
      </c>
      <c r="C11">
        <v>0</v>
      </c>
      <c r="D11">
        <v>0</v>
      </c>
    </row>
    <row r="12" spans="1:4" x14ac:dyDescent="0.35">
      <c r="A12">
        <f>A11+0.1</f>
        <v>1</v>
      </c>
      <c r="B12">
        <v>0</v>
      </c>
      <c r="C12">
        <v>0</v>
      </c>
      <c r="D12">
        <v>0</v>
      </c>
    </row>
    <row r="13" spans="1:4" x14ac:dyDescent="0.35">
      <c r="A13">
        <f>A12+0.1</f>
        <v>1.1</v>
      </c>
      <c r="B13">
        <v>0</v>
      </c>
      <c r="C13">
        <v>0</v>
      </c>
      <c r="D13">
        <v>0</v>
      </c>
    </row>
    <row r="14" spans="1:4" x14ac:dyDescent="0.35">
      <c r="A14">
        <f>A13+0.1</f>
        <v>1.2</v>
      </c>
      <c r="B14">
        <v>0</v>
      </c>
      <c r="C14">
        <v>0</v>
      </c>
      <c r="D14">
        <v>0</v>
      </c>
    </row>
    <row r="15" spans="1:4" x14ac:dyDescent="0.35">
      <c r="A15">
        <f>A14+0.1</f>
        <v>1.3</v>
      </c>
      <c r="B15">
        <v>0</v>
      </c>
      <c r="C15">
        <v>0</v>
      </c>
      <c r="D15">
        <v>0</v>
      </c>
    </row>
    <row r="16" spans="1:4" x14ac:dyDescent="0.35">
      <c r="A16">
        <f>A15+0.1</f>
        <v>1.4</v>
      </c>
      <c r="B16">
        <v>0</v>
      </c>
      <c r="C16">
        <v>0</v>
      </c>
      <c r="D16">
        <v>0</v>
      </c>
    </row>
    <row r="17" spans="1:4" x14ac:dyDescent="0.35">
      <c r="A17">
        <f>A16+0.1</f>
        <v>1.5</v>
      </c>
      <c r="B17">
        <v>0</v>
      </c>
      <c r="C17">
        <v>0</v>
      </c>
      <c r="D17">
        <v>0</v>
      </c>
    </row>
    <row r="18" spans="1:4" x14ac:dyDescent="0.35">
      <c r="A18">
        <f>A17+0.1</f>
        <v>1.6</v>
      </c>
      <c r="B18">
        <v>0</v>
      </c>
      <c r="C18">
        <v>0</v>
      </c>
      <c r="D18">
        <v>0</v>
      </c>
    </row>
    <row r="19" spans="1:4" x14ac:dyDescent="0.35">
      <c r="A19">
        <f>A18+0.1</f>
        <v>1.7</v>
      </c>
      <c r="B19">
        <v>0</v>
      </c>
      <c r="C19">
        <v>0</v>
      </c>
      <c r="D19">
        <v>0</v>
      </c>
    </row>
    <row r="20" spans="1:4" x14ac:dyDescent="0.35">
      <c r="A20">
        <f>A19+0.1</f>
        <v>1.8</v>
      </c>
      <c r="B20">
        <v>0</v>
      </c>
      <c r="C20">
        <v>0</v>
      </c>
      <c r="D20">
        <v>0</v>
      </c>
    </row>
    <row r="21" spans="1:4" x14ac:dyDescent="0.35">
      <c r="A21">
        <f>A20+0.1</f>
        <v>1.9</v>
      </c>
      <c r="B21">
        <v>0</v>
      </c>
      <c r="C21">
        <v>0</v>
      </c>
      <c r="D21">
        <v>0</v>
      </c>
    </row>
    <row r="22" spans="1:4" x14ac:dyDescent="0.35">
      <c r="A22">
        <f>A21+0.1</f>
        <v>2</v>
      </c>
      <c r="B22">
        <v>0</v>
      </c>
      <c r="C22">
        <v>0</v>
      </c>
      <c r="D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E600-8029-4037-BAF9-8AE07024CC76}">
  <sheetViews>
    <sheetView workbookViewId="0">
      <selection pane="topLeft" activeCell="G8" sqref="G8"/>
    </sheetView>
  </sheetViews>
  <sheetFormatPr baseColWidth="8" defaultRowHeight="14"/>
  <cols>
    <col min="4" max="4" width="2.1796875" customWidth="1"/>
    <col min="6" max="6" width="2.1796875" bestFit="1" customWidth="1"/>
    <col min="9" max="9" width="18.7265625" style="4" bestFit="1" customWidth="1"/>
    <col min="10" max="10" width="10.453125" style="20" bestFit="1" customWidth="1"/>
    <col min="11" max="11" width="12.81640625" bestFit="1" customWidth="1"/>
  </cols>
  <sheetData>
    <row r="7" spans="3:11" x14ac:dyDescent="0.35">
      <c r="C7" s="23">
        <v>235</v>
      </c>
      <c r="D7">
        <v>55</v>
      </c>
      <c r="E7" s="23">
        <v>65</v>
      </c>
      <c r="F7" t="s">
        <v>174</v>
      </c>
      <c r="G7" s="23">
        <v>17</v>
      </c>
      <c r="I7" s="37" t="s">
        <v>175</v>
      </c>
      <c r="J7" s="37"/>
    </row>
    <row r="8" spans="3:11" x14ac:dyDescent="0.35">
      <c r="I8" s="4" t="s">
        <v>176</v>
      </c>
      <c r="J8" s="9">
        <f>G7/2+J11</f>
        <v>14.5137795275591</v>
      </c>
      <c r="K8" s="0">
        <f>J8/12</f>
        <v>1.20948162729659</v>
      </c>
    </row>
    <row r="9" spans="3:11" x14ac:dyDescent="0.35">
      <c r="I9" s="4" t="s">
        <v>177</v>
      </c>
      <c r="J9" s="9">
        <f>2*J11+G7</f>
        <v>29.0275590551181</v>
      </c>
      <c r="K9" s="0">
        <f>J9/12</f>
        <v>2.41896325459318</v>
      </c>
    </row>
    <row r="10" spans="3:11" x14ac:dyDescent="0.35">
      <c r="I10" s="4" t="s">
        <v>178</v>
      </c>
      <c r="J10" s="9">
        <f>0.0393700787401575*C7</f>
        <v>9.25196850393702</v>
      </c>
      <c r="K10" s="0">
        <f>J10/12</f>
        <v>0.770997375328085</v>
      </c>
    </row>
    <row r="11" spans="3:11" x14ac:dyDescent="0.35">
      <c r="I11" s="4" t="s">
        <v>179</v>
      </c>
      <c r="J11" s="9">
        <f>J10*E7/100</f>
        <v>6.01377952755906</v>
      </c>
      <c r="K11" s="0">
        <f>J11/12</f>
        <v>0.501148293963255</v>
      </c>
    </row>
    <row r="13" spans="3:11" x14ac:dyDescent="0.35">
      <c r="J13" s="9">
        <f>J11+G7</f>
        <v>23.0137795275591</v>
      </c>
    </row>
  </sheetData>
  <mergeCells count="1">
    <mergeCell ref="I7:J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277A-8509-4275-AE9F-A6E94CC7BEAF}">
  <sheetViews>
    <sheetView workbookViewId="0">
      <selection pane="topLeft" activeCell="C30" sqref="C30"/>
    </sheetView>
  </sheetViews>
  <sheetFormatPr baseColWidth="8" defaultRowHeight="14"/>
  <cols>
    <col min="1" max="1" width="36.7265625" style="4" bestFit="1" customWidth="1"/>
    <col min="7" max="7" width="17.26953125" customWidth="1"/>
    <col min="8" max="8" width="10" bestFit="1" customWidth="1"/>
    <col min="9" max="9" width="9.453125" bestFit="1" customWidth="1"/>
    <col min="10" max="10" width="10.453125" bestFit="1" customWidth="1"/>
    <col min="11" max="11" width="13" bestFit="1" customWidth="1"/>
    <col min="14" max="14" width="16.453125" bestFit="1" customWidth="1"/>
  </cols>
  <sheetData>
    <row r="1" spans="1:18" x14ac:dyDescent="0.35">
      <c r="A1" s="6" t="s">
        <v>7</v>
      </c>
      <c r="B1" s="5" t="s">
        <v>8</v>
      </c>
      <c r="C1" s="5" t="s">
        <v>9</v>
      </c>
      <c r="G1" s="38" t="s">
        <v>26</v>
      </c>
      <c r="H1" s="38"/>
      <c r="I1" s="38"/>
    </row>
    <row r="2" spans="1:18" x14ac:dyDescent="0.35">
      <c r="A2" s="4" t="s">
        <v>2</v>
      </c>
      <c r="B2" t="s">
        <v>5</v>
      </c>
      <c r="C2" t="s">
        <v>5</v>
      </c>
      <c r="D2">
        <v>0</v>
      </c>
      <c r="G2" t="s">
        <v>85</v>
      </c>
      <c r="H2" s="15">
        <f>0.03*180/PI()</f>
        <v>1.71887338539247</v>
      </c>
      <c r="I2" s="8">
        <f>H2*PI()/180</f>
        <v>0.03</v>
      </c>
    </row>
    <row r="3" spans="1:18" x14ac:dyDescent="0.35">
      <c r="A3" s="4" t="s">
        <v>3</v>
      </c>
      <c r="B3" t="s">
        <v>6</v>
      </c>
      <c r="C3" t="s">
        <v>6</v>
      </c>
      <c r="D3">
        <v>1</v>
      </c>
      <c r="G3" t="s">
        <v>75</v>
      </c>
      <c r="H3" s="13">
        <v>2.89</v>
      </c>
      <c r="I3" s="8">
        <f>H3*PI()/180</f>
        <v>0.0504400153826361</v>
      </c>
    </row>
    <row r="4" spans="1:18" x14ac:dyDescent="0.35">
      <c r="A4" s="4" t="s">
        <v>15</v>
      </c>
      <c r="B4">
        <v>3500</v>
      </c>
      <c r="C4">
        <v>3500</v>
      </c>
      <c r="D4">
        <v>2</v>
      </c>
      <c r="G4" t="s">
        <v>94</v>
      </c>
      <c r="H4" s="13">
        <v>5</v>
      </c>
      <c r="I4" s="8"/>
      <c r="O4" s="1" t="s">
        <v>78</v>
      </c>
      <c r="P4" s="1" t="s">
        <v>79</v>
      </c>
    </row>
    <row r="5" spans="1:18" x14ac:dyDescent="0.35">
      <c r="A5" s="4" t="s">
        <v>24</v>
      </c>
      <c r="B5">
        <v>16.5</v>
      </c>
      <c r="C5">
        <v>16.5</v>
      </c>
      <c r="D5">
        <v>3</v>
      </c>
      <c r="G5" t="s">
        <v>95</v>
      </c>
      <c r="H5" s="13">
        <v>0.01</v>
      </c>
      <c r="I5" s="8">
        <f>H5*PI()/180</f>
        <v>0.000174532925199433</v>
      </c>
      <c r="O5" s="13">
        <v>0</v>
      </c>
      <c r="P5" s="13">
        <v>0</v>
      </c>
    </row>
    <row r="6" spans="1:18" x14ac:dyDescent="0.35">
      <c r="A6" s="4" t="s">
        <v>14</v>
      </c>
      <c r="B6">
        <v>0</v>
      </c>
      <c r="C6">
        <v>0</v>
      </c>
      <c r="D6">
        <v>4</v>
      </c>
      <c r="H6" s="8" t="s">
        <v>29</v>
      </c>
      <c r="I6" s="8" t="s">
        <v>56</v>
      </c>
      <c r="N6" s="4" t="s">
        <v>30</v>
      </c>
      <c r="O6" s="9">
        <v>3</v>
      </c>
      <c r="P6" s="10">
        <v>3</v>
      </c>
    </row>
    <row r="7" spans="1:18" x14ac:dyDescent="0.35">
      <c r="A7" s="4" t="s">
        <v>16</v>
      </c>
      <c r="B7">
        <v>0</v>
      </c>
      <c r="C7">
        <v>0</v>
      </c>
      <c r="D7">
        <v>5</v>
      </c>
      <c r="H7" s="8" t="s">
        <v>27</v>
      </c>
      <c r="I7" s="8" t="s">
        <v>28</v>
      </c>
      <c r="M7" t="s">
        <v>86</v>
      </c>
      <c r="N7" s="4" t="s">
        <v>31</v>
      </c>
      <c r="O7" s="9">
        <f>H9*COS($I$3)-I9*SIN($I$3)</f>
        <v>7.23933258390037</v>
      </c>
      <c r="P7" s="10">
        <f>H9*SIN($I$3)+I9*COS($I$3)</f>
        <v>3.3692823775514</v>
      </c>
      <c r="Q7" s="7">
        <f>O7+$O$6</f>
        <v>10.2393325839004</v>
      </c>
      <c r="R7" s="7">
        <f>P7+$P$6</f>
        <v>6.3692823775514</v>
      </c>
    </row>
    <row r="8" spans="1:18" x14ac:dyDescent="0.35">
      <c r="A8" s="4" t="s">
        <v>107</v>
      </c>
      <c r="B8">
        <v>0</v>
      </c>
      <c r="C8">
        <v>0</v>
      </c>
      <c r="D8">
        <v>6</v>
      </c>
      <c r="G8" s="4" t="s">
        <v>30</v>
      </c>
      <c r="H8" s="8">
        <v>0</v>
      </c>
      <c r="I8" s="8">
        <v>0</v>
      </c>
      <c r="N8" s="4" t="s">
        <v>32</v>
      </c>
      <c r="O8" s="9">
        <f>H10*COS($I$3)-I10*SIN($I$3)</f>
        <v>7.54184436327734</v>
      </c>
      <c r="P8" s="10">
        <f>H10*SIN($I$3)+I10*COS($I$3)</f>
        <v>-2.62308665508821</v>
      </c>
      <c r="Q8" s="7">
        <f>O8+$O$6</f>
        <v>10.5418443632773</v>
      </c>
      <c r="R8" s="7">
        <f>P8+$P$6</f>
        <v>0.376913344911786</v>
      </c>
    </row>
    <row r="9" spans="1:18" x14ac:dyDescent="0.35">
      <c r="A9" s="4" t="s">
        <v>13</v>
      </c>
      <c r="B9">
        <v>0</v>
      </c>
      <c r="C9">
        <v>0</v>
      </c>
      <c r="D9">
        <v>7</v>
      </c>
      <c r="G9" s="4" t="s">
        <v>31</v>
      </c>
      <c r="H9" s="9">
        <f>H8+B12+B15</f>
        <v>7.4</v>
      </c>
      <c r="I9" s="8">
        <f>I8+B10/2</f>
        <v>3</v>
      </c>
      <c r="N9" s="4" t="s">
        <v>33</v>
      </c>
      <c r="O9" s="9">
        <f>H11*COS($I$3)-I11*SIN($I$3)</f>
        <v>-8.43780639042829</v>
      </c>
      <c r="P9" s="10">
        <f>H11*SIN($I$3)+I11*COS($I$3)</f>
        <v>-3.42978473342679</v>
      </c>
      <c r="Q9" s="7">
        <f>O9+$O$6</f>
        <v>-5.43780639042829</v>
      </c>
      <c r="R9" s="7">
        <f>P9+$P$6</f>
        <v>-0.429784733426791</v>
      </c>
    </row>
    <row r="10" spans="1:18" x14ac:dyDescent="0.35">
      <c r="A10" s="4" t="s">
        <v>17</v>
      </c>
      <c r="B10">
        <v>6</v>
      </c>
      <c r="C10">
        <v>6</v>
      </c>
      <c r="D10">
        <v>8</v>
      </c>
      <c r="G10" s="4" t="s">
        <v>32</v>
      </c>
      <c r="H10" s="9">
        <f>H9</f>
        <v>7.4</v>
      </c>
      <c r="I10" s="8">
        <f>I8-B10/2</f>
        <v>-3</v>
      </c>
      <c r="N10" s="4" t="s">
        <v>34</v>
      </c>
      <c r="O10" s="9">
        <f>H12*COS($I$3)-I12*SIN($I$3)</f>
        <v>-8.74031816980526</v>
      </c>
      <c r="P10" s="10">
        <f>H12*SIN($I$3)+I12*COS($I$3)</f>
        <v>2.56258429921282</v>
      </c>
      <c r="Q10" s="7">
        <f>O10+$O$6</f>
        <v>-5.74031816980526</v>
      </c>
      <c r="R10" s="7">
        <f>P10+$P$6</f>
        <v>5.56258429921282</v>
      </c>
    </row>
    <row r="11" spans="1:18" x14ac:dyDescent="0.35">
      <c r="A11" s="4" t="s">
        <v>18</v>
      </c>
      <c r="B11" s="7">
        <v>16</v>
      </c>
      <c r="C11" s="7">
        <v>16</v>
      </c>
      <c r="D11">
        <v>9</v>
      </c>
      <c r="G11" s="4" t="s">
        <v>33</v>
      </c>
      <c r="H11" s="9">
        <f>H8-(B13+B16)</f>
        <v>-8.6</v>
      </c>
      <c r="I11" s="8">
        <f>I10</f>
        <v>-3</v>
      </c>
      <c r="N11" s="4" t="s">
        <v>31</v>
      </c>
      <c r="O11" s="9">
        <f>H13*COS($I$3)-I13*SIN($I$3)</f>
        <v>7.23933258390037</v>
      </c>
      <c r="P11" s="10">
        <f>H13*SIN($I$3)+I13*COS($I$3)</f>
        <v>3.3692823775514</v>
      </c>
      <c r="Q11" s="7">
        <f>O11+$O$6</f>
        <v>10.2393325839004</v>
      </c>
      <c r="R11" s="7">
        <f>P11+$P$6</f>
        <v>6.3692823775514</v>
      </c>
    </row>
    <row r="12" spans="1:18" x14ac:dyDescent="0.35">
      <c r="A12" s="4" t="s">
        <v>25</v>
      </c>
      <c r="B12" s="7">
        <v>4.1</v>
      </c>
      <c r="C12" s="7">
        <v>4.1</v>
      </c>
      <c r="D12">
        <v>10</v>
      </c>
      <c r="G12" s="4" t="s">
        <v>34</v>
      </c>
      <c r="H12" s="9">
        <f>H8-(B13+B16)</f>
        <v>-8.6</v>
      </c>
      <c r="I12" s="8">
        <f>I9</f>
        <v>3</v>
      </c>
      <c r="N12" s="4" t="s">
        <v>36</v>
      </c>
      <c r="O12" s="9">
        <f>H14*COS($I$3)-I14*SIN($I$3)</f>
        <v>3.96117613641224</v>
      </c>
      <c r="P12" s="10">
        <f>H14*SIN($I$3)+I14*COS($I$3)</f>
        <v>2.85334603865676</v>
      </c>
      <c r="Q12" s="7">
        <f>O12+$O$6</f>
        <v>6.96117613641224</v>
      </c>
      <c r="R12" s="7">
        <f>P12+$P$6</f>
        <v>5.85334603865676</v>
      </c>
    </row>
    <row r="13" spans="1:18" x14ac:dyDescent="0.35">
      <c r="A13" s="4" t="s">
        <v>35</v>
      </c>
      <c r="B13" s="7">
        <f>B14-B12</f>
        <v>5.4</v>
      </c>
      <c r="C13" s="7">
        <f>C14-C12</f>
        <v>5.4</v>
      </c>
      <c r="D13">
        <v>11</v>
      </c>
      <c r="G13" s="4" t="s">
        <v>31</v>
      </c>
      <c r="H13" s="9">
        <f>H9</f>
        <v>7.4</v>
      </c>
      <c r="I13" s="8">
        <f>I9</f>
        <v>3</v>
      </c>
      <c r="M13" t="s">
        <v>87</v>
      </c>
      <c r="N13" s="4" t="s">
        <v>40</v>
      </c>
      <c r="O13" s="9">
        <f>H15*COS($I$3)-I15*SIN($I$3)</f>
        <v>5.11671263816416</v>
      </c>
      <c r="P13" s="10">
        <f>H15*SIN($I$3)+I15*COS($I$3)</f>
        <v>3.29763383178069</v>
      </c>
      <c r="Q13" s="7">
        <f>O13+$O$6</f>
        <v>8.11671263816416</v>
      </c>
      <c r="R13" s="7">
        <f>P13+$P$6</f>
        <v>6.29763383178069</v>
      </c>
    </row>
    <row r="14" spans="1:18" x14ac:dyDescent="0.35">
      <c r="A14" s="4" t="s">
        <v>19</v>
      </c>
      <c r="B14" s="7">
        <v>9.5</v>
      </c>
      <c r="C14" s="7">
        <v>9.5</v>
      </c>
      <c r="D14">
        <v>12</v>
      </c>
      <c r="G14" s="4" t="s">
        <v>36</v>
      </c>
      <c r="H14" s="9">
        <f>H8+B12</f>
        <v>4.1</v>
      </c>
      <c r="I14" s="9">
        <f>I8+(I9-B18/2)</f>
        <v>2.65</v>
      </c>
      <c r="N14" s="4" t="s">
        <v>41</v>
      </c>
      <c r="O14" s="9">
        <f>H16*COS($I$3)-I16*SIN($I$3)</f>
        <v>5.17295994417622</v>
      </c>
      <c r="P14" s="10">
        <f>H16*SIN($I$3)+I16*COS($I$3)</f>
        <v>2.59989731950232</v>
      </c>
      <c r="Q14" s="7">
        <f>O14+$O$6</f>
        <v>8.17295994417622</v>
      </c>
      <c r="R14" s="7">
        <f>P14+$P$6</f>
        <v>5.59989731950232</v>
      </c>
    </row>
    <row r="15" spans="1:18" x14ac:dyDescent="0.35">
      <c r="A15" s="4" t="s">
        <v>20</v>
      </c>
      <c r="B15" s="7">
        <v>3.3</v>
      </c>
      <c r="C15" s="7">
        <v>3.3</v>
      </c>
      <c r="D15">
        <v>13</v>
      </c>
      <c r="F15" t="s">
        <v>87</v>
      </c>
      <c r="G15" s="4" t="s">
        <v>40</v>
      </c>
      <c r="H15" s="9">
        <f>H$14+$B$17/2*COS($I$2)-$B$18/2*SIN($I$2)</f>
        <v>5.27646724000605</v>
      </c>
      <c r="I15" s="9">
        <f>I$14+$B$17/2*SIN($I$2)+$B$18/2*COS($I$2)</f>
        <v>3.03546216830261</v>
      </c>
      <c r="N15" s="4" t="s">
        <v>42</v>
      </c>
      <c r="O15" s="9">
        <f>H17*COS($I$3)-I17*SIN($I$3)</f>
        <v>2.80563963466032</v>
      </c>
      <c r="P15" s="10">
        <f>H17*SIN($I$3)+I17*COS($I$3)</f>
        <v>2.40905824553282</v>
      </c>
      <c r="Q15" s="7">
        <f>O15+$O$6</f>
        <v>5.80563963466032</v>
      </c>
      <c r="R15" s="7">
        <f>P15+$P$6</f>
        <v>5.40905824553282</v>
      </c>
    </row>
    <row r="16" spans="1:18" x14ac:dyDescent="0.35">
      <c r="A16" s="4" t="s">
        <v>21</v>
      </c>
      <c r="B16" s="7">
        <f>B11-B14-B15</f>
        <v>3.2</v>
      </c>
      <c r="C16" s="7">
        <f>C11-C14-C15</f>
        <v>3.2</v>
      </c>
      <c r="D16">
        <v>14</v>
      </c>
      <c r="G16" s="4" t="s">
        <v>41</v>
      </c>
      <c r="H16" s="9">
        <f>H$14+$B$17/2*COS($I$2)--1*$B$18/2*SIN($I$2)</f>
        <v>5.2974640901478</v>
      </c>
      <c r="I16" s="9">
        <f>I$14+$B$17/2*SIN($I$2)+-1*$B$18/2*COS($I$2)</f>
        <v>2.33577714467832</v>
      </c>
      <c r="N16" s="4" t="s">
        <v>43</v>
      </c>
      <c r="O16" s="9">
        <f>H18*COS($I$3)-I18*SIN($I$3)</f>
        <v>2.74939232864826</v>
      </c>
      <c r="P16" s="10">
        <f>H18*SIN($I$3)+I18*COS($I$3)</f>
        <v>3.10679475781119</v>
      </c>
      <c r="Q16" s="7">
        <f>O16+$O$6</f>
        <v>5.74939232864826</v>
      </c>
      <c r="R16" s="7">
        <f>P16+$P$6</f>
        <v>6.10679475781119</v>
      </c>
    </row>
    <row r="17" spans="1:18" x14ac:dyDescent="0.35">
      <c r="A17" s="4" t="s">
        <v>22</v>
      </c>
      <c r="B17" s="7">
        <f>28.5/12</f>
        <v>2.375</v>
      </c>
      <c r="C17" s="7">
        <f>28.5/12</f>
        <v>2.375</v>
      </c>
      <c r="D17">
        <v>15</v>
      </c>
      <c r="G17" s="4" t="s">
        <v>42</v>
      </c>
      <c r="H17" s="9">
        <f>H$14+-1*$B$17/2*COS($I$2)--1*$B$18/2*SIN($I$2)</f>
        <v>2.92353275999395</v>
      </c>
      <c r="I17" s="9">
        <f>I$14+-1*$C$17/2*SIN($I$2)+-1*$B$18/2*COS($I$2)</f>
        <v>2.26453783169739</v>
      </c>
      <c r="N17" s="4" t="s">
        <v>40</v>
      </c>
      <c r="O17" s="9">
        <f>H19*COS($I$3)-I19*SIN($I$3)</f>
        <v>5.11671263816416</v>
      </c>
      <c r="P17" s="10">
        <f>H19*SIN($I$3)+I19*COS($I$3)</f>
        <v>3.29763383178069</v>
      </c>
      <c r="Q17" s="7">
        <f>O17+$O$6</f>
        <v>8.11671263816416</v>
      </c>
      <c r="R17" s="7">
        <f>P17+$P$6</f>
        <v>6.29763383178069</v>
      </c>
    </row>
    <row r="18" spans="1:18" x14ac:dyDescent="0.35">
      <c r="A18" s="4" t="s">
        <v>23</v>
      </c>
      <c r="B18" s="7">
        <v>0.7</v>
      </c>
      <c r="C18" s="7">
        <v>0.7</v>
      </c>
      <c r="D18">
        <v>16</v>
      </c>
      <c r="G18" s="4" t="s">
        <v>43</v>
      </c>
      <c r="H18" s="9">
        <f>H$14+-1*$B$17/2*COS($I$2)-$B$18/2*SIN($I$2)</f>
        <v>2.9025359098522</v>
      </c>
      <c r="I18" s="9">
        <f>I$14+-1*$C$17/2*SIN($I$2)+$B$18/2*COS($I$2)</f>
        <v>2.96422285532168</v>
      </c>
      <c r="N18" s="4" t="s">
        <v>37</v>
      </c>
      <c r="O18" s="9">
        <f>H20*COS($I$3)-I20*SIN($I$3)</f>
        <v>4.22839487486189</v>
      </c>
      <c r="P18" s="10">
        <f>H20*SIN($I$3)+I20*COS($I$3)</f>
        <v>-2.43991327350823</v>
      </c>
      <c r="Q18" s="7">
        <f>O18+$O$6</f>
        <v>7.22839487486189</v>
      </c>
      <c r="R18" s="7">
        <f>P18+$P$6</f>
        <v>0.560086726491765</v>
      </c>
    </row>
    <row r="19" spans="1:18" x14ac:dyDescent="0.35">
      <c r="A19" s="4" t="s">
        <v>4</v>
      </c>
      <c r="B19" s="7">
        <v>1</v>
      </c>
      <c r="C19" s="7">
        <v>1</v>
      </c>
      <c r="D19">
        <v>17</v>
      </c>
      <c r="G19" s="4" t="s">
        <v>40</v>
      </c>
      <c r="H19" s="9">
        <f>H15</f>
        <v>5.27646724000605</v>
      </c>
      <c r="I19" s="9">
        <f>I15</f>
        <v>3.03546216830261</v>
      </c>
      <c r="M19" t="s">
        <v>88</v>
      </c>
      <c r="N19" s="4" t="s">
        <v>44</v>
      </c>
      <c r="O19" s="9">
        <f>H21*COS($I$3)-I21*SIN($I$3)</f>
        <v>5.38393137661381</v>
      </c>
      <c r="P19" s="10">
        <f>H21*SIN($I$3)+I21*COS($I$3)</f>
        <v>-1.9956254803843</v>
      </c>
      <c r="Q19" s="7">
        <f>O19+$O$6</f>
        <v>8.38393137661381</v>
      </c>
      <c r="R19" s="7">
        <f>P19+$P$6</f>
        <v>1.0043745196157</v>
      </c>
    </row>
    <row r="20" spans="1:18" x14ac:dyDescent="0.35">
      <c r="F20" t="s">
        <v>88</v>
      </c>
      <c r="G20" s="4" t="s">
        <v>37</v>
      </c>
      <c r="H20" s="9">
        <f>H14</f>
        <v>4.1</v>
      </c>
      <c r="I20" s="9">
        <f>I8+(I10+B18/2)</f>
        <v>-2.65</v>
      </c>
      <c r="N20" s="4" t="s">
        <v>45</v>
      </c>
      <c r="O20" s="9">
        <f>H22*COS($I$3)-I22*SIN($I$3)</f>
        <v>5.44017868262588</v>
      </c>
      <c r="P20" s="10">
        <f>H22*SIN($I$3)+I22*COS($I$3)</f>
        <v>-2.69336199266267</v>
      </c>
      <c r="Q20" s="7">
        <f>O20+$O$6</f>
        <v>8.44017868262588</v>
      </c>
      <c r="R20" s="7">
        <f>P20+$P$6</f>
        <v>0.30663800733733</v>
      </c>
    </row>
    <row r="21" spans="1:18" x14ac:dyDescent="0.35">
      <c r="G21" s="4" t="s">
        <v>44</v>
      </c>
      <c r="H21" s="9">
        <f>H$20+$B$17/2*COS($I$2)-$B$18/2*SIN($I$2)</f>
        <v>5.27646724000605</v>
      </c>
      <c r="I21" s="9">
        <f>I$20+$B$17/2*SIN($I$2)+$B$18/2*COS($I$2)</f>
        <v>-2.26453783169739</v>
      </c>
      <c r="N21" s="4" t="s">
        <v>46</v>
      </c>
      <c r="O21" s="9">
        <f>H23*COS($I$3)-I23*SIN($I$3)</f>
        <v>3.07285837310997</v>
      </c>
      <c r="P21" s="10">
        <f>H23*SIN($I$3)+I23*COS($I$3)</f>
        <v>-2.88420106663217</v>
      </c>
      <c r="Q21" s="7">
        <f>O21+$O$6</f>
        <v>6.07285837310997</v>
      </c>
      <c r="R21" s="7">
        <f>P21+$P$6</f>
        <v>0.11579893336783</v>
      </c>
    </row>
    <row r="22" spans="1:18" x14ac:dyDescent="0.35">
      <c r="G22" s="4" t="s">
        <v>45</v>
      </c>
      <c r="H22" s="9">
        <f>H$20+$B$17/2*COS($I$2)--1*$B$18/2*SIN($I$2)</f>
        <v>5.2974640901478</v>
      </c>
      <c r="I22" s="9">
        <f>I$20+($B$17/2*SIN($I$2)+-1*$B$18/2*COS($I$2))</f>
        <v>-2.96422285532168</v>
      </c>
      <c r="N22" s="4" t="s">
        <v>47</v>
      </c>
      <c r="O22" s="9">
        <f>H24*COS($I$3)-I24*SIN($I$3)</f>
        <v>3.01661106709791</v>
      </c>
      <c r="P22" s="10">
        <f>H24*SIN($I$3)+I24*COS($I$3)</f>
        <v>-2.1864645543538</v>
      </c>
      <c r="Q22" s="7">
        <f>O22+$O$6</f>
        <v>6.01661106709791</v>
      </c>
      <c r="R22" s="7">
        <f>P22+$P$6</f>
        <v>0.813535445646202</v>
      </c>
    </row>
    <row r="23" spans="1:18" x14ac:dyDescent="0.35">
      <c r="G23" s="4" t="s">
        <v>46</v>
      </c>
      <c r="H23" s="9">
        <f>H$20+-1*$B$17/2*COS($I$2)--1*$B$18/2*SIN($I$2)</f>
        <v>2.92353275999395</v>
      </c>
      <c r="I23" s="9">
        <f>I$20+-1*$C$17/2*SIN($I$2)+-1*$B$18/2*COS($I$2)</f>
        <v>-3.03546216830261</v>
      </c>
      <c r="N23" s="4" t="s">
        <v>44</v>
      </c>
      <c r="O23" s="9">
        <f>H25*COS($I$3)-I25*SIN($I$3)</f>
        <v>5.38393137661381</v>
      </c>
      <c r="P23" s="10">
        <f>H25*SIN($I$3)+I25*COS($I$3)</f>
        <v>-1.9956254803843</v>
      </c>
      <c r="Q23" s="7">
        <f>O23+$O$6</f>
        <v>8.38393137661381</v>
      </c>
      <c r="R23" s="7">
        <f>P23+$P$6</f>
        <v>1.0043745196157</v>
      </c>
    </row>
    <row r="24" spans="1:18" x14ac:dyDescent="0.35">
      <c r="G24" s="4" t="s">
        <v>47</v>
      </c>
      <c r="H24" s="9">
        <f>H$20+-1*$B$17/2*COS($I$2)-$B$18/2*SIN($I$2)</f>
        <v>2.9025359098522</v>
      </c>
      <c r="I24" s="9">
        <f>I$20+-1*$C$17/2*SIN($I$2)+$B$18/2*COS($I$2)</f>
        <v>-2.33577714467832</v>
      </c>
      <c r="N24" s="4" t="s">
        <v>38</v>
      </c>
      <c r="O24" s="9">
        <f>H26*COS($I$3)-I26*SIN($I$3)</f>
        <v>-5.25952276015082</v>
      </c>
      <c r="P24" s="10">
        <f>H26*SIN($I$3)+I26*COS($I$3)</f>
        <v>-2.91889025752176</v>
      </c>
      <c r="Q24" s="7">
        <f>O24+$O$6</f>
        <v>-2.25952276015082</v>
      </c>
      <c r="R24" s="7">
        <f>P24+$P$6</f>
        <v>0.0811097424782354</v>
      </c>
    </row>
    <row r="25" spans="1:18" x14ac:dyDescent="0.35">
      <c r="G25" s="4" t="s">
        <v>44</v>
      </c>
      <c r="H25" s="9">
        <f>H21</f>
        <v>5.27646724000605</v>
      </c>
      <c r="I25" s="9">
        <f>I21</f>
        <v>-2.26453783169739</v>
      </c>
      <c r="M25" t="s">
        <v>89</v>
      </c>
      <c r="N25" s="4" t="s">
        <v>48</v>
      </c>
      <c r="O25" s="9">
        <f>H27*COS($I$3)-I27*SIN($I$3)</f>
        <v>-4.09117957623789</v>
      </c>
      <c r="P25" s="10">
        <f>H27*SIN($I$3)+I27*COS($I$3)</f>
        <v>-2.50946327428276</v>
      </c>
      <c r="Q25" s="7">
        <f>O25+$O$6</f>
        <v>-1.09117957623789</v>
      </c>
      <c r="R25" s="7">
        <f>P25+$P$6</f>
        <v>0.490536725717237</v>
      </c>
    </row>
    <row r="26" spans="1:18" x14ac:dyDescent="0.35">
      <c r="F26" t="s">
        <v>89</v>
      </c>
      <c r="G26" s="4" t="s">
        <v>38</v>
      </c>
      <c r="H26" s="9">
        <f>H8-B13</f>
        <v>-5.4</v>
      </c>
      <c r="I26" s="9">
        <f>I20</f>
        <v>-2.65</v>
      </c>
      <c r="N26" s="4" t="s">
        <v>49</v>
      </c>
      <c r="O26" s="9">
        <f>H28*COS($I$3)-I28*SIN($I$3)</f>
        <v>-4.05588653531058</v>
      </c>
      <c r="P26" s="10">
        <f>H28*SIN($I$3)+I28*COS($I$3)</f>
        <v>-3.20857299475738</v>
      </c>
      <c r="Q26" s="7">
        <f>O26+$O$6</f>
        <v>-1.05588653531058</v>
      </c>
      <c r="R26" s="7">
        <f>P26+$P$6</f>
        <v>-0.208572994757384</v>
      </c>
    </row>
    <row r="27" spans="1:18" x14ac:dyDescent="0.35">
      <c r="G27" s="4" t="s">
        <v>48</v>
      </c>
      <c r="H27" s="9">
        <f>H26+B17/2</f>
        <v>-4.2125</v>
      </c>
      <c r="I27" s="9">
        <f>I26+B18/2</f>
        <v>-2.3</v>
      </c>
      <c r="N27" s="4" t="s">
        <v>50</v>
      </c>
      <c r="O27" s="9">
        <f>H29*COS($I$3)-I29*SIN($I$3)</f>
        <v>-6.42786594406376</v>
      </c>
      <c r="P27" s="10">
        <f>H29*SIN($I$3)+I29*COS($I$3)</f>
        <v>-3.32831724076077</v>
      </c>
      <c r="Q27" s="7">
        <f>O27+$O$6</f>
        <v>-3.42786594406376</v>
      </c>
      <c r="R27" s="7">
        <f>P27+$P$6</f>
        <v>-0.328317240760767</v>
      </c>
    </row>
    <row r="28" spans="1:18" x14ac:dyDescent="0.35">
      <c r="G28" s="4" t="s">
        <v>49</v>
      </c>
      <c r="H28" s="9">
        <f>H27</f>
        <v>-4.2125</v>
      </c>
      <c r="I28" s="9">
        <f>I26-B18/2</f>
        <v>-3</v>
      </c>
      <c r="N28" s="4" t="s">
        <v>51</v>
      </c>
      <c r="O28" s="9">
        <f>H30*COS($I$3)-I30*SIN($I$3)</f>
        <v>-6.46315898499107</v>
      </c>
      <c r="P28" s="10">
        <f>H30*SIN($I$3)+I30*COS($I$3)</f>
        <v>-2.62920752028614</v>
      </c>
      <c r="Q28" s="7">
        <f>O28+$O$6</f>
        <v>-3.46315898499107</v>
      </c>
      <c r="R28" s="7">
        <f>P28+$P$6</f>
        <v>0.370792479713855</v>
      </c>
    </row>
    <row r="29" spans="1:18" x14ac:dyDescent="0.35">
      <c r="G29" s="4" t="s">
        <v>50</v>
      </c>
      <c r="H29" s="9">
        <f>H26-B17/2</f>
        <v>-6.5875</v>
      </c>
      <c r="I29" s="9">
        <f>I28</f>
        <v>-3</v>
      </c>
      <c r="N29" s="4" t="s">
        <v>48</v>
      </c>
      <c r="O29" s="9">
        <f>H31*COS($I$3)-I31*SIN($I$3)</f>
        <v>-4.09117957623789</v>
      </c>
      <c r="P29" s="10">
        <f>H31*SIN($I$3)+I31*COS($I$3)</f>
        <v>-2.50946327428276</v>
      </c>
      <c r="Q29" s="7">
        <f>O29+$O$6</f>
        <v>-1.09117957623789</v>
      </c>
      <c r="R29" s="7">
        <f>P29+$P$6</f>
        <v>0.490536725717237</v>
      </c>
    </row>
    <row r="30" spans="1:18" x14ac:dyDescent="0.35">
      <c r="G30" s="4" t="s">
        <v>51</v>
      </c>
      <c r="H30" s="9">
        <f>H29</f>
        <v>-6.5875</v>
      </c>
      <c r="I30" s="9">
        <f>I27</f>
        <v>-2.3</v>
      </c>
      <c r="N30" s="4" t="s">
        <v>39</v>
      </c>
      <c r="O30" s="9">
        <f>H32*COS($I$3)-I32*SIN($I$3)</f>
        <v>-5.52674149860048</v>
      </c>
      <c r="P30" s="10">
        <f>H32*SIN($I$3)+I32*COS($I$3)</f>
        <v>2.37436905464323</v>
      </c>
      <c r="Q30" s="7">
        <f>O30+$O$6</f>
        <v>-2.52674149860048</v>
      </c>
      <c r="R30" s="7">
        <f>P30+$P$6</f>
        <v>5.37436905464322</v>
      </c>
    </row>
    <row r="31" spans="1:18" x14ac:dyDescent="0.35">
      <c r="G31" s="4" t="s">
        <v>48</v>
      </c>
      <c r="H31" s="9">
        <f>H27</f>
        <v>-4.2125</v>
      </c>
      <c r="I31" s="9">
        <f>I27</f>
        <v>-2.3</v>
      </c>
      <c r="M31" t="s">
        <v>90</v>
      </c>
      <c r="N31" s="4" t="s">
        <v>52</v>
      </c>
      <c r="O31" s="9">
        <f>H33*COS($I$3)-I33*SIN($I$3)</f>
        <v>-4.35839831468754</v>
      </c>
      <c r="P31" s="10">
        <f>H33*SIN($I$3)+I33*COS($I$3)</f>
        <v>2.78379603788223</v>
      </c>
      <c r="Q31" s="7">
        <f>O31+$O$6</f>
        <v>-1.35839831468754</v>
      </c>
      <c r="R31" s="7">
        <f>P31+$P$6</f>
        <v>5.78379603788223</v>
      </c>
    </row>
    <row r="32" spans="1:18" x14ac:dyDescent="0.35">
      <c r="F32" t="s">
        <v>90</v>
      </c>
      <c r="G32" s="4" t="s">
        <v>39</v>
      </c>
      <c r="H32" s="9">
        <f>H26</f>
        <v>-5.4</v>
      </c>
      <c r="I32" s="9">
        <f>I14</f>
        <v>2.65</v>
      </c>
      <c r="N32" s="4" t="s">
        <v>53</v>
      </c>
      <c r="O32" s="9">
        <f>H34*COS($I$3)-I34*SIN($I$3)</f>
        <v>-4.32310527376023</v>
      </c>
      <c r="P32" s="10">
        <f>H34*SIN($I$3)+I34*COS($I$3)</f>
        <v>2.08468631740761</v>
      </c>
      <c r="Q32" s="7">
        <f>O32+$O$6</f>
        <v>-1.32310527376023</v>
      </c>
      <c r="R32" s="7">
        <f>P32+$P$6</f>
        <v>5.08468631740761</v>
      </c>
    </row>
    <row r="33" spans="7:18" x14ac:dyDescent="0.35">
      <c r="G33" s="4" t="s">
        <v>52</v>
      </c>
      <c r="H33" s="9">
        <f>H27</f>
        <v>-4.2125</v>
      </c>
      <c r="I33" s="8">
        <f>I32+B18/2</f>
        <v>3</v>
      </c>
      <c r="N33" s="4" t="s">
        <v>54</v>
      </c>
      <c r="O33" s="9">
        <f>H35*COS($I$3)-I35*SIN($I$3)</f>
        <v>-6.69508468251341</v>
      </c>
      <c r="P33" s="10">
        <f>H35*SIN($I$3)+I35*COS($I$3)</f>
        <v>1.96494207140422</v>
      </c>
      <c r="Q33" s="7">
        <f>O33+$O$6</f>
        <v>-3.69508468251341</v>
      </c>
      <c r="R33" s="7">
        <f>P33+$P$6</f>
        <v>4.96494207140422</v>
      </c>
    </row>
    <row r="34" spans="7:18" x14ac:dyDescent="0.35">
      <c r="G34" s="4" t="s">
        <v>53</v>
      </c>
      <c r="H34" s="9">
        <f>H28</f>
        <v>-4.2125</v>
      </c>
      <c r="I34" s="8">
        <f>I32-B18/2</f>
        <v>2.3</v>
      </c>
      <c r="N34" s="4" t="s">
        <v>55</v>
      </c>
      <c r="O34" s="9">
        <f>H36*COS($I$3)-I36*SIN($I$3)</f>
        <v>-6.73037772344072</v>
      </c>
      <c r="P34" s="10">
        <f>H36*SIN($I$3)+I36*COS($I$3)</f>
        <v>2.66405179187884</v>
      </c>
      <c r="Q34" s="7">
        <f>O34+$O$6</f>
        <v>-3.73037772344072</v>
      </c>
      <c r="R34" s="7">
        <f>P34+$P$6</f>
        <v>5.66405179187884</v>
      </c>
    </row>
    <row r="35" spans="7:18" x14ac:dyDescent="0.35">
      <c r="G35" s="4" t="s">
        <v>54</v>
      </c>
      <c r="H35" s="9">
        <f>H29</f>
        <v>-6.5875</v>
      </c>
      <c r="I35" s="8">
        <f>I34</f>
        <v>2.3</v>
      </c>
      <c r="N35" s="4" t="s">
        <v>52</v>
      </c>
      <c r="O35" s="9">
        <f>H37*COS($I$3)-I37*SIN($I$3)</f>
        <v>-4.35839831468754</v>
      </c>
      <c r="P35" s="10">
        <f>H37*SIN($I$3)+I37*COS($I$3)</f>
        <v>2.78379603788223</v>
      </c>
      <c r="Q35" s="7">
        <f>O35+$O$6</f>
        <v>-1.35839831468754</v>
      </c>
      <c r="R35" s="7">
        <f>P35+$P$6</f>
        <v>5.78379603788223</v>
      </c>
    </row>
    <row r="36" spans="7:18" x14ac:dyDescent="0.35">
      <c r="G36" s="4" t="s">
        <v>55</v>
      </c>
      <c r="H36" s="9">
        <f>H30</f>
        <v>-6.5875</v>
      </c>
      <c r="I36" s="8">
        <f>I33</f>
        <v>3</v>
      </c>
      <c r="N36" s="4" t="s">
        <v>91</v>
      </c>
      <c r="O36" s="9">
        <f>H38*COS($I$3)-I38*SIN($I$3)</f>
        <v>0</v>
      </c>
      <c r="P36" s="10">
        <f>H38*SIN($I$3)+I38*COS($I$3)</f>
        <v>0</v>
      </c>
      <c r="Q36" s="7">
        <f>O36+$O$6</f>
        <v>3</v>
      </c>
      <c r="R36" s="7">
        <f>P36+$P$6</f>
        <v>3</v>
      </c>
    </row>
    <row r="37" spans="7:18" x14ac:dyDescent="0.35">
      <c r="G37" s="4" t="s">
        <v>52</v>
      </c>
      <c r="H37" s="9">
        <f>H31</f>
        <v>-4.2125</v>
      </c>
      <c r="I37" s="8">
        <f>I33</f>
        <v>3</v>
      </c>
      <c r="O37" s="9">
        <f>H39*COS($I$3)-I39*SIN($I$3)</f>
        <v>7.98982537685281</v>
      </c>
      <c r="P37" s="10">
        <f>H39*SIN($I$3)+I39*COS($I$3)</f>
        <v>0.403349039169289</v>
      </c>
      <c r="Q37" s="7">
        <f>O37+$O$6</f>
        <v>10.9898253768528</v>
      </c>
      <c r="R37" s="7">
        <f>P37+$P$6</f>
        <v>3.40334903916929</v>
      </c>
    </row>
    <row r="38" spans="7:18" x14ac:dyDescent="0.35">
      <c r="G38" s="4" t="s">
        <v>91</v>
      </c>
      <c r="H38" s="17">
        <v>0</v>
      </c>
      <c r="I38" s="17">
        <v>0</v>
      </c>
      <c r="N38" s="4" t="s">
        <v>92</v>
      </c>
      <c r="O38" s="9">
        <f>H40*COS($I$3)-I40*SIN($I$3)</f>
        <v>0</v>
      </c>
      <c r="P38" s="10">
        <f>H40*SIN($I$3)+I40*COS($I$3)</f>
        <v>0</v>
      </c>
      <c r="Q38" s="7">
        <f>O38+$O$6</f>
        <v>3</v>
      </c>
      <c r="R38" s="7">
        <f>P38+$P$6</f>
        <v>3</v>
      </c>
    </row>
    <row r="39" spans="7:18" x14ac:dyDescent="0.35">
      <c r="H39" s="17">
        <v>8</v>
      </c>
      <c r="I39" s="17">
        <v>0</v>
      </c>
      <c r="O39" s="9">
        <f>H41*COS($I$3)-I41*SIN($I$3)</f>
        <v>-0.201674519584644</v>
      </c>
      <c r="P39" s="10">
        <f>H41*SIN($I$3)+I41*COS($I$3)</f>
        <v>3.99491268842641</v>
      </c>
      <c r="Q39" s="7">
        <f>O39+$O$6</f>
        <v>2.79832548041536</v>
      </c>
      <c r="R39" s="7">
        <f>P39+$P$6</f>
        <v>6.99491268842641</v>
      </c>
    </row>
    <row r="40" spans="7:18" x14ac:dyDescent="0.35">
      <c r="G40" s="4" t="s">
        <v>92</v>
      </c>
      <c r="H40" s="9">
        <v>0</v>
      </c>
      <c r="I40" s="9">
        <v>0</v>
      </c>
      <c r="N40" s="4" t="s">
        <v>93</v>
      </c>
      <c r="O40" s="9">
        <f>H42*COS($I$3)-I42*SIN($I$3)</f>
        <v>0</v>
      </c>
      <c r="P40" s="10">
        <f>H42*SIN($I$3)+I42*COS($I$3)</f>
        <v>0</v>
      </c>
      <c r="Q40" s="7">
        <f>O40+$O$6</f>
        <v>3</v>
      </c>
      <c r="R40" s="7">
        <f>P40+$P$6</f>
        <v>3</v>
      </c>
    </row>
    <row r="41" spans="7:18" x14ac:dyDescent="0.35">
      <c r="H41" s="9">
        <v>0</v>
      </c>
      <c r="I41" s="17">
        <v>4</v>
      </c>
      <c r="O41" s="9">
        <f>H43*COS($I$3)-I43*SIN($I$3)</f>
        <v>4.99359678592093</v>
      </c>
      <c r="P41" s="10">
        <f>H43*SIN($I$3)+I43*COS($I$3)</f>
        <v>0.252964700383566</v>
      </c>
      <c r="Q41" s="7">
        <f>O41+$O$6</f>
        <v>7.99359678592093</v>
      </c>
      <c r="R41" s="7">
        <f>P41+$P$6</f>
        <v>3.25296470038357</v>
      </c>
    </row>
    <row r="42" spans="7:18" x14ac:dyDescent="0.35">
      <c r="G42" s="4" t="s">
        <v>93</v>
      </c>
      <c r="H42" s="9">
        <v>0</v>
      </c>
      <c r="I42" s="9">
        <v>0</v>
      </c>
    </row>
    <row r="43" spans="7:18" x14ac:dyDescent="0.35">
      <c r="H43" s="9">
        <f>COS(I5)*H4</f>
        <v>4.99999992384565</v>
      </c>
      <c r="I43" s="9">
        <f>SIN(I5)*H4</f>
        <v>0.000872664621566684</v>
      </c>
    </row>
    <row r="44" spans="7:18" x14ac:dyDescent="0.35">
      <c r="H44" s="7"/>
      <c r="I44" s="7"/>
    </row>
    <row r="45" spans="7:18" x14ac:dyDescent="0.35">
      <c r="H45" s="7"/>
      <c r="I45" s="7"/>
    </row>
    <row r="46" spans="7:18" x14ac:dyDescent="0.35">
      <c r="H46" s="7"/>
      <c r="I46" s="7"/>
    </row>
    <row r="47" spans="7:18" x14ac:dyDescent="0.35">
      <c r="H47" s="7"/>
      <c r="I47" s="7"/>
    </row>
  </sheetData>
  <mergeCells count="1">
    <mergeCell ref="G1:I1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6F80-665B-4F6E-9B34-3EBFDA089A8F}">
  <sheetViews>
    <sheetView topLeftCell="B1" workbookViewId="0">
      <selection pane="topLeft" activeCell="I55" sqref="I55"/>
    </sheetView>
  </sheetViews>
  <sheetFormatPr baseColWidth="8" defaultRowHeight="14"/>
  <cols>
    <col min="8" max="8" width="13.54296875" bestFit="1" customWidth="1"/>
    <col min="9" max="9" width="15.54296875" bestFit="1" customWidth="1"/>
    <col min="10" max="10" width="15.1796875" customWidth="1"/>
    <col min="12" max="12" width="9.7265625" customWidth="1"/>
    <col min="13" max="13" width="12.81640625" bestFit="1" customWidth="1"/>
    <col min="14" max="14" width="16.7265625" bestFit="1" customWidth="1"/>
    <col min="15" max="16" width="15.54296875" customWidth="1"/>
    <col min="19" max="19" width="17" customWidth="1"/>
    <col min="20" max="20" width="15.7265625" customWidth="1"/>
    <col min="21" max="21" width="11" customWidth="1"/>
    <col min="22" max="22" width="11" bestFit="1" customWidth="1"/>
    <col min="23" max="23" width="11.1796875" customWidth="1"/>
    <col min="25" max="25" width="11.26953125" bestFit="1" customWidth="1"/>
    <col min="27" max="30" width="8.7265625" style="8" customWidth="1"/>
    <col min="31" max="31" width="9" style="8" bestFit="1" customWidth="1"/>
  </cols>
  <sheetData>
    <row r="1" spans="1:32" x14ac:dyDescent="0.35">
      <c r="J1" t="s">
        <v>65</v>
      </c>
    </row>
    <row r="2" spans="1:32" x14ac:dyDescent="0.35">
      <c r="J2" t="s">
        <v>68</v>
      </c>
      <c r="Y2" t="s">
        <v>77</v>
      </c>
    </row>
    <row r="3" spans="1:32" x14ac:dyDescent="0.35">
      <c r="H3" s="36" t="s">
        <v>96</v>
      </c>
      <c r="I3" s="36"/>
      <c r="J3" t="s">
        <v>24</v>
      </c>
      <c r="M3" s="8" t="s">
        <v>24</v>
      </c>
      <c r="N3" s="8" t="s">
        <v>70</v>
      </c>
      <c r="Q3" t="s">
        <v>72</v>
      </c>
    </row>
    <row r="4" spans="1:32" x14ac:dyDescent="0.35">
      <c r="M4" s="8">
        <v>16.5</v>
      </c>
      <c r="N4" s="8">
        <v>16</v>
      </c>
      <c r="S4" s="16" t="s">
        <v>81</v>
      </c>
      <c r="T4" s="16" t="s">
        <v>82</v>
      </c>
      <c r="U4" s="16" t="s">
        <v>102</v>
      </c>
      <c r="V4" s="16" t="s">
        <v>103</v>
      </c>
      <c r="W4" s="16"/>
      <c r="Y4" s="8" t="s">
        <v>81</v>
      </c>
      <c r="Z4" s="8" t="s">
        <v>82</v>
      </c>
    </row>
    <row r="5" spans="1:32" x14ac:dyDescent="0.35">
      <c r="A5" s="1" t="s">
        <v>11</v>
      </c>
      <c r="B5" s="1" t="s">
        <v>12</v>
      </c>
      <c r="C5" s="1" t="s">
        <v>10</v>
      </c>
      <c r="D5" s="1" t="s">
        <v>1</v>
      </c>
      <c r="E5" s="1" t="s">
        <v>0</v>
      </c>
      <c r="F5" s="1" t="s">
        <v>27</v>
      </c>
      <c r="G5" s="1" t="s">
        <v>28</v>
      </c>
      <c r="H5" s="1" t="s">
        <v>97</v>
      </c>
      <c r="I5" s="1" t="s">
        <v>98</v>
      </c>
      <c r="J5" s="1" t="s">
        <v>73</v>
      </c>
      <c r="K5" s="1" t="s">
        <v>57</v>
      </c>
      <c r="L5" s="1" t="s">
        <v>58</v>
      </c>
      <c r="M5" s="1" t="s">
        <v>59</v>
      </c>
      <c r="N5" s="1" t="s">
        <v>69</v>
      </c>
      <c r="O5" s="1" t="s">
        <v>76</v>
      </c>
      <c r="P5" s="1" t="s">
        <v>74</v>
      </c>
      <c r="Q5" s="1" t="s">
        <v>66</v>
      </c>
      <c r="R5" s="1" t="s">
        <v>67</v>
      </c>
      <c r="S5" s="1" t="s">
        <v>71</v>
      </c>
      <c r="T5" s="1" t="s">
        <v>71</v>
      </c>
      <c r="U5" s="1" t="s">
        <v>101</v>
      </c>
      <c r="V5" s="1" t="s">
        <v>101</v>
      </c>
      <c r="W5" s="1" t="s">
        <v>104</v>
      </c>
      <c r="Y5" s="1" t="s">
        <v>80</v>
      </c>
      <c r="Z5" s="1" t="s">
        <v>80</v>
      </c>
      <c r="AA5" s="1" t="s">
        <v>78</v>
      </c>
      <c r="AB5" s="1" t="s">
        <v>79</v>
      </c>
      <c r="AC5" s="1" t="s">
        <v>99</v>
      </c>
      <c r="AD5" s="1" t="s">
        <v>100</v>
      </c>
      <c r="AE5" s="1" t="s">
        <v>83</v>
      </c>
      <c r="AF5" s="1" t="s">
        <v>84</v>
      </c>
    </row>
    <row r="6" spans="1:32" x14ac:dyDescent="0.35">
      <c r="A6">
        <v>-5</v>
      </c>
      <c r="B6">
        <v>98</v>
      </c>
      <c r="C6">
        <v>6</v>
      </c>
      <c r="D6">
        <v>0</v>
      </c>
      <c r="E6">
        <v>30</v>
      </c>
      <c r="F6">
        <v>0</v>
      </c>
      <c r="G6">
        <v>0</v>
      </c>
      <c r="H6" s="9">
        <v>0</v>
      </c>
      <c r="I6" s="9">
        <v>0</v>
      </c>
      <c r="J6" s="12">
        <f>B6*1.466535</f>
        <v>143.72043</v>
      </c>
      <c r="K6" s="9">
        <f>J6*COS(S6)</f>
        <v>143.705833538833</v>
      </c>
      <c r="L6" s="9">
        <f>J6*SIN(T6)</f>
        <v>104.745965114756</v>
      </c>
      <c r="M6" s="10">
        <f>(E6*PI()/180)/$M$4</f>
        <v>0.0317332591271696</v>
      </c>
      <c r="N6" s="12">
        <f>$N$4/M6</f>
        <v>504.202859715125</v>
      </c>
      <c r="O6" s="10">
        <f>J6*(A7-A6)</f>
        <v>14.3720429999999</v>
      </c>
      <c r="P6" s="11">
        <f>O6/N6</f>
        <v>0.0285044852941139</v>
      </c>
      <c r="Q6" s="9">
        <f>N6*SIN(P6)</f>
        <v>14.3700968512982</v>
      </c>
      <c r="R6" s="9">
        <f>N6*(1-COS(P6))</f>
        <v>0.204819975490389</v>
      </c>
      <c r="S6" s="10">
        <f>ATAN(R6/Q6)</f>
        <v>0.0142522426470585</v>
      </c>
      <c r="T6" s="9">
        <f>S6*180/PI()</f>
        <v>0.816593352272812</v>
      </c>
      <c r="U6" s="7">
        <f>J6^2/N6</f>
        <v>40.9667688339874</v>
      </c>
      <c r="V6" s="7">
        <f>U6/32.2</f>
        <v>1.27225990167663</v>
      </c>
      <c r="W6" s="7">
        <f>M6*180/PI()-T6</f>
        <v>1.00158846590901</v>
      </c>
      <c r="Y6" s="13">
        <v>0</v>
      </c>
      <c r="Z6" s="9">
        <f>Y6*180/PI()</f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4">
        <v>0</v>
      </c>
    </row>
    <row r="7" spans="1:32" x14ac:dyDescent="0.35">
      <c r="A7">
        <f>A6+0.1</f>
        <v>-4.9</v>
      </c>
      <c r="B7">
        <v>98</v>
      </c>
      <c r="C7">
        <v>6</v>
      </c>
      <c r="D7">
        <v>0</v>
      </c>
      <c r="E7">
        <v>27</v>
      </c>
      <c r="F7">
        <v>0</v>
      </c>
      <c r="G7">
        <v>0</v>
      </c>
      <c r="H7" s="9">
        <f>(A7-A6)*AVERAGE(J6:J7)</f>
        <v>14.3720429999999</v>
      </c>
      <c r="I7" s="9">
        <f>(A7-A6)*AVERAGE(J6:J7)+I6</f>
        <v>14.3720429999999</v>
      </c>
      <c r="J7" s="12">
        <f>B7*1.466535</f>
        <v>143.72043</v>
      </c>
      <c r="K7" s="9">
        <f>J7*COS(S7)</f>
        <v>143.708606828429</v>
      </c>
      <c r="L7" s="9">
        <f>J7*SIN(T7)</f>
        <v>96.3700392967781</v>
      </c>
      <c r="M7" s="10">
        <f>(E7*PI()/180)/$M$4</f>
        <v>0.0285599332144527</v>
      </c>
      <c r="N7" s="12">
        <f>$N$4/M7</f>
        <v>560.225399683472</v>
      </c>
      <c r="O7" s="10">
        <f>J7*(A7-A6)</f>
        <v>14.3720429999999</v>
      </c>
      <c r="P7" s="11">
        <f>O7/N7</f>
        <v>0.0256540367647025</v>
      </c>
      <c r="Q7" s="9">
        <f>N7*SIN(P7)</f>
        <v>14.3704666073837</v>
      </c>
      <c r="R7" s="10">
        <f>N7*(1-COS(P7))</f>
        <v>0.184340349433503</v>
      </c>
      <c r="S7" s="10">
        <f>ATAN(R7/Q7)</f>
        <v>0.0128270183823507</v>
      </c>
      <c r="T7" s="9">
        <f>S7*180/PI()</f>
        <v>0.734934017045421</v>
      </c>
      <c r="U7" s="7">
        <f>J7^2/N7</f>
        <v>36.8700919505887</v>
      </c>
      <c r="V7" s="7">
        <f>U7/32.2</f>
        <v>1.14503391150897</v>
      </c>
      <c r="W7" s="7">
        <f>M7*180/PI()-T7</f>
        <v>0.901429619318215</v>
      </c>
      <c r="Y7" s="10">
        <f>Y6+P7*180/PI()</f>
        <v>1.4698680340909</v>
      </c>
      <c r="Z7" s="11">
        <f>Z6+P7</f>
        <v>0.0256540367647025</v>
      </c>
      <c r="AA7" s="9">
        <f>Q7*COS(Z7)-R7*SIN(Z7)</f>
        <v>14.3610094965943</v>
      </c>
      <c r="AB7" s="10">
        <f>Q7*SIN(Z7)+R7*COS(Z7)</f>
        <v>0.552899735113195</v>
      </c>
      <c r="AC7" s="10">
        <f>AC6+AA7</f>
        <v>14.3610094965943</v>
      </c>
      <c r="AD7" s="10">
        <f>AD6+AB7</f>
        <v>0.552899735113195</v>
      </c>
      <c r="AE7" s="9">
        <f>AE6+SQRT(AA7^2+AB7^2)</f>
        <v>14.3716488921195</v>
      </c>
      <c r="AF7" s="9">
        <f>(Y7-Y6)/(A7-A6)</f>
        <v>14.6986803409091</v>
      </c>
    </row>
    <row r="8" spans="1:32" x14ac:dyDescent="0.35">
      <c r="A8">
        <f>A7+0.1</f>
        <v>-4.8</v>
      </c>
      <c r="B8">
        <v>98</v>
      </c>
      <c r="C8">
        <v>4</v>
      </c>
      <c r="D8">
        <v>0</v>
      </c>
      <c r="E8">
        <v>26</v>
      </c>
      <c r="F8">
        <v>0</v>
      </c>
      <c r="G8">
        <v>0</v>
      </c>
      <c r="H8" s="9">
        <f>(A8-A7)*AVERAGE(J7:J8)</f>
        <v>14.3720429999999</v>
      </c>
      <c r="I8" s="9">
        <f>(A8-A7)*AVERAGE(J7:J8)+I7</f>
        <v>28.7440859999999</v>
      </c>
      <c r="J8" s="12">
        <f>B8*1.466535</f>
        <v>143.72043</v>
      </c>
      <c r="K8" s="9">
        <f>J8*COS(S8)</f>
        <v>143.709466389645</v>
      </c>
      <c r="L8" s="9">
        <f>J8*SIN(T8)</f>
        <v>93.4324554273194</v>
      </c>
      <c r="M8" s="10">
        <f>(E8*PI()/180)/$M$4</f>
        <v>0.0275021579102137</v>
      </c>
      <c r="N8" s="12">
        <f>$N$4/M8</f>
        <v>581.772530440528</v>
      </c>
      <c r="O8" s="10">
        <f>J8*(A8-A7)</f>
        <v>14.3720429999999</v>
      </c>
      <c r="P8" s="11">
        <f>O8/N8</f>
        <v>0.0247038872548987</v>
      </c>
      <c r="Q8" s="9">
        <f>N8*SIN(P8)</f>
        <v>14.3705812113058</v>
      </c>
      <c r="R8" s="10">
        <f>N8*(1-COS(P8))</f>
        <v>0.177513636889665</v>
      </c>
      <c r="S8" s="10">
        <f>ATAN(R8/Q8)</f>
        <v>0.0123519436274485</v>
      </c>
      <c r="T8" s="9">
        <f>S8*180/PI()</f>
        <v>0.707714238636313</v>
      </c>
      <c r="U8" s="7">
        <f>J8^2/N8</f>
        <v>35.5045329894558</v>
      </c>
      <c r="V8" s="7">
        <f>U8/32.2</f>
        <v>1.10262524811974</v>
      </c>
      <c r="W8" s="7">
        <f>M8*180/PI()-T8</f>
        <v>0.868043337121263</v>
      </c>
      <c r="X8" s="8"/>
      <c r="Y8" s="10">
        <f>Y7+P8*180/PI()</f>
        <v>2.88529651136363</v>
      </c>
      <c r="Z8" s="11">
        <f>Z7+P8</f>
        <v>0.0503579240196013</v>
      </c>
      <c r="AA8" s="9">
        <f>Q8*COS(Z8)-R8*SIN(Z8)</f>
        <v>14.3434282952779</v>
      </c>
      <c r="AB8" s="10">
        <f>Q8*SIN(Z8)+R8*COS(Z8)</f>
        <v>0.90065541703709</v>
      </c>
      <c r="AC8" s="10">
        <f>AC7+AA8</f>
        <v>28.7044377918722</v>
      </c>
      <c r="AD8" s="10">
        <f>AD7+AB8</f>
        <v>1.45355515215028</v>
      </c>
      <c r="AE8" s="9">
        <f>AE7+SQRT(AA8^2+AB8^2)</f>
        <v>28.7433264365823</v>
      </c>
      <c r="AF8" s="9">
        <f>(Y8-Y7)/(A8-A7)</f>
        <v>14.1542847727273</v>
      </c>
    </row>
    <row r="9" spans="1:32" x14ac:dyDescent="0.35">
      <c r="A9">
        <f>A8+0.1</f>
        <v>-4.7</v>
      </c>
      <c r="B9">
        <v>98</v>
      </c>
      <c r="C9">
        <v>4</v>
      </c>
      <c r="D9">
        <v>0</v>
      </c>
      <c r="E9">
        <v>26</v>
      </c>
      <c r="F9">
        <v>0</v>
      </c>
      <c r="G9">
        <v>0</v>
      </c>
      <c r="H9" s="9">
        <f>(A9-A8)*AVERAGE(J8:J9)</f>
        <v>14.3720429999999</v>
      </c>
      <c r="I9" s="9">
        <f>(A9-A8)*AVERAGE(J8:J9)+I8</f>
        <v>43.1161289999998</v>
      </c>
      <c r="J9" s="12">
        <f>B9*1.466535</f>
        <v>143.72043</v>
      </c>
      <c r="K9" s="9">
        <f>J9*COS(S9)</f>
        <v>143.709466389645</v>
      </c>
      <c r="L9" s="9">
        <f>J9*SIN(T9)</f>
        <v>93.4324554273194</v>
      </c>
      <c r="M9" s="10">
        <f>(E9*PI()/180)/$M$4</f>
        <v>0.0275021579102137</v>
      </c>
      <c r="N9" s="12">
        <f>$N$4/M9</f>
        <v>581.772530440528</v>
      </c>
      <c r="O9" s="10">
        <f>J9*(A9-A8)</f>
        <v>14.3720429999999</v>
      </c>
      <c r="P9" s="11">
        <f>O9/N9</f>
        <v>0.0247038872548987</v>
      </c>
      <c r="Q9" s="9">
        <f>N9*SIN(P9)</f>
        <v>14.3705812113058</v>
      </c>
      <c r="R9" s="10">
        <f>N9*(1-COS(P9))</f>
        <v>0.177513636889665</v>
      </c>
      <c r="S9" s="10">
        <f>ATAN(R9/Q9)</f>
        <v>0.0123519436274485</v>
      </c>
      <c r="T9" s="9">
        <f>S9*180/PI()</f>
        <v>0.707714238636313</v>
      </c>
      <c r="U9" s="7">
        <f>J9^2/N9</f>
        <v>35.5045329894558</v>
      </c>
      <c r="V9" s="7">
        <f>U9/32.2</f>
        <v>1.10262524811974</v>
      </c>
      <c r="W9" s="7">
        <f>M9*180/PI()-T9</f>
        <v>0.868043337121263</v>
      </c>
      <c r="X9" s="8"/>
      <c r="Y9" s="10">
        <f>Y8+P9*180/PI()</f>
        <v>4.30072498863635</v>
      </c>
      <c r="Z9" s="11">
        <f>Z8+P9</f>
        <v>0.0750618112745</v>
      </c>
      <c r="AA9" s="9">
        <f>Q9*COS(Z9)-R9*SIN(Z9)</f>
        <v>14.3168043226329</v>
      </c>
      <c r="AB9" s="10">
        <f>Q9*SIN(Z9)+R9*COS(Z9)</f>
        <v>1.25468299958935</v>
      </c>
      <c r="AC9" s="10">
        <f>AC8+AA9</f>
        <v>43.021242114505</v>
      </c>
      <c r="AD9" s="10">
        <f>AD8+AB9</f>
        <v>2.70823815173963</v>
      </c>
      <c r="AE9" s="9">
        <f>AE8+SQRT(AA9^2+AB9^2)</f>
        <v>43.1150039810451</v>
      </c>
      <c r="AF9" s="9">
        <f>(Y9-Y8)/(A9-A8)</f>
        <v>14.1542847727273</v>
      </c>
    </row>
    <row r="10" spans="1:32" x14ac:dyDescent="0.35">
      <c r="A10">
        <f>A9+0.1</f>
        <v>-4.6</v>
      </c>
      <c r="B10">
        <v>99</v>
      </c>
      <c r="C10">
        <v>4</v>
      </c>
      <c r="D10">
        <v>0</v>
      </c>
      <c r="E10">
        <v>26</v>
      </c>
      <c r="F10">
        <v>0</v>
      </c>
      <c r="G10">
        <v>0</v>
      </c>
      <c r="H10" s="9">
        <f>(A10-A9)*AVERAGE(J9:J10)</f>
        <v>14.4453697499999</v>
      </c>
      <c r="I10" s="9">
        <f>(A10-A9)*AVERAGE(J9:J10)+I9</f>
        <v>57.5614987499998</v>
      </c>
      <c r="J10" s="12">
        <f>B10*1.466535</f>
        <v>145.186965</v>
      </c>
      <c r="K10" s="9">
        <f>J10*COS(S10)</f>
        <v>145.175662335517</v>
      </c>
      <c r="L10" s="9">
        <f>J10*SIN(T10)</f>
        <v>95.1800658792047</v>
      </c>
      <c r="M10" s="10">
        <f>(E10*PI()/180)/$M$4</f>
        <v>0.0275021579102137</v>
      </c>
      <c r="N10" s="12">
        <f>$N$4/M10</f>
        <v>581.772530440528</v>
      </c>
      <c r="O10" s="10">
        <f>J10*(A10-A9)</f>
        <v>14.5186964999999</v>
      </c>
      <c r="P10" s="11">
        <f>O10/N10</f>
        <v>0.0249559677370916</v>
      </c>
      <c r="Q10" s="9">
        <f>N10*SIN(P10)</f>
        <v>14.5171895054437</v>
      </c>
      <c r="R10" s="10">
        <f>N10*(1-COS(P10))</f>
        <v>0.181154658494836</v>
      </c>
      <c r="S10" s="10">
        <f>ATAN(R10/Q10)</f>
        <v>0.0124779838685458</v>
      </c>
      <c r="T10" s="9">
        <f>S10*180/PI()</f>
        <v>0.714935812499999</v>
      </c>
      <c r="U10" s="7">
        <f>J10^2/N10</f>
        <v>36.2328121438626</v>
      </c>
      <c r="V10" s="7">
        <f>U10/32.2</f>
        <v>1.12524261316343</v>
      </c>
      <c r="W10" s="7">
        <f>M10*180/PI()-T10</f>
        <v>0.860821763257577</v>
      </c>
      <c r="X10" s="8"/>
      <c r="Y10" s="10">
        <f>Y9+P10*180/PI()</f>
        <v>5.73059661363634</v>
      </c>
      <c r="Z10" s="11">
        <f>Z9+P10</f>
        <v>0.100017779011592</v>
      </c>
      <c r="AA10" s="9">
        <f>Q10*COS(Z10)-R10*SIN(Z10)</f>
        <v>14.4265497634748</v>
      </c>
      <c r="AB10" s="10">
        <f>Q10*SIN(Z10)+R10*COS(Z10)</f>
        <v>1.62980675825285</v>
      </c>
      <c r="AC10" s="10">
        <f>AC9+AA10</f>
        <v>57.4477918779798</v>
      </c>
      <c r="AD10" s="10">
        <f>AD9+AB10</f>
        <v>4.33804490999248</v>
      </c>
      <c r="AE10" s="9">
        <f>AE9+SQRT(AA10^2+AB10^2)</f>
        <v>57.633323723607</v>
      </c>
      <c r="AF10" s="9">
        <f>(Y10-Y9)/(A10-A9)</f>
        <v>14.29871625</v>
      </c>
    </row>
    <row r="11" spans="1:32" x14ac:dyDescent="0.35">
      <c r="A11">
        <f>A10+0.1</f>
        <v>-4.5</v>
      </c>
      <c r="B11">
        <v>99</v>
      </c>
      <c r="C11">
        <v>4</v>
      </c>
      <c r="D11">
        <v>0</v>
      </c>
      <c r="E11">
        <v>26</v>
      </c>
      <c r="F11">
        <v>0</v>
      </c>
      <c r="G11">
        <v>0</v>
      </c>
      <c r="H11" s="9">
        <f>(A11-A10)*AVERAGE(J10:J11)</f>
        <v>14.5186964999999</v>
      </c>
      <c r="I11" s="9">
        <f>(A11-A10)*AVERAGE(J10:J11)+I10</f>
        <v>72.0801952499997</v>
      </c>
      <c r="J11" s="12">
        <f>B11*1.466535</f>
        <v>145.186965</v>
      </c>
      <c r="K11" s="9">
        <f>J11*COS(S11)</f>
        <v>145.175662335517</v>
      </c>
      <c r="L11" s="9">
        <f>J11*SIN(T11)</f>
        <v>95.1800658792047</v>
      </c>
      <c r="M11" s="10">
        <f>(E11*PI()/180)/$M$4</f>
        <v>0.0275021579102137</v>
      </c>
      <c r="N11" s="12">
        <f>$N$4/M11</f>
        <v>581.772530440528</v>
      </c>
      <c r="O11" s="10">
        <f>J11*(A11-A10)</f>
        <v>14.5186964999999</v>
      </c>
      <c r="P11" s="11">
        <f>O11/N11</f>
        <v>0.0249559677370916</v>
      </c>
      <c r="Q11" s="9">
        <f>N11*SIN(P11)</f>
        <v>14.5171895054437</v>
      </c>
      <c r="R11" s="10">
        <f>N11*(1-COS(P11))</f>
        <v>0.181154658494836</v>
      </c>
      <c r="S11" s="10">
        <f>ATAN(R11/Q11)</f>
        <v>0.0124779838685458</v>
      </c>
      <c r="T11" s="9">
        <f>S11*180/PI()</f>
        <v>0.714935812499999</v>
      </c>
      <c r="U11" s="7">
        <f>J11^2/N11</f>
        <v>36.2328121438626</v>
      </c>
      <c r="V11" s="7">
        <f>U11/32.2</f>
        <v>1.12524261316343</v>
      </c>
      <c r="W11" s="7">
        <f>M11*180/PI()-T11</f>
        <v>0.860821763257577</v>
      </c>
      <c r="X11" s="8"/>
      <c r="Y11" s="10">
        <f>Y10+P11*180/PI()</f>
        <v>7.16046823863634</v>
      </c>
      <c r="Z11" s="11">
        <f>Z10+P11</f>
        <v>0.124973746748683</v>
      </c>
      <c r="AA11" s="9">
        <f>Q11*COS(Z11)-R11*SIN(Z11)</f>
        <v>14.381388383575</v>
      </c>
      <c r="AB11" s="10">
        <f>Q11*SIN(Z11)+R11*COS(Z11)</f>
        <v>1.98929040314239</v>
      </c>
      <c r="AC11" s="10">
        <f>AC10+AA11</f>
        <v>71.8291802615548</v>
      </c>
      <c r="AD11" s="10">
        <f>AD10+AB11</f>
        <v>6.32733531313487</v>
      </c>
      <c r="AE11" s="9">
        <f>AE10+SQRT(AA11^2+AB11^2)</f>
        <v>72.1516434661688</v>
      </c>
      <c r="AF11" s="9">
        <f>(Y11-Y10)/(A11-A10)</f>
        <v>14.29871625</v>
      </c>
    </row>
    <row r="12" spans="1:32" x14ac:dyDescent="0.35">
      <c r="A12">
        <f>A11+0.1</f>
        <v>-4.4</v>
      </c>
      <c r="B12">
        <v>99</v>
      </c>
      <c r="C12">
        <v>5</v>
      </c>
      <c r="D12">
        <v>0</v>
      </c>
      <c r="E12">
        <v>27</v>
      </c>
      <c r="F12">
        <v>0</v>
      </c>
      <c r="G12">
        <v>0</v>
      </c>
      <c r="H12" s="9">
        <f>(A12-A11)*AVERAGE(J11:J12)</f>
        <v>14.5186964999999</v>
      </c>
      <c r="I12" s="9">
        <f>(A12-A11)*AVERAGE(J11:J12)+I11</f>
        <v>86.5988917499997</v>
      </c>
      <c r="J12" s="12">
        <f>B12*1.466535</f>
        <v>145.186965</v>
      </c>
      <c r="K12" s="9">
        <f>J12*COS(S12)</f>
        <v>145.174776192269</v>
      </c>
      <c r="L12" s="9">
        <f>J12*SIN(T12)</f>
        <v>98.1584187386513</v>
      </c>
      <c r="M12" s="10">
        <f>(E12*PI()/180)/$M$4</f>
        <v>0.0285599332144527</v>
      </c>
      <c r="N12" s="12">
        <f>$N$4/M12</f>
        <v>560.225399683472</v>
      </c>
      <c r="O12" s="10">
        <f>J12*(A12-A11)</f>
        <v>14.5186964999999</v>
      </c>
      <c r="P12" s="11">
        <f>O12/N12</f>
        <v>0.0259158126500566</v>
      </c>
      <c r="Q12" s="9">
        <f>N12*SIN(P12)</f>
        <v>14.5170713574714</v>
      </c>
      <c r="R12" s="10">
        <f>N12*(1-COS(P12))</f>
        <v>0.188121379868349</v>
      </c>
      <c r="S12" s="10">
        <f>ATAN(R12/Q12)</f>
        <v>0.0129579063250298</v>
      </c>
      <c r="T12" s="9">
        <f>S12*180/PI()</f>
        <v>0.742433343750083</v>
      </c>
      <c r="U12" s="7">
        <f>J12^2/N12</f>
        <v>37.6263818417034</v>
      </c>
      <c r="V12" s="7">
        <f>U12/32.2</f>
        <v>1.16852117520818</v>
      </c>
      <c r="W12" s="7">
        <f>M12*180/PI()-T12</f>
        <v>0.893930292613553</v>
      </c>
      <c r="X12" s="8"/>
      <c r="Y12" s="10">
        <f>Y11+P12*180/PI()</f>
        <v>8.64533492613633</v>
      </c>
      <c r="Z12" s="11">
        <f>Z11+P12</f>
        <v>0.15088955939874</v>
      </c>
      <c r="AA12" s="9">
        <f>Q12*COS(Z12)-R12*SIN(Z12)</f>
        <v>14.323846839234</v>
      </c>
      <c r="AB12" s="10">
        <f>Q12*SIN(Z12)+R12*COS(Z12)</f>
        <v>2.36815586008288</v>
      </c>
      <c r="AC12" s="10">
        <f>AC11+AA12</f>
        <v>86.1530271007888</v>
      </c>
      <c r="AD12" s="10">
        <f>AD11+AB12</f>
        <v>8.69549117321775</v>
      </c>
      <c r="AE12" s="9">
        <f>AE11+SQRT(AA12^2+AB12^2)</f>
        <v>86.6699336703037</v>
      </c>
      <c r="AF12" s="9">
        <f>(Y12-Y11)/(A12-A11)</f>
        <v>14.848666875</v>
      </c>
    </row>
    <row r="13" spans="1:32" x14ac:dyDescent="0.35">
      <c r="A13">
        <f>A12+0.1</f>
        <v>-4.3</v>
      </c>
      <c r="B13">
        <v>99</v>
      </c>
      <c r="C13">
        <v>5</v>
      </c>
      <c r="D13">
        <v>0</v>
      </c>
      <c r="E13">
        <v>28</v>
      </c>
      <c r="F13">
        <v>0</v>
      </c>
      <c r="G13">
        <v>0</v>
      </c>
      <c r="H13" s="9">
        <f>(A13-A12)*AVERAGE(J12:J13)</f>
        <v>14.5186964999999</v>
      </c>
      <c r="I13" s="9">
        <f>(A13-A12)*AVERAGE(J12:J13)+I12</f>
        <v>101.11758825</v>
      </c>
      <c r="J13" s="12">
        <f>B13*1.466535</f>
        <v>145.186965</v>
      </c>
      <c r="K13" s="9">
        <f>J13*COS(S13)</f>
        <v>145.17385661156</v>
      </c>
      <c r="L13" s="9">
        <f>J13*SIN(T13)</f>
        <v>101.062557297771</v>
      </c>
      <c r="M13" s="10">
        <f>(E13*PI()/180)/$M$4</f>
        <v>0.0296177085186917</v>
      </c>
      <c r="N13" s="12">
        <f>$N$4/M13</f>
        <v>540.217349694776</v>
      </c>
      <c r="O13" s="10">
        <f>J13*(A13-A12)</f>
        <v>14.5186964999999</v>
      </c>
      <c r="P13" s="11">
        <f>O13/N13</f>
        <v>0.0268756575630217</v>
      </c>
      <c r="Q13" s="9">
        <f>N13*SIN(P13)</f>
        <v>14.516948751695</v>
      </c>
      <c r="R13" s="10">
        <f>N13*(1-COS(P13))</f>
        <v>0.195088014585126</v>
      </c>
      <c r="S13" s="10">
        <f>ATAN(R13/Q13)</f>
        <v>0.0134378287815116</v>
      </c>
      <c r="T13" s="9">
        <f>S13*180/PI()</f>
        <v>0.769930875000039</v>
      </c>
      <c r="U13" s="7">
        <f>J13^2/N13</f>
        <v>39.0199515395443</v>
      </c>
      <c r="V13" s="7">
        <f>U13/32.2</f>
        <v>1.21179973725293</v>
      </c>
      <c r="W13" s="7">
        <f>M13*180/PI()-T13</f>
        <v>0.927038821969658</v>
      </c>
      <c r="X13" s="8"/>
      <c r="Y13" s="10">
        <f>Y12+P13*180/PI()</f>
        <v>10.1851966761363</v>
      </c>
      <c r="Z13" s="11">
        <f>Z12+P13</f>
        <v>0.177765216961761</v>
      </c>
      <c r="AA13" s="9">
        <f>Q13*COS(Z13)-R13*SIN(Z13)</f>
        <v>14.2536834152113</v>
      </c>
      <c r="AB13" s="10">
        <f>Q13*SIN(Z13)+R13*COS(Z13)</f>
        <v>2.75905228143708</v>
      </c>
      <c r="AC13" s="10">
        <f>AC12+AA13</f>
        <v>100.406710516</v>
      </c>
      <c r="AD13" s="10">
        <f>AD12+AB13</f>
        <v>11.4545434546548</v>
      </c>
      <c r="AE13" s="9">
        <f>AE12+SQRT(AA13^2+AB13^2)</f>
        <v>101.188193221392</v>
      </c>
      <c r="AF13" s="9">
        <f>(Y13-Y12)/(A13-A12)</f>
        <v>15.3986175</v>
      </c>
    </row>
    <row r="14" spans="1:32" x14ac:dyDescent="0.35">
      <c r="A14">
        <f>A13+0.1</f>
        <v>-4.2</v>
      </c>
      <c r="B14">
        <v>99</v>
      </c>
      <c r="C14">
        <v>5</v>
      </c>
      <c r="D14">
        <v>0</v>
      </c>
      <c r="E14">
        <v>30</v>
      </c>
      <c r="F14">
        <v>0</v>
      </c>
      <c r="G14">
        <v>0</v>
      </c>
      <c r="H14" s="9">
        <f>(A14-A13)*AVERAGE(J13:J14)</f>
        <v>14.5186964999999</v>
      </c>
      <c r="I14" s="9">
        <f>(A14-A13)*AVERAGE(J13:J14)+I13</f>
        <v>115.63628475</v>
      </c>
      <c r="J14" s="12">
        <f>B14*1.466535</f>
        <v>145.186965</v>
      </c>
      <c r="K14" s="9">
        <f>J14*COS(S14)</f>
        <v>145.171917138611</v>
      </c>
      <c r="L14" s="9">
        <f>J14*SIN(T14)</f>
        <v>106.639466397671</v>
      </c>
      <c r="M14" s="10">
        <f>(E14*PI()/180)/$M$4</f>
        <v>0.0317332591271696</v>
      </c>
      <c r="N14" s="12">
        <f>$N$4/M14</f>
        <v>504.202859715125</v>
      </c>
      <c r="O14" s="10">
        <f>J14*(A14-A13)</f>
        <v>14.5186964999999</v>
      </c>
      <c r="P14" s="11">
        <f>O14/N14</f>
        <v>0.0287953473889518</v>
      </c>
      <c r="Q14" s="9">
        <f>N14*SIN(P14)</f>
        <v>14.5166901670035</v>
      </c>
      <c r="R14" s="10">
        <f>N14*(1-COS(P14))</f>
        <v>0.20902101121263</v>
      </c>
      <c r="S14" s="10">
        <f>ATAN(R14/Q14)</f>
        <v>0.0143976736944763</v>
      </c>
      <c r="T14" s="9">
        <f>S14*180/PI()</f>
        <v>0.824925937500017</v>
      </c>
      <c r="U14" s="7">
        <f>J14^2/N14</f>
        <v>41.807090935226</v>
      </c>
      <c r="V14" s="7">
        <f>U14/32.2</f>
        <v>1.29835686134242</v>
      </c>
      <c r="W14" s="7">
        <f>M14*180/PI()-T14</f>
        <v>0.993255880681801</v>
      </c>
      <c r="X14" s="8"/>
      <c r="Y14" s="10">
        <f>Y13+P14*180/PI()</f>
        <v>11.8350485511363</v>
      </c>
      <c r="Z14" s="11">
        <f>Z13+P14</f>
        <v>0.206560564350713</v>
      </c>
      <c r="AA14" s="9">
        <f>Q14*COS(Z14)-R14*SIN(Z14)</f>
        <v>14.1652268827998</v>
      </c>
      <c r="AB14" s="10">
        <f>Q14*SIN(Z14)+R14*COS(Z14)</f>
        <v>3.181875319165</v>
      </c>
      <c r="AC14" s="10">
        <f>AC13+AA14</f>
        <v>114.5719373988</v>
      </c>
      <c r="AD14" s="10">
        <f>AD13+AB14</f>
        <v>14.6364187738198</v>
      </c>
      <c r="AE14" s="9">
        <f>AE13+SQRT(AA14^2+AB14^2)</f>
        <v>115.706388122547</v>
      </c>
      <c r="AF14" s="9">
        <f>(Y14-Y13)/(A14-A13)</f>
        <v>16.49851875</v>
      </c>
    </row>
    <row r="15" spans="1:32" x14ac:dyDescent="0.35">
      <c r="A15">
        <f>A14+0.1</f>
        <v>-4.1</v>
      </c>
      <c r="B15">
        <v>100</v>
      </c>
      <c r="C15">
        <v>6</v>
      </c>
      <c r="D15">
        <v>0</v>
      </c>
      <c r="E15">
        <v>35</v>
      </c>
      <c r="F15">
        <v>0</v>
      </c>
      <c r="G15">
        <v>0</v>
      </c>
      <c r="H15" s="9">
        <f>(A15-A14)*AVERAGE(J14:J15)</f>
        <v>14.5920232499999</v>
      </c>
      <c r="I15" s="9">
        <f>(A15-A14)*AVERAGE(J14:J15)+I14</f>
        <v>130.228308</v>
      </c>
      <c r="J15" s="12">
        <f>B15*1.466535</f>
        <v>146.6535</v>
      </c>
      <c r="K15" s="9">
        <f>J15*COS(S15)</f>
        <v>146.632391379057</v>
      </c>
      <c r="L15" s="9">
        <f>J15*SIN(T15)</f>
        <v>121.149094656829</v>
      </c>
      <c r="M15" s="10">
        <f>(E15*PI()/180)/$M$4</f>
        <v>0.0370221356483646</v>
      </c>
      <c r="N15" s="12">
        <f>$N$4/M15</f>
        <v>432.173879755821</v>
      </c>
      <c r="O15" s="10">
        <f>J15*(A15-A14)</f>
        <v>14.6653499999999</v>
      </c>
      <c r="P15" s="11">
        <f>O15/N15</f>
        <v>0.0339339110644213</v>
      </c>
      <c r="Q15" s="9">
        <f>N15*SIN(P15)</f>
        <v>14.6625356117325</v>
      </c>
      <c r="R15" s="10">
        <f>N15*(1-COS(P15))</f>
        <v>0.2488024650558</v>
      </c>
      <c r="S15" s="10">
        <f>ATAN(R15/Q15)</f>
        <v>0.0169669555322118</v>
      </c>
      <c r="T15" s="9">
        <f>S15*180/PI()</f>
        <v>0.972134943181877</v>
      </c>
      <c r="U15" s="7">
        <f>J15^2/N15</f>
        <v>49.7652682628613</v>
      </c>
      <c r="V15" s="7">
        <f>U15/32.2</f>
        <v>1.5455052255547</v>
      </c>
      <c r="W15" s="7">
        <f>M15*180/PI()-T15</f>
        <v>1.14907717803024</v>
      </c>
      <c r="X15" s="8"/>
      <c r="Y15" s="10">
        <f>Y14+P15*180/PI()</f>
        <v>13.7793184374999</v>
      </c>
      <c r="Z15" s="11">
        <f>Z14+P15</f>
        <v>0.240494475415135</v>
      </c>
      <c r="AA15" s="9">
        <f>Q15*COS(Z15)-R15*SIN(Z15)</f>
        <v>14.1812920068789</v>
      </c>
      <c r="AB15" s="10">
        <f>Q15*SIN(Z15)+R15*COS(Z15)</f>
        <v>3.73400726399564</v>
      </c>
      <c r="AC15" s="10">
        <f>AC14+AA15</f>
        <v>128.753229405679</v>
      </c>
      <c r="AD15" s="10">
        <f>AD14+AB15</f>
        <v>18.3704260378155</v>
      </c>
      <c r="AE15" s="9">
        <f>AE14+SQRT(AA15^2+AB15^2)</f>
        <v>130.371034495096</v>
      </c>
      <c r="AF15" s="9">
        <f>(Y15-Y14)/(A15-A14)</f>
        <v>19.4426988636363</v>
      </c>
    </row>
    <row r="16" spans="1:32" x14ac:dyDescent="0.35">
      <c r="A16">
        <f>A15+0.1</f>
        <v>-4</v>
      </c>
      <c r="B16">
        <v>100</v>
      </c>
      <c r="C16">
        <v>7</v>
      </c>
      <c r="D16">
        <v>0</v>
      </c>
      <c r="E16">
        <v>38</v>
      </c>
      <c r="F16">
        <v>0</v>
      </c>
      <c r="G16">
        <v>0</v>
      </c>
      <c r="H16" s="9">
        <f>(A16-A15)*AVERAGE(J15:J16)</f>
        <v>14.6653499999999</v>
      </c>
      <c r="I16" s="9">
        <f>(A16-A15)*AVERAGE(J15:J16)+I15</f>
        <v>144.893657999999</v>
      </c>
      <c r="J16" s="12">
        <f>B16*1.466535</f>
        <v>146.6535</v>
      </c>
      <c r="K16" s="9">
        <f>J16*COS(S16)</f>
        <v>146.628617781294</v>
      </c>
      <c r="L16" s="9">
        <f>J16*SIN(T16)</f>
        <v>127.607230479349</v>
      </c>
      <c r="M16" s="10">
        <f>(E16*PI()/180)/$M$4</f>
        <v>0.0401954615610815</v>
      </c>
      <c r="N16" s="12">
        <f>$N$4/M16</f>
        <v>398.054889248783</v>
      </c>
      <c r="O16" s="10">
        <f>J16*(A16-A15)</f>
        <v>14.6653499999999</v>
      </c>
      <c r="P16" s="11">
        <f>O16/N16</f>
        <v>0.0368425320128003</v>
      </c>
      <c r="Q16" s="9">
        <f>N16*SIN(P16)</f>
        <v>14.6620325021816</v>
      </c>
      <c r="R16" s="10">
        <f>N16*(1-COS(P16))</f>
        <v>0.270123756480762</v>
      </c>
      <c r="S16" s="10">
        <f>ATAN(R16/Q16)</f>
        <v>0.0184212660063988</v>
      </c>
      <c r="T16" s="9">
        <f>S16*180/PI()</f>
        <v>1.05546079545446</v>
      </c>
      <c r="U16" s="7">
        <f>J16^2/N16</f>
        <v>54.0308626853923</v>
      </c>
      <c r="V16" s="7">
        <f>U16/32.2</f>
        <v>1.67797710203082</v>
      </c>
      <c r="W16" s="7">
        <f>M16*180/PI()-T16</f>
        <v>1.24756950757584</v>
      </c>
      <c r="X16" s="8"/>
      <c r="Y16" s="10">
        <f>Y15+P16*180/PI()</f>
        <v>15.890240028409</v>
      </c>
      <c r="Z16" s="11">
        <f>Z15+P16</f>
        <v>0.277337007427935</v>
      </c>
      <c r="AA16" s="9">
        <f>Q16*COS(Z16)-R16*SIN(Z16)</f>
        <v>14.0278077320981</v>
      </c>
      <c r="AB16" s="10">
        <f>Q16*SIN(Z16)+R16*COS(Z16)</f>
        <v>4.27419865824399</v>
      </c>
      <c r="AC16" s="10">
        <f>AC15+AA16</f>
        <v>142.781037137777</v>
      </c>
      <c r="AD16" s="10">
        <f>AD15+AB16</f>
        <v>22.6446246960595</v>
      </c>
      <c r="AE16" s="9">
        <f>AE15+SQRT(AA16^2+AB16^2)</f>
        <v>145.035555078424</v>
      </c>
      <c r="AF16" s="9">
        <f>(Y16-Y15)/(A16-A15)</f>
        <v>21.1092159090909</v>
      </c>
    </row>
    <row r="17" spans="1:32" x14ac:dyDescent="0.35">
      <c r="A17">
        <f>A16+0.1</f>
        <v>-3.9</v>
      </c>
      <c r="B17">
        <v>100</v>
      </c>
      <c r="C17">
        <v>8</v>
      </c>
      <c r="D17">
        <v>0</v>
      </c>
      <c r="E17">
        <v>38</v>
      </c>
      <c r="F17">
        <v>0</v>
      </c>
      <c r="G17">
        <v>0</v>
      </c>
      <c r="H17" s="9">
        <f>(A17-A16)*AVERAGE(J16:J17)</f>
        <v>14.66535</v>
      </c>
      <c r="I17" s="9">
        <f>(A17-A16)*AVERAGE(J16:J17)+I16</f>
        <v>159.559007999999</v>
      </c>
      <c r="J17" s="12">
        <f>B17*1.466535</f>
        <v>146.6535</v>
      </c>
      <c r="K17" s="9">
        <f>J17*COS(S17)</f>
        <v>146.628617781294</v>
      </c>
      <c r="L17" s="9">
        <f>J17*SIN(T17)</f>
        <v>127.607230479361</v>
      </c>
      <c r="M17" s="10">
        <f>(E17*PI()/180)/$M$4</f>
        <v>0.0401954615610815</v>
      </c>
      <c r="N17" s="12">
        <f>$N$4/M17</f>
        <v>398.054889248783</v>
      </c>
      <c r="O17" s="10">
        <f>J17*(A17-A16)</f>
        <v>14.66535</v>
      </c>
      <c r="P17" s="11">
        <f>O17/N17</f>
        <v>0.0368425320128005</v>
      </c>
      <c r="Q17" s="9">
        <f>N17*SIN(P17)</f>
        <v>14.6620325021817</v>
      </c>
      <c r="R17" s="10">
        <f>N17*(1-COS(P17))</f>
        <v>0.270123756480806</v>
      </c>
      <c r="S17" s="10">
        <f>ATAN(R17/Q17)</f>
        <v>0.0184212660064017</v>
      </c>
      <c r="T17" s="9">
        <f>S17*180/PI()</f>
        <v>1.05546079545463</v>
      </c>
      <c r="U17" s="7">
        <f>J17^2/N17</f>
        <v>54.0308626853923</v>
      </c>
      <c r="V17" s="7">
        <f>U17/32.2</f>
        <v>1.67797710203082</v>
      </c>
      <c r="W17" s="7">
        <f>M17*180/PI()-T17</f>
        <v>1.24756950757567</v>
      </c>
      <c r="X17" s="8"/>
      <c r="Y17" s="10">
        <f>Y16+P17*180/PI()</f>
        <v>18.0011616193181</v>
      </c>
      <c r="Z17" s="11">
        <f>Z16+P17</f>
        <v>0.314179539440735</v>
      </c>
      <c r="AA17" s="9">
        <f>Q17*COS(Z17)-R17*SIN(Z17)</f>
        <v>13.8608516525154</v>
      </c>
      <c r="AB17" s="10">
        <f>Q17*SIN(Z17)+R17*COS(Z17)</f>
        <v>4.78800119108279</v>
      </c>
      <c r="AC17" s="10">
        <f>AC16+AA17</f>
        <v>156.641888790292</v>
      </c>
      <c r="AD17" s="10">
        <f>AD16+AB17</f>
        <v>27.4326258871423</v>
      </c>
      <c r="AE17" s="9">
        <f>AE16+SQRT(AA17^2+AB17^2)</f>
        <v>159.700075661752</v>
      </c>
      <c r="AF17" s="9">
        <f>(Y17-Y16)/(A17-A16)</f>
        <v>21.1092159090909</v>
      </c>
    </row>
    <row r="18" spans="1:32" x14ac:dyDescent="0.35">
      <c r="A18">
        <f>A17+0.1</f>
        <v>-3.8</v>
      </c>
      <c r="B18">
        <v>101</v>
      </c>
      <c r="C18">
        <v>8</v>
      </c>
      <c r="D18">
        <v>0</v>
      </c>
      <c r="E18">
        <v>38</v>
      </c>
      <c r="F18">
        <v>0</v>
      </c>
      <c r="G18">
        <v>0</v>
      </c>
      <c r="H18" s="9">
        <f>(A18-A17)*AVERAGE(J17:J18)</f>
        <v>14.73867675</v>
      </c>
      <c r="I18" s="9">
        <f>(A18-A17)*AVERAGE(J17:J18)+I17</f>
        <v>174.29768475</v>
      </c>
      <c r="J18" s="12">
        <f>B18*1.466535</f>
        <v>148.120035</v>
      </c>
      <c r="K18" s="9">
        <f>J18*COS(S18)</f>
        <v>148.094398839757</v>
      </c>
      <c r="L18" s="9">
        <f>J18*SIN(T18)</f>
        <v>129.646570047416</v>
      </c>
      <c r="M18" s="10">
        <f>(E18*PI()/180)/$M$4</f>
        <v>0.0401954615610815</v>
      </c>
      <c r="N18" s="12">
        <f>$N$4/M18</f>
        <v>398.054889248783</v>
      </c>
      <c r="O18" s="10">
        <f>J18*(A18-A17)</f>
        <v>14.8120035</v>
      </c>
      <c r="P18" s="11">
        <f>O18/N18</f>
        <v>0.0372109573329285</v>
      </c>
      <c r="Q18" s="9">
        <f>N18*SIN(P18)</f>
        <v>14.808585483343</v>
      </c>
      <c r="R18" s="10">
        <f>N18*(1-COS(P18))</f>
        <v>0.275552617475026</v>
      </c>
      <c r="S18" s="10">
        <f>ATAN(R18/Q18)</f>
        <v>0.0186054786664635</v>
      </c>
      <c r="T18" s="9">
        <f>S18*180/PI()</f>
        <v>1.06601540340905</v>
      </c>
      <c r="U18" s="7">
        <f>J18^2/N18</f>
        <v>55.1168830253687</v>
      </c>
      <c r="V18" s="7">
        <f>U18/32.2</f>
        <v>1.71170444178164</v>
      </c>
      <c r="W18" s="7">
        <f>M18*180/PI()-T18</f>
        <v>1.23701489962125</v>
      </c>
      <c r="X18" s="8"/>
      <c r="Y18" s="10">
        <f>Y17+P18*180/PI()</f>
        <v>20.1331924261363</v>
      </c>
      <c r="Z18" s="11">
        <f>Z17+P18</f>
        <v>0.351390496773664</v>
      </c>
      <c r="AA18" s="9">
        <f>Q18*COS(Z18)-R18*SIN(Z18)</f>
        <v>13.8088607424842</v>
      </c>
      <c r="AB18" s="10">
        <f>Q18*SIN(Z18)+R18*COS(Z18)</f>
        <v>5.35588445143787</v>
      </c>
      <c r="AC18" s="10">
        <f>AC17+AA18</f>
        <v>170.450749532777</v>
      </c>
      <c r="AD18" s="10">
        <f>AD17+AB18</f>
        <v>32.7885103385801</v>
      </c>
      <c r="AE18" s="9">
        <f>AE17+SQRT(AA18^2+AB18^2)</f>
        <v>174.511224613217</v>
      </c>
      <c r="AF18" s="9">
        <f>(Y18-Y17)/(A18-A17)</f>
        <v>21.3203080681818</v>
      </c>
    </row>
    <row r="19" spans="1:32" x14ac:dyDescent="0.35">
      <c r="A19">
        <f>A18+0.1</f>
        <v>-3.7</v>
      </c>
      <c r="B19">
        <v>101</v>
      </c>
      <c r="C19">
        <v>6</v>
      </c>
      <c r="D19">
        <v>0</v>
      </c>
      <c r="E19">
        <v>38</v>
      </c>
      <c r="F19">
        <v>0</v>
      </c>
      <c r="G19">
        <v>0</v>
      </c>
      <c r="H19" s="9">
        <f>(A19-A18)*AVERAGE(J18:J19)</f>
        <v>14.8120035</v>
      </c>
      <c r="I19" s="9">
        <f>(A19-A18)*AVERAGE(J18:J19)+I18</f>
        <v>189.10968825</v>
      </c>
      <c r="J19" s="12">
        <f>B19*1.466535</f>
        <v>148.120035</v>
      </c>
      <c r="K19" s="9">
        <f>J19*COS(S19)</f>
        <v>148.094398839757</v>
      </c>
      <c r="L19" s="9">
        <f>J19*SIN(T19)</f>
        <v>129.646570047416</v>
      </c>
      <c r="M19" s="10">
        <f>(E19*PI()/180)/$M$4</f>
        <v>0.0401954615610815</v>
      </c>
      <c r="N19" s="12">
        <f>$N$4/M19</f>
        <v>398.054889248783</v>
      </c>
      <c r="O19" s="10">
        <f>J19*(A19-A18)</f>
        <v>14.8120035</v>
      </c>
      <c r="P19" s="11">
        <f>O19/N19</f>
        <v>0.0372109573329285</v>
      </c>
      <c r="Q19" s="9">
        <f>N19*SIN(P19)</f>
        <v>14.808585483343</v>
      </c>
      <c r="R19" s="10">
        <f>N19*(1-COS(P19))</f>
        <v>0.275552617475026</v>
      </c>
      <c r="S19" s="10">
        <f>ATAN(R19/Q19)</f>
        <v>0.0186054786664635</v>
      </c>
      <c r="T19" s="9">
        <f>S19*180/PI()</f>
        <v>1.06601540340905</v>
      </c>
      <c r="U19" s="7">
        <f>J19^2/N19</f>
        <v>55.1168830253687</v>
      </c>
      <c r="V19" s="7">
        <f>U19/32.2</f>
        <v>1.71170444178164</v>
      </c>
      <c r="W19" s="7">
        <f>M19*180/PI()-T19</f>
        <v>1.23701489962125</v>
      </c>
      <c r="X19" s="8"/>
      <c r="Y19" s="10">
        <f>Y18+P19*180/PI()</f>
        <v>22.2652232329545</v>
      </c>
      <c r="Z19" s="11">
        <f>Z18+P19</f>
        <v>0.388601454106592</v>
      </c>
      <c r="AA19" s="9">
        <f>Q19*COS(Z19)-R19*SIN(Z19)</f>
        <v>13.6000499912413</v>
      </c>
      <c r="AB19" s="10">
        <f>Q19*SIN(Z19)+R19*COS(Z19)</f>
        <v>5.86589920627809</v>
      </c>
      <c r="AC19" s="10">
        <f>AC18+AA19</f>
        <v>184.050799524018</v>
      </c>
      <c r="AD19" s="10">
        <f>AD18+AB19</f>
        <v>38.6544095448582</v>
      </c>
      <c r="AE19" s="9">
        <f>AE18+SQRT(AA19^2+AB19^2)</f>
        <v>189.322373564682</v>
      </c>
      <c r="AF19" s="9">
        <f>(Y19-Y18)/(A19-A18)</f>
        <v>21.3203080681818</v>
      </c>
    </row>
    <row r="20" spans="1:32" x14ac:dyDescent="0.35">
      <c r="A20">
        <f>A19+0.1</f>
        <v>-3.6</v>
      </c>
      <c r="B20">
        <v>101</v>
      </c>
      <c r="C20">
        <v>6</v>
      </c>
      <c r="D20">
        <v>0</v>
      </c>
      <c r="E20">
        <v>39</v>
      </c>
      <c r="F20">
        <v>0</v>
      </c>
      <c r="G20">
        <v>0</v>
      </c>
      <c r="H20" s="9">
        <f>(A20-A19)*AVERAGE(J19:J20)</f>
        <v>14.8120035</v>
      </c>
      <c r="I20" s="9">
        <f>(A20-A19)*AVERAGE(J19:J20)+I19</f>
        <v>203.92169175</v>
      </c>
      <c r="J20" s="12">
        <f>B20*1.466535</f>
        <v>148.120035</v>
      </c>
      <c r="K20" s="9">
        <f>J20*COS(S20)</f>
        <v>148.093031856129</v>
      </c>
      <c r="L20" s="9">
        <f>J20*SIN(T20)</f>
        <v>131.60482374273</v>
      </c>
      <c r="M20" s="10">
        <f>(E20*PI()/180)/$M$4</f>
        <v>0.0412532368653205</v>
      </c>
      <c r="N20" s="12">
        <f>$N$4/M20</f>
        <v>387.848353627019</v>
      </c>
      <c r="O20" s="10">
        <f>J20*(A20-A19)</f>
        <v>14.8120035</v>
      </c>
      <c r="P20" s="11">
        <f>O20/N20</f>
        <v>0.0381901930522161</v>
      </c>
      <c r="Q20" s="9">
        <f>N20*SIN(P20)</f>
        <v>14.8084032339734</v>
      </c>
      <c r="R20" s="10">
        <f>N20*(1-COS(P20))</f>
        <v>0.282802262028308</v>
      </c>
      <c r="S20" s="10">
        <f>ATAN(R20/Q20)</f>
        <v>0.0190950965261071</v>
      </c>
      <c r="T20" s="9">
        <f>S20*180/PI()</f>
        <v>1.09406844034086</v>
      </c>
      <c r="U20" s="7">
        <f>J20^2/N20</f>
        <v>56.56732731551</v>
      </c>
      <c r="V20" s="7">
        <f>U20/32.2</f>
        <v>1.75674929551273</v>
      </c>
      <c r="W20" s="7">
        <f>M20*180/PI()-T20</f>
        <v>1.26956792329551</v>
      </c>
      <c r="X20" s="8"/>
      <c r="Y20" s="10">
        <f>Y19+P20*180/PI()</f>
        <v>24.4533601136363</v>
      </c>
      <c r="Z20" s="11">
        <f>Z19+P20</f>
        <v>0.426791647158808</v>
      </c>
      <c r="AA20" s="9">
        <f>Q20*COS(Z20)-R20*SIN(Z20)</f>
        <v>13.3630011415087</v>
      </c>
      <c r="AB20" s="10">
        <f>Q20*SIN(Z20)+R20*COS(Z20)</f>
        <v>6.38740823428408</v>
      </c>
      <c r="AC20" s="10">
        <f>AC19+AA20</f>
        <v>197.413800665526</v>
      </c>
      <c r="AD20" s="10">
        <f>AD19+AB20</f>
        <v>45.0418177791423</v>
      </c>
      <c r="AE20" s="9">
        <f>AE19+SQRT(AA20^2+AB20^2)</f>
        <v>204.133476948946</v>
      </c>
      <c r="AF20" s="9">
        <f>(Y20-Y19)/(A20-A19)</f>
        <v>21.8813688068182</v>
      </c>
    </row>
    <row r="21" spans="1:32" x14ac:dyDescent="0.35">
      <c r="A21">
        <f>A20+0.1</f>
        <v>-3.5</v>
      </c>
      <c r="B21">
        <v>101</v>
      </c>
      <c r="C21">
        <v>6</v>
      </c>
      <c r="D21">
        <v>0</v>
      </c>
      <c r="E21">
        <v>42</v>
      </c>
      <c r="F21">
        <v>0</v>
      </c>
      <c r="G21">
        <v>0</v>
      </c>
      <c r="H21" s="9">
        <f>(A21-A20)*AVERAGE(J20:J21)</f>
        <v>14.8120035</v>
      </c>
      <c r="I21" s="9">
        <f>(A21-A20)*AVERAGE(J20:J21)+I20</f>
        <v>218.73369525</v>
      </c>
      <c r="J21" s="12">
        <f>B21*1.466535</f>
        <v>148.120035</v>
      </c>
      <c r="K21" s="9">
        <f>J21*COS(S21)</f>
        <v>148.088717896415</v>
      </c>
      <c r="L21" s="9">
        <f>J21*SIN(T21)</f>
        <v>136.852453677688</v>
      </c>
      <c r="M21" s="10">
        <f>(E21*PI()/180)/$M$4</f>
        <v>0.0444265627780375</v>
      </c>
      <c r="N21" s="12">
        <f>$N$4/M21</f>
        <v>360.144899796517</v>
      </c>
      <c r="O21" s="10">
        <f>J21*(A21-A20)</f>
        <v>14.8120035</v>
      </c>
      <c r="P21" s="11">
        <f>O21/N21</f>
        <v>0.0411279002100788</v>
      </c>
      <c r="Q21" s="9">
        <f>N21*SIN(P21)</f>
        <v>14.8078280921899</v>
      </c>
      <c r="R21" s="10">
        <f>N21*(1-COS(P21))</f>
        <v>0.304550368280401</v>
      </c>
      <c r="S21" s="10">
        <f>ATAN(R21/Q21)</f>
        <v>0.0205639501050401</v>
      </c>
      <c r="T21" s="9">
        <f>S21*180/PI()</f>
        <v>1.1782275511364</v>
      </c>
      <c r="U21" s="7">
        <f>J21^2/N21</f>
        <v>60.9186601859338</v>
      </c>
      <c r="V21" s="7">
        <f>U21/32.2</f>
        <v>1.89188385670602</v>
      </c>
      <c r="W21" s="7">
        <f>M21*180/PI()-T21</f>
        <v>1.36722699431814</v>
      </c>
      <c r="X21" s="8"/>
      <c r="Y21" s="10">
        <f>Y20+P21*180/PI()</f>
        <v>26.809815215909</v>
      </c>
      <c r="Z21" s="11">
        <f>Z20+P21</f>
        <v>0.467919547368887</v>
      </c>
      <c r="AA21" s="9">
        <f>Q21*COS(Z21)-R21*SIN(Z21)</f>
        <v>13.0787519366267</v>
      </c>
      <c r="AB21" s="10">
        <f>Q21*SIN(Z21)+R21*COS(Z21)</f>
        <v>6.95059504753733</v>
      </c>
      <c r="AC21" s="10">
        <f>AC20+AA21</f>
        <v>210.492552602153</v>
      </c>
      <c r="AD21" s="10">
        <f>AD20+AB21</f>
        <v>51.9924128266796</v>
      </c>
      <c r="AE21" s="9">
        <f>AE20+SQRT(AA21^2+AB21^2)</f>
        <v>218.944436530778</v>
      </c>
      <c r="AF21" s="9">
        <f>(Y21-Y20)/(A21-A20)</f>
        <v>23.5645510227273</v>
      </c>
    </row>
    <row r="22" spans="1:32" x14ac:dyDescent="0.35">
      <c r="A22">
        <f>A21+0.1</f>
        <v>-3.4</v>
      </c>
      <c r="B22">
        <v>102</v>
      </c>
      <c r="C22">
        <v>8</v>
      </c>
      <c r="D22">
        <v>0</v>
      </c>
      <c r="E22">
        <v>50</v>
      </c>
      <c r="F22">
        <v>0</v>
      </c>
      <c r="G22">
        <v>0</v>
      </c>
      <c r="H22" s="9">
        <f>(A22-A21)*AVERAGE(J21:J22)</f>
        <v>14.88533025</v>
      </c>
      <c r="I22" s="9">
        <f>(A22-A21)*AVERAGE(J21:J22)+I21</f>
        <v>233.6190255</v>
      </c>
      <c r="J22" s="12">
        <f>B22*1.466535</f>
        <v>149.58657</v>
      </c>
      <c r="K22" s="9">
        <f>J22*COS(S22)</f>
        <v>149.540855645328</v>
      </c>
      <c r="L22" s="9">
        <f>J22*SIN(T22)</f>
        <v>147.810377172314</v>
      </c>
      <c r="M22" s="10">
        <f>(E22*PI()/180)/$M$4</f>
        <v>0.0528887652119494</v>
      </c>
      <c r="N22" s="12">
        <f>$N$4/M22</f>
        <v>302.521715829075</v>
      </c>
      <c r="O22" s="10">
        <f>J22*(A22-A21)</f>
        <v>14.958657</v>
      </c>
      <c r="P22" s="11">
        <f>O22/N22</f>
        <v>0.0494465561224427</v>
      </c>
      <c r="Q22" s="9">
        <f>N22*SIN(P22)</f>
        <v>14.9525621873561</v>
      </c>
      <c r="R22" s="10">
        <f>N22*(1-COS(P22))</f>
        <v>0.369751691489342</v>
      </c>
      <c r="S22" s="10">
        <f>ATAN(R22/Q22)</f>
        <v>0.024723278061222</v>
      </c>
      <c r="T22" s="9">
        <f>S22*180/PI()</f>
        <v>1.4165394886364</v>
      </c>
      <c r="U22" s="7">
        <f>J22^2/N22</f>
        <v>73.965407286687</v>
      </c>
      <c r="V22" s="7">
        <f>U22/32.2</f>
        <v>2.29706233809587</v>
      </c>
      <c r="W22" s="7">
        <f>M22*180/PI()-T22</f>
        <v>1.61376354166663</v>
      </c>
      <c r="X22" s="8"/>
      <c r="Y22" s="10">
        <f>Y21+P22*180/PI()</f>
        <v>29.6428941931818</v>
      </c>
      <c r="Z22" s="11">
        <f>Z21+P22</f>
        <v>0.51736610349133</v>
      </c>
      <c r="AA22" s="9">
        <f>Q22*COS(Z22)-R22*SIN(Z22)</f>
        <v>12.8127676214281</v>
      </c>
      <c r="AB22" s="10">
        <f>Q22*SIN(Z22)+R22*COS(Z22)</f>
        <v>7.71678807272786</v>
      </c>
      <c r="AC22" s="10">
        <f>AC21+AA22</f>
        <v>223.305320223581</v>
      </c>
      <c r="AD22" s="10">
        <f>AD21+AB22</f>
        <v>59.7092008994075</v>
      </c>
      <c r="AE22" s="9">
        <f>AE21+SQRT(AA22^2+AB22^2)</f>
        <v>233.901569687908</v>
      </c>
      <c r="AF22" s="9">
        <f>(Y22-Y21)/(A22-A21)</f>
        <v>28.3307897727273</v>
      </c>
    </row>
    <row r="23" spans="1:32" x14ac:dyDescent="0.35">
      <c r="A23">
        <f>A22+0.1</f>
        <v>-3.3</v>
      </c>
      <c r="B23">
        <v>102</v>
      </c>
      <c r="C23">
        <v>9</v>
      </c>
      <c r="D23">
        <v>0</v>
      </c>
      <c r="E23">
        <v>56</v>
      </c>
      <c r="F23">
        <v>0</v>
      </c>
      <c r="G23">
        <v>0</v>
      </c>
      <c r="H23" s="9">
        <f>(A23-A22)*AVERAGE(J22:J23)</f>
        <v>14.958657</v>
      </c>
      <c r="I23" s="9">
        <f>(A23-A22)*AVERAGE(J22:J23)+I22</f>
        <v>248.5776825</v>
      </c>
      <c r="J23" s="12">
        <f>B23*1.466535</f>
        <v>149.58657</v>
      </c>
      <c r="K23" s="9">
        <f>J23*COS(S23)</f>
        <v>149.529226656585</v>
      </c>
      <c r="L23" s="9">
        <f>J23*SIN(T23)</f>
        <v>149.568069001814</v>
      </c>
      <c r="M23" s="10">
        <f>(E23*PI()/180)/$M$4</f>
        <v>0.0592354170373833</v>
      </c>
      <c r="N23" s="12">
        <f>$N$4/M23</f>
        <v>270.108674847388</v>
      </c>
      <c r="O23" s="10">
        <f>J23*(A23-A22)</f>
        <v>14.958657</v>
      </c>
      <c r="P23" s="11">
        <f>O23/N23</f>
        <v>0.0553801428571359</v>
      </c>
      <c r="Q23" s="9">
        <f>N23*SIN(P23)</f>
        <v>14.9510119047866</v>
      </c>
      <c r="R23" s="10">
        <f>N23*(1-COS(P23))</f>
        <v>0.414100428778478</v>
      </c>
      <c r="S23" s="10">
        <f>ATAN(R23/Q23)</f>
        <v>0.0276900714285675</v>
      </c>
      <c r="T23" s="9">
        <f>S23*180/PI()</f>
        <v>1.5865242272727</v>
      </c>
      <c r="U23" s="7">
        <f>J23^2/N23</f>
        <v>82.8412561610895</v>
      </c>
      <c r="V23" s="7">
        <f>U23/32.2</f>
        <v>2.57270981866737</v>
      </c>
      <c r="W23" s="7">
        <f>M23*180/PI()-T23</f>
        <v>1.80741516666669</v>
      </c>
      <c r="X23" s="8"/>
      <c r="Y23" s="10">
        <f>Y22+P23*180/PI()</f>
        <v>32.8159426477272</v>
      </c>
      <c r="Z23" s="11">
        <f>Z22+P23</f>
        <v>0.572746246348466</v>
      </c>
      <c r="AA23" s="9">
        <f>Q23*COS(Z23)-R23*SIN(Z23)</f>
        <v>12.3406487777438</v>
      </c>
      <c r="AB23" s="10">
        <f>Q23*SIN(Z23)+R23*COS(Z23)</f>
        <v>8.45059902530908</v>
      </c>
      <c r="AC23" s="10">
        <f>AC22+AA23</f>
        <v>235.645969001325</v>
      </c>
      <c r="AD23" s="10">
        <f>AD22+AB23</f>
        <v>68.1597999247166</v>
      </c>
      <c r="AE23" s="9">
        <f>AE22+SQRT(AA23^2+AB23^2)</f>
        <v>248.858315194273</v>
      </c>
      <c r="AF23" s="9">
        <f>(Y23-Y22)/(A23-A22)</f>
        <v>31.7304845454545</v>
      </c>
    </row>
    <row r="24" spans="1:32" x14ac:dyDescent="0.35">
      <c r="A24">
        <f>A23+0.1</f>
        <v>-3.2</v>
      </c>
      <c r="B24">
        <v>102</v>
      </c>
      <c r="C24">
        <v>9</v>
      </c>
      <c r="D24">
        <v>0</v>
      </c>
      <c r="E24">
        <v>59</v>
      </c>
      <c r="F24">
        <v>0</v>
      </c>
      <c r="G24">
        <v>0</v>
      </c>
      <c r="H24" s="9">
        <f>(A24-A23)*AVERAGE(J23:J24)</f>
        <v>14.958657</v>
      </c>
      <c r="I24" s="9">
        <f>(A24-A23)*AVERAGE(J23:J24)+I23</f>
        <v>263.5363395</v>
      </c>
      <c r="J24" s="12">
        <f>B24*1.466535</f>
        <v>149.58657</v>
      </c>
      <c r="K24" s="9">
        <f>J24*COS(S24)</f>
        <v>149.52291860482</v>
      </c>
      <c r="L24" s="9">
        <f>J24*SIN(T24)</f>
        <v>148.828465291843</v>
      </c>
      <c r="M24" s="10">
        <f>(E24*PI()/180)/$M$4</f>
        <v>0.0624087429501003</v>
      </c>
      <c r="N24" s="12">
        <f>$N$4/M24</f>
        <v>256.374335448368</v>
      </c>
      <c r="O24" s="10">
        <f>J24*(A24-A23)</f>
        <v>14.958657</v>
      </c>
      <c r="P24" s="11">
        <f>O24/N24</f>
        <v>0.0583469362244824</v>
      </c>
      <c r="Q24" s="9">
        <f>N24*SIN(P24)</f>
        <v>14.9501709899624</v>
      </c>
      <c r="R24" s="10">
        <f>N24*(1-COS(P24))</f>
        <v>0.4362721127961</v>
      </c>
      <c r="S24" s="10">
        <f>ATAN(R24/Q24)</f>
        <v>0.0291734681122404</v>
      </c>
      <c r="T24" s="9">
        <f>S24*180/PI()</f>
        <v>1.67151659659086</v>
      </c>
      <c r="U24" s="7">
        <f>J24^2/N24</f>
        <v>87.2791805982907</v>
      </c>
      <c r="V24" s="7">
        <f>U24/32.2</f>
        <v>2.71053355895313</v>
      </c>
      <c r="W24" s="7">
        <f>M24*180/PI()-T24</f>
        <v>1.90424097916671</v>
      </c>
      <c r="X24" s="8"/>
      <c r="Y24" s="10">
        <f>Y23+P24*180/PI()</f>
        <v>36.158975840909</v>
      </c>
      <c r="Z24" s="11">
        <f>Z23+P24</f>
        <v>0.631093182572948</v>
      </c>
      <c r="AA24" s="9">
        <f>Q24*COS(Z24)-R24*SIN(Z24)</f>
        <v>11.8131010046678</v>
      </c>
      <c r="AB24" s="10">
        <f>Q24*SIN(Z24)+R24*COS(Z24)</f>
        <v>9.17325409214389</v>
      </c>
      <c r="AC24" s="10">
        <f>AC23+AA24</f>
        <v>247.459070005993</v>
      </c>
      <c r="AD24" s="10">
        <f>AD23+AB24</f>
        <v>77.3330540168604</v>
      </c>
      <c r="AE24" s="9">
        <f>AE23+SQRT(AA24^2+AB24^2)</f>
        <v>263.814850420907</v>
      </c>
      <c r="AF24" s="9">
        <f>(Y24-Y23)/(A24-A23)</f>
        <v>33.4303319318181</v>
      </c>
    </row>
    <row r="25" spans="1:32" x14ac:dyDescent="0.35">
      <c r="A25">
        <f>A24+0.1</f>
        <v>-3.1</v>
      </c>
      <c r="B25">
        <v>102</v>
      </c>
      <c r="C25">
        <v>10</v>
      </c>
      <c r="D25">
        <v>0</v>
      </c>
      <c r="E25">
        <v>59</v>
      </c>
      <c r="F25">
        <v>0</v>
      </c>
      <c r="G25">
        <v>0</v>
      </c>
      <c r="H25" s="9">
        <f>(A25-A24)*AVERAGE(J24:J25)</f>
        <v>14.958657</v>
      </c>
      <c r="I25" s="9">
        <f>(A25-A24)*AVERAGE(J24:J25)+I24</f>
        <v>278.4949965</v>
      </c>
      <c r="J25" s="12">
        <f>B25*1.466535</f>
        <v>149.58657</v>
      </c>
      <c r="K25" s="9">
        <f>J25*COS(S25)</f>
        <v>149.52291860482</v>
      </c>
      <c r="L25" s="9">
        <f>J25*SIN(T25)</f>
        <v>148.828465291843</v>
      </c>
      <c r="M25" s="10">
        <f>(E25*PI()/180)/$M$4</f>
        <v>0.0624087429501003</v>
      </c>
      <c r="N25" s="12">
        <f>$N$4/M25</f>
        <v>256.374335448368</v>
      </c>
      <c r="O25" s="10">
        <f>J25*(A25-A24)</f>
        <v>14.958657</v>
      </c>
      <c r="P25" s="11">
        <f>O25/N25</f>
        <v>0.0583469362244824</v>
      </c>
      <c r="Q25" s="9">
        <f>N25*SIN(P25)</f>
        <v>14.9501709899624</v>
      </c>
      <c r="R25" s="10">
        <f>N25*(1-COS(P25))</f>
        <v>0.4362721127961</v>
      </c>
      <c r="S25" s="10">
        <f>ATAN(R25/Q25)</f>
        <v>0.0291734681122404</v>
      </c>
      <c r="T25" s="9">
        <f>S25*180/PI()</f>
        <v>1.67151659659086</v>
      </c>
      <c r="U25" s="7">
        <f>J25^2/N25</f>
        <v>87.2791805982907</v>
      </c>
      <c r="V25" s="7">
        <f>U25/32.2</f>
        <v>2.71053355895313</v>
      </c>
      <c r="W25" s="7">
        <f>M25*180/PI()-T25</f>
        <v>1.90424097916671</v>
      </c>
      <c r="X25" s="8"/>
      <c r="Y25" s="10">
        <f>Y24+P25*180/PI()</f>
        <v>39.5020090340909</v>
      </c>
      <c r="Z25" s="11">
        <f>Z24+P25</f>
        <v>0.689440118797431</v>
      </c>
      <c r="AA25" s="9">
        <f>Q25*COS(Z25)-R25*SIN(Z25)</f>
        <v>11.258071018936</v>
      </c>
      <c r="AB25" s="10">
        <f>Q25*SIN(Z25)+R25*COS(Z25)</f>
        <v>9.84651120540219</v>
      </c>
      <c r="AC25" s="10">
        <f>AC24+AA25</f>
        <v>258.717141024929</v>
      </c>
      <c r="AD25" s="10">
        <f>AD24+AB25</f>
        <v>87.1795652222626</v>
      </c>
      <c r="AE25" s="9">
        <f>AE24+SQRT(AA25^2+AB25^2)</f>
        <v>278.77138564754</v>
      </c>
      <c r="AF25" s="9">
        <f>(Y25-Y24)/(A25-A24)</f>
        <v>33.4303319318181</v>
      </c>
    </row>
    <row r="26" spans="1:32" x14ac:dyDescent="0.35">
      <c r="A26">
        <f>A25+0.1</f>
        <v>-3</v>
      </c>
      <c r="B26">
        <v>101</v>
      </c>
      <c r="C26">
        <v>10</v>
      </c>
      <c r="D26">
        <v>0</v>
      </c>
      <c r="E26">
        <v>61</v>
      </c>
      <c r="F26">
        <v>0</v>
      </c>
      <c r="G26">
        <v>0</v>
      </c>
      <c r="H26" s="9">
        <f>(A26-A25)*AVERAGE(J25:J26)</f>
        <v>14.88533025</v>
      </c>
      <c r="I26" s="9">
        <f>(A26-A25)*AVERAGE(J25:J26)+I25</f>
        <v>293.38032675</v>
      </c>
      <c r="J26" s="12">
        <f>B26*1.466535</f>
        <v>148.120035</v>
      </c>
      <c r="K26" s="9">
        <f>J26*COS(S26)</f>
        <v>148.053976957668</v>
      </c>
      <c r="L26" s="9">
        <f>J26*SIN(T26)</f>
        <v>146.661741668398</v>
      </c>
      <c r="M26" s="10">
        <f>(E26*PI()/180)/$M$4</f>
        <v>0.0645242935585782</v>
      </c>
      <c r="N26" s="12">
        <f>$N$4/M26</f>
        <v>247.968619532028</v>
      </c>
      <c r="O26" s="10">
        <f>J26*(A26-A25)</f>
        <v>14.8120035</v>
      </c>
      <c r="P26" s="11">
        <f>O26/N26</f>
        <v>0.0597333788765431</v>
      </c>
      <c r="Q26" s="9">
        <f>N26*SIN(P26)</f>
        <v>14.8031966775882</v>
      </c>
      <c r="R26" s="10">
        <f>N26*(1-COS(P26))</f>
        <v>0.442253985356798</v>
      </c>
      <c r="S26" s="10">
        <f>ATAN(R26/Q26)</f>
        <v>0.0298666894382719</v>
      </c>
      <c r="T26" s="9">
        <f>S26*180/PI()</f>
        <v>1.71123525284093</v>
      </c>
      <c r="U26" s="7">
        <f>J26^2/N26</f>
        <v>88.4771016986181</v>
      </c>
      <c r="V26" s="7">
        <f>U26/32.2</f>
        <v>2.74773607759684</v>
      </c>
      <c r="W26" s="7">
        <f>M26*180/PI()-T26</f>
        <v>1.98573444412876</v>
      </c>
      <c r="X26" s="8"/>
      <c r="Y26" s="10">
        <f>Y25+P26*180/PI()</f>
        <v>42.9244795397727</v>
      </c>
      <c r="Z26" s="11">
        <f>Z25+P26</f>
        <v>0.749173497673974</v>
      </c>
      <c r="AA26" s="9">
        <f>Q26*COS(Z26)-R26*SIN(Z26)</f>
        <v>10.5384803928972</v>
      </c>
      <c r="AB26" s="10">
        <f>Q26*SIN(Z26)+R26*COS(Z26)</f>
        <v>10.4053184223956</v>
      </c>
      <c r="AC26" s="10">
        <f>AC25+AA26</f>
        <v>269.255621417826</v>
      </c>
      <c r="AD26" s="10">
        <f>AD25+AB26</f>
        <v>97.5848836446582</v>
      </c>
      <c r="AE26" s="9">
        <f>AE25+SQRT(AA26^2+AB26^2)</f>
        <v>293.581187147321</v>
      </c>
      <c r="AF26" s="9">
        <f>(Y26-Y25)/(A26-A25)</f>
        <v>34.2247050568182</v>
      </c>
    </row>
    <row r="27" spans="1:32" x14ac:dyDescent="0.35">
      <c r="A27">
        <f>A26+0.1</f>
        <v>-2.9</v>
      </c>
      <c r="B27">
        <v>101</v>
      </c>
      <c r="C27">
        <v>10</v>
      </c>
      <c r="D27">
        <v>0</v>
      </c>
      <c r="E27">
        <v>67</v>
      </c>
      <c r="F27">
        <v>0</v>
      </c>
      <c r="G27">
        <v>0</v>
      </c>
      <c r="H27" s="9">
        <f>(A27-A26)*AVERAGE(J26:J27)</f>
        <v>14.8120035</v>
      </c>
      <c r="I27" s="9">
        <f>(A27-A26)*AVERAGE(J26:J27)+I26</f>
        <v>308.19233025</v>
      </c>
      <c r="J27" s="12">
        <f>B27*1.466535</f>
        <v>148.120035</v>
      </c>
      <c r="K27" s="9">
        <f>J27*COS(S27)</f>
        <v>148.040344056054</v>
      </c>
      <c r="L27" s="9">
        <f>J27*SIN(T27)</f>
        <v>141.11573139432</v>
      </c>
      <c r="M27" s="10">
        <f>(E27*PI()/180)/$M$4</f>
        <v>0.0708709453840122</v>
      </c>
      <c r="N27" s="12">
        <f>$N$4/M27</f>
        <v>225.762474499309</v>
      </c>
      <c r="O27" s="10">
        <f>J27*(A27-A26)</f>
        <v>14.8120035</v>
      </c>
      <c r="P27" s="11">
        <f>O27/N27</f>
        <v>0.0656087931922686</v>
      </c>
      <c r="Q27" s="9">
        <f>N27*SIN(P27)</f>
        <v>14.8013793747351</v>
      </c>
      <c r="R27" s="10">
        <f>N27*(1-COS(P27))</f>
        <v>0.485724565685562</v>
      </c>
      <c r="S27" s="10">
        <f>ATAN(R27/Q27)</f>
        <v>0.0328043965961351</v>
      </c>
      <c r="T27" s="9">
        <f>S27*180/PI()</f>
        <v>1.87955347443186</v>
      </c>
      <c r="U27" s="7">
        <f>J27^2/N27</f>
        <v>97.1797674394658</v>
      </c>
      <c r="V27" s="7">
        <f>U27/32.2</f>
        <v>3.01800519998341</v>
      </c>
      <c r="W27" s="7">
        <f>M27*180/PI()-T27</f>
        <v>2.1810525861742</v>
      </c>
      <c r="X27" s="8"/>
      <c r="Y27" s="10">
        <f>Y26+P27*180/PI()</f>
        <v>46.6835864886363</v>
      </c>
      <c r="Z27" s="11">
        <f>Z26+P27</f>
        <v>0.814782290866242</v>
      </c>
      <c r="AA27" s="9">
        <f>Q27*COS(Z27)-R27*SIN(Z27)</f>
        <v>9.80074140813209</v>
      </c>
      <c r="AB27" s="10">
        <f>Q27*SIN(Z27)+R27*COS(Z27)</f>
        <v>11.1023523453127</v>
      </c>
      <c r="AC27" s="10">
        <f>AC26+AA27</f>
        <v>279.056362825958</v>
      </c>
      <c r="AD27" s="10">
        <f>AD26+AB27</f>
        <v>108.687235989971</v>
      </c>
      <c r="AE27" s="9">
        <f>AE26+SQRT(AA27^2+AB27^2)</f>
        <v>308.390534187233</v>
      </c>
      <c r="AF27" s="9">
        <f>(Y27-Y26)/(A27-A26)</f>
        <v>37.5910694886364</v>
      </c>
    </row>
    <row r="28" spans="1:32" x14ac:dyDescent="0.35">
      <c r="A28">
        <f>A27+0.1</f>
        <v>-2.8</v>
      </c>
      <c r="B28">
        <v>100</v>
      </c>
      <c r="C28">
        <v>10</v>
      </c>
      <c r="D28">
        <v>0</v>
      </c>
      <c r="E28">
        <v>71</v>
      </c>
      <c r="F28">
        <v>0</v>
      </c>
      <c r="G28">
        <v>0</v>
      </c>
      <c r="H28" s="9">
        <f>(A28-A27)*AVERAGE(J27:J28)</f>
        <v>14.73867675</v>
      </c>
      <c r="I28" s="9">
        <f>(A28-A27)*AVERAGE(J27:J28)+I27</f>
        <v>322.931007</v>
      </c>
      <c r="J28" s="12">
        <f>B28*1.466535</f>
        <v>146.6535</v>
      </c>
      <c r="K28" s="9">
        <f>J28*COS(S28)</f>
        <v>146.566642362131</v>
      </c>
      <c r="L28" s="9">
        <f>J28*SIN(T28)</f>
        <v>135.005392253455</v>
      </c>
      <c r="M28" s="10">
        <f>(E28*PI()/180)/$M$4</f>
        <v>0.0751020466009681</v>
      </c>
      <c r="N28" s="12">
        <f>$N$4/M28</f>
        <v>213.043461851461</v>
      </c>
      <c r="O28" s="10">
        <f>J28*(A28-A27)</f>
        <v>14.66535</v>
      </c>
      <c r="P28" s="11">
        <f>O28/N28</f>
        <v>0.0688373624449693</v>
      </c>
      <c r="Q28" s="9">
        <f>N28*SIN(P28)</f>
        <v>14.6537705821081</v>
      </c>
      <c r="R28" s="10">
        <f>N28*(1-COS(P28))</f>
        <v>0.50456271678057</v>
      </c>
      <c r="S28" s="10">
        <f>ATAN(R28/Q28)</f>
        <v>0.0344186812224847</v>
      </c>
      <c r="T28" s="9">
        <f>S28*180/PI()</f>
        <v>1.97204517045455</v>
      </c>
      <c r="U28" s="7">
        <f>J28^2/N28</f>
        <v>100.952401333233</v>
      </c>
      <c r="V28" s="7">
        <f>U28/32.2</f>
        <v>3.1351677432681</v>
      </c>
      <c r="W28" s="7">
        <f>M28*180/PI()-T28</f>
        <v>2.33098513257575</v>
      </c>
      <c r="X28" s="8"/>
      <c r="Y28" s="10">
        <f>Y27+P28*180/PI()</f>
        <v>50.6276768295454</v>
      </c>
      <c r="Z28" s="11">
        <f>Z27+P28</f>
        <v>0.883619653311212</v>
      </c>
      <c r="AA28" s="9">
        <f>Q28*COS(Z28)-R28*SIN(Z28)</f>
        <v>8.90567721045264</v>
      </c>
      <c r="AB28" s="10">
        <f>Q28*SIN(Z28)+R28*COS(Z28)</f>
        <v>11.648025121515</v>
      </c>
      <c r="AC28" s="10">
        <f>AC27+AA28</f>
        <v>287.962040036411</v>
      </c>
      <c r="AD28" s="10">
        <f>AD27+AB28</f>
        <v>120.335261111486</v>
      </c>
      <c r="AE28" s="9">
        <f>AE27+SQRT(AA28^2+AB28^2)</f>
        <v>323.052988818304</v>
      </c>
      <c r="AF28" s="9">
        <f>(Y28-Y27)/(A28-A27)</f>
        <v>39.4409034090909</v>
      </c>
    </row>
    <row r="29" spans="1:32" x14ac:dyDescent="0.35">
      <c r="A29">
        <f>A28+0.1</f>
        <v>-2.7</v>
      </c>
      <c r="B29">
        <v>100</v>
      </c>
      <c r="C29">
        <v>10</v>
      </c>
      <c r="D29">
        <v>0</v>
      </c>
      <c r="E29">
        <v>71</v>
      </c>
      <c r="F29">
        <v>0</v>
      </c>
      <c r="G29">
        <v>0</v>
      </c>
      <c r="H29" s="9">
        <f>(A29-A28)*AVERAGE(J28:J29)</f>
        <v>14.66535</v>
      </c>
      <c r="I29" s="9">
        <f>(A29-A28)*AVERAGE(J28:J29)+I28</f>
        <v>337.596357</v>
      </c>
      <c r="J29" s="12">
        <f>B29*1.466535</f>
        <v>146.6535</v>
      </c>
      <c r="K29" s="9">
        <f>J29*COS(S29)</f>
        <v>146.566642362131</v>
      </c>
      <c r="L29" s="9">
        <f>J29*SIN(T29)</f>
        <v>135.005392253455</v>
      </c>
      <c r="M29" s="10">
        <f>(E29*PI()/180)/$M$4</f>
        <v>0.0751020466009681</v>
      </c>
      <c r="N29" s="12">
        <f>$N$4/M29</f>
        <v>213.043461851461</v>
      </c>
      <c r="O29" s="10">
        <f>J29*(A29-A28)</f>
        <v>14.66535</v>
      </c>
      <c r="P29" s="11">
        <f>O29/N29</f>
        <v>0.0688373624449693</v>
      </c>
      <c r="Q29" s="9">
        <f>N29*SIN(P29)</f>
        <v>14.6537705821081</v>
      </c>
      <c r="R29" s="10">
        <f>N29*(1-COS(P29))</f>
        <v>0.50456271678057</v>
      </c>
      <c r="S29" s="10">
        <f>ATAN(R29/Q29)</f>
        <v>0.0344186812224847</v>
      </c>
      <c r="T29" s="9">
        <f>S29*180/PI()</f>
        <v>1.97204517045455</v>
      </c>
      <c r="U29" s="7">
        <f>J29^2/N29</f>
        <v>100.952401333233</v>
      </c>
      <c r="V29" s="7">
        <f>U29/32.2</f>
        <v>3.1351677432681</v>
      </c>
      <c r="W29" s="7">
        <f>M29*180/PI()-T29</f>
        <v>2.33098513257575</v>
      </c>
      <c r="X29" s="8"/>
      <c r="Y29" s="10">
        <f>Y28+P29*180/PI()</f>
        <v>54.5717671704545</v>
      </c>
      <c r="Z29" s="11">
        <f>Z28+P29</f>
        <v>0.952457015756181</v>
      </c>
      <c r="AA29" s="9">
        <f>Q29*COS(Z29)-R29*SIN(Z29)</f>
        <v>8.08339916900995</v>
      </c>
      <c r="AB29" s="10">
        <f>Q29*SIN(Z29)+R29*COS(Z29)</f>
        <v>12.2329977390119</v>
      </c>
      <c r="AC29" s="10">
        <f>AC28+AA29</f>
        <v>296.045439205421</v>
      </c>
      <c r="AD29" s="10">
        <f>AD28+AB29</f>
        <v>132.568258850498</v>
      </c>
      <c r="AE29" s="9">
        <f>AE28+SQRT(AA29^2+AB29^2)</f>
        <v>337.715443449375</v>
      </c>
      <c r="AF29" s="9">
        <f>(Y29-Y28)/(A29-A28)</f>
        <v>39.4409034090909</v>
      </c>
    </row>
    <row r="30" spans="1:32" x14ac:dyDescent="0.35">
      <c r="A30">
        <f>A29+0.1</f>
        <v>-2.6</v>
      </c>
      <c r="B30" s="3">
        <v>100</v>
      </c>
      <c r="C30">
        <v>11</v>
      </c>
      <c r="D30">
        <v>0</v>
      </c>
      <c r="E30">
        <v>68</v>
      </c>
      <c r="F30">
        <v>0</v>
      </c>
      <c r="G30">
        <v>0</v>
      </c>
      <c r="H30" s="9">
        <f>(A30-A29)*AVERAGE(J29:J30)</f>
        <v>14.66535</v>
      </c>
      <c r="I30" s="9">
        <f>(A30-A29)*AVERAGE(J29:J30)+I29</f>
        <v>352.261707</v>
      </c>
      <c r="J30" s="12">
        <f>B30*1.466535</f>
        <v>146.6535</v>
      </c>
      <c r="K30" s="9">
        <f>J30*COS(S30)</f>
        <v>146.573826721401</v>
      </c>
      <c r="L30" s="9">
        <f>J30*SIN(T30)</f>
        <v>139.304213203903</v>
      </c>
      <c r="M30" s="10">
        <f>(E30*PI()/180)/$M$4</f>
        <v>0.0719287206882512</v>
      </c>
      <c r="N30" s="12">
        <f>$N$4/M30</f>
        <v>222.442438109614</v>
      </c>
      <c r="O30" s="10">
        <f>J30*(A30-A29)</f>
        <v>14.66535</v>
      </c>
      <c r="P30" s="11">
        <f>O30/N30</f>
        <v>0.0659287414965903</v>
      </c>
      <c r="Q30" s="9">
        <f>N30*SIN(P30)</f>
        <v>14.6547282428572</v>
      </c>
      <c r="R30" s="10">
        <f>N30*(1-COS(P30))</f>
        <v>0.483258952099872</v>
      </c>
      <c r="S30" s="10">
        <f>ATAN(R30/Q30)</f>
        <v>0.0329643707482959</v>
      </c>
      <c r="T30" s="9">
        <f>S30*180/PI()</f>
        <v>1.88871931818186</v>
      </c>
      <c r="U30" s="7">
        <f>J30^2/N30</f>
        <v>96.686806910702</v>
      </c>
      <c r="V30" s="7">
        <f>U30/32.2</f>
        <v>3.00269586679199</v>
      </c>
      <c r="W30" s="7">
        <f>M30*180/PI()-T30</f>
        <v>2.23249280303026</v>
      </c>
      <c r="X30" s="8"/>
      <c r="Y30" s="10">
        <f>Y29+P30*180/PI()</f>
        <v>58.3492058068181</v>
      </c>
      <c r="Z30" s="11">
        <f>Z29+P30</f>
        <v>1.01838575725277</v>
      </c>
      <c r="AA30" s="9">
        <f>Q30*COS(Z30)-R30*SIN(Z30)</f>
        <v>7.27855348187573</v>
      </c>
      <c r="AB30" s="10">
        <f>Q30*SIN(Z30)+R30*COS(Z30)</f>
        <v>12.7286000132872</v>
      </c>
      <c r="AC30" s="10">
        <f>AC29+AA30</f>
        <v>303.323992687296</v>
      </c>
      <c r="AD30" s="10">
        <f>AD29+AB30</f>
        <v>145.296858863785</v>
      </c>
      <c r="AE30" s="9">
        <f>AE29+SQRT(AA30^2+AB30^2)</f>
        <v>352.378137577221</v>
      </c>
      <c r="AF30" s="9">
        <f>(Y30-Y29)/(A30-A29)</f>
        <v>37.7743863636364</v>
      </c>
    </row>
    <row r="31" spans="1:32" x14ac:dyDescent="0.35">
      <c r="A31">
        <f>A30+0.1</f>
        <v>-2.5</v>
      </c>
      <c r="B31" s="3">
        <v>100</v>
      </c>
      <c r="C31">
        <v>10</v>
      </c>
      <c r="D31">
        <v>0</v>
      </c>
      <c r="E31">
        <v>68</v>
      </c>
      <c r="F31">
        <v>0</v>
      </c>
      <c r="G31">
        <v>0</v>
      </c>
      <c r="H31" s="9">
        <f>(A31-A30)*AVERAGE(J30:J31)</f>
        <v>14.66535</v>
      </c>
      <c r="I31" s="9">
        <f>(A31-A30)*AVERAGE(J30:J31)+I30</f>
        <v>366.927057</v>
      </c>
      <c r="J31" s="12">
        <f>B31*1.466535</f>
        <v>146.6535</v>
      </c>
      <c r="K31" s="9">
        <f>J31*COS(S31)</f>
        <v>146.573826721401</v>
      </c>
      <c r="L31" s="9">
        <f>J31*SIN(T31)</f>
        <v>139.304213203903</v>
      </c>
      <c r="M31" s="10">
        <f>(E31*PI()/180)/$M$4</f>
        <v>0.0719287206882512</v>
      </c>
      <c r="N31" s="12">
        <f>$N$4/M31</f>
        <v>222.442438109614</v>
      </c>
      <c r="O31" s="10">
        <f>J31*(A31-A30)</f>
        <v>14.66535</v>
      </c>
      <c r="P31" s="11">
        <f>O31/N31</f>
        <v>0.0659287414965903</v>
      </c>
      <c r="Q31" s="9">
        <f>N31*SIN(P31)</f>
        <v>14.6547282428572</v>
      </c>
      <c r="R31" s="10">
        <f>N31*(1-COS(P31))</f>
        <v>0.483258952099872</v>
      </c>
      <c r="S31" s="10">
        <f>ATAN(R31/Q31)</f>
        <v>0.0329643707482959</v>
      </c>
      <c r="T31" s="9">
        <f>S31*180/PI()</f>
        <v>1.88871931818186</v>
      </c>
      <c r="U31" s="7">
        <f>J31^2/N31</f>
        <v>96.686806910702</v>
      </c>
      <c r="V31" s="7">
        <f>U31/32.2</f>
        <v>3.00269586679199</v>
      </c>
      <c r="W31" s="7">
        <f>M31*180/PI()-T31</f>
        <v>2.23249280303026</v>
      </c>
      <c r="X31" s="8"/>
      <c r="Y31" s="10">
        <f>Y30+P31*180/PI()</f>
        <v>62.1266444431818</v>
      </c>
      <c r="Z31" s="11">
        <f>Z30+P31</f>
        <v>1.08431449874936</v>
      </c>
      <c r="AA31" s="9">
        <f>Q31*COS(Z31)-R31*SIN(Z31)</f>
        <v>6.42416795252115</v>
      </c>
      <c r="AB31" s="10">
        <f>Q31*SIN(Z31)+R31*COS(Z31)</f>
        <v>13.1804652878637</v>
      </c>
      <c r="AC31" s="10">
        <f>AC30+AA31</f>
        <v>309.748160639818</v>
      </c>
      <c r="AD31" s="10">
        <f>AD30+AB31</f>
        <v>158.477324151649</v>
      </c>
      <c r="AE31" s="9">
        <f>AE30+SQRT(AA31^2+AB31^2)</f>
        <v>367.040831705068</v>
      </c>
      <c r="AF31" s="9">
        <f>(Y31-Y30)/(A31-A30)</f>
        <v>37.7743863636364</v>
      </c>
    </row>
    <row r="32" spans="1:32" x14ac:dyDescent="0.35">
      <c r="A32">
        <f>A31+0.1</f>
        <v>-2.4</v>
      </c>
      <c r="B32" s="3">
        <v>100</v>
      </c>
      <c r="C32">
        <v>9</v>
      </c>
      <c r="D32">
        <v>0</v>
      </c>
      <c r="E32">
        <v>71</v>
      </c>
      <c r="F32">
        <v>0</v>
      </c>
      <c r="G32">
        <v>0</v>
      </c>
      <c r="H32" s="9">
        <f>(A32-A31)*AVERAGE(J31:J32)</f>
        <v>14.66535</v>
      </c>
      <c r="I32" s="9">
        <f>(A32-A31)*AVERAGE(J31:J32)+I31</f>
        <v>381.592407</v>
      </c>
      <c r="J32" s="12">
        <f>B32*1.466535</f>
        <v>146.6535</v>
      </c>
      <c r="K32" s="9">
        <f>J32*COS(S32)</f>
        <v>146.566642362131</v>
      </c>
      <c r="L32" s="9">
        <f>J32*SIN(T32)</f>
        <v>135.005392253455</v>
      </c>
      <c r="M32" s="10">
        <f>(E32*PI()/180)/$M$4</f>
        <v>0.0751020466009681</v>
      </c>
      <c r="N32" s="12">
        <f>$N$4/M32</f>
        <v>213.043461851461</v>
      </c>
      <c r="O32" s="10">
        <f>J32*(A32-A31)</f>
        <v>14.66535</v>
      </c>
      <c r="P32" s="11">
        <f>O32/N32</f>
        <v>0.0688373624449693</v>
      </c>
      <c r="Q32" s="9">
        <f>N32*SIN(P32)</f>
        <v>14.6537705821081</v>
      </c>
      <c r="R32" s="10">
        <f>N32*(1-COS(P32))</f>
        <v>0.50456271678057</v>
      </c>
      <c r="S32" s="10">
        <f>ATAN(R32/Q32)</f>
        <v>0.0344186812224847</v>
      </c>
      <c r="T32" s="9">
        <f>S32*180/PI()</f>
        <v>1.97204517045455</v>
      </c>
      <c r="U32" s="7">
        <f>J32^2/N32</f>
        <v>100.952401333233</v>
      </c>
      <c r="V32" s="7">
        <f>U32/32.2</f>
        <v>3.1351677432681</v>
      </c>
      <c r="W32" s="7">
        <f>M32*180/PI()-T32</f>
        <v>2.33098513257575</v>
      </c>
      <c r="X32" s="8"/>
      <c r="Y32" s="10">
        <f>Y31+P32*180/PI()</f>
        <v>66.0707347840909</v>
      </c>
      <c r="Z32" s="11">
        <f>Z31+P32</f>
        <v>1.15315186119433</v>
      </c>
      <c r="AA32" s="9">
        <f>Q32*COS(Z32)-R32*SIN(Z32)</f>
        <v>5.48250008509008</v>
      </c>
      <c r="AB32" s="10">
        <f>Q32*SIN(Z32)+R32*COS(Z32)</f>
        <v>13.5988885069776</v>
      </c>
      <c r="AC32" s="10">
        <f>AC31+AA32</f>
        <v>315.230660724908</v>
      </c>
      <c r="AD32" s="10">
        <f>AD31+AB32</f>
        <v>172.076212658626</v>
      </c>
      <c r="AE32" s="9">
        <f>AE31+SQRT(AA32^2+AB32^2)</f>
        <v>381.703286336139</v>
      </c>
      <c r="AF32" s="9">
        <f>(Y32-Y31)/(A32-A31)</f>
        <v>39.440903409091</v>
      </c>
    </row>
    <row r="33" spans="1:32" x14ac:dyDescent="0.35">
      <c r="A33">
        <f>A32+0.1</f>
        <v>-2.3</v>
      </c>
      <c r="B33" s="3">
        <v>100</v>
      </c>
      <c r="C33">
        <v>10</v>
      </c>
      <c r="D33">
        <v>0</v>
      </c>
      <c r="E33">
        <v>-180</v>
      </c>
      <c r="F33">
        <v>0</v>
      </c>
      <c r="G33">
        <v>0</v>
      </c>
      <c r="H33" s="9">
        <f>(A33-A32)*AVERAGE(J32:J33)</f>
        <v>14.66535</v>
      </c>
      <c r="I33" s="9">
        <f>(A33-A32)*AVERAGE(J32:J33)+I32</f>
        <v>396.257757</v>
      </c>
      <c r="J33" s="12">
        <f>B33*1.466535</f>
        <v>146.6535</v>
      </c>
      <c r="K33" s="9">
        <f>J33*COS(S33)</f>
        <v>146.095539285807</v>
      </c>
      <c r="L33" s="9">
        <f>J33*SIN(T33)</f>
        <v>140.648259697514</v>
      </c>
      <c r="M33" s="10">
        <f>(E33*PI()/180)/$M$4</f>
        <v>-0.190399554763018</v>
      </c>
      <c r="N33" s="12">
        <f>$N$4/M33</f>
        <v>-84.0338099525207</v>
      </c>
      <c r="O33" s="10">
        <f>J33*(A33-A32)</f>
        <v>14.66535</v>
      </c>
      <c r="P33" s="11">
        <f>O33/N33</f>
        <v>-0.174517256902739</v>
      </c>
      <c r="Q33" s="9">
        <f>N33*SIN(P33)</f>
        <v>14.5910212953318</v>
      </c>
      <c r="R33" s="10">
        <f>N33*(1-COS(P33))</f>
        <v>-1.27643376951486</v>
      </c>
      <c r="S33" s="10">
        <f>ATAN(R33/Q33)</f>
        <v>-0.0872586284513693</v>
      </c>
      <c r="T33" s="9">
        <f>S33*180/PI()</f>
        <v>-4.99955113636363</v>
      </c>
      <c r="U33" s="7">
        <f>J33^2/N33</f>
        <v>-255.935665351858</v>
      </c>
      <c r="V33" s="7">
        <f>U33/32.2</f>
        <v>-7.94831258856702</v>
      </c>
      <c r="W33" s="7">
        <f>M33*180/PI()-T33</f>
        <v>-5.90953977272728</v>
      </c>
      <c r="X33" s="8"/>
      <c r="Y33" s="10">
        <f>Y32+P33*180/PI()</f>
        <v>56.0716325113636</v>
      </c>
      <c r="Z33" s="11">
        <f>Z32+P33</f>
        <v>0.978634604291592</v>
      </c>
      <c r="AA33" s="9">
        <f>Q33*COS(Z33)-R33*SIN(Z33)</f>
        <v>9.20316896103206</v>
      </c>
      <c r="AB33" s="10">
        <f>Q33*SIN(Z33)+R33*COS(Z33)</f>
        <v>11.3942470871699</v>
      </c>
      <c r="AC33" s="10">
        <f>AC32+AA33</f>
        <v>324.43382968594</v>
      </c>
      <c r="AD33" s="10">
        <f>AD32+AB33</f>
        <v>183.470459745796</v>
      </c>
      <c r="AE33" s="9">
        <f>AE32+SQRT(AA33^2+AB33^2)</f>
        <v>396.350032923992</v>
      </c>
      <c r="AF33" s="9">
        <f>(Y33-Y32)/(A33-A32)</f>
        <v>-99.9910227272727</v>
      </c>
    </row>
    <row r="34" spans="1:32" x14ac:dyDescent="0.35">
      <c r="A34">
        <f>A33+0.1</f>
        <v>-2.2</v>
      </c>
      <c r="B34" s="3">
        <v>100</v>
      </c>
      <c r="C34">
        <v>10</v>
      </c>
      <c r="D34">
        <v>0</v>
      </c>
      <c r="E34">
        <v>-180</v>
      </c>
      <c r="F34">
        <v>0</v>
      </c>
      <c r="G34">
        <v>0</v>
      </c>
      <c r="H34" s="9">
        <f>(A34-A33)*AVERAGE(J33:J34)</f>
        <v>14.66535</v>
      </c>
      <c r="I34" s="9">
        <f>(A34-A33)*AVERAGE(J33:J34)+I33</f>
        <v>410.923107</v>
      </c>
      <c r="J34" s="12">
        <f>B34*1.466535</f>
        <v>146.6535</v>
      </c>
      <c r="K34" s="9">
        <f>J34*COS(S34)</f>
        <v>146.095539285807</v>
      </c>
      <c r="L34" s="9">
        <f>J34*SIN(T34)</f>
        <v>140.648259697514</v>
      </c>
      <c r="M34" s="10">
        <f>(E34*PI()/180)/$M$4</f>
        <v>-0.190399554763018</v>
      </c>
      <c r="N34" s="12">
        <f>$N$4/M34</f>
        <v>-84.0338099525207</v>
      </c>
      <c r="O34" s="10">
        <f>J34*(A34-A33)</f>
        <v>14.66535</v>
      </c>
      <c r="P34" s="11">
        <f>O34/N34</f>
        <v>-0.174517256902739</v>
      </c>
      <c r="Q34" s="9">
        <f>N34*SIN(P34)</f>
        <v>14.5910212953318</v>
      </c>
      <c r="R34" s="10">
        <f>N34*(1-COS(P34))</f>
        <v>-1.27643376951486</v>
      </c>
      <c r="S34" s="10">
        <f>ATAN(R34/Q34)</f>
        <v>-0.0872586284513693</v>
      </c>
      <c r="T34" s="9">
        <f>S34*180/PI()</f>
        <v>-4.99955113636363</v>
      </c>
      <c r="U34" s="7">
        <f>J34^2/N34</f>
        <v>-255.935665351858</v>
      </c>
      <c r="V34" s="7">
        <f>U34/32.2</f>
        <v>-7.94831258856702</v>
      </c>
      <c r="W34" s="7">
        <f>M34*180/PI()-T34</f>
        <v>-5.90953977272728</v>
      </c>
      <c r="X34" s="8"/>
      <c r="Y34" s="10">
        <f>Y33+P34*180/PI()</f>
        <v>46.0725302386363</v>
      </c>
      <c r="Z34" s="11">
        <f>Z33+P34</f>
        <v>0.804117347388853</v>
      </c>
      <c r="AA34" s="9">
        <f>Q34*COS(Z34)-R34*SIN(Z34)</f>
        <v>11.0417916098451</v>
      </c>
      <c r="AB34" s="10">
        <f>Q34*SIN(Z34)+R34*COS(Z34)</f>
        <v>9.62320235958583</v>
      </c>
      <c r="AC34" s="10">
        <f>AC33+AA34</f>
        <v>335.475621295785</v>
      </c>
      <c r="AD34" s="10">
        <f>AD33+AB34</f>
        <v>193.093662105382</v>
      </c>
      <c r="AE34" s="9">
        <f>AE33+SQRT(AA34^2+AB34^2)</f>
        <v>410.996779511845</v>
      </c>
      <c r="AF34" s="9">
        <f>(Y34-Y33)/(A34-A33)</f>
        <v>-99.9910227272727</v>
      </c>
    </row>
    <row r="35" spans="1:32" x14ac:dyDescent="0.35">
      <c r="A35">
        <f>A34+0.1</f>
        <v>-2.1</v>
      </c>
      <c r="B35">
        <v>101</v>
      </c>
      <c r="C35">
        <v>10</v>
      </c>
      <c r="D35">
        <v>0</v>
      </c>
      <c r="E35">
        <v>-180</v>
      </c>
      <c r="F35">
        <v>0</v>
      </c>
      <c r="G35">
        <v>0</v>
      </c>
      <c r="H35" s="9">
        <f>(A35-A34)*AVERAGE(J34:J35)</f>
        <v>14.73867675</v>
      </c>
      <c r="I35" s="9">
        <f>(A35-A34)*AVERAGE(J34:J35)+I34</f>
        <v>425.66178375</v>
      </c>
      <c r="J35" s="12">
        <f>B35*1.466535</f>
        <v>148.120035</v>
      </c>
      <c r="K35" s="9">
        <f>J35*COS(S35)</f>
        <v>147.545174850709</v>
      </c>
      <c r="L35" s="9">
        <f>J35*SIN(T35)</f>
        <v>139.780690001048</v>
      </c>
      <c r="M35" s="10">
        <f>(E35*PI()/180)/$M$4</f>
        <v>-0.190399554763018</v>
      </c>
      <c r="N35" s="12">
        <f>$N$4/M35</f>
        <v>-84.0338099525207</v>
      </c>
      <c r="O35" s="10">
        <f>J35*(A35-A34)</f>
        <v>14.8120035</v>
      </c>
      <c r="P35" s="11">
        <f>O35/N35</f>
        <v>-0.176262429471766</v>
      </c>
      <c r="Q35" s="9">
        <f>N35*SIN(P35)</f>
        <v>14.7354249054191</v>
      </c>
      <c r="R35" s="10">
        <f>N35*(1-COS(P35))</f>
        <v>-1.30202363073794</v>
      </c>
      <c r="S35" s="10">
        <f>ATAN(R35/Q35)</f>
        <v>-0.0881312147358833</v>
      </c>
      <c r="T35" s="9">
        <f>S35*180/PI()</f>
        <v>-5.04954664772728</v>
      </c>
      <c r="U35" s="7">
        <f>J35^2/N35</f>
        <v>-261.079972225431</v>
      </c>
      <c r="V35" s="7">
        <f>U35/32.2</f>
        <v>-8.10807367159722</v>
      </c>
      <c r="W35" s="7">
        <f>M35*180/PI()-T35</f>
        <v>-5.85954426136363</v>
      </c>
      <c r="X35" s="8"/>
      <c r="Y35" s="10">
        <f>Y34+P35*180/PI()</f>
        <v>35.9734369431818</v>
      </c>
      <c r="Z35" s="11">
        <f>Z34+P35</f>
        <v>0.627854917917086</v>
      </c>
      <c r="AA35" s="9">
        <f>Q35*COS(Z35)-R35*SIN(Z35)</f>
        <v>12.6900452152803</v>
      </c>
      <c r="AB35" s="10">
        <f>Q35*SIN(Z35)+R35*COS(Z35)</f>
        <v>7.60202375110652</v>
      </c>
      <c r="AC35" s="10">
        <f>AC34+AA35</f>
        <v>348.165666511065</v>
      </c>
      <c r="AD35" s="10">
        <f>AD34+AB35</f>
        <v>200.695685856489</v>
      </c>
      <c r="AE35" s="9">
        <f>AE34+SQRT(AA35^2+AB35^2)</f>
        <v>425.789616044378</v>
      </c>
      <c r="AF35" s="9">
        <f>(Y35-Y34)/(A35-A34)</f>
        <v>-100.990932954545</v>
      </c>
    </row>
    <row r="36" spans="1:32" x14ac:dyDescent="0.35">
      <c r="A36">
        <f>A35+0.1</f>
        <v>-2</v>
      </c>
      <c r="B36" s="3">
        <v>100</v>
      </c>
      <c r="C36">
        <v>9</v>
      </c>
      <c r="D36">
        <v>0</v>
      </c>
      <c r="E36">
        <v>-180</v>
      </c>
      <c r="F36">
        <v>0</v>
      </c>
      <c r="G36">
        <v>0</v>
      </c>
      <c r="H36" s="9">
        <f>(A36-A35)*AVERAGE(J35:J36)</f>
        <v>14.73867675</v>
      </c>
      <c r="I36" s="9">
        <f>(A36-A35)*AVERAGE(J35:J36)+I35</f>
        <v>440.4004605</v>
      </c>
      <c r="J36" s="12">
        <f>B36*1.466535</f>
        <v>146.6535</v>
      </c>
      <c r="K36" s="9">
        <f>J36*COS(S36)</f>
        <v>146.095539285807</v>
      </c>
      <c r="L36" s="9">
        <f>J36*SIN(T36)</f>
        <v>140.648259697514</v>
      </c>
      <c r="M36" s="10">
        <f>(E36*PI()/180)/$M$4</f>
        <v>-0.190399554763018</v>
      </c>
      <c r="N36" s="12">
        <f>$N$4/M36</f>
        <v>-84.0338099525207</v>
      </c>
      <c r="O36" s="10">
        <f>J36*(A36-A35)</f>
        <v>14.66535</v>
      </c>
      <c r="P36" s="11">
        <f>O36/N36</f>
        <v>-0.174517256902739</v>
      </c>
      <c r="Q36" s="9">
        <f>N36*SIN(P36)</f>
        <v>14.5910212953318</v>
      </c>
      <c r="R36" s="10">
        <f>N36*(1-COS(P36))</f>
        <v>-1.27643376951486</v>
      </c>
      <c r="S36" s="10">
        <f>ATAN(R36/Q36)</f>
        <v>-0.0872586284513693</v>
      </c>
      <c r="T36" s="9">
        <f>S36*180/PI()</f>
        <v>-4.99955113636363</v>
      </c>
      <c r="U36" s="7">
        <f>J36^2/N36</f>
        <v>-255.935665351858</v>
      </c>
      <c r="V36" s="7">
        <f>U36/32.2</f>
        <v>-7.94831258856702</v>
      </c>
      <c r="W36" s="7">
        <f>M36*180/PI()-T36</f>
        <v>-5.90953977272728</v>
      </c>
      <c r="X36" s="8"/>
      <c r="Y36" s="10">
        <f>Y35+P36*180/PI()</f>
        <v>25.9743346704545</v>
      </c>
      <c r="Z36" s="11">
        <f>Z35+P36</f>
        <v>0.453337661014347</v>
      </c>
      <c r="AA36" s="9">
        <f>Q36*COS(Z36)-R36*SIN(Z36)</f>
        <v>13.6762247079586</v>
      </c>
      <c r="AB36" s="10">
        <f>Q36*SIN(Z36)+R36*COS(Z36)</f>
        <v>5.24290600203807</v>
      </c>
      <c r="AC36" s="10">
        <f>AC35+AA36</f>
        <v>361.841891219024</v>
      </c>
      <c r="AD36" s="10">
        <f>AD35+AB36</f>
        <v>205.938591858527</v>
      </c>
      <c r="AE36" s="9">
        <f>AE35+SQRT(AA36^2+AB36^2)</f>
        <v>440.436362632231</v>
      </c>
      <c r="AF36" s="9">
        <f>(Y36-Y35)/(A36-A35)</f>
        <v>-99.9910227272727</v>
      </c>
    </row>
    <row r="37" spans="1:32" x14ac:dyDescent="0.35">
      <c r="A37">
        <f>A36+0.1</f>
        <v>-1.9</v>
      </c>
      <c r="B37" s="3">
        <v>100</v>
      </c>
      <c r="C37">
        <v>7</v>
      </c>
      <c r="D37">
        <v>0</v>
      </c>
      <c r="E37">
        <v>-180</v>
      </c>
      <c r="F37">
        <v>0</v>
      </c>
      <c r="G37">
        <v>0</v>
      </c>
      <c r="H37" s="9">
        <f>(A37-A36)*AVERAGE(J36:J37)</f>
        <v>14.66535</v>
      </c>
      <c r="I37" s="9">
        <f>(A37-A36)*AVERAGE(J36:J37)+I36</f>
        <v>455.0658105</v>
      </c>
      <c r="J37" s="12">
        <f>B37*1.466535</f>
        <v>146.6535</v>
      </c>
      <c r="K37" s="9">
        <f>J37*COS(S37)</f>
        <v>146.095539285807</v>
      </c>
      <c r="L37" s="9">
        <f>J37*SIN(T37)</f>
        <v>140.648259697514</v>
      </c>
      <c r="M37" s="10">
        <f>(E37*PI()/180)/$M$4</f>
        <v>-0.190399554763018</v>
      </c>
      <c r="N37" s="12">
        <f>$N$4/M37</f>
        <v>-84.0338099525207</v>
      </c>
      <c r="O37" s="10">
        <f>J37*(A37-A36)</f>
        <v>14.66535</v>
      </c>
      <c r="P37" s="11">
        <f>O37/N37</f>
        <v>-0.174517256902739</v>
      </c>
      <c r="Q37" s="9">
        <f>N37*SIN(P37)</f>
        <v>14.5910212953318</v>
      </c>
      <c r="R37" s="10">
        <f>N37*(1-COS(P37))</f>
        <v>-1.27643376951486</v>
      </c>
      <c r="S37" s="10">
        <f>ATAN(R37/Q37)</f>
        <v>-0.0872586284513693</v>
      </c>
      <c r="T37" s="9">
        <f>S37*180/PI()</f>
        <v>-4.99955113636363</v>
      </c>
      <c r="U37" s="7">
        <f>J37^2/N37</f>
        <v>-255.935665351858</v>
      </c>
      <c r="V37" s="7">
        <f>U37/32.2</f>
        <v>-7.94831258856702</v>
      </c>
      <c r="W37" s="7">
        <f>M37*180/PI()-T37</f>
        <v>-5.90953977272728</v>
      </c>
      <c r="X37" s="8"/>
      <c r="Y37" s="10">
        <f>Y36+P37*180/PI()</f>
        <v>15.9752323977272</v>
      </c>
      <c r="Z37" s="11">
        <f>Z36+P37</f>
        <v>0.278820404111608</v>
      </c>
      <c r="AA37" s="9">
        <f>Q37*COS(Z37)-R37*SIN(Z37)</f>
        <v>14.3788295059775</v>
      </c>
      <c r="AB37" s="10">
        <f>Q37*SIN(Z37)+R37*COS(Z37)</f>
        <v>2.78862827332998</v>
      </c>
      <c r="AC37" s="10">
        <f>AC36+AA37</f>
        <v>376.220720725001</v>
      </c>
      <c r="AD37" s="10">
        <f>AD36+AB37</f>
        <v>208.727220131857</v>
      </c>
      <c r="AE37" s="9">
        <f>AE36+SQRT(AA37^2+AB37^2)</f>
        <v>455.083109220084</v>
      </c>
      <c r="AF37" s="9">
        <f>(Y37-Y36)/(A37-A36)</f>
        <v>-99.9910227272727</v>
      </c>
    </row>
    <row r="38" spans="1:32" x14ac:dyDescent="0.35">
      <c r="A38">
        <f>A37+0.1</f>
        <v>-1.8</v>
      </c>
      <c r="B38" s="3">
        <v>100</v>
      </c>
      <c r="C38">
        <v>5</v>
      </c>
      <c r="D38">
        <v>0</v>
      </c>
      <c r="E38">
        <v>-180</v>
      </c>
      <c r="F38">
        <v>0</v>
      </c>
      <c r="G38">
        <v>0</v>
      </c>
      <c r="H38" s="9">
        <f>(A38-A37)*AVERAGE(J37:J38)</f>
        <v>14.66535</v>
      </c>
      <c r="I38" s="9">
        <f>(A38-A37)*AVERAGE(J37:J38)+I37</f>
        <v>469.7311605</v>
      </c>
      <c r="J38" s="12">
        <f>B38*1.466535</f>
        <v>146.6535</v>
      </c>
      <c r="K38" s="9">
        <f>J38*COS(S38)</f>
        <v>146.095539285807</v>
      </c>
      <c r="L38" s="9">
        <f>J38*SIN(T38)</f>
        <v>140.648259697514</v>
      </c>
      <c r="M38" s="10">
        <f>(E38*PI()/180)/$M$4</f>
        <v>-0.190399554763018</v>
      </c>
      <c r="N38" s="12">
        <f>$N$4/M38</f>
        <v>-84.0338099525207</v>
      </c>
      <c r="O38" s="10">
        <f>J38*(A38-A37)</f>
        <v>14.66535</v>
      </c>
      <c r="P38" s="11">
        <f>O38/N38</f>
        <v>-0.174517256902739</v>
      </c>
      <c r="Q38" s="9">
        <f>N38*SIN(P38)</f>
        <v>14.5910212953318</v>
      </c>
      <c r="R38" s="10">
        <f>N38*(1-COS(P38))</f>
        <v>-1.27643376951486</v>
      </c>
      <c r="S38" s="10">
        <f>ATAN(R38/Q38)</f>
        <v>-0.0872586284513693</v>
      </c>
      <c r="T38" s="9">
        <f>S38*180/PI()</f>
        <v>-4.99955113636363</v>
      </c>
      <c r="U38" s="7">
        <f>J38^2/N38</f>
        <v>-255.935665351858</v>
      </c>
      <c r="V38" s="7">
        <f>U38/32.2</f>
        <v>-7.94831258856702</v>
      </c>
      <c r="W38" s="7">
        <f>M38*180/PI()-T38</f>
        <v>-5.90953977272728</v>
      </c>
      <c r="X38" s="8"/>
      <c r="Y38" s="10">
        <f>Y37+P38*180/PI()</f>
        <v>5.97613012499994</v>
      </c>
      <c r="Z38" s="11">
        <f>Z37+P38</f>
        <v>0.104303147208869</v>
      </c>
      <c r="AA38" s="9">
        <f>Q38*COS(Z38)-R38*SIN(Z38)</f>
        <v>14.6446190850292</v>
      </c>
      <c r="AB38" s="10">
        <f>Q38*SIN(Z38)+R38*COS(Z38)</f>
        <v>0.249634659415356</v>
      </c>
      <c r="AC38" s="10">
        <f>AC37+AA38</f>
        <v>390.86533981003</v>
      </c>
      <c r="AD38" s="10">
        <f>AD37+AB38</f>
        <v>208.976854791272</v>
      </c>
      <c r="AE38" s="9">
        <f>AE37+SQRT(AA38^2+AB38^2)</f>
        <v>469.729855807937</v>
      </c>
      <c r="AF38" s="9">
        <f>(Y38-Y37)/(A38-A37)</f>
        <v>-99.9910227272727</v>
      </c>
    </row>
    <row r="39" spans="1:32" x14ac:dyDescent="0.35">
      <c r="A39">
        <f>A38+0.1</f>
        <v>-1.7</v>
      </c>
      <c r="B39" s="3">
        <v>100</v>
      </c>
      <c r="C39">
        <v>4</v>
      </c>
      <c r="D39">
        <v>0</v>
      </c>
      <c r="E39">
        <v>45</v>
      </c>
      <c r="F39">
        <v>0</v>
      </c>
      <c r="G39">
        <v>0</v>
      </c>
      <c r="H39" s="9">
        <f>(A39-A38)*AVERAGE(J38:J39)</f>
        <v>14.66535</v>
      </c>
      <c r="I39" s="9">
        <f>(A39-A38)*AVERAGE(J38:J39)+I38</f>
        <v>484.3965105</v>
      </c>
      <c r="J39" s="12">
        <f>B39*1.466535</f>
        <v>146.6535</v>
      </c>
      <c r="K39" s="9">
        <f>J39*COS(S39)</f>
        <v>146.618606703891</v>
      </c>
      <c r="L39" s="9">
        <f>J39*SIN(T39)</f>
        <v>139.166725783767</v>
      </c>
      <c r="M39" s="10">
        <f>(E39*PI()/180)/$M$4</f>
        <v>0.0475998886907544</v>
      </c>
      <c r="N39" s="12">
        <f>$N$4/M39</f>
        <v>336.135239810083</v>
      </c>
      <c r="O39" s="10">
        <f>J39*(A39-A38)</f>
        <v>14.66535</v>
      </c>
      <c r="P39" s="11">
        <f>O39/N39</f>
        <v>0.0436293142256848</v>
      </c>
      <c r="Q39" s="9">
        <f>N39*SIN(P39)</f>
        <v>14.6606978188119</v>
      </c>
      <c r="R39" s="10">
        <f>N39*(1-COS(P39))</f>
        <v>0.319868837211239</v>
      </c>
      <c r="S39" s="10">
        <f>ATAN(R39/Q39)</f>
        <v>0.0218146571128433</v>
      </c>
      <c r="T39" s="9">
        <f>S39*180/PI()</f>
        <v>1.24988778409096</v>
      </c>
      <c r="U39" s="7">
        <f>J39^2/N39</f>
        <v>63.9839163379645</v>
      </c>
      <c r="V39" s="7">
        <f>U39/32.2</f>
        <v>1.98707814714176</v>
      </c>
      <c r="W39" s="7">
        <f>M39*180/PI()-T39</f>
        <v>1.47738494318176</v>
      </c>
      <c r="X39" s="8"/>
      <c r="Y39" s="10">
        <f>Y38+P39*180/PI()</f>
        <v>8.47590569318176</v>
      </c>
      <c r="Z39" s="11">
        <f>Z38+P39</f>
        <v>0.147932461434554</v>
      </c>
      <c r="AA39" s="9">
        <f>Q39*COS(Z39)-R39*SIN(Z39)</f>
        <v>14.453426116768</v>
      </c>
      <c r="AB39" s="10">
        <f>Q39*SIN(Z39)+R39*COS(Z39)</f>
        <v>2.47726665796498</v>
      </c>
      <c r="AC39" s="10">
        <f>AC38+AA39</f>
        <v>405.318765926798</v>
      </c>
      <c r="AD39" s="10">
        <f>AD38+AB39</f>
        <v>211.454121449237</v>
      </c>
      <c r="AE39" s="9">
        <f>AE38+SQRT(AA39^2+AB39^2)</f>
        <v>484.394042679617</v>
      </c>
      <c r="AF39" s="9">
        <f>(Y39-Y38)/(A39-A38)</f>
        <v>24.9977556818182</v>
      </c>
    </row>
    <row r="40" spans="1:32" x14ac:dyDescent="0.35">
      <c r="A40">
        <f>A39+0.1</f>
        <v>-1.6</v>
      </c>
      <c r="B40">
        <v>100</v>
      </c>
      <c r="C40">
        <v>1</v>
      </c>
      <c r="D40">
        <v>0</v>
      </c>
      <c r="E40">
        <v>33</v>
      </c>
      <c r="F40">
        <v>0</v>
      </c>
      <c r="G40">
        <v>0</v>
      </c>
      <c r="H40" s="9">
        <f>(A40-A39)*AVERAGE(J39:J40)</f>
        <v>14.66535</v>
      </c>
      <c r="I40" s="9">
        <f>(A40-A39)*AVERAGE(J39:J40)+I39</f>
        <v>499.0618605</v>
      </c>
      <c r="J40" s="12">
        <f>B40*1.466535</f>
        <v>146.6535</v>
      </c>
      <c r="K40" s="9">
        <f>J40*COS(S40)</f>
        <v>146.634734816792</v>
      </c>
      <c r="L40" s="9">
        <f>J40*SIN(T40)</f>
        <v>116.373618753717</v>
      </c>
      <c r="M40" s="10">
        <f>(E40*PI()/180)/$M$4</f>
        <v>0.0349065850398866</v>
      </c>
      <c r="N40" s="12">
        <f>$N$4/M40</f>
        <v>458.366236104659</v>
      </c>
      <c r="O40" s="10">
        <f>J40*(A40-A39)</f>
        <v>14.66535</v>
      </c>
      <c r="P40" s="11">
        <f>O40/N40</f>
        <v>0.0319948304321688</v>
      </c>
      <c r="Q40" s="9">
        <f>N40*SIN(P40)</f>
        <v>14.6628480502741</v>
      </c>
      <c r="R40" s="10">
        <f>N40*(1-COS(P40))</f>
        <v>0.234587680533444</v>
      </c>
      <c r="S40" s="10">
        <f>ATAN(R40/Q40)</f>
        <v>0.0159974152160835</v>
      </c>
      <c r="T40" s="9">
        <f>S40*180/PI()</f>
        <v>0.916584374999951</v>
      </c>
      <c r="U40" s="7">
        <f>J40^2/N40</f>
        <v>46.9215386478407</v>
      </c>
      <c r="V40" s="7">
        <f>U40/32.2</f>
        <v>1.45719064123729</v>
      </c>
      <c r="W40" s="7">
        <f>M40*180/PI()-T40</f>
        <v>1.08341562500005</v>
      </c>
      <c r="X40" s="8"/>
      <c r="Y40" s="10">
        <f>Y39+P40*180/PI()</f>
        <v>10.3090744431818</v>
      </c>
      <c r="Z40" s="11">
        <f>Z39+P40</f>
        <v>0.179927291866723</v>
      </c>
      <c r="AA40" s="9">
        <f>Q40*COS(Z40)-R40*SIN(Z40)</f>
        <v>14.384160047955</v>
      </c>
      <c r="AB40" s="10">
        <f>Q40*SIN(Z40)+R40*COS(Z40)</f>
        <v>2.85483520366795</v>
      </c>
      <c r="AC40" s="10">
        <f>AC39+AA40</f>
        <v>419.702925974753</v>
      </c>
      <c r="AD40" s="10">
        <f>AD39+AB40</f>
        <v>214.308956652905</v>
      </c>
      <c r="AE40" s="9">
        <f>AE39+SQRT(AA40^2+AB40^2)</f>
        <v>499.058767168174</v>
      </c>
      <c r="AF40" s="9">
        <f>(Y40-Y39)/(A40-A39)</f>
        <v>18.3316875</v>
      </c>
    </row>
    <row r="41" spans="1:32" x14ac:dyDescent="0.35">
      <c r="A41">
        <f>A40+0.1</f>
        <v>-1.5</v>
      </c>
      <c r="B41">
        <v>99</v>
      </c>
      <c r="C41">
        <v>0</v>
      </c>
      <c r="D41">
        <v>0</v>
      </c>
      <c r="E41">
        <v>21</v>
      </c>
      <c r="F41">
        <v>0</v>
      </c>
      <c r="G41">
        <v>0</v>
      </c>
      <c r="H41" s="9">
        <f>(A41-A40)*AVERAGE(J40:J41)</f>
        <v>14.59202325</v>
      </c>
      <c r="I41" s="9">
        <f>(A41-A40)*AVERAGE(J40:J41)+I40</f>
        <v>513.65388375</v>
      </c>
      <c r="J41" s="12">
        <f>B41*1.466535</f>
        <v>145.186965</v>
      </c>
      <c r="K41" s="9">
        <f>J41*COS(S41)</f>
        <v>145.179591482959</v>
      </c>
      <c r="L41" s="9">
        <f>J41*SIN(T41)</f>
        <v>79.2557686349111</v>
      </c>
      <c r="M41" s="10">
        <f>(E41*PI()/180)/$M$4</f>
        <v>0.0222132813890187</v>
      </c>
      <c r="N41" s="12">
        <f>$N$4/M41</f>
        <v>720.289799593035</v>
      </c>
      <c r="O41" s="10">
        <f>J41*(A41-A40)</f>
        <v>14.5186965</v>
      </c>
      <c r="P41" s="11">
        <f>O41/N41</f>
        <v>0.0201567431722664</v>
      </c>
      <c r="Q41" s="9">
        <f>N41*SIN(P41)</f>
        <v>14.5177133760449</v>
      </c>
      <c r="R41" s="10">
        <f>N41*(1-COS(P41))</f>
        <v>0.146319864095452</v>
      </c>
      <c r="S41" s="10">
        <f>ATAN(R41/Q41)</f>
        <v>0.0100783715861315</v>
      </c>
      <c r="T41" s="9">
        <f>S41*180/PI()</f>
        <v>0.577448156249906</v>
      </c>
      <c r="U41" s="7">
        <f>J41^2/N41</f>
        <v>29.2649636546582</v>
      </c>
      <c r="V41" s="7">
        <f>U41/32.2</f>
        <v>0.908849802939696</v>
      </c>
      <c r="W41" s="7">
        <f>M41*180/PI()-T41</f>
        <v>0.695279116477367</v>
      </c>
      <c r="X41" s="8"/>
      <c r="Y41" s="10">
        <f>Y40+P41*180/PI()</f>
        <v>11.4639707556818</v>
      </c>
      <c r="Z41" s="11">
        <f>Z40+P41</f>
        <v>0.200084035038989</v>
      </c>
      <c r="AA41" s="9">
        <f>Q41*COS(Z41)-R41*SIN(Z41)</f>
        <v>14.1990019201178</v>
      </c>
      <c r="AB41" s="10">
        <f>Q41*SIN(Z41)+R41*COS(Z41)</f>
        <v>3.02882083394073</v>
      </c>
      <c r="AC41" s="10">
        <f>AC40+AA41</f>
        <v>433.901927894871</v>
      </c>
      <c r="AD41" s="10">
        <f>AD40+AB41</f>
        <v>217.337777486846</v>
      </c>
      <c r="AE41" s="9">
        <f>AE40+SQRT(AA41^2+AB41^2)</f>
        <v>513.57721788344</v>
      </c>
      <c r="AF41" s="9">
        <f>(Y41-Y40)/(A41-A40)</f>
        <v>11.548963125</v>
      </c>
    </row>
    <row r="42" spans="1:32" x14ac:dyDescent="0.35">
      <c r="A42">
        <f>A41+0.1</f>
        <v>-1.4</v>
      </c>
      <c r="B42">
        <v>99</v>
      </c>
      <c r="C42">
        <v>0</v>
      </c>
      <c r="D42">
        <v>0</v>
      </c>
      <c r="E42">
        <v>10</v>
      </c>
      <c r="F42">
        <v>0</v>
      </c>
      <c r="G42">
        <v>0</v>
      </c>
      <c r="H42" s="9">
        <f>(A42-A41)*AVERAGE(J41:J42)</f>
        <v>14.5186965</v>
      </c>
      <c r="I42" s="9">
        <f>(A42-A41)*AVERAGE(J41:J42)+I41</f>
        <v>528.17258025</v>
      </c>
      <c r="J42" s="12">
        <f>B42*1.466535</f>
        <v>145.186965</v>
      </c>
      <c r="K42" s="9">
        <f>J42*COS(S42)</f>
        <v>145.185292989728</v>
      </c>
      <c r="L42" s="9">
        <f>J42*SIN(T42)</f>
        <v>39.4216259959772</v>
      </c>
      <c r="M42" s="10">
        <f>(E42*PI()/180)/$M$4</f>
        <v>0.0105777530423899</v>
      </c>
      <c r="N42" s="12">
        <f>$N$4/M42</f>
        <v>1512.60857914537</v>
      </c>
      <c r="O42" s="10">
        <f>J42*(A42-A41)</f>
        <v>14.5186965</v>
      </c>
      <c r="P42" s="11">
        <f>O42/N42</f>
        <v>0.00959844912965065</v>
      </c>
      <c r="Q42" s="9">
        <f>N42*SIN(P42)</f>
        <v>14.5184735658961</v>
      </c>
      <c r="R42" s="10">
        <f>N42*(1-COS(P42))</f>
        <v>0.0696779499358096</v>
      </c>
      <c r="S42" s="10">
        <f>ATAN(R42/Q42)</f>
        <v>0.00479922456482543</v>
      </c>
      <c r="T42" s="9">
        <f>S42*180/PI()</f>
        <v>0.274975312500006</v>
      </c>
      <c r="U42" s="7">
        <f>J42^2/N42</f>
        <v>13.9356969784087</v>
      </c>
      <c r="V42" s="7">
        <f>U42/32.2</f>
        <v>0.432785620447474</v>
      </c>
      <c r="W42" s="7">
        <f>M42*180/PI()-T42</f>
        <v>0.3310852935606</v>
      </c>
      <c r="X42" s="8"/>
      <c r="Y42" s="10">
        <f>Y41+P42*180/PI()</f>
        <v>12.0139213806818</v>
      </c>
      <c r="Z42" s="11">
        <f>Z41+P42</f>
        <v>0.20968248416864</v>
      </c>
      <c r="AA42" s="9">
        <f>Q42*COS(Z42)-R42*SIN(Z42)</f>
        <v>14.1859728142119</v>
      </c>
      <c r="AB42" s="10">
        <f>Q42*SIN(Z42)+R42*COS(Z42)</f>
        <v>3.09016261947007</v>
      </c>
      <c r="AC42" s="10">
        <f>AC41+AA42</f>
        <v>448.087900709083</v>
      </c>
      <c r="AD42" s="10">
        <f>AD41+AB42</f>
        <v>220.427940106316</v>
      </c>
      <c r="AE42" s="9">
        <f>AE41+SQRT(AA42^2+AB42^2)</f>
        <v>528.095858649722</v>
      </c>
      <c r="AF42" s="9">
        <f>(Y42-Y41)/(A42-A41)</f>
        <v>5.49950625000001</v>
      </c>
    </row>
    <row r="43" spans="1:32" x14ac:dyDescent="0.35">
      <c r="A43">
        <f>A42+0.1</f>
        <v>-1.3</v>
      </c>
      <c r="B43">
        <v>99</v>
      </c>
      <c r="C43">
        <v>0</v>
      </c>
      <c r="D43">
        <v>1</v>
      </c>
      <c r="E43">
        <v>4</v>
      </c>
      <c r="F43">
        <v>0</v>
      </c>
      <c r="G43">
        <v>0</v>
      </c>
      <c r="H43" s="9">
        <f>(A43-A42)*AVERAGE(J42:J43)</f>
        <v>14.5186965</v>
      </c>
      <c r="I43" s="9">
        <f>(A43-A42)*AVERAGE(J42:J43)+I42</f>
        <v>542.69127675</v>
      </c>
      <c r="J43" s="12">
        <f>B43*1.466535</f>
        <v>145.186965</v>
      </c>
      <c r="K43" s="9">
        <f>J43*COS(S43)</f>
        <v>145.186697477925</v>
      </c>
      <c r="L43" s="9">
        <f>J43*SIN(T43)</f>
        <v>15.9369532645183</v>
      </c>
      <c r="M43" s="10">
        <f>(E43*PI()/180)/$M$4</f>
        <v>0.00423110121695595</v>
      </c>
      <c r="N43" s="12">
        <f>$N$4/M43</f>
        <v>3781.52144786343</v>
      </c>
      <c r="O43" s="10">
        <f>J43*(A43-A42)</f>
        <v>14.5186965</v>
      </c>
      <c r="P43" s="11">
        <f>O43/N43</f>
        <v>0.00383937965186026</v>
      </c>
      <c r="Q43" s="9">
        <f>N43*SIN(P43)</f>
        <v>14.5186608304054</v>
      </c>
      <c r="R43" s="10">
        <f>N43*(1-COS(P43))</f>
        <v>0.0278713597193499</v>
      </c>
      <c r="S43" s="10">
        <f>ATAN(R43/Q43)</f>
        <v>0.00191968982591772</v>
      </c>
      <c r="T43" s="9">
        <f>S43*180/PI()</f>
        <v>0.109990124999289</v>
      </c>
      <c r="U43" s="7">
        <f>J43^2/N43</f>
        <v>5.57427879136347</v>
      </c>
      <c r="V43" s="7">
        <f>U43/32.2</f>
        <v>0.17311424817899</v>
      </c>
      <c r="W43" s="7">
        <f>M43*180/PI()-T43</f>
        <v>0.132434117424953</v>
      </c>
      <c r="X43" s="8"/>
      <c r="Y43" s="10">
        <f>Y42+P43*180/PI()</f>
        <v>12.2339016306818</v>
      </c>
      <c r="Z43" s="11">
        <f>Z42+P43</f>
        <v>0.2135218638205</v>
      </c>
      <c r="AA43" s="9">
        <f>Q43*COS(Z43)-R43*SIN(Z43)</f>
        <v>14.1830459370328</v>
      </c>
      <c r="AB43" s="10">
        <f>Q43*SIN(Z43)+R43*COS(Z43)</f>
        <v>3.10378753606889</v>
      </c>
      <c r="AC43" s="10">
        <f>AC42+AA43</f>
        <v>462.270946646116</v>
      </c>
      <c r="AD43" s="10">
        <f>AD42+AB43</f>
        <v>223.531727642385</v>
      </c>
      <c r="AE43" s="9">
        <f>AE42+SQRT(AA43^2+AB43^2)</f>
        <v>542.614546232318</v>
      </c>
      <c r="AF43" s="9">
        <f>(Y43-Y42)/(A43-A42)</f>
        <v>2.19980250000001</v>
      </c>
    </row>
    <row r="44" spans="1:32" x14ac:dyDescent="0.35">
      <c r="A44">
        <f>A43+0.1</f>
        <v>-1.2</v>
      </c>
      <c r="B44">
        <v>99</v>
      </c>
      <c r="C44">
        <v>0</v>
      </c>
      <c r="D44">
        <v>1</v>
      </c>
      <c r="E44">
        <v>7</v>
      </c>
      <c r="F44">
        <v>0</v>
      </c>
      <c r="G44">
        <v>0</v>
      </c>
      <c r="H44" s="9">
        <f>(A44-A43)*AVERAGE(J43:J44)</f>
        <v>14.5186965</v>
      </c>
      <c r="I44" s="9">
        <f>(A44-A43)*AVERAGE(J43:J44)+I43</f>
        <v>557.20997325</v>
      </c>
      <c r="J44" s="12">
        <f>B44*1.466535</f>
        <v>145.186965</v>
      </c>
      <c r="K44" s="9">
        <f>J44*COS(S44)</f>
        <v>145.186145714164</v>
      </c>
      <c r="L44" s="9">
        <f>J44*SIN(T44)</f>
        <v>27.7737365804298</v>
      </c>
      <c r="M44" s="10">
        <f>(E44*PI()/180)/$M$4</f>
        <v>0.00740442712967291</v>
      </c>
      <c r="N44" s="12">
        <f>$N$4/M44</f>
        <v>2160.8693987791</v>
      </c>
      <c r="O44" s="10">
        <f>J44*(A44-A43)</f>
        <v>14.5186965</v>
      </c>
      <c r="P44" s="11">
        <f>O44/N44</f>
        <v>0.00671891439075545</v>
      </c>
      <c r="Q44" s="9">
        <f>N44*SIN(P44)</f>
        <v>14.5185872620324</v>
      </c>
      <c r="R44" s="10">
        <f>N44*(1-COS(P44))</f>
        <v>0.0487747559341484</v>
      </c>
      <c r="S44" s="10">
        <f>ATAN(R44/Q44)</f>
        <v>0.00335945719537732</v>
      </c>
      <c r="T44" s="9">
        <f>S44*180/PI()</f>
        <v>0.192482718749977</v>
      </c>
      <c r="U44" s="7">
        <f>J44^2/N44</f>
        <v>9.75498788488608</v>
      </c>
      <c r="V44" s="7">
        <f>U44/32.2</f>
        <v>0.302949934313232</v>
      </c>
      <c r="W44" s="7">
        <f>M44*180/PI()-T44</f>
        <v>0.231759705492448</v>
      </c>
      <c r="X44" s="8"/>
      <c r="Y44" s="10">
        <f>Y43+P44*180/PI()</f>
        <v>12.6188670681818</v>
      </c>
      <c r="Z44" s="11">
        <f>Z43+P44</f>
        <v>0.220240778211255</v>
      </c>
      <c r="AA44" s="9">
        <f>Q44*COS(Z44)-R44*SIN(Z44)</f>
        <v>14.1572334307939</v>
      </c>
      <c r="AB44" s="10">
        <f>Q44*SIN(Z44)+R44*COS(Z44)</f>
        <v>3.21939383239757</v>
      </c>
      <c r="AC44" s="10">
        <f>AC43+AA44</f>
        <v>476.42818007691</v>
      </c>
      <c r="AD44" s="10">
        <f>AD43+AB44</f>
        <v>226.751121474782</v>
      </c>
      <c r="AE44" s="9">
        <f>AE43+SQRT(AA44^2+AB44^2)</f>
        <v>557.13321542278</v>
      </c>
      <c r="AF44" s="9">
        <f>(Y44-Y43)/(A44-A43)</f>
        <v>3.849654375</v>
      </c>
    </row>
    <row r="45" spans="1:32" x14ac:dyDescent="0.35">
      <c r="A45">
        <f>A44+0.1</f>
        <v>-1.1</v>
      </c>
      <c r="B45">
        <v>98</v>
      </c>
      <c r="C45">
        <v>0</v>
      </c>
      <c r="D45">
        <v>1</v>
      </c>
      <c r="E45">
        <v>9</v>
      </c>
      <c r="F45">
        <v>0</v>
      </c>
      <c r="G45">
        <v>0</v>
      </c>
      <c r="H45" s="9">
        <f>(A45-A44)*AVERAGE(J44:J45)</f>
        <v>14.44536975</v>
      </c>
      <c r="I45" s="9">
        <f>(A45-A44)*AVERAGE(J44:J45)+I44</f>
        <v>571.655343</v>
      </c>
      <c r="J45" s="12">
        <f>B45*1.466535</f>
        <v>143.72043</v>
      </c>
      <c r="K45" s="9">
        <f>J45*COS(S45)</f>
        <v>143.719116298259</v>
      </c>
      <c r="L45" s="9">
        <f>J45*SIN(T45)</f>
        <v>34.8572326534567</v>
      </c>
      <c r="M45" s="10">
        <f>(E45*PI()/180)/$M$4</f>
        <v>0.00951997773815089</v>
      </c>
      <c r="N45" s="12">
        <f>$N$4/M45</f>
        <v>1680.67619905041</v>
      </c>
      <c r="O45" s="10">
        <f>J45*(A45-A44)</f>
        <v>14.372043</v>
      </c>
      <c r="P45" s="11">
        <f>O45/N45</f>
        <v>0.00855134558823421</v>
      </c>
      <c r="Q45" s="9">
        <f>N45*SIN(P45)</f>
        <v>14.3718678401415</v>
      </c>
      <c r="R45" s="10">
        <f>N45*(1-COS(P45))</f>
        <v>0.0614497787874479</v>
      </c>
      <c r="S45" s="10">
        <f>ATAN(R45/Q45)</f>
        <v>0.00427567279412016</v>
      </c>
      <c r="T45" s="9">
        <f>S45*180/PI()</f>
        <v>0.244978005681993</v>
      </c>
      <c r="U45" s="7">
        <f>J45^2/N45</f>
        <v>12.2900306501962</v>
      </c>
      <c r="V45" s="7">
        <f>U45/32.2</f>
        <v>0.381677970502989</v>
      </c>
      <c r="W45" s="7">
        <f>M45*180/PI()-T45</f>
        <v>0.300476539772552</v>
      </c>
      <c r="X45" s="8"/>
      <c r="Y45" s="10">
        <f>Y44+P45*180/PI()</f>
        <v>13.1088230795454</v>
      </c>
      <c r="Z45" s="11">
        <f>Z44+P45</f>
        <v>0.22879212379949</v>
      </c>
      <c r="AA45" s="9">
        <f>Q45*COS(Z45)-R45*SIN(Z45)</f>
        <v>13.9834152129439</v>
      </c>
      <c r="AB45" s="10">
        <f>Q45*SIN(Z45)+R45*COS(Z45)</f>
        <v>3.3194066144744</v>
      </c>
      <c r="AC45" s="10">
        <f>AC44+AA45</f>
        <v>490.411595289854</v>
      </c>
      <c r="AD45" s="10">
        <f>AD44+AB45</f>
        <v>230.070528089257</v>
      </c>
      <c r="AE45" s="9">
        <f>AE44+SQRT(AA45^2+AB45^2)</f>
        <v>571.505214632695</v>
      </c>
      <c r="AF45" s="9">
        <f>(Y45-Y44)/(A45-A44)</f>
        <v>4.89956011363636</v>
      </c>
    </row>
    <row r="46" spans="1:32" x14ac:dyDescent="0.35">
      <c r="A46">
        <f>A45+0.1</f>
        <v>-1</v>
      </c>
      <c r="B46">
        <v>98</v>
      </c>
      <c r="C46">
        <v>0</v>
      </c>
      <c r="D46">
        <v>1</v>
      </c>
      <c r="E46">
        <v>9</v>
      </c>
      <c r="F46">
        <v>0</v>
      </c>
      <c r="G46">
        <v>0</v>
      </c>
      <c r="H46" s="9">
        <f>(A46-A45)*AVERAGE(J45:J46)</f>
        <v>14.372043</v>
      </c>
      <c r="I46" s="9">
        <f>(A46-A45)*AVERAGE(J45:J46)+I45</f>
        <v>586.027386</v>
      </c>
      <c r="J46" s="12">
        <f>B46*1.466535</f>
        <v>143.72043</v>
      </c>
      <c r="K46" s="9">
        <f>J46*COS(S46)</f>
        <v>143.719116298259</v>
      </c>
      <c r="L46" s="9">
        <f>J46*SIN(T46)</f>
        <v>34.8572326534567</v>
      </c>
      <c r="M46" s="10">
        <f>(E46*PI()/180)/$M$4</f>
        <v>0.00951997773815089</v>
      </c>
      <c r="N46" s="12">
        <f>$N$4/M46</f>
        <v>1680.67619905041</v>
      </c>
      <c r="O46" s="10">
        <f>J46*(A46-A45)</f>
        <v>14.372043</v>
      </c>
      <c r="P46" s="11">
        <f>O46/N46</f>
        <v>0.00855134558823421</v>
      </c>
      <c r="Q46" s="9">
        <f>N46*SIN(P46)</f>
        <v>14.3718678401415</v>
      </c>
      <c r="R46" s="10">
        <f>N46*(1-COS(P46))</f>
        <v>0.0614497787874479</v>
      </c>
      <c r="S46" s="10">
        <f>ATAN(R46/Q46)</f>
        <v>0.00427567279412016</v>
      </c>
      <c r="T46" s="9">
        <f>S46*180/PI()</f>
        <v>0.244978005681993</v>
      </c>
      <c r="U46" s="7">
        <f>J46^2/N46</f>
        <v>12.2900306501962</v>
      </c>
      <c r="V46" s="7">
        <f>U46/32.2</f>
        <v>0.381677970502989</v>
      </c>
      <c r="W46" s="7">
        <f>M46*180/PI()-T46</f>
        <v>0.300476539772552</v>
      </c>
      <c r="X46" s="8"/>
      <c r="Y46" s="10">
        <f>Y45+P46*180/PI()</f>
        <v>13.598779090909</v>
      </c>
      <c r="Z46" s="11">
        <f>Z45+P46</f>
        <v>0.237343469387724</v>
      </c>
      <c r="AA46" s="9">
        <f>Q46*COS(Z46)-R46*SIN(Z46)</f>
        <v>13.9545188967053</v>
      </c>
      <c r="AB46" s="10">
        <f>Q46*SIN(Z46)+R46*COS(Z46)</f>
        <v>3.43886080720082</v>
      </c>
      <c r="AC46" s="10">
        <f>AC45+AA46</f>
        <v>504.366114186559</v>
      </c>
      <c r="AD46" s="10">
        <f>AD45+AB46</f>
        <v>233.509388896458</v>
      </c>
      <c r="AE46" s="9">
        <f>AE45+SQRT(AA46^2+AB46^2)</f>
        <v>585.877213842611</v>
      </c>
      <c r="AF46" s="9">
        <f>(Y46-Y45)/(A46-A45)</f>
        <v>4.89956011363636</v>
      </c>
    </row>
    <row r="47" spans="1:32" x14ac:dyDescent="0.35">
      <c r="A47">
        <f>A46+0.1</f>
        <v>-0.900000000000001</v>
      </c>
      <c r="B47">
        <v>97</v>
      </c>
      <c r="C47">
        <v>0</v>
      </c>
      <c r="D47">
        <v>1</v>
      </c>
      <c r="E47">
        <v>13</v>
      </c>
      <c r="F47">
        <v>0</v>
      </c>
      <c r="G47">
        <v>0</v>
      </c>
      <c r="H47" s="9">
        <f>(A47-A46)*AVERAGE(J46:J47)</f>
        <v>14.29871625</v>
      </c>
      <c r="I47" s="9">
        <f>(A47-A46)*AVERAGE(J46:J47)+I46</f>
        <v>600.32610225</v>
      </c>
      <c r="J47" s="12">
        <f>B47*1.466535</f>
        <v>142.253895</v>
      </c>
      <c r="K47" s="9">
        <f>J47*COS(S47)</f>
        <v>142.251237123813</v>
      </c>
      <c r="L47" s="9">
        <f>J47*SIN(T47)</f>
        <v>48.8114644729148</v>
      </c>
      <c r="M47" s="10">
        <f>(E47*PI()/180)/$M$4</f>
        <v>0.0137510789551068</v>
      </c>
      <c r="N47" s="12">
        <f>$N$4/M47</f>
        <v>1163.54506088106</v>
      </c>
      <c r="O47" s="10">
        <f>J47*(A47-A46)</f>
        <v>14.2253895</v>
      </c>
      <c r="P47" s="11">
        <f>O47/N47</f>
        <v>0.012225903386353</v>
      </c>
      <c r="Q47" s="9">
        <f>N47*SIN(P47)</f>
        <v>14.2250351180534</v>
      </c>
      <c r="R47" s="10">
        <f>N47*(1-COS(P47))</f>
        <v>0.0869580356675188</v>
      </c>
      <c r="S47" s="10">
        <f>ATAN(R47/Q47)</f>
        <v>0.00611295169317349</v>
      </c>
      <c r="T47" s="9">
        <f>S47*180/PI()</f>
        <v>0.350246332386192</v>
      </c>
      <c r="U47" s="7">
        <f>J47^2/N47</f>
        <v>17.391823766024</v>
      </c>
      <c r="V47" s="7">
        <f>U47/32.2</f>
        <v>0.54011875049764</v>
      </c>
      <c r="W47" s="7">
        <f>M47*180/PI()-T47</f>
        <v>0.437632455492596</v>
      </c>
      <c r="X47" s="8"/>
      <c r="Y47" s="10">
        <f>Y46+P47*180/PI()</f>
        <v>14.2992717556818</v>
      </c>
      <c r="Z47" s="11">
        <f>Z46+P47</f>
        <v>0.249569372774077</v>
      </c>
      <c r="AA47" s="9">
        <f>Q47*COS(Z47)-R47*SIN(Z47)</f>
        <v>13.7628499885402</v>
      </c>
      <c r="AB47" s="10">
        <f>Q47*SIN(Z47)+R47*COS(Z47)</f>
        <v>3.5976584055132</v>
      </c>
      <c r="AC47" s="10">
        <f>AC46+AA47</f>
        <v>518.128964175099</v>
      </c>
      <c r="AD47" s="10">
        <f>AD46+AB47</f>
        <v>237.107047301971</v>
      </c>
      <c r="AE47" s="9">
        <f>AE46+SQRT(AA47^2+AB47^2)</f>
        <v>600.102514746627</v>
      </c>
      <c r="AF47" s="9">
        <f>(Y47-Y46)/(A47-A46)</f>
        <v>7.00492664772728</v>
      </c>
    </row>
    <row r="48" spans="1:32" x14ac:dyDescent="0.35">
      <c r="A48">
        <f>A47+0.1</f>
        <v>-0.800000000000001</v>
      </c>
      <c r="B48">
        <v>96</v>
      </c>
      <c r="C48">
        <v>2</v>
      </c>
      <c r="D48">
        <v>1</v>
      </c>
      <c r="E48">
        <v>14</v>
      </c>
      <c r="F48">
        <v>0</v>
      </c>
      <c r="G48">
        <v>0</v>
      </c>
      <c r="H48" s="9">
        <f>(A48-A47)*AVERAGE(J47:J48)</f>
        <v>14.15206275</v>
      </c>
      <c r="I48" s="9">
        <f>(A48-A47)*AVERAGE(J47:J48)+I47</f>
        <v>614.478165</v>
      </c>
      <c r="J48" s="12">
        <f>B48*1.466535</f>
        <v>140.78736</v>
      </c>
      <c r="K48" s="9">
        <f>J48*COS(S48)</f>
        <v>140.784371849788</v>
      </c>
      <c r="L48" s="9">
        <f>J48*SIN(T48)</f>
        <v>51.3437378597644</v>
      </c>
      <c r="M48" s="10">
        <f>(E48*PI()/180)/$M$4</f>
        <v>0.0148088542593458</v>
      </c>
      <c r="N48" s="12">
        <f>$N$4/M48</f>
        <v>1080.43469938955</v>
      </c>
      <c r="O48" s="10">
        <f>J48*(A48-A47)</f>
        <v>14.078736</v>
      </c>
      <c r="P48" s="11">
        <f>O48/N48</f>
        <v>0.0130306218487378</v>
      </c>
      <c r="Q48" s="9">
        <f>N48*SIN(P48)</f>
        <v>14.0783375819449</v>
      </c>
      <c r="R48" s="10">
        <f>N48*(1-COS(P48))</f>
        <v>0.0917260445496367</v>
      </c>
      <c r="S48" s="10">
        <f>ATAN(R48/Q48)</f>
        <v>0.00651531092436588</v>
      </c>
      <c r="T48" s="9">
        <f>S48*180/PI()</f>
        <v>0.373299818181644</v>
      </c>
      <c r="U48" s="7">
        <f>J48^2/N48</f>
        <v>18.3454684924212</v>
      </c>
      <c r="V48" s="7">
        <f>U48/32.2</f>
        <v>0.569735046348484</v>
      </c>
      <c r="W48" s="7">
        <f>M48*180/PI()-T48</f>
        <v>0.475185030303205</v>
      </c>
      <c r="X48" s="8"/>
      <c r="Y48" s="10">
        <f>Y47+P48*180/PI()</f>
        <v>15.0458713920454</v>
      </c>
      <c r="Z48" s="11">
        <f>Z47+P48</f>
        <v>0.262599994622815</v>
      </c>
      <c r="AA48" s="9">
        <f>Q48*COS(Z48)-R48*SIN(Z48)</f>
        <v>13.5718969252878</v>
      </c>
      <c r="AB48" s="10">
        <f>Q48*SIN(Z48)+R48*COS(Z48)</f>
        <v>3.74320939673625</v>
      </c>
      <c r="AC48" s="10">
        <f>AC47+AA48</f>
        <v>531.700861100387</v>
      </c>
      <c r="AD48" s="10">
        <f>AD47+AB48</f>
        <v>240.850256698707</v>
      </c>
      <c r="AE48" s="9">
        <f>AE47+SQRT(AA48^2+AB48^2)</f>
        <v>614.181151141479</v>
      </c>
      <c r="AF48" s="9">
        <f>(Y48-Y47)/(A48-A47)</f>
        <v>7.46599636363637</v>
      </c>
    </row>
    <row r="49" spans="1:32" x14ac:dyDescent="0.35">
      <c r="A49">
        <f>A48+0.1</f>
        <v>-0.700000000000001</v>
      </c>
      <c r="B49">
        <v>94</v>
      </c>
      <c r="C49">
        <v>3</v>
      </c>
      <c r="D49">
        <v>1</v>
      </c>
      <c r="E49">
        <v>11</v>
      </c>
      <c r="F49">
        <v>0</v>
      </c>
      <c r="G49">
        <v>0</v>
      </c>
      <c r="H49" s="9">
        <f>(A49-A48)*AVERAGE(J48:J49)</f>
        <v>13.9320825</v>
      </c>
      <c r="I49" s="9">
        <f>(A49-A48)*AVERAGE(J48:J49)+I48</f>
        <v>628.4102475</v>
      </c>
      <c r="J49" s="12">
        <f>B49*1.466535</f>
        <v>137.85429</v>
      </c>
      <c r="K49" s="9">
        <f>J49*COS(S49)</f>
        <v>137.852558182145</v>
      </c>
      <c r="L49" s="9">
        <f>J49*SIN(T49)</f>
        <v>39.049241451443</v>
      </c>
      <c r="M49" s="10">
        <f>(E49*PI()/180)/$M$4</f>
        <v>0.0116355283466289</v>
      </c>
      <c r="N49" s="12">
        <f>$N$4/M49</f>
        <v>1375.09870831398</v>
      </c>
      <c r="O49" s="10">
        <f>J49*(A49-A48)</f>
        <v>13.785429</v>
      </c>
      <c r="P49" s="11">
        <f>O49/N49</f>
        <v>0.0100250468687462</v>
      </c>
      <c r="Q49" s="9">
        <f>N49*SIN(P49)</f>
        <v>13.7851980916295</v>
      </c>
      <c r="R49" s="10">
        <f>N49*(1-COS(P49))</f>
        <v>0.0690992071976371</v>
      </c>
      <c r="S49" s="10">
        <f>ATAN(R49/Q49)</f>
        <v>0.00501252343437521</v>
      </c>
      <c r="T49" s="9">
        <f>S49*180/PI()</f>
        <v>0.28719643750012</v>
      </c>
      <c r="U49" s="7">
        <f>J49^2/N49</f>
        <v>13.8199571830773</v>
      </c>
      <c r="V49" s="7">
        <f>U49/32.2</f>
        <v>0.429191216865756</v>
      </c>
      <c r="W49" s="7">
        <f>M49*180/PI()-T49</f>
        <v>0.379470229166546</v>
      </c>
      <c r="X49" s="8"/>
      <c r="Y49" s="10">
        <f>Y48+P49*180/PI()</f>
        <v>15.6202642670454</v>
      </c>
      <c r="Z49" s="11">
        <f>Z48+P49</f>
        <v>0.272625041491561</v>
      </c>
      <c r="AA49" s="9">
        <f>Q49*COS(Z49)-R49*SIN(Z49)</f>
        <v>13.2574691385153</v>
      </c>
      <c r="AB49" s="10">
        <f>Q49*SIN(Z49)+R49*COS(Z49)</f>
        <v>3.77835588149351</v>
      </c>
      <c r="AC49" s="10">
        <f>AC48+AA49</f>
        <v>544.958330238902</v>
      </c>
      <c r="AD49" s="10">
        <f>AD48+AB49</f>
        <v>244.628612580201</v>
      </c>
      <c r="AE49" s="9">
        <f>AE48+SQRT(AA49^2+AB49^2)</f>
        <v>627.966522414169</v>
      </c>
      <c r="AF49" s="9">
        <f>(Y49-Y48)/(A49-A48)</f>
        <v>5.74392874999999</v>
      </c>
    </row>
    <row r="50" spans="1:32" x14ac:dyDescent="0.35">
      <c r="A50">
        <f>A49+0.1</f>
        <v>-0.600000000000001</v>
      </c>
      <c r="B50">
        <v>92</v>
      </c>
      <c r="C50">
        <v>3</v>
      </c>
      <c r="D50">
        <v>1</v>
      </c>
      <c r="E50">
        <v>7</v>
      </c>
      <c r="F50">
        <v>0</v>
      </c>
      <c r="G50">
        <v>0</v>
      </c>
      <c r="H50" s="9">
        <f>(A50-A49)*AVERAGE(J49:J50)</f>
        <v>13.6387755</v>
      </c>
      <c r="I50" s="9">
        <f>(A50-A49)*AVERAGE(J49:J50)+I49</f>
        <v>642.049023</v>
      </c>
      <c r="J50" s="12">
        <f>B50*1.466535</f>
        <v>134.92122</v>
      </c>
      <c r="K50" s="9">
        <f>J50*COS(S50)</f>
        <v>134.920562503568</v>
      </c>
      <c r="L50" s="9">
        <f>J50*SIN(T50)</f>
        <v>24.0052509754156</v>
      </c>
      <c r="M50" s="10">
        <f>(E50*PI()/180)/$M$4</f>
        <v>0.00740442712967291</v>
      </c>
      <c r="N50" s="12">
        <f>$N$4/M50</f>
        <v>2160.8693987791</v>
      </c>
      <c r="O50" s="10">
        <f>J50*(A50-A49)</f>
        <v>13.492122</v>
      </c>
      <c r="P50" s="11">
        <f>O50/N50</f>
        <v>0.00624383963585355</v>
      </c>
      <c r="Q50" s="9">
        <f>N50*SIN(P50)</f>
        <v>13.4920343339087</v>
      </c>
      <c r="R50" s="10">
        <f>N50*(1-COS(P50))</f>
        <v>0.042121186214314</v>
      </c>
      <c r="S50" s="10">
        <f>ATAN(R50/Q50)</f>
        <v>0.00312191981792462</v>
      </c>
      <c r="T50" s="9">
        <f>S50*180/PI()</f>
        <v>0.178872829545331</v>
      </c>
      <c r="U50" s="7">
        <f>J50^2/N50</f>
        <v>8.42426461153717</v>
      </c>
      <c r="V50" s="7">
        <f>U50/32.2</f>
        <v>0.2616231245819</v>
      </c>
      <c r="W50" s="7">
        <f>M50*180/PI()-T50</f>
        <v>0.245369594697093</v>
      </c>
      <c r="X50" s="8"/>
      <c r="Y50" s="10">
        <f>Y49+P50*180/PI()</f>
        <v>15.9780099261363</v>
      </c>
      <c r="Z50" s="11">
        <f>Z49+P50</f>
        <v>0.278868881127414</v>
      </c>
      <c r="AA50" s="9">
        <f>Q50*COS(Z50)-R50*SIN(Z50)</f>
        <v>12.9592075326642</v>
      </c>
      <c r="AB50" s="10">
        <f>Q50*SIN(Z50)+R50*COS(Z50)</f>
        <v>3.75442469454915</v>
      </c>
      <c r="AC50" s="10">
        <f>AC49+AA50</f>
        <v>557.917537771566</v>
      </c>
      <c r="AD50" s="10">
        <f>AD49+AB50</f>
        <v>248.38303727475</v>
      </c>
      <c r="AE50" s="9">
        <f>AE49+SQRT(AA50^2+AB50^2)</f>
        <v>641.458622497614</v>
      </c>
      <c r="AF50" s="9">
        <f>(Y50-Y49)/(A50-A49)</f>
        <v>3.57745659090909</v>
      </c>
    </row>
    <row r="51" spans="1:32" x14ac:dyDescent="0.35">
      <c r="A51">
        <f>A50+0.1</f>
        <v>-0.500000000000001</v>
      </c>
      <c r="B51">
        <v>90</v>
      </c>
      <c r="C51">
        <v>3</v>
      </c>
      <c r="D51">
        <v>1</v>
      </c>
      <c r="E51">
        <v>5</v>
      </c>
      <c r="F51">
        <v>0</v>
      </c>
      <c r="G51">
        <v>0</v>
      </c>
      <c r="H51" s="9">
        <f>(A51-A50)*AVERAGE(J50:J51)</f>
        <v>13.3454685</v>
      </c>
      <c r="I51" s="9">
        <f>(A51-A50)*AVERAGE(J50:J51)+I50</f>
        <v>655.3944915</v>
      </c>
      <c r="J51" s="12">
        <f>B51*1.466535</f>
        <v>131.98815</v>
      </c>
      <c r="K51" s="9">
        <f>J51*COS(S51)</f>
        <v>131.987835948006</v>
      </c>
      <c r="L51" s="9">
        <f>J51*SIN(T51)</f>
        <v>16.4541178493677</v>
      </c>
      <c r="M51" s="10">
        <f>(E51*PI()/180)/$M$4</f>
        <v>0.00528887652119494</v>
      </c>
      <c r="N51" s="12">
        <f>$N$4/M51</f>
        <v>3025.21715829075</v>
      </c>
      <c r="O51" s="10">
        <f>J51*(A51-A50)</f>
        <v>13.198815</v>
      </c>
      <c r="P51" s="11">
        <f>O51/N51</f>
        <v>0.00436293142256847</v>
      </c>
      <c r="Q51" s="9">
        <f>N51*SIN(P51)</f>
        <v>13.198773126424</v>
      </c>
      <c r="R51" s="10">
        <f>N51*(1-COS(P51))</f>
        <v>0.0287927166791854</v>
      </c>
      <c r="S51" s="10">
        <f>ATAN(R51/Q51)</f>
        <v>0.00218146571128431</v>
      </c>
      <c r="T51" s="9">
        <f>S51*180/PI()</f>
        <v>0.124988778409095</v>
      </c>
      <c r="U51" s="7">
        <f>J51^2/N51</f>
        <v>5.75855247041681</v>
      </c>
      <c r="V51" s="7">
        <f>U51/32.2</f>
        <v>0.178837033242758</v>
      </c>
      <c r="W51" s="7">
        <f>M51*180/PI()-T51</f>
        <v>0.178041524621208</v>
      </c>
      <c r="X51" s="8"/>
      <c r="Y51" s="10">
        <f>Y50+P51*180/PI()</f>
        <v>16.2279874829545</v>
      </c>
      <c r="Z51" s="11">
        <f>Z50+P51</f>
        <v>0.283231812549983</v>
      </c>
      <c r="AA51" s="9">
        <f>Q51*COS(Z51)-R51*SIN(Z51)</f>
        <v>12.6648518364794</v>
      </c>
      <c r="AB51" s="10">
        <f>Q51*SIN(Z51)+R51*COS(Z51)</f>
        <v>3.71617666740568</v>
      </c>
      <c r="AC51" s="10">
        <f>AC50+AA51</f>
        <v>570.582389608046</v>
      </c>
      <c r="AD51" s="10">
        <f>AD50+AB51</f>
        <v>252.099213942155</v>
      </c>
      <c r="AE51" s="9">
        <f>AE50+SQRT(AA51^2+AB51^2)</f>
        <v>654.657427029213</v>
      </c>
      <c r="AF51" s="9">
        <f>(Y51-Y50)/(A51-A50)</f>
        <v>2.49977556818182</v>
      </c>
    </row>
    <row r="52" spans="1:32" x14ac:dyDescent="0.35">
      <c r="A52">
        <f>A51+0.1</f>
        <v>-0.400000000000001</v>
      </c>
      <c r="B52">
        <v>87</v>
      </c>
      <c r="C52">
        <v>1</v>
      </c>
      <c r="D52">
        <v>1</v>
      </c>
      <c r="E52">
        <v>-1</v>
      </c>
      <c r="F52">
        <v>0</v>
      </c>
      <c r="G52">
        <v>0</v>
      </c>
      <c r="H52" s="9">
        <f>(A52-A51)*AVERAGE(J51:J52)</f>
        <v>12.97883475</v>
      </c>
      <c r="I52" s="9">
        <f>(A52-A51)*AVERAGE(J51:J52)+I51</f>
        <v>668.37332625</v>
      </c>
      <c r="J52" s="12">
        <f>B52*1.466535</f>
        <v>127.588545</v>
      </c>
      <c r="K52" s="9">
        <f>J52*COS(S52)</f>
        <v>127.588533652716</v>
      </c>
      <c r="L52" s="9">
        <f>J52*SIN(T52)</f>
        <v>-3.082812991847</v>
      </c>
      <c r="M52" s="10">
        <f>(E52*PI()/180)/$M$4</f>
        <v>-0.00105777530423899</v>
      </c>
      <c r="N52" s="12">
        <f>$N$4/M52</f>
        <v>-15126.0857914537</v>
      </c>
      <c r="O52" s="10">
        <f>J52*(A52-A51)</f>
        <v>12.7588545</v>
      </c>
      <c r="P52" s="11">
        <f>O52/N52</f>
        <v>-0.000843500075029905</v>
      </c>
      <c r="Q52" s="9">
        <f>N52*SIN(P52)</f>
        <v>12.7588529870288</v>
      </c>
      <c r="R52" s="10">
        <f>N52*(1-COS(P52))</f>
        <v>-0.00538104704491235</v>
      </c>
      <c r="S52" s="10">
        <f>ATAN(R52/Q52)</f>
        <v>-0.000421750037510044</v>
      </c>
      <c r="T52" s="9">
        <f>S52*180/PI()</f>
        <v>-0.0241644971588097</v>
      </c>
      <c r="U52" s="7">
        <f>J52^2/N52</f>
        <v>-1.07620947280456</v>
      </c>
      <c r="V52" s="7">
        <f>U52/32.2</f>
        <v>-0.0334226544349243</v>
      </c>
      <c r="W52" s="7">
        <f>M52*180/PI()-T52</f>
        <v>-0.036441563447251</v>
      </c>
      <c r="X52" s="8"/>
      <c r="Y52" s="10">
        <f>Y51+P52*180/PI()</f>
        <v>16.1796584886363</v>
      </c>
      <c r="Z52" s="11">
        <f>Z51+P52</f>
        <v>0.282388312474953</v>
      </c>
      <c r="AA52" s="9">
        <f>Q52*COS(Z52)-R52*SIN(Z52)</f>
        <v>12.2550083714513</v>
      </c>
      <c r="AB52" s="10">
        <f>Q52*SIN(Z52)+R52*COS(Z52)</f>
        <v>3.55008849409968</v>
      </c>
      <c r="AC52" s="10">
        <f>AC51+AA52</f>
        <v>582.837397979497</v>
      </c>
      <c r="AD52" s="10">
        <f>AD51+AB52</f>
        <v>255.649302436255</v>
      </c>
      <c r="AE52" s="9">
        <f>AE51+SQRT(AA52^2+AB52^2)</f>
        <v>667.41628115097</v>
      </c>
      <c r="AF52" s="9">
        <f>(Y52-Y51)/(A52-A51)</f>
        <v>-0.483289943181831</v>
      </c>
    </row>
    <row r="53" spans="1:32" x14ac:dyDescent="0.35">
      <c r="A53">
        <f>A52+0.1</f>
        <v>-0.300000000000001</v>
      </c>
      <c r="B53">
        <v>86</v>
      </c>
      <c r="C53">
        <v>0</v>
      </c>
      <c r="D53">
        <v>1</v>
      </c>
      <c r="E53">
        <v>-3</v>
      </c>
      <c r="F53">
        <v>0</v>
      </c>
      <c r="G53">
        <v>0</v>
      </c>
      <c r="H53" s="9">
        <f>(A53-A52)*AVERAGE(J52:J53)</f>
        <v>12.68552775</v>
      </c>
      <c r="I53" s="9">
        <f>(A53-A52)*AVERAGE(J52:J53)+I52</f>
        <v>681.058854</v>
      </c>
      <c r="J53" s="12">
        <f>B53*1.466535</f>
        <v>126.12201</v>
      </c>
      <c r="K53" s="9">
        <f>J53*COS(S53)</f>
        <v>126.121911355699</v>
      </c>
      <c r="L53" s="9">
        <f>J53*SIN(T53)</f>
        <v>-9.030199354421</v>
      </c>
      <c r="M53" s="10">
        <f>(E53*PI()/180)/$M$4</f>
        <v>-0.00317332591271696</v>
      </c>
      <c r="N53" s="12">
        <f>$N$4/M53</f>
        <v>-5042.02859715124</v>
      </c>
      <c r="O53" s="10">
        <f>J53*(A53-A52)</f>
        <v>12.612201</v>
      </c>
      <c r="P53" s="11">
        <f>O53/N53</f>
        <v>-0.00250141401560592</v>
      </c>
      <c r="Q53" s="9">
        <f>N53*SIN(P53)</f>
        <v>12.612187847429</v>
      </c>
      <c r="R53" s="10">
        <f>N53*(1-COS(P53))</f>
        <v>-0.0157741599494141</v>
      </c>
      <c r="S53" s="10">
        <f>ATAN(R53/Q53)</f>
        <v>-0.00125070700779517</v>
      </c>
      <c r="T53" s="9">
        <f>S53*180/PI()</f>
        <v>-0.0716602329540992</v>
      </c>
      <c r="U53" s="7">
        <f>J53^2/N53</f>
        <v>-3.1548336349039</v>
      </c>
      <c r="V53" s="7">
        <f>U53/32.2</f>
        <v>-0.0979761998417362</v>
      </c>
      <c r="W53" s="7">
        <f>M53*180/PI()-T53</f>
        <v>-0.110157948864083</v>
      </c>
      <c r="X53" s="8"/>
      <c r="Y53" s="10">
        <f>Y52+P53*180/PI()</f>
        <v>16.0363380227272</v>
      </c>
      <c r="Z53" s="11">
        <f>Z52+P53</f>
        <v>0.279886898459347</v>
      </c>
      <c r="AA53" s="9">
        <f>Q53*COS(Z53)-R53*SIN(Z53)</f>
        <v>12.1257634155077</v>
      </c>
      <c r="AB53" s="10">
        <f>Q53*SIN(Z53)+R53*COS(Z53)</f>
        <v>3.46891808985067</v>
      </c>
      <c r="AC53" s="10">
        <f>AC52+AA53</f>
        <v>594.963161395005</v>
      </c>
      <c r="AD53" s="10">
        <f>AD52+AB53</f>
        <v>259.118220526106</v>
      </c>
      <c r="AE53" s="9">
        <f>AE52+SQRT(AA53^2+AB53^2)</f>
        <v>680.028478862826</v>
      </c>
      <c r="AF53" s="9">
        <f>(Y53-Y52)/(A53-A52)</f>
        <v>-1.43320465909092</v>
      </c>
    </row>
    <row r="54" spans="1:32" x14ac:dyDescent="0.35">
      <c r="A54">
        <f>A53+0.1</f>
        <v>-0.200000000000001</v>
      </c>
      <c r="B54">
        <v>85</v>
      </c>
      <c r="C54">
        <v>-1</v>
      </c>
      <c r="D54">
        <v>1</v>
      </c>
      <c r="E54">
        <v>-6</v>
      </c>
      <c r="F54">
        <v>0</v>
      </c>
      <c r="G54">
        <v>0</v>
      </c>
      <c r="H54" s="9">
        <f>(A54-A53)*AVERAGE(J53:J54)</f>
        <v>12.53887425</v>
      </c>
      <c r="I54" s="9">
        <f>(A54-A53)*AVERAGE(J53:J54)+I53</f>
        <v>693.59772825</v>
      </c>
      <c r="J54" s="12">
        <f>B54*1.466535</f>
        <v>124.655475</v>
      </c>
      <c r="K54" s="9">
        <f>J54*COS(S54)</f>
        <v>124.655094027833</v>
      </c>
      <c r="L54" s="9">
        <f>J54*SIN(T54)</f>
        <v>-17.5989459299241</v>
      </c>
      <c r="M54" s="10">
        <f>(E54*PI()/180)/$M$4</f>
        <v>-0.00634665182543393</v>
      </c>
      <c r="N54" s="12">
        <f>$N$4/M54</f>
        <v>-2521.01429857562</v>
      </c>
      <c r="O54" s="10">
        <f>J54*(A54-A53)</f>
        <v>12.4655475</v>
      </c>
      <c r="P54" s="11">
        <f>O54/N54</f>
        <v>-0.00494465561224427</v>
      </c>
      <c r="Q54" s="9">
        <f>N54*SIN(P54)</f>
        <v>12.4654967037473</v>
      </c>
      <c r="R54" s="10">
        <f>N54*(1-COS(P54))</f>
        <v>-0.0308188569103358</v>
      </c>
      <c r="S54" s="10">
        <f>ATAN(R54/Q54)</f>
        <v>-0.00247232780612768</v>
      </c>
      <c r="T54" s="9">
        <f>S54*180/PI()</f>
        <v>-0.141653948863954</v>
      </c>
      <c r="U54" s="7">
        <f>J54^2/N54</f>
        <v>-6.16378394055725</v>
      </c>
      <c r="V54" s="7">
        <f>U54/32.2</f>
        <v>-0.191421861507989</v>
      </c>
      <c r="W54" s="7">
        <f>M54*180/PI()-T54</f>
        <v>-0.22198241477241</v>
      </c>
      <c r="X54" s="8"/>
      <c r="Y54" s="10">
        <f>Y53+P54*180/PI()</f>
        <v>15.7530301249999</v>
      </c>
      <c r="Z54" s="11">
        <f>Z53+P54</f>
        <v>0.274942242847103</v>
      </c>
      <c r="AA54" s="9">
        <f>Q54*COS(Z54)-R54*SIN(Z54)</f>
        <v>12.0056706677646</v>
      </c>
      <c r="AB54" s="10">
        <f>Q54*SIN(Z54)+R54*COS(Z54)</f>
        <v>3.35461319532581</v>
      </c>
      <c r="AC54" s="10">
        <f>AC53+AA54</f>
        <v>606.968832062769</v>
      </c>
      <c r="AD54" s="10">
        <f>AD53+AB54</f>
        <v>262.472833721431</v>
      </c>
      <c r="AE54" s="9">
        <f>AE53+SQRT(AA54^2+AB54^2)</f>
        <v>692.494013663752</v>
      </c>
      <c r="AF54" s="9">
        <f>(Y54-Y53)/(A54-A53)</f>
        <v>-2.83307897727273</v>
      </c>
    </row>
    <row r="55" spans="1:32" x14ac:dyDescent="0.35">
      <c r="A55">
        <f>A54+0.1</f>
        <v>-0.100000000000001</v>
      </c>
      <c r="B55">
        <v>83</v>
      </c>
      <c r="C55">
        <v>-1</v>
      </c>
      <c r="D55">
        <v>1</v>
      </c>
      <c r="E55">
        <v>-2</v>
      </c>
      <c r="F55">
        <v>0</v>
      </c>
      <c r="G55">
        <v>0</v>
      </c>
      <c r="H55" s="9">
        <f>(A55-A54)*AVERAGE(J54:J55)</f>
        <v>12.318894</v>
      </c>
      <c r="I55" s="9">
        <f>(A55-A54)*AVERAGE(J54:J55)+I54</f>
        <v>705.91662225</v>
      </c>
      <c r="J55" s="12">
        <f>B55*1.466535</f>
        <v>121.722405</v>
      </c>
      <c r="K55" s="9">
        <f>J55*COS(S55)</f>
        <v>121.722365588003</v>
      </c>
      <c r="L55" s="9">
        <f>J55*SIN(T55)</f>
        <v>-5.61026321040491</v>
      </c>
      <c r="M55" s="10">
        <f>(E55*PI()/180)/$M$4</f>
        <v>-0.00211555060847798</v>
      </c>
      <c r="N55" s="12">
        <f>$N$4/M55</f>
        <v>-7563.04289572687</v>
      </c>
      <c r="O55" s="10">
        <f>J55*(A55-A54)</f>
        <v>12.1722405</v>
      </c>
      <c r="P55" s="11">
        <f>O55/N55</f>
        <v>-0.0016094369247697</v>
      </c>
      <c r="Q55" s="9">
        <f>N55*SIN(P55)</f>
        <v>12.1722352450675</v>
      </c>
      <c r="R55" s="10">
        <f>N55*(1-COS(P55))</f>
        <v>-0.00979522454431376</v>
      </c>
      <c r="S55" s="10">
        <f>ATAN(R55/Q55)</f>
        <v>-0.00080471846236397</v>
      </c>
      <c r="T55" s="9">
        <f>S55*180/PI()</f>
        <v>-0.0461069715897127</v>
      </c>
      <c r="U55" s="7">
        <f>J55^2/N55</f>
        <v>-1.95904533178772</v>
      </c>
      <c r="V55" s="7">
        <f>U55/32.2</f>
        <v>-0.0608399171362647</v>
      </c>
      <c r="W55" s="7">
        <f>M55*180/PI()-T55</f>
        <v>-0.0751051496224086</v>
      </c>
      <c r="X55" s="8"/>
      <c r="Y55" s="10">
        <f>Y54+P55*180/PI()</f>
        <v>15.6608161818181</v>
      </c>
      <c r="Z55" s="11">
        <f>Z54+P55</f>
        <v>0.273332805922333</v>
      </c>
      <c r="AA55" s="9">
        <f>Q55*COS(Z55)-R55*SIN(Z55)</f>
        <v>11.7230044023554</v>
      </c>
      <c r="AB55" s="10">
        <f>Q55*SIN(Z55)+R55*COS(Z55)</f>
        <v>3.27636606471931</v>
      </c>
      <c r="AC55" s="10">
        <f>AC54+AA55</f>
        <v>618.691836465125</v>
      </c>
      <c r="AD55" s="10">
        <f>AD54+AB55</f>
        <v>265.749199786151</v>
      </c>
      <c r="AE55" s="9">
        <f>AE54+SQRT(AA55^2+AB55^2)</f>
        <v>704.666252850018</v>
      </c>
      <c r="AF55" s="9">
        <f>(Y55-Y54)/(A55-A54)</f>
        <v>-0.922139431818181</v>
      </c>
    </row>
  </sheetData>
  <mergeCells count="1">
    <mergeCell ref="H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215C-5D1D-4C50-A4E8-218E8878F5A7}">
  <sheetViews>
    <sheetView workbookViewId="0">
      <selection pane="topLeft" activeCell="E11" sqref="E11"/>
    </sheetView>
  </sheetViews>
  <sheetFormatPr baseColWidth="8" defaultRowHeight="14"/>
  <sheetData>
    <row r="1" spans="1:28" x14ac:dyDescent="0.3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135</v>
      </c>
      <c r="I1" t="s">
        <v>136</v>
      </c>
      <c r="J1" t="s">
        <v>115</v>
      </c>
      <c r="K1" t="s">
        <v>116</v>
      </c>
      <c r="L1" t="s">
        <v>117</v>
      </c>
      <c r="M1" t="s">
        <v>137</v>
      </c>
      <c r="N1" t="s">
        <v>138</v>
      </c>
      <c r="O1" t="s">
        <v>118</v>
      </c>
      <c r="P1" t="s">
        <v>119</v>
      </c>
      <c r="Q1" t="s">
        <v>120</v>
      </c>
      <c r="R1" t="s">
        <v>139</v>
      </c>
      <c r="S1" t="s">
        <v>140</v>
      </c>
      <c r="T1" t="s">
        <v>121</v>
      </c>
      <c r="U1" t="s">
        <v>122</v>
      </c>
      <c r="V1" t="s">
        <v>123</v>
      </c>
      <c r="W1" t="s">
        <v>141</v>
      </c>
      <c r="X1" t="s">
        <v>142</v>
      </c>
      <c r="Y1" t="s">
        <v>30</v>
      </c>
      <c r="Z1" t="s">
        <v>124</v>
      </c>
      <c r="AA1" t="s">
        <v>125</v>
      </c>
      <c r="AB1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</vt:vector>
  </HeadingPairs>
  <TitlesOfParts>
    <vt:vector size="11" baseType="lpstr">
      <vt:lpstr>vehicles</vt:lpstr>
      <vt:lpstr>v1_input</vt:lpstr>
      <vt:lpstr>v2_input</vt:lpstr>
      <vt:lpstr>v1_post</vt:lpstr>
      <vt:lpstr>v2_post</vt:lpstr>
      <vt:lpstr>tire</vt:lpstr>
      <vt:lpstr>vehicles (2)</vt:lpstr>
      <vt:lpstr>processed_path</vt:lpstr>
      <vt:lpstr>draw_columns</vt:lpstr>
      <vt:lpstr>Heading</vt:lpstr>
      <vt:lpstr>X-Y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2020-05-01T18:13:47Z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8782ebc2-edc6-4d43-b233-8ee9be2f760f</vt:lpwstr>
  </property>
</Properties>
</file>